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ancocapitalltd.sharepoint.com/sites/DANCOOPERATIONS/Shared Documents/DANCO PRODUCTION/OKR Q3  Supporting documents/Power of one/"/>
    </mc:Choice>
  </mc:AlternateContent>
  <xr:revisionPtr revIDLastSave="1971" documentId="8_{024FBB20-08A9-44E7-B8F8-F491183F506D}" xr6:coauthVersionLast="47" xr6:coauthVersionMax="47" xr10:uidLastSave="{2A38155C-FEB5-4E6E-B8A6-8AF55F0A7DF8}"/>
  <bookViews>
    <workbookView xWindow="-120" yWindow="-120" windowWidth="20730" windowHeight="11040" activeTab="6" xr2:uid="{473E9D55-B832-414D-9AC3-A1EA3E177109}"/>
  </bookViews>
  <sheets>
    <sheet name="Summary" sheetId="1" r:id="rId1"/>
    <sheet name="Sheet1" sheetId="3" state="hidden" r:id="rId2"/>
    <sheet name="Job Details" sheetId="2" r:id="rId3"/>
    <sheet name="september 30" sheetId="8" state="hidden" r:id="rId4"/>
    <sheet name="OUTPUT CHART" sheetId="7" r:id="rId5"/>
    <sheet name="RUNNING HOURS" sheetId="6" state="hidden" r:id="rId6"/>
    <sheet name="POWERBI SUMMARY" sheetId="5" r:id="rId7"/>
  </sheets>
  <externalReferences>
    <externalReference r:id="rId8"/>
  </externalReferences>
  <definedNames>
    <definedName name="_xlnm._FilterDatabase" localSheetId="2" hidden="1">'Job Details'!$A$2:$AB$139</definedName>
    <definedName name="_xlnm._FilterDatabase" localSheetId="6" hidden="1">'POWERBI SUMMARY'!$A$1:$J$109</definedName>
    <definedName name="_xlnm._FilterDatabase" localSheetId="0" hidden="1">Summary!$A$2:$Z$30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1" l="1"/>
  <c r="V4" i="1"/>
  <c r="V5" i="1"/>
  <c r="V6" i="1"/>
  <c r="V8" i="1"/>
  <c r="V9" i="1"/>
  <c r="V10" i="1"/>
  <c r="V11" i="1"/>
  <c r="V12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" i="1"/>
  <c r="P5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P3" i="1"/>
  <c r="R5" i="2"/>
  <c r="R6" i="2"/>
  <c r="R7" i="2"/>
  <c r="R8" i="2"/>
  <c r="R9" i="2"/>
  <c r="R10" i="2"/>
  <c r="R12" i="2"/>
  <c r="R13" i="2"/>
  <c r="R14" i="2"/>
  <c r="R15" i="2"/>
  <c r="R16" i="2"/>
  <c r="R18" i="2"/>
  <c r="R19" i="2"/>
  <c r="R20" i="2"/>
  <c r="R22" i="2"/>
  <c r="R23" i="2"/>
  <c r="R24" i="2"/>
  <c r="R25" i="2"/>
  <c r="R26" i="2"/>
  <c r="R28" i="2"/>
  <c r="R29" i="2"/>
  <c r="R30" i="2"/>
  <c r="R31" i="2"/>
  <c r="R32" i="2"/>
  <c r="R33" i="2"/>
  <c r="R35" i="2"/>
  <c r="R36" i="2"/>
  <c r="R39" i="2"/>
  <c r="R40" i="2"/>
  <c r="R41" i="2"/>
  <c r="R42" i="2"/>
  <c r="R44" i="2"/>
  <c r="R45" i="2"/>
  <c r="R46" i="2"/>
  <c r="R47" i="2"/>
  <c r="R48" i="2"/>
  <c r="R51" i="2"/>
  <c r="R52" i="2"/>
  <c r="R53" i="2"/>
  <c r="R55" i="2"/>
  <c r="R56" i="2"/>
  <c r="R57" i="2"/>
  <c r="R58" i="2"/>
  <c r="R59" i="2"/>
  <c r="R63" i="2"/>
  <c r="R64" i="2"/>
  <c r="R65" i="2"/>
  <c r="R66" i="2"/>
  <c r="R67" i="2"/>
  <c r="R68" i="2"/>
  <c r="R69" i="2"/>
  <c r="R70" i="2"/>
  <c r="R71" i="2"/>
  <c r="R72" i="2"/>
  <c r="R74" i="2"/>
  <c r="R75" i="2"/>
  <c r="R76" i="2"/>
  <c r="R77" i="2"/>
  <c r="R79" i="2"/>
  <c r="R80" i="2"/>
  <c r="R81" i="2"/>
  <c r="R82" i="2"/>
  <c r="R83" i="2"/>
  <c r="R84" i="2"/>
  <c r="R86" i="2"/>
  <c r="R88" i="2"/>
  <c r="R89" i="2"/>
  <c r="R90" i="2"/>
  <c r="R92" i="2"/>
  <c r="R93" i="2"/>
  <c r="R94" i="2"/>
  <c r="R95" i="2"/>
  <c r="R96" i="2"/>
  <c r="R99" i="2"/>
  <c r="R100" i="2"/>
  <c r="R101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3" i="2"/>
  <c r="W12" i="1"/>
  <c r="Y12" i="1" s="1"/>
  <c r="Z12" i="1" s="1"/>
  <c r="K12" i="1"/>
  <c r="K9" i="1"/>
  <c r="W7" i="1"/>
  <c r="Q6" i="1"/>
  <c r="Y139" i="2"/>
  <c r="S139" i="2"/>
  <c r="K28" i="1"/>
  <c r="K19" i="1"/>
  <c r="K18" i="1"/>
  <c r="K16" i="1"/>
  <c r="M16" i="1" s="1"/>
  <c r="N16" i="1" s="1"/>
  <c r="K15" i="1"/>
  <c r="W13" i="1"/>
  <c r="K13" i="1"/>
  <c r="Q10" i="1"/>
  <c r="K10" i="1"/>
  <c r="E10" i="1"/>
  <c r="E9" i="1"/>
  <c r="Q7" i="1"/>
  <c r="K7" i="1"/>
  <c r="E7" i="1"/>
  <c r="K6" i="1"/>
  <c r="E6" i="1"/>
  <c r="E4" i="1"/>
  <c r="K3" i="1"/>
  <c r="M3" i="1" s="1"/>
  <c r="N3" i="1" s="1"/>
  <c r="E3" i="1"/>
  <c r="G139" i="2"/>
  <c r="N105" i="2"/>
  <c r="O105" i="2" s="1"/>
  <c r="P105" i="2" s="1"/>
  <c r="H104" i="2"/>
  <c r="I104" i="2" s="1"/>
  <c r="J104" i="2" s="1"/>
  <c r="T103" i="2"/>
  <c r="U103" i="2" s="1"/>
  <c r="V103" i="2" s="1"/>
  <c r="T102" i="2"/>
  <c r="R102" i="2" s="1"/>
  <c r="N101" i="2"/>
  <c r="O101" i="2" s="1"/>
  <c r="P101" i="2" s="1"/>
  <c r="N100" i="2"/>
  <c r="O100" i="2" s="1"/>
  <c r="P100" i="2" s="1"/>
  <c r="H99" i="2"/>
  <c r="I99" i="2" s="1"/>
  <c r="J99" i="2" s="1"/>
  <c r="T97" i="2"/>
  <c r="U97" i="2" s="1"/>
  <c r="V97" i="2" s="1"/>
  <c r="T98" i="2"/>
  <c r="R98" i="2" s="1"/>
  <c r="N95" i="2"/>
  <c r="L95" i="2" s="1"/>
  <c r="Z96" i="2"/>
  <c r="AA96" i="2" s="1"/>
  <c r="AB96" i="2" s="1"/>
  <c r="H95" i="2"/>
  <c r="I95" i="2" s="1"/>
  <c r="J95" i="2" s="1"/>
  <c r="I93" i="2"/>
  <c r="J93" i="2" s="1"/>
  <c r="I96" i="2"/>
  <c r="J96" i="2" s="1"/>
  <c r="I97" i="2"/>
  <c r="J97" i="2" s="1"/>
  <c r="I98" i="2"/>
  <c r="J98" i="2" s="1"/>
  <c r="I100" i="2"/>
  <c r="J100" i="2" s="1"/>
  <c r="I101" i="2"/>
  <c r="J101" i="2" s="1"/>
  <c r="I102" i="2"/>
  <c r="J102" i="2" s="1"/>
  <c r="I103" i="2"/>
  <c r="J103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H94" i="2"/>
  <c r="F94" i="2" s="1"/>
  <c r="F93" i="2"/>
  <c r="F96" i="2"/>
  <c r="F97" i="2"/>
  <c r="F98" i="2"/>
  <c r="F100" i="2"/>
  <c r="F101" i="2"/>
  <c r="F102" i="2"/>
  <c r="F103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T91" i="2"/>
  <c r="U91" i="2" s="1"/>
  <c r="V91" i="2" s="1"/>
  <c r="N93" i="2"/>
  <c r="L93" i="2" s="1"/>
  <c r="L92" i="2"/>
  <c r="L91" i="2"/>
  <c r="N90" i="2"/>
  <c r="L90" i="2" s="1"/>
  <c r="U93" i="2"/>
  <c r="V93" i="2" s="1"/>
  <c r="Z92" i="2"/>
  <c r="AA92" i="2" s="1"/>
  <c r="AB92" i="2" s="1"/>
  <c r="Z91" i="2"/>
  <c r="X91" i="2" s="1"/>
  <c r="H90" i="2"/>
  <c r="F90" i="2" s="1"/>
  <c r="T87" i="2"/>
  <c r="U87" i="2" s="1"/>
  <c r="V87" i="2" s="1"/>
  <c r="N89" i="2"/>
  <c r="O89" i="2" s="1"/>
  <c r="P89" i="2" s="1"/>
  <c r="N88" i="2"/>
  <c r="O88" i="2" s="1"/>
  <c r="P88" i="2" s="1"/>
  <c r="Z87" i="2"/>
  <c r="AA87" i="2" s="1"/>
  <c r="AB87" i="2" s="1"/>
  <c r="X85" i="2"/>
  <c r="X89" i="2"/>
  <c r="X93" i="2"/>
  <c r="AA97" i="2"/>
  <c r="AB97" i="2" s="1"/>
  <c r="X101" i="2"/>
  <c r="AA105" i="2"/>
  <c r="AB105" i="2" s="1"/>
  <c r="X109" i="2"/>
  <c r="AA113" i="2"/>
  <c r="AB113" i="2" s="1"/>
  <c r="X117" i="2"/>
  <c r="AA121" i="2"/>
  <c r="AB121" i="2" s="1"/>
  <c r="X125" i="2"/>
  <c r="AA129" i="2"/>
  <c r="AB129" i="2" s="1"/>
  <c r="X133" i="2"/>
  <c r="AA137" i="2"/>
  <c r="AB137" i="2" s="1"/>
  <c r="H86" i="2"/>
  <c r="I86" i="2" s="1"/>
  <c r="J86" i="2" s="1"/>
  <c r="AA94" i="2"/>
  <c r="AB94" i="2" s="1"/>
  <c r="AA95" i="2"/>
  <c r="AB95" i="2" s="1"/>
  <c r="AA98" i="2"/>
  <c r="AB98" i="2" s="1"/>
  <c r="AA99" i="2"/>
  <c r="AB99" i="2" s="1"/>
  <c r="AA100" i="2"/>
  <c r="AB100" i="2" s="1"/>
  <c r="AA102" i="2"/>
  <c r="AB102" i="2" s="1"/>
  <c r="AA103" i="2"/>
  <c r="AB103" i="2" s="1"/>
  <c r="AA104" i="2"/>
  <c r="AB104" i="2" s="1"/>
  <c r="AA106" i="2"/>
  <c r="AB106" i="2" s="1"/>
  <c r="AA107" i="2"/>
  <c r="AB107" i="2" s="1"/>
  <c r="AA108" i="2"/>
  <c r="AB108" i="2" s="1"/>
  <c r="AA110" i="2"/>
  <c r="AB110" i="2" s="1"/>
  <c r="AA111" i="2"/>
  <c r="AB111" i="2" s="1"/>
  <c r="AA112" i="2"/>
  <c r="AB112" i="2" s="1"/>
  <c r="AA114" i="2"/>
  <c r="AB114" i="2" s="1"/>
  <c r="AA115" i="2"/>
  <c r="AB115" i="2" s="1"/>
  <c r="AA116" i="2"/>
  <c r="AB116" i="2" s="1"/>
  <c r="AA118" i="2"/>
  <c r="AB118" i="2" s="1"/>
  <c r="AA119" i="2"/>
  <c r="AB119" i="2" s="1"/>
  <c r="AA120" i="2"/>
  <c r="AB120" i="2" s="1"/>
  <c r="AA122" i="2"/>
  <c r="AB122" i="2" s="1"/>
  <c r="AA123" i="2"/>
  <c r="AB123" i="2" s="1"/>
  <c r="AA124" i="2"/>
  <c r="AB124" i="2" s="1"/>
  <c r="AA126" i="2"/>
  <c r="AB126" i="2" s="1"/>
  <c r="AA127" i="2"/>
  <c r="AB127" i="2" s="1"/>
  <c r="AA128" i="2"/>
  <c r="AB128" i="2" s="1"/>
  <c r="AA130" i="2"/>
  <c r="AB130" i="2" s="1"/>
  <c r="AA131" i="2"/>
  <c r="AB131" i="2" s="1"/>
  <c r="AA132" i="2"/>
  <c r="AB132" i="2" s="1"/>
  <c r="AA134" i="2"/>
  <c r="AB134" i="2" s="1"/>
  <c r="AA135" i="2"/>
  <c r="AB135" i="2" s="1"/>
  <c r="AA136" i="2"/>
  <c r="AB136" i="2" s="1"/>
  <c r="X94" i="2"/>
  <c r="X95" i="2"/>
  <c r="X98" i="2"/>
  <c r="X99" i="2"/>
  <c r="X100" i="2"/>
  <c r="X102" i="2"/>
  <c r="X103" i="2"/>
  <c r="X104" i="2"/>
  <c r="X106" i="2"/>
  <c r="X107" i="2"/>
  <c r="X108" i="2"/>
  <c r="X110" i="2"/>
  <c r="X111" i="2"/>
  <c r="X112" i="2"/>
  <c r="X114" i="2"/>
  <c r="X115" i="2"/>
  <c r="X116" i="2"/>
  <c r="X118" i="2"/>
  <c r="X119" i="2"/>
  <c r="X120" i="2"/>
  <c r="X122" i="2"/>
  <c r="X123" i="2"/>
  <c r="X124" i="2"/>
  <c r="X126" i="2"/>
  <c r="X127" i="2"/>
  <c r="X128" i="2"/>
  <c r="X130" i="2"/>
  <c r="X131" i="2"/>
  <c r="X132" i="2"/>
  <c r="X134" i="2"/>
  <c r="X135" i="2"/>
  <c r="X136" i="2"/>
  <c r="U94" i="2"/>
  <c r="V94" i="2" s="1"/>
  <c r="U95" i="2"/>
  <c r="V95" i="2" s="1"/>
  <c r="U96" i="2"/>
  <c r="V96" i="2" s="1"/>
  <c r="U99" i="2"/>
  <c r="V99" i="2" s="1"/>
  <c r="U100" i="2"/>
  <c r="V100" i="2" s="1"/>
  <c r="U101" i="2"/>
  <c r="V101" i="2" s="1"/>
  <c r="U104" i="2"/>
  <c r="V104" i="2" s="1"/>
  <c r="U105" i="2"/>
  <c r="V105" i="2" s="1"/>
  <c r="U106" i="2"/>
  <c r="V106" i="2" s="1"/>
  <c r="U107" i="2"/>
  <c r="V107" i="2" s="1"/>
  <c r="U108" i="2"/>
  <c r="V108" i="2" s="1"/>
  <c r="U109" i="2"/>
  <c r="V109" i="2" s="1"/>
  <c r="U110" i="2"/>
  <c r="V110" i="2" s="1"/>
  <c r="U111" i="2"/>
  <c r="V111" i="2" s="1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V137" i="2" s="1"/>
  <c r="O94" i="2"/>
  <c r="P94" i="2" s="1"/>
  <c r="O96" i="2"/>
  <c r="P96" i="2" s="1"/>
  <c r="O97" i="2"/>
  <c r="P97" i="2" s="1"/>
  <c r="O98" i="2"/>
  <c r="P98" i="2" s="1"/>
  <c r="O99" i="2"/>
  <c r="P99" i="2" s="1"/>
  <c r="O102" i="2"/>
  <c r="P102" i="2" s="1"/>
  <c r="O103" i="2"/>
  <c r="P103" i="2" s="1"/>
  <c r="O104" i="2"/>
  <c r="P104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L94" i="2"/>
  <c r="L96" i="2"/>
  <c r="L97" i="2"/>
  <c r="L98" i="2"/>
  <c r="L99" i="2"/>
  <c r="L102" i="2"/>
  <c r="L103" i="2"/>
  <c r="L104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6" i="7"/>
  <c r="N37" i="2"/>
  <c r="O37" i="2" s="1"/>
  <c r="P37" i="2" s="1"/>
  <c r="H75" i="2"/>
  <c r="F75" i="2" s="1"/>
  <c r="H74" i="2"/>
  <c r="F74" i="2" s="1"/>
  <c r="J3" i="1"/>
  <c r="L4" i="2"/>
  <c r="L5" i="2"/>
  <c r="K4" i="1" s="1"/>
  <c r="L8" i="2"/>
  <c r="L9" i="2"/>
  <c r="L10" i="2"/>
  <c r="L11" i="2"/>
  <c r="L12" i="2"/>
  <c r="L13" i="2"/>
  <c r="L14" i="2"/>
  <c r="L15" i="2"/>
  <c r="L16" i="2"/>
  <c r="L17" i="2"/>
  <c r="L18" i="2"/>
  <c r="L20" i="2"/>
  <c r="L21" i="2"/>
  <c r="L22" i="2"/>
  <c r="L23" i="2"/>
  <c r="L24" i="2"/>
  <c r="L25" i="2"/>
  <c r="L27" i="2"/>
  <c r="L28" i="2"/>
  <c r="L29" i="2"/>
  <c r="L30" i="2"/>
  <c r="L34" i="2"/>
  <c r="L35" i="2"/>
  <c r="L38" i="2"/>
  <c r="L39" i="2"/>
  <c r="L40" i="2"/>
  <c r="L41" i="2"/>
  <c r="L42" i="2"/>
  <c r="L44" i="2"/>
  <c r="L45" i="2"/>
  <c r="L46" i="2"/>
  <c r="L47" i="2"/>
  <c r="L48" i="2"/>
  <c r="L49" i="2"/>
  <c r="L50" i="2"/>
  <c r="L52" i="2"/>
  <c r="L54" i="2"/>
  <c r="L60" i="2"/>
  <c r="L61" i="2"/>
  <c r="L62" i="2"/>
  <c r="L65" i="2"/>
  <c r="L66" i="2"/>
  <c r="L67" i="2"/>
  <c r="L68" i="2"/>
  <c r="L69" i="2"/>
  <c r="L70" i="2"/>
  <c r="L71" i="2"/>
  <c r="L73" i="2"/>
  <c r="L74" i="2"/>
  <c r="L75" i="2"/>
  <c r="L76" i="2"/>
  <c r="L78" i="2"/>
  <c r="L79" i="2"/>
  <c r="L80" i="2"/>
  <c r="L81" i="2"/>
  <c r="L85" i="2"/>
  <c r="L86" i="2"/>
  <c r="L87" i="2"/>
  <c r="L138" i="2"/>
  <c r="L3" i="2"/>
  <c r="K11" i="1"/>
  <c r="K8" i="1"/>
  <c r="K5" i="1"/>
  <c r="L4" i="1"/>
  <c r="M139" i="2"/>
  <c r="AA138" i="2"/>
  <c r="AB138" i="2" s="1"/>
  <c r="X138" i="2"/>
  <c r="U138" i="2"/>
  <c r="V138" i="2" s="1"/>
  <c r="O138" i="2"/>
  <c r="P138" i="2" s="1"/>
  <c r="I138" i="2"/>
  <c r="J138" i="2" s="1"/>
  <c r="F138" i="2"/>
  <c r="U92" i="2"/>
  <c r="V92" i="2" s="1"/>
  <c r="O92" i="2"/>
  <c r="P92" i="2" s="1"/>
  <c r="I92" i="2"/>
  <c r="J92" i="2" s="1"/>
  <c r="F92" i="2"/>
  <c r="O91" i="2"/>
  <c r="P91" i="2" s="1"/>
  <c r="I91" i="2"/>
  <c r="J91" i="2" s="1"/>
  <c r="F91" i="2"/>
  <c r="AA90" i="2"/>
  <c r="AB90" i="2" s="1"/>
  <c r="X90" i="2"/>
  <c r="U90" i="2"/>
  <c r="V90" i="2" s="1"/>
  <c r="AA89" i="2"/>
  <c r="AB89" i="2" s="1"/>
  <c r="U89" i="2"/>
  <c r="V89" i="2" s="1"/>
  <c r="I89" i="2"/>
  <c r="J89" i="2" s="1"/>
  <c r="F89" i="2"/>
  <c r="AA88" i="2"/>
  <c r="AB88" i="2" s="1"/>
  <c r="X88" i="2"/>
  <c r="U88" i="2"/>
  <c r="V88" i="2" s="1"/>
  <c r="I88" i="2"/>
  <c r="J88" i="2" s="1"/>
  <c r="F88" i="2"/>
  <c r="O87" i="2"/>
  <c r="P87" i="2" s="1"/>
  <c r="I87" i="2"/>
  <c r="J87" i="2" s="1"/>
  <c r="F87" i="2"/>
  <c r="AA86" i="2"/>
  <c r="AB86" i="2" s="1"/>
  <c r="X86" i="2"/>
  <c r="U86" i="2"/>
  <c r="V86" i="2" s="1"/>
  <c r="O86" i="2"/>
  <c r="P86" i="2" s="1"/>
  <c r="AA85" i="2"/>
  <c r="AB85" i="2" s="1"/>
  <c r="T85" i="2"/>
  <c r="R85" i="2" s="1"/>
  <c r="O85" i="2"/>
  <c r="P85" i="2" s="1"/>
  <c r="I85" i="2"/>
  <c r="J85" i="2" s="1"/>
  <c r="F85" i="2"/>
  <c r="AA84" i="2"/>
  <c r="AB84" i="2" s="1"/>
  <c r="X84" i="2"/>
  <c r="U84" i="2"/>
  <c r="V84" i="2" s="1"/>
  <c r="N84" i="2"/>
  <c r="L84" i="2" s="1"/>
  <c r="I84" i="2"/>
  <c r="J84" i="2" s="1"/>
  <c r="F84" i="2"/>
  <c r="AA83" i="2"/>
  <c r="AB83" i="2" s="1"/>
  <c r="X83" i="2"/>
  <c r="U83" i="2"/>
  <c r="V83" i="2" s="1"/>
  <c r="N83" i="2"/>
  <c r="L83" i="2" s="1"/>
  <c r="I83" i="2"/>
  <c r="J83" i="2" s="1"/>
  <c r="F83" i="2"/>
  <c r="AA82" i="2"/>
  <c r="AB82" i="2" s="1"/>
  <c r="X82" i="2"/>
  <c r="U82" i="2"/>
  <c r="V82" i="2" s="1"/>
  <c r="N82" i="2"/>
  <c r="L82" i="2" s="1"/>
  <c r="I82" i="2"/>
  <c r="J82" i="2" s="1"/>
  <c r="F82" i="2"/>
  <c r="Z81" i="2"/>
  <c r="AA81" i="2" s="1"/>
  <c r="AB81" i="2" s="1"/>
  <c r="U81" i="2"/>
  <c r="V81" i="2" s="1"/>
  <c r="O81" i="2"/>
  <c r="P81" i="2" s="1"/>
  <c r="I81" i="2"/>
  <c r="J81" i="2" s="1"/>
  <c r="F81" i="2"/>
  <c r="Z80" i="2"/>
  <c r="U80" i="2"/>
  <c r="V80" i="2" s="1"/>
  <c r="O80" i="2"/>
  <c r="P80" i="2" s="1"/>
  <c r="I80" i="2"/>
  <c r="J80" i="2" s="1"/>
  <c r="F80" i="2"/>
  <c r="AA79" i="2"/>
  <c r="AB79" i="2" s="1"/>
  <c r="X79" i="2"/>
  <c r="U79" i="2"/>
  <c r="V79" i="2" s="1"/>
  <c r="O79" i="2"/>
  <c r="P79" i="2" s="1"/>
  <c r="H79" i="2"/>
  <c r="F79" i="2" s="1"/>
  <c r="AA78" i="2"/>
  <c r="AB78" i="2" s="1"/>
  <c r="X78" i="2"/>
  <c r="T78" i="2"/>
  <c r="R78" i="2" s="1"/>
  <c r="O78" i="2"/>
  <c r="P78" i="2" s="1"/>
  <c r="I78" i="2"/>
  <c r="J78" i="2" s="1"/>
  <c r="F78" i="2"/>
  <c r="AA77" i="2"/>
  <c r="AB77" i="2" s="1"/>
  <c r="X77" i="2"/>
  <c r="U77" i="2"/>
  <c r="V77" i="2" s="1"/>
  <c r="N77" i="2"/>
  <c r="L77" i="2" s="1"/>
  <c r="I77" i="2"/>
  <c r="J77" i="2" s="1"/>
  <c r="F77" i="2"/>
  <c r="AA76" i="2"/>
  <c r="AB76" i="2" s="1"/>
  <c r="X76" i="2"/>
  <c r="U76" i="2"/>
  <c r="V76" i="2" s="1"/>
  <c r="O76" i="2"/>
  <c r="P76" i="2" s="1"/>
  <c r="H76" i="2"/>
  <c r="F76" i="2" s="1"/>
  <c r="AA75" i="2"/>
  <c r="AB75" i="2" s="1"/>
  <c r="X75" i="2"/>
  <c r="U75" i="2"/>
  <c r="V75" i="2" s="1"/>
  <c r="O75" i="2"/>
  <c r="P75" i="2" s="1"/>
  <c r="AA74" i="2"/>
  <c r="AB74" i="2" s="1"/>
  <c r="X74" i="2"/>
  <c r="U74" i="2"/>
  <c r="V74" i="2" s="1"/>
  <c r="O74" i="2"/>
  <c r="P74" i="2" s="1"/>
  <c r="I74" i="2"/>
  <c r="J74" i="2" s="1"/>
  <c r="AA73" i="2"/>
  <c r="AB73" i="2" s="1"/>
  <c r="X73" i="2"/>
  <c r="T73" i="2"/>
  <c r="R73" i="2" s="1"/>
  <c r="O73" i="2"/>
  <c r="P73" i="2" s="1"/>
  <c r="I73" i="2"/>
  <c r="J73" i="2" s="1"/>
  <c r="F73" i="2"/>
  <c r="AA72" i="2"/>
  <c r="AB72" i="2" s="1"/>
  <c r="X72" i="2"/>
  <c r="U72" i="2"/>
  <c r="V72" i="2" s="1"/>
  <c r="N72" i="2"/>
  <c r="L72" i="2" s="1"/>
  <c r="I72" i="2"/>
  <c r="J72" i="2" s="1"/>
  <c r="F72" i="2"/>
  <c r="Z71" i="2"/>
  <c r="X71" i="2" s="1"/>
  <c r="U71" i="2"/>
  <c r="V71" i="2" s="1"/>
  <c r="O71" i="2"/>
  <c r="P71" i="2" s="1"/>
  <c r="I71" i="2"/>
  <c r="J71" i="2" s="1"/>
  <c r="F71" i="2"/>
  <c r="AA70" i="2"/>
  <c r="AB70" i="2" s="1"/>
  <c r="X70" i="2"/>
  <c r="U70" i="2"/>
  <c r="V70" i="2" s="1"/>
  <c r="O70" i="2"/>
  <c r="P70" i="2" s="1"/>
  <c r="H70" i="2"/>
  <c r="F70" i="2" s="1"/>
  <c r="Z69" i="2"/>
  <c r="AA69" i="2" s="1"/>
  <c r="AB69" i="2" s="1"/>
  <c r="U69" i="2"/>
  <c r="V69" i="2" s="1"/>
  <c r="O69" i="2"/>
  <c r="P69" i="2" s="1"/>
  <c r="I69" i="2"/>
  <c r="J69" i="2" s="1"/>
  <c r="F69" i="2"/>
  <c r="Z68" i="2"/>
  <c r="U68" i="2"/>
  <c r="V68" i="2" s="1"/>
  <c r="O68" i="2"/>
  <c r="P68" i="2" s="1"/>
  <c r="I68" i="2"/>
  <c r="J68" i="2" s="1"/>
  <c r="F68" i="2"/>
  <c r="AA67" i="2"/>
  <c r="AB67" i="2" s="1"/>
  <c r="X67" i="2"/>
  <c r="U67" i="2"/>
  <c r="V67" i="2" s="1"/>
  <c r="O67" i="2"/>
  <c r="P67" i="2" s="1"/>
  <c r="H67" i="2"/>
  <c r="F67" i="2" s="1"/>
  <c r="AA66" i="2"/>
  <c r="AB66" i="2" s="1"/>
  <c r="X66" i="2"/>
  <c r="U66" i="2"/>
  <c r="V66" i="2" s="1"/>
  <c r="O66" i="2"/>
  <c r="P66" i="2" s="1"/>
  <c r="H66" i="2"/>
  <c r="I66" i="2" s="1"/>
  <c r="J66" i="2" s="1"/>
  <c r="AA65" i="2"/>
  <c r="AB65" i="2" s="1"/>
  <c r="X65" i="2"/>
  <c r="U65" i="2"/>
  <c r="V65" i="2" s="1"/>
  <c r="O65" i="2"/>
  <c r="P65" i="2" s="1"/>
  <c r="H65" i="2"/>
  <c r="AA64" i="2"/>
  <c r="AB64" i="2" s="1"/>
  <c r="X64" i="2"/>
  <c r="U64" i="2"/>
  <c r="V64" i="2" s="1"/>
  <c r="N64" i="2"/>
  <c r="L64" i="2" s="1"/>
  <c r="I64" i="2"/>
  <c r="J64" i="2" s="1"/>
  <c r="F64" i="2"/>
  <c r="AA63" i="2"/>
  <c r="AB63" i="2" s="1"/>
  <c r="X63" i="2"/>
  <c r="U63" i="2"/>
  <c r="V63" i="2" s="1"/>
  <c r="N63" i="2"/>
  <c r="L63" i="2" s="1"/>
  <c r="I63" i="2"/>
  <c r="J63" i="2" s="1"/>
  <c r="F63" i="2"/>
  <c r="AA62" i="2"/>
  <c r="AB62" i="2" s="1"/>
  <c r="X62" i="2"/>
  <c r="T62" i="2"/>
  <c r="R62" i="2" s="1"/>
  <c r="O62" i="2"/>
  <c r="P62" i="2" s="1"/>
  <c r="I62" i="2"/>
  <c r="J62" i="2" s="1"/>
  <c r="F62" i="2"/>
  <c r="AA61" i="2"/>
  <c r="AB61" i="2" s="1"/>
  <c r="X61" i="2"/>
  <c r="T61" i="2"/>
  <c r="R61" i="2" s="1"/>
  <c r="O61" i="2"/>
  <c r="P61" i="2" s="1"/>
  <c r="I61" i="2"/>
  <c r="J61" i="2" s="1"/>
  <c r="F61" i="2"/>
  <c r="AA60" i="2"/>
  <c r="AB60" i="2" s="1"/>
  <c r="X60" i="2"/>
  <c r="T60" i="2"/>
  <c r="U60" i="2" s="1"/>
  <c r="V60" i="2" s="1"/>
  <c r="O60" i="2"/>
  <c r="P60" i="2" s="1"/>
  <c r="I60" i="2"/>
  <c r="J60" i="2" s="1"/>
  <c r="F60" i="2"/>
  <c r="AA59" i="2"/>
  <c r="AB59" i="2" s="1"/>
  <c r="X59" i="2"/>
  <c r="U59" i="2"/>
  <c r="V59" i="2" s="1"/>
  <c r="N59" i="2"/>
  <c r="L59" i="2" s="1"/>
  <c r="I59" i="2"/>
  <c r="J59" i="2" s="1"/>
  <c r="F59" i="2"/>
  <c r="AA58" i="2"/>
  <c r="AB58" i="2" s="1"/>
  <c r="X58" i="2"/>
  <c r="U58" i="2"/>
  <c r="V58" i="2" s="1"/>
  <c r="N58" i="2"/>
  <c r="L58" i="2" s="1"/>
  <c r="I58" i="2"/>
  <c r="J58" i="2" s="1"/>
  <c r="F58" i="2"/>
  <c r="AA57" i="2"/>
  <c r="AB57" i="2" s="1"/>
  <c r="X57" i="2"/>
  <c r="U57" i="2"/>
  <c r="V57" i="2" s="1"/>
  <c r="N57" i="2"/>
  <c r="O57" i="2" s="1"/>
  <c r="P57" i="2" s="1"/>
  <c r="I57" i="2"/>
  <c r="J57" i="2" s="1"/>
  <c r="F57" i="2"/>
  <c r="AA56" i="2"/>
  <c r="AB56" i="2" s="1"/>
  <c r="X56" i="2"/>
  <c r="U56" i="2"/>
  <c r="V56" i="2" s="1"/>
  <c r="N56" i="2"/>
  <c r="L56" i="2" s="1"/>
  <c r="I56" i="2"/>
  <c r="J56" i="2" s="1"/>
  <c r="F56" i="2"/>
  <c r="AA55" i="2"/>
  <c r="AB55" i="2" s="1"/>
  <c r="X55" i="2"/>
  <c r="U55" i="2"/>
  <c r="V55" i="2" s="1"/>
  <c r="N55" i="2"/>
  <c r="O55" i="2" s="1"/>
  <c r="P55" i="2" s="1"/>
  <c r="H55" i="2"/>
  <c r="F55" i="2" s="1"/>
  <c r="AA54" i="2"/>
  <c r="AB54" i="2" s="1"/>
  <c r="X54" i="2"/>
  <c r="T54" i="2"/>
  <c r="R54" i="2" s="1"/>
  <c r="O54" i="2"/>
  <c r="P54" i="2" s="1"/>
  <c r="I54" i="2"/>
  <c r="J54" i="2" s="1"/>
  <c r="F54" i="2"/>
  <c r="AA53" i="2"/>
  <c r="AB53" i="2" s="1"/>
  <c r="X53" i="2"/>
  <c r="U53" i="2"/>
  <c r="V53" i="2" s="1"/>
  <c r="N53" i="2"/>
  <c r="L53" i="2" s="1"/>
  <c r="I53" i="2"/>
  <c r="J53" i="2" s="1"/>
  <c r="F53" i="2"/>
  <c r="AA52" i="2"/>
  <c r="AB52" i="2" s="1"/>
  <c r="X52" i="2"/>
  <c r="U52" i="2"/>
  <c r="V52" i="2" s="1"/>
  <c r="O52" i="2"/>
  <c r="P52" i="2" s="1"/>
  <c r="H52" i="2"/>
  <c r="F52" i="2" s="1"/>
  <c r="AA51" i="2"/>
  <c r="AB51" i="2" s="1"/>
  <c r="X51" i="2"/>
  <c r="U51" i="2"/>
  <c r="V51" i="2" s="1"/>
  <c r="N51" i="2"/>
  <c r="L51" i="2" s="1"/>
  <c r="H51" i="2"/>
  <c r="F6" i="1" s="1"/>
  <c r="D6" i="1" s="1"/>
  <c r="AA50" i="2"/>
  <c r="AB50" i="2" s="1"/>
  <c r="X50" i="2"/>
  <c r="T50" i="2"/>
  <c r="U50" i="2" s="1"/>
  <c r="V50" i="2" s="1"/>
  <c r="O50" i="2"/>
  <c r="P50" i="2" s="1"/>
  <c r="I50" i="2"/>
  <c r="J50" i="2" s="1"/>
  <c r="F50" i="2"/>
  <c r="AA49" i="2"/>
  <c r="AB49" i="2" s="1"/>
  <c r="X49" i="2"/>
  <c r="T49" i="2"/>
  <c r="R49" i="2" s="1"/>
  <c r="O49" i="2"/>
  <c r="P49" i="2" s="1"/>
  <c r="I49" i="2"/>
  <c r="J49" i="2" s="1"/>
  <c r="F49" i="2"/>
  <c r="AA48" i="2"/>
  <c r="AB48" i="2" s="1"/>
  <c r="X48" i="2"/>
  <c r="U48" i="2"/>
  <c r="V48" i="2" s="1"/>
  <c r="O48" i="2"/>
  <c r="P48" i="2" s="1"/>
  <c r="I48" i="2"/>
  <c r="J48" i="2" s="1"/>
  <c r="F48" i="2"/>
  <c r="AA47" i="2"/>
  <c r="AB47" i="2" s="1"/>
  <c r="X47" i="2"/>
  <c r="U47" i="2"/>
  <c r="V47" i="2" s="1"/>
  <c r="O47" i="2"/>
  <c r="P47" i="2" s="1"/>
  <c r="I47" i="2"/>
  <c r="J47" i="2" s="1"/>
  <c r="F47" i="2"/>
  <c r="AA46" i="2"/>
  <c r="AB46" i="2" s="1"/>
  <c r="X46" i="2"/>
  <c r="U46" i="2"/>
  <c r="V46" i="2" s="1"/>
  <c r="O46" i="2"/>
  <c r="P46" i="2" s="1"/>
  <c r="I46" i="2"/>
  <c r="J46" i="2" s="1"/>
  <c r="F46" i="2"/>
  <c r="AA45" i="2"/>
  <c r="AB45" i="2" s="1"/>
  <c r="X45" i="2"/>
  <c r="U45" i="2"/>
  <c r="V45" i="2" s="1"/>
  <c r="O45" i="2"/>
  <c r="P45" i="2" s="1"/>
  <c r="H45" i="2"/>
  <c r="I45" i="2" s="1"/>
  <c r="J45" i="2" s="1"/>
  <c r="AA44" i="2"/>
  <c r="AB44" i="2" s="1"/>
  <c r="X44" i="2"/>
  <c r="U44" i="2"/>
  <c r="V44" i="2" s="1"/>
  <c r="O44" i="2"/>
  <c r="P44" i="2" s="1"/>
  <c r="H44" i="2"/>
  <c r="I44" i="2" s="1"/>
  <c r="J44" i="2" s="1"/>
  <c r="AA43" i="2"/>
  <c r="AB43" i="2" s="1"/>
  <c r="X43" i="2"/>
  <c r="T43" i="2"/>
  <c r="U43" i="2" s="1"/>
  <c r="V43" i="2" s="1"/>
  <c r="N43" i="2"/>
  <c r="L43" i="2" s="1"/>
  <c r="I43" i="2"/>
  <c r="J43" i="2" s="1"/>
  <c r="F43" i="2"/>
  <c r="AA42" i="2"/>
  <c r="AB42" i="2" s="1"/>
  <c r="X42" i="2"/>
  <c r="U42" i="2"/>
  <c r="V42" i="2" s="1"/>
  <c r="O42" i="2"/>
  <c r="P42" i="2" s="1"/>
  <c r="I42" i="2"/>
  <c r="J42" i="2" s="1"/>
  <c r="F42" i="2"/>
  <c r="AA41" i="2"/>
  <c r="AB41" i="2" s="1"/>
  <c r="X41" i="2"/>
  <c r="U41" i="2"/>
  <c r="V41" i="2" s="1"/>
  <c r="O41" i="2"/>
  <c r="P41" i="2" s="1"/>
  <c r="I41" i="2"/>
  <c r="J41" i="2" s="1"/>
  <c r="F41" i="2"/>
  <c r="AA40" i="2"/>
  <c r="AB40" i="2" s="1"/>
  <c r="X40" i="2"/>
  <c r="U40" i="2"/>
  <c r="V40" i="2" s="1"/>
  <c r="O40" i="2"/>
  <c r="P40" i="2" s="1"/>
  <c r="H40" i="2"/>
  <c r="I40" i="2" s="1"/>
  <c r="J40" i="2" s="1"/>
  <c r="AA39" i="2"/>
  <c r="AB39" i="2" s="1"/>
  <c r="X39" i="2"/>
  <c r="U39" i="2"/>
  <c r="V39" i="2" s="1"/>
  <c r="O39" i="2"/>
  <c r="P39" i="2" s="1"/>
  <c r="H39" i="2"/>
  <c r="F3" i="1" s="1"/>
  <c r="AA38" i="2"/>
  <c r="AB38" i="2" s="1"/>
  <c r="X38" i="2"/>
  <c r="T38" i="2"/>
  <c r="R38" i="2" s="1"/>
  <c r="O38" i="2"/>
  <c r="P38" i="2" s="1"/>
  <c r="I38" i="2"/>
  <c r="J38" i="2" s="1"/>
  <c r="F38" i="2"/>
  <c r="AA37" i="2"/>
  <c r="AB37" i="2" s="1"/>
  <c r="X37" i="2"/>
  <c r="T37" i="2"/>
  <c r="U37" i="2" s="1"/>
  <c r="V37" i="2" s="1"/>
  <c r="I37" i="2"/>
  <c r="J37" i="2" s="1"/>
  <c r="F37" i="2"/>
  <c r="AA36" i="2"/>
  <c r="AB36" i="2" s="1"/>
  <c r="X36" i="2"/>
  <c r="U36" i="2"/>
  <c r="V36" i="2" s="1"/>
  <c r="N36" i="2"/>
  <c r="L36" i="2" s="1"/>
  <c r="I36" i="2"/>
  <c r="J36" i="2" s="1"/>
  <c r="F36" i="2"/>
  <c r="AA35" i="2"/>
  <c r="AB35" i="2" s="1"/>
  <c r="X35" i="2"/>
  <c r="U35" i="2"/>
  <c r="V35" i="2" s="1"/>
  <c r="O35" i="2"/>
  <c r="P35" i="2" s="1"/>
  <c r="I35" i="2"/>
  <c r="J35" i="2" s="1"/>
  <c r="F35" i="2"/>
  <c r="AA34" i="2"/>
  <c r="AB34" i="2" s="1"/>
  <c r="X34" i="2"/>
  <c r="T34" i="2"/>
  <c r="R34" i="2" s="1"/>
  <c r="O34" i="2"/>
  <c r="P34" i="2" s="1"/>
  <c r="I34" i="2"/>
  <c r="J34" i="2" s="1"/>
  <c r="F34" i="2"/>
  <c r="AA33" i="2"/>
  <c r="AB33" i="2" s="1"/>
  <c r="X33" i="2"/>
  <c r="U33" i="2"/>
  <c r="V33" i="2" s="1"/>
  <c r="N33" i="2"/>
  <c r="O33" i="2" s="1"/>
  <c r="P33" i="2" s="1"/>
  <c r="I33" i="2"/>
  <c r="J33" i="2" s="1"/>
  <c r="F33" i="2"/>
  <c r="AA32" i="2"/>
  <c r="AB32" i="2" s="1"/>
  <c r="X32" i="2"/>
  <c r="U32" i="2"/>
  <c r="V32" i="2" s="1"/>
  <c r="N32" i="2"/>
  <c r="O32" i="2" s="1"/>
  <c r="P32" i="2" s="1"/>
  <c r="I32" i="2"/>
  <c r="J32" i="2" s="1"/>
  <c r="F32" i="2"/>
  <c r="AA31" i="2"/>
  <c r="AB31" i="2" s="1"/>
  <c r="X31" i="2"/>
  <c r="U31" i="2"/>
  <c r="V31" i="2" s="1"/>
  <c r="N31" i="2"/>
  <c r="L31" i="2" s="1"/>
  <c r="I31" i="2"/>
  <c r="J31" i="2" s="1"/>
  <c r="F31" i="2"/>
  <c r="AA30" i="2"/>
  <c r="AB30" i="2" s="1"/>
  <c r="X30" i="2"/>
  <c r="U30" i="2"/>
  <c r="V30" i="2" s="1"/>
  <c r="O30" i="2"/>
  <c r="P30" i="2" s="1"/>
  <c r="I30" i="2"/>
  <c r="J30" i="2" s="1"/>
  <c r="F30" i="2"/>
  <c r="AA29" i="2"/>
  <c r="AB29" i="2" s="1"/>
  <c r="X29" i="2"/>
  <c r="U29" i="2"/>
  <c r="V29" i="2" s="1"/>
  <c r="O29" i="2"/>
  <c r="P29" i="2" s="1"/>
  <c r="H29" i="2"/>
  <c r="AA28" i="2"/>
  <c r="AB28" i="2" s="1"/>
  <c r="X28" i="2"/>
  <c r="U28" i="2"/>
  <c r="V28" i="2" s="1"/>
  <c r="O28" i="2"/>
  <c r="P28" i="2" s="1"/>
  <c r="H28" i="2"/>
  <c r="F28" i="2" s="1"/>
  <c r="AA27" i="2"/>
  <c r="AB27" i="2" s="1"/>
  <c r="X27" i="2"/>
  <c r="T27" i="2"/>
  <c r="R27" i="2" s="1"/>
  <c r="O27" i="2"/>
  <c r="P27" i="2" s="1"/>
  <c r="I27" i="2"/>
  <c r="J27" i="2" s="1"/>
  <c r="F27" i="2"/>
  <c r="AA26" i="2"/>
  <c r="AB26" i="2" s="1"/>
  <c r="X26" i="2"/>
  <c r="U26" i="2"/>
  <c r="V26" i="2" s="1"/>
  <c r="L26" i="2"/>
  <c r="I26" i="2"/>
  <c r="J26" i="2" s="1"/>
  <c r="F26" i="2"/>
  <c r="AA25" i="2"/>
  <c r="AB25" i="2" s="1"/>
  <c r="X25" i="2"/>
  <c r="U25" i="2"/>
  <c r="V25" i="2" s="1"/>
  <c r="O25" i="2"/>
  <c r="P25" i="2" s="1"/>
  <c r="H25" i="2"/>
  <c r="AA24" i="2"/>
  <c r="AB24" i="2" s="1"/>
  <c r="X24" i="2"/>
  <c r="U24" i="2"/>
  <c r="V24" i="2" s="1"/>
  <c r="O24" i="2"/>
  <c r="P24" i="2" s="1"/>
  <c r="I24" i="2"/>
  <c r="J24" i="2" s="1"/>
  <c r="F24" i="2"/>
  <c r="AA23" i="2"/>
  <c r="AB23" i="2" s="1"/>
  <c r="X23" i="2"/>
  <c r="U23" i="2"/>
  <c r="V23" i="2" s="1"/>
  <c r="O23" i="2"/>
  <c r="P23" i="2" s="1"/>
  <c r="I23" i="2"/>
  <c r="J23" i="2" s="1"/>
  <c r="F23" i="2"/>
  <c r="AA22" i="2"/>
  <c r="AB22" i="2" s="1"/>
  <c r="X22" i="2"/>
  <c r="U22" i="2"/>
  <c r="V22" i="2" s="1"/>
  <c r="O22" i="2"/>
  <c r="P22" i="2" s="1"/>
  <c r="I22" i="2"/>
  <c r="J22" i="2" s="1"/>
  <c r="F22" i="2"/>
  <c r="AA21" i="2"/>
  <c r="AB21" i="2" s="1"/>
  <c r="X21" i="2"/>
  <c r="T21" i="2"/>
  <c r="U21" i="2" s="1"/>
  <c r="V21" i="2" s="1"/>
  <c r="H21" i="2"/>
  <c r="AA20" i="2"/>
  <c r="AB20" i="2" s="1"/>
  <c r="X20" i="2"/>
  <c r="U20" i="2"/>
  <c r="V20" i="2" s="1"/>
  <c r="O20" i="2"/>
  <c r="P20" i="2" s="1"/>
  <c r="I20" i="2"/>
  <c r="J20" i="2" s="1"/>
  <c r="F20" i="2"/>
  <c r="AA19" i="2"/>
  <c r="AB19" i="2" s="1"/>
  <c r="X19" i="2"/>
  <c r="U19" i="2"/>
  <c r="V19" i="2" s="1"/>
  <c r="N19" i="2"/>
  <c r="O19" i="2" s="1"/>
  <c r="P19" i="2" s="1"/>
  <c r="I19" i="2"/>
  <c r="J19" i="2" s="1"/>
  <c r="F19" i="2"/>
  <c r="AA18" i="2"/>
  <c r="AB18" i="2" s="1"/>
  <c r="X18" i="2"/>
  <c r="U18" i="2"/>
  <c r="V18" i="2" s="1"/>
  <c r="O18" i="2"/>
  <c r="P18" i="2" s="1"/>
  <c r="I18" i="2"/>
  <c r="J18" i="2" s="1"/>
  <c r="F18" i="2"/>
  <c r="AA17" i="2"/>
  <c r="AB17" i="2" s="1"/>
  <c r="X17" i="2"/>
  <c r="T17" i="2"/>
  <c r="R17" i="2" s="1"/>
  <c r="O17" i="2"/>
  <c r="P17" i="2" s="1"/>
  <c r="I17" i="2"/>
  <c r="J17" i="2" s="1"/>
  <c r="F17" i="2"/>
  <c r="AA16" i="2"/>
  <c r="AB16" i="2" s="1"/>
  <c r="X16" i="2"/>
  <c r="U16" i="2"/>
  <c r="V16" i="2" s="1"/>
  <c r="O16" i="2"/>
  <c r="P16" i="2" s="1"/>
  <c r="I16" i="2"/>
  <c r="J16" i="2" s="1"/>
  <c r="F16" i="2"/>
  <c r="AA15" i="2"/>
  <c r="AB15" i="2" s="1"/>
  <c r="X15" i="2"/>
  <c r="U15" i="2"/>
  <c r="V15" i="2" s="1"/>
  <c r="O15" i="2"/>
  <c r="P15" i="2" s="1"/>
  <c r="I15" i="2"/>
  <c r="J15" i="2" s="1"/>
  <c r="F15" i="2"/>
  <c r="AA14" i="2"/>
  <c r="AB14" i="2" s="1"/>
  <c r="X14" i="2"/>
  <c r="U14" i="2"/>
  <c r="V14" i="2" s="1"/>
  <c r="O14" i="2"/>
  <c r="P14" i="2" s="1"/>
  <c r="I14" i="2"/>
  <c r="J14" i="2" s="1"/>
  <c r="F14" i="2"/>
  <c r="AA13" i="2"/>
  <c r="AB13" i="2" s="1"/>
  <c r="X13" i="2"/>
  <c r="U13" i="2"/>
  <c r="V13" i="2" s="1"/>
  <c r="O13" i="2"/>
  <c r="P13" i="2" s="1"/>
  <c r="I13" i="2"/>
  <c r="J13" i="2" s="1"/>
  <c r="F13" i="2"/>
  <c r="AA12" i="2"/>
  <c r="AB12" i="2" s="1"/>
  <c r="X12" i="2"/>
  <c r="U12" i="2"/>
  <c r="V12" i="2" s="1"/>
  <c r="O12" i="2"/>
  <c r="P12" i="2" s="1"/>
  <c r="I12" i="2"/>
  <c r="J12" i="2" s="1"/>
  <c r="F12" i="2"/>
  <c r="AA11" i="2"/>
  <c r="AB11" i="2" s="1"/>
  <c r="X11" i="2"/>
  <c r="T11" i="2"/>
  <c r="U11" i="2" s="1"/>
  <c r="V11" i="2" s="1"/>
  <c r="O11" i="2"/>
  <c r="P11" i="2" s="1"/>
  <c r="I11" i="2"/>
  <c r="J11" i="2" s="1"/>
  <c r="F11" i="2"/>
  <c r="AA10" i="2"/>
  <c r="AB10" i="2" s="1"/>
  <c r="X10" i="2"/>
  <c r="U10" i="2"/>
  <c r="V10" i="2" s="1"/>
  <c r="O10" i="2"/>
  <c r="P10" i="2" s="1"/>
  <c r="I10" i="2"/>
  <c r="J10" i="2" s="1"/>
  <c r="F10" i="2"/>
  <c r="AA9" i="2"/>
  <c r="AB9" i="2" s="1"/>
  <c r="X9" i="2"/>
  <c r="U9" i="2"/>
  <c r="V9" i="2" s="1"/>
  <c r="O9" i="2"/>
  <c r="P9" i="2" s="1"/>
  <c r="I9" i="2"/>
  <c r="J9" i="2" s="1"/>
  <c r="F9" i="2"/>
  <c r="AA8" i="2"/>
  <c r="AB8" i="2" s="1"/>
  <c r="X8" i="2"/>
  <c r="T8" i="2"/>
  <c r="U8" i="2" s="1"/>
  <c r="V8" i="2" s="1"/>
  <c r="O8" i="2"/>
  <c r="P8" i="2" s="1"/>
  <c r="I8" i="2"/>
  <c r="J8" i="2" s="1"/>
  <c r="F8" i="2"/>
  <c r="AA7" i="2"/>
  <c r="AB7" i="2" s="1"/>
  <c r="X7" i="2"/>
  <c r="U7" i="2"/>
  <c r="V7" i="2" s="1"/>
  <c r="N7" i="2"/>
  <c r="O7" i="2" s="1"/>
  <c r="P7" i="2" s="1"/>
  <c r="I7" i="2"/>
  <c r="J7" i="2" s="1"/>
  <c r="F7" i="2"/>
  <c r="AA6" i="2"/>
  <c r="AB6" i="2" s="1"/>
  <c r="X6" i="2"/>
  <c r="U6" i="2"/>
  <c r="V6" i="2" s="1"/>
  <c r="N6" i="2"/>
  <c r="I6" i="2"/>
  <c r="J6" i="2" s="1"/>
  <c r="F6" i="2"/>
  <c r="AA5" i="2"/>
  <c r="AB5" i="2" s="1"/>
  <c r="X5" i="2"/>
  <c r="U5" i="2"/>
  <c r="V5" i="2" s="1"/>
  <c r="O5" i="2"/>
  <c r="P5" i="2" s="1"/>
  <c r="I5" i="2"/>
  <c r="J5" i="2" s="1"/>
  <c r="F5" i="2"/>
  <c r="AA4" i="2"/>
  <c r="AB4" i="2" s="1"/>
  <c r="X4" i="2"/>
  <c r="T4" i="2"/>
  <c r="U4" i="2" s="1"/>
  <c r="V4" i="2" s="1"/>
  <c r="O4" i="2"/>
  <c r="P4" i="2" s="1"/>
  <c r="I4" i="2"/>
  <c r="J4" i="2" s="1"/>
  <c r="F4" i="2"/>
  <c r="AA3" i="2"/>
  <c r="AB3" i="2" s="1"/>
  <c r="X3" i="2"/>
  <c r="U3" i="2"/>
  <c r="V3" i="2" s="1"/>
  <c r="O3" i="2"/>
  <c r="P3" i="2" s="1"/>
  <c r="I3" i="2"/>
  <c r="J3" i="2" s="1"/>
  <c r="F3" i="2"/>
  <c r="Y29" i="1"/>
  <c r="Z29" i="1" s="1"/>
  <c r="Y28" i="1"/>
  <c r="Z28" i="1" s="1"/>
  <c r="S28" i="1"/>
  <c r="T28" i="1" s="1"/>
  <c r="G28" i="1"/>
  <c r="H28" i="1" s="1"/>
  <c r="D28" i="1"/>
  <c r="Y27" i="1"/>
  <c r="Z27" i="1" s="1"/>
  <c r="S27" i="1"/>
  <c r="T27" i="1" s="1"/>
  <c r="M27" i="1"/>
  <c r="N27" i="1" s="1"/>
  <c r="J27" i="1"/>
  <c r="G27" i="1"/>
  <c r="H27" i="1" s="1"/>
  <c r="D27" i="1"/>
  <c r="Y26" i="1"/>
  <c r="Z26" i="1" s="1"/>
  <c r="Y25" i="1"/>
  <c r="Z25" i="1" s="1"/>
  <c r="M25" i="1"/>
  <c r="N25" i="1" s="1"/>
  <c r="J25" i="1"/>
  <c r="G25" i="1"/>
  <c r="H25" i="1" s="1"/>
  <c r="D25" i="1"/>
  <c r="Y24" i="1"/>
  <c r="Z24" i="1" s="1"/>
  <c r="M24" i="1"/>
  <c r="N24" i="1" s="1"/>
  <c r="J24" i="1"/>
  <c r="G24" i="1"/>
  <c r="H24" i="1" s="1"/>
  <c r="D24" i="1"/>
  <c r="Y23" i="1"/>
  <c r="Z23" i="1" s="1"/>
  <c r="Y22" i="1"/>
  <c r="Z22" i="1" s="1"/>
  <c r="S22" i="1"/>
  <c r="T22" i="1" s="1"/>
  <c r="M22" i="1"/>
  <c r="N22" i="1" s="1"/>
  <c r="J22" i="1"/>
  <c r="G22" i="1"/>
  <c r="H22" i="1" s="1"/>
  <c r="D22" i="1"/>
  <c r="Y21" i="1"/>
  <c r="Z21" i="1" s="1"/>
  <c r="S21" i="1"/>
  <c r="T21" i="1" s="1"/>
  <c r="M21" i="1"/>
  <c r="N21" i="1" s="1"/>
  <c r="J21" i="1"/>
  <c r="G21" i="1"/>
  <c r="H21" i="1" s="1"/>
  <c r="D21" i="1"/>
  <c r="Y20" i="1"/>
  <c r="Z20" i="1" s="1"/>
  <c r="Y19" i="1"/>
  <c r="Z19" i="1" s="1"/>
  <c r="S19" i="1"/>
  <c r="T19" i="1" s="1"/>
  <c r="G19" i="1"/>
  <c r="H19" i="1" s="1"/>
  <c r="D19" i="1"/>
  <c r="Y18" i="1"/>
  <c r="Z18" i="1" s="1"/>
  <c r="S18" i="1"/>
  <c r="T18" i="1" s="1"/>
  <c r="G18" i="1"/>
  <c r="H18" i="1" s="1"/>
  <c r="D18" i="1"/>
  <c r="Y17" i="1"/>
  <c r="Z17" i="1" s="1"/>
  <c r="S16" i="1"/>
  <c r="T16" i="1" s="1"/>
  <c r="L16" i="1"/>
  <c r="J16" i="1" s="1"/>
  <c r="G16" i="1"/>
  <c r="H16" i="1" s="1"/>
  <c r="D16" i="1"/>
  <c r="Y15" i="1"/>
  <c r="Z15" i="1" s="1"/>
  <c r="S15" i="1"/>
  <c r="T15" i="1" s="1"/>
  <c r="G15" i="1"/>
  <c r="H15" i="1" s="1"/>
  <c r="D15" i="1"/>
  <c r="Y14" i="1"/>
  <c r="Z14" i="1" s="1"/>
  <c r="S13" i="1"/>
  <c r="T13" i="1" s="1"/>
  <c r="G13" i="1"/>
  <c r="H13" i="1" s="1"/>
  <c r="D13" i="1"/>
  <c r="X12" i="1"/>
  <c r="S12" i="1"/>
  <c r="T12" i="1" s="1"/>
  <c r="G12" i="1"/>
  <c r="H12" i="1" s="1"/>
  <c r="D12" i="1"/>
  <c r="Y11" i="1"/>
  <c r="Z11" i="1" s="1"/>
  <c r="Y10" i="1"/>
  <c r="Z10" i="1" s="1"/>
  <c r="Y9" i="1"/>
  <c r="Z9" i="1" s="1"/>
  <c r="S9" i="1"/>
  <c r="T9" i="1" s="1"/>
  <c r="R9" i="1"/>
  <c r="Q9" i="1"/>
  <c r="Y8" i="1"/>
  <c r="Z8" i="1" s="1"/>
  <c r="Y6" i="1"/>
  <c r="Z6" i="1" s="1"/>
  <c r="Y5" i="1"/>
  <c r="Z5" i="1" s="1"/>
  <c r="Y4" i="1"/>
  <c r="Z4" i="1" s="1"/>
  <c r="S4" i="1"/>
  <c r="T4" i="1" s="1"/>
  <c r="Y3" i="1"/>
  <c r="Z3" i="1" s="1"/>
  <c r="S3" i="1"/>
  <c r="T3" i="1" s="1"/>
  <c r="L3" i="1"/>
  <c r="U4" i="8"/>
  <c r="V4" i="8" s="1"/>
  <c r="R4" i="8"/>
  <c r="P4" i="8"/>
  <c r="O4" i="8"/>
  <c r="L4" i="8"/>
  <c r="I4" i="8"/>
  <c r="J4" i="8" s="1"/>
  <c r="F4" i="8"/>
  <c r="U3" i="8"/>
  <c r="V3" i="8" s="1"/>
  <c r="R3" i="8"/>
  <c r="O3" i="8"/>
  <c r="P3" i="8" s="1"/>
  <c r="L3" i="8"/>
  <c r="J3" i="8"/>
  <c r="I3" i="8"/>
  <c r="F3" i="8"/>
  <c r="U2" i="8"/>
  <c r="V2" i="8" s="1"/>
  <c r="R2" i="8"/>
  <c r="O2" i="8"/>
  <c r="P2" i="8" s="1"/>
  <c r="L2" i="8"/>
  <c r="H2" i="8"/>
  <c r="I2" i="8" s="1"/>
  <c r="J2" i="8" s="1"/>
  <c r="F2" i="8"/>
  <c r="U1" i="8"/>
  <c r="V1" i="8" s="1"/>
  <c r="R1" i="8"/>
  <c r="P1" i="8"/>
  <c r="O1" i="8"/>
  <c r="L1" i="8"/>
  <c r="I1" i="8"/>
  <c r="J1" i="8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K6" i="7"/>
  <c r="G6" i="7"/>
  <c r="X16" i="1" l="1"/>
  <c r="R103" i="2"/>
  <c r="R60" i="2"/>
  <c r="R91" i="2"/>
  <c r="R4" i="2"/>
  <c r="L100" i="2"/>
  <c r="R11" i="2"/>
  <c r="R50" i="2"/>
  <c r="R87" i="2"/>
  <c r="R43" i="2"/>
  <c r="R97" i="2"/>
  <c r="R37" i="2"/>
  <c r="R21" i="2"/>
  <c r="E30" i="1"/>
  <c r="L12" i="1"/>
  <c r="F7" i="1"/>
  <c r="D7" i="1" s="1"/>
  <c r="L28" i="1"/>
  <c r="L19" i="1"/>
  <c r="W30" i="1"/>
  <c r="X87" i="2"/>
  <c r="L18" i="1"/>
  <c r="L15" i="1"/>
  <c r="J15" i="1" s="1"/>
  <c r="L13" i="1"/>
  <c r="X13" i="1"/>
  <c r="V13" i="1" s="1"/>
  <c r="Q30" i="1"/>
  <c r="L10" i="1"/>
  <c r="J10" i="1" s="1"/>
  <c r="F10" i="1"/>
  <c r="R10" i="1"/>
  <c r="P10" i="1" s="1"/>
  <c r="F9" i="1"/>
  <c r="L9" i="1"/>
  <c r="J9" i="1" s="1"/>
  <c r="G6" i="1"/>
  <c r="H6" i="1" s="1"/>
  <c r="R7" i="1"/>
  <c r="P7" i="1" s="1"/>
  <c r="O93" i="2"/>
  <c r="P93" i="2" s="1"/>
  <c r="F4" i="1"/>
  <c r="G4" i="1" s="1"/>
  <c r="H4" i="1" s="1"/>
  <c r="U102" i="2"/>
  <c r="V102" i="2" s="1"/>
  <c r="X7" i="1"/>
  <c r="V7" i="1" s="1"/>
  <c r="R6" i="1"/>
  <c r="P6" i="1" s="1"/>
  <c r="D4" i="1"/>
  <c r="O90" i="2"/>
  <c r="P90" i="2" s="1"/>
  <c r="O95" i="2"/>
  <c r="P95" i="2" s="1"/>
  <c r="F86" i="2"/>
  <c r="M4" i="1"/>
  <c r="N4" i="1" s="1"/>
  <c r="L88" i="2"/>
  <c r="F104" i="2"/>
  <c r="L105" i="2"/>
  <c r="L101" i="2"/>
  <c r="G3" i="1"/>
  <c r="H3" i="1" s="1"/>
  <c r="D3" i="1"/>
  <c r="F99" i="2"/>
  <c r="F95" i="2"/>
  <c r="X92" i="2"/>
  <c r="L89" i="2"/>
  <c r="U98" i="2"/>
  <c r="V98" i="2" s="1"/>
  <c r="I90" i="2"/>
  <c r="J90" i="2" s="1"/>
  <c r="X96" i="2"/>
  <c r="I94" i="2"/>
  <c r="J94" i="2" s="1"/>
  <c r="J4" i="1"/>
  <c r="AA91" i="2"/>
  <c r="AB91" i="2" s="1"/>
  <c r="AA133" i="2"/>
  <c r="AB133" i="2" s="1"/>
  <c r="AA125" i="2"/>
  <c r="AB125" i="2" s="1"/>
  <c r="AA117" i="2"/>
  <c r="AB117" i="2" s="1"/>
  <c r="AA109" i="2"/>
  <c r="AB109" i="2" s="1"/>
  <c r="AA101" i="2"/>
  <c r="AB101" i="2" s="1"/>
  <c r="AA93" i="2"/>
  <c r="AB93" i="2" s="1"/>
  <c r="X137" i="2"/>
  <c r="X129" i="2"/>
  <c r="X121" i="2"/>
  <c r="X113" i="2"/>
  <c r="X105" i="2"/>
  <c r="X97" i="2"/>
  <c r="U73" i="2"/>
  <c r="V73" i="2" s="1"/>
  <c r="F66" i="2"/>
  <c r="I28" i="2"/>
  <c r="J28" i="2" s="1"/>
  <c r="I55" i="2"/>
  <c r="J55" i="2" s="1"/>
  <c r="O43" i="2"/>
  <c r="P43" i="2" s="1"/>
  <c r="I79" i="2"/>
  <c r="J79" i="2" s="1"/>
  <c r="I70" i="2"/>
  <c r="J70" i="2" s="1"/>
  <c r="U38" i="2"/>
  <c r="V38" i="2" s="1"/>
  <c r="O56" i="2"/>
  <c r="P56" i="2" s="1"/>
  <c r="O72" i="2"/>
  <c r="P72" i="2" s="1"/>
  <c r="O84" i="2"/>
  <c r="P84" i="2" s="1"/>
  <c r="L19" i="2"/>
  <c r="O36" i="2"/>
  <c r="P36" i="2" s="1"/>
  <c r="I67" i="2"/>
  <c r="J67" i="2" s="1"/>
  <c r="F40" i="2"/>
  <c r="O59" i="2"/>
  <c r="P59" i="2" s="1"/>
  <c r="AA71" i="2"/>
  <c r="AB71" i="2" s="1"/>
  <c r="F45" i="2"/>
  <c r="U61" i="2"/>
  <c r="V61" i="2" s="1"/>
  <c r="O64" i="2"/>
  <c r="P64" i="2" s="1"/>
  <c r="U85" i="2"/>
  <c r="V85" i="2" s="1"/>
  <c r="O83" i="2"/>
  <c r="P83" i="2" s="1"/>
  <c r="O53" i="2"/>
  <c r="P53" i="2" s="1"/>
  <c r="L7" i="1"/>
  <c r="L57" i="2"/>
  <c r="L33" i="2"/>
  <c r="L32" i="2"/>
  <c r="I52" i="2"/>
  <c r="J52" i="2" s="1"/>
  <c r="U62" i="2"/>
  <c r="V62" i="2" s="1"/>
  <c r="O63" i="2"/>
  <c r="P63" i="2" s="1"/>
  <c r="X69" i="2"/>
  <c r="O77" i="2"/>
  <c r="P77" i="2" s="1"/>
  <c r="O6" i="2"/>
  <c r="P6" i="2" s="1"/>
  <c r="L55" i="2"/>
  <c r="L7" i="2"/>
  <c r="L6" i="2"/>
  <c r="F44" i="2"/>
  <c r="U54" i="2"/>
  <c r="V54" i="2" s="1"/>
  <c r="I75" i="2"/>
  <c r="J75" i="2" s="1"/>
  <c r="X81" i="2"/>
  <c r="L37" i="2"/>
  <c r="L6" i="1"/>
  <c r="I76" i="2"/>
  <c r="J76" i="2" s="1"/>
  <c r="U78" i="2"/>
  <c r="V78" i="2" s="1"/>
  <c r="U34" i="2"/>
  <c r="V34" i="2" s="1"/>
  <c r="U17" i="2"/>
  <c r="V17" i="2" s="1"/>
  <c r="F25" i="2"/>
  <c r="I25" i="2"/>
  <c r="J25" i="2" s="1"/>
  <c r="U27" i="2"/>
  <c r="V27" i="2" s="1"/>
  <c r="O31" i="2"/>
  <c r="P31" i="2" s="1"/>
  <c r="I39" i="2"/>
  <c r="J39" i="2" s="1"/>
  <c r="F39" i="2"/>
  <c r="F29" i="2"/>
  <c r="I29" i="2"/>
  <c r="J29" i="2" s="1"/>
  <c r="O26" i="2"/>
  <c r="P26" i="2" s="1"/>
  <c r="O51" i="2"/>
  <c r="P51" i="2" s="1"/>
  <c r="F21" i="2"/>
  <c r="I21" i="2"/>
  <c r="J21" i="2" s="1"/>
  <c r="O58" i="2"/>
  <c r="P58" i="2" s="1"/>
  <c r="F65" i="2"/>
  <c r="I65" i="2"/>
  <c r="J65" i="2" s="1"/>
  <c r="U49" i="2"/>
  <c r="V49" i="2" s="1"/>
  <c r="F51" i="2"/>
  <c r="I51" i="2"/>
  <c r="J51" i="2" s="1"/>
  <c r="X68" i="2"/>
  <c r="AA68" i="2"/>
  <c r="AB68" i="2" s="1"/>
  <c r="X80" i="2"/>
  <c r="AA80" i="2"/>
  <c r="AB80" i="2" s="1"/>
  <c r="O82" i="2"/>
  <c r="P82" i="2" s="1"/>
  <c r="K30" i="1"/>
  <c r="V16" i="1" l="1"/>
  <c r="Y16" i="1"/>
  <c r="Z16" i="1" s="1"/>
  <c r="P30" i="1"/>
  <c r="T30" i="1" s="1"/>
  <c r="F139" i="2"/>
  <c r="J139" i="2" s="1"/>
  <c r="G7" i="1"/>
  <c r="H7" i="1" s="1"/>
  <c r="M15" i="1"/>
  <c r="N15" i="1" s="1"/>
  <c r="R139" i="2"/>
  <c r="V139" i="2" s="1"/>
  <c r="M28" i="1"/>
  <c r="N28" i="1" s="1"/>
  <c r="J28" i="1"/>
  <c r="M19" i="1"/>
  <c r="N19" i="1" s="1"/>
  <c r="J19" i="1"/>
  <c r="M18" i="1"/>
  <c r="N18" i="1" s="1"/>
  <c r="J18" i="1"/>
  <c r="M9" i="1"/>
  <c r="N9" i="1" s="1"/>
  <c r="Y13" i="1"/>
  <c r="Z13" i="1" s="1"/>
  <c r="J13" i="1"/>
  <c r="M13" i="1"/>
  <c r="N13" i="1" s="1"/>
  <c r="M10" i="1"/>
  <c r="N10" i="1" s="1"/>
  <c r="M12" i="1"/>
  <c r="N12" i="1" s="1"/>
  <c r="J12" i="1"/>
  <c r="S10" i="1"/>
  <c r="T10" i="1" s="1"/>
  <c r="G10" i="1"/>
  <c r="H10" i="1" s="1"/>
  <c r="D10" i="1"/>
  <c r="D9" i="1"/>
  <c r="G9" i="1"/>
  <c r="H9" i="1" s="1"/>
  <c r="Y7" i="1"/>
  <c r="Z7" i="1" s="1"/>
  <c r="S7" i="1"/>
  <c r="T7" i="1" s="1"/>
  <c r="S6" i="1"/>
  <c r="T6" i="1" s="1"/>
  <c r="X139" i="2"/>
  <c r="AB139" i="2" s="1"/>
  <c r="L139" i="2"/>
  <c r="P139" i="2" s="1"/>
  <c r="M7" i="1"/>
  <c r="N7" i="1" s="1"/>
  <c r="J7" i="1"/>
  <c r="M6" i="1"/>
  <c r="N6" i="1" s="1"/>
  <c r="J6" i="1"/>
  <c r="G4" i="3"/>
  <c r="H4" i="3" s="1"/>
  <c r="D4" i="3"/>
  <c r="E3" i="3"/>
  <c r="G3" i="3" s="1"/>
  <c r="H3" i="3" s="1"/>
  <c r="D3" i="3"/>
  <c r="D30" i="1" l="1"/>
  <c r="H30" i="1" s="1"/>
  <c r="V30" i="1"/>
  <c r="Z30" i="1" s="1"/>
  <c r="J30" i="1"/>
  <c r="N30" i="1" s="1"/>
</calcChain>
</file>

<file path=xl/sharedStrings.xml><?xml version="1.0" encoding="utf-8"?>
<sst xmlns="http://schemas.openxmlformats.org/spreadsheetml/2006/main" count="930" uniqueCount="94">
  <si>
    <t>MC2</t>
  </si>
  <si>
    <t>MC9</t>
  </si>
  <si>
    <t>MC10</t>
  </si>
  <si>
    <t>MC5</t>
  </si>
  <si>
    <t>PIPE</t>
  </si>
  <si>
    <t>MATERIAL</t>
  </si>
  <si>
    <t>EXPECTED</t>
  </si>
  <si>
    <t>EXPECTED WEIGHT</t>
  </si>
  <si>
    <t>ACHIEVED TOTAL WEIGHT</t>
  </si>
  <si>
    <t>TOTAL HOURS</t>
  </si>
  <si>
    <t>RECORDED</t>
  </si>
  <si>
    <t>% CHANGE</t>
  </si>
  <si>
    <t>20MM PN16</t>
  </si>
  <si>
    <t>PPR</t>
  </si>
  <si>
    <t>20MM PN20</t>
  </si>
  <si>
    <t>20MM PN25</t>
  </si>
  <si>
    <t>25MM PN16</t>
  </si>
  <si>
    <t>25MM PN20</t>
  </si>
  <si>
    <t>25MM PN25</t>
  </si>
  <si>
    <t>32MM PN16</t>
  </si>
  <si>
    <t>32MM PN20</t>
  </si>
  <si>
    <t>32MM PN25</t>
  </si>
  <si>
    <t>40MM PN16</t>
  </si>
  <si>
    <t>40MM PN20</t>
  </si>
  <si>
    <t>40MM PN25</t>
  </si>
  <si>
    <t>50MM PN16</t>
  </si>
  <si>
    <t>50MM PN20</t>
  </si>
  <si>
    <t>50MM PN25</t>
  </si>
  <si>
    <t>63MM PN16</t>
  </si>
  <si>
    <t>63MM PN20</t>
  </si>
  <si>
    <t>63MM PN25</t>
  </si>
  <si>
    <t>75MM PN16</t>
  </si>
  <si>
    <t>75MM PN20</t>
  </si>
  <si>
    <t>75MM PN25</t>
  </si>
  <si>
    <t>90MM PN16</t>
  </si>
  <si>
    <t>90MM PN20</t>
  </si>
  <si>
    <t>90MM PN25</t>
  </si>
  <si>
    <t>110MM PN16</t>
  </si>
  <si>
    <t>110MM PN20</t>
  </si>
  <si>
    <t>110MM PN25</t>
  </si>
  <si>
    <t>TOTAL</t>
  </si>
  <si>
    <t>JOB NO.</t>
  </si>
  <si>
    <t>DATE</t>
  </si>
  <si>
    <t>ALL THE PPR MACHINE OUTPUT CHART</t>
  </si>
  <si>
    <t>SR NO</t>
  </si>
  <si>
    <t>SIZE</t>
  </si>
  <si>
    <t>MC 2</t>
  </si>
  <si>
    <t>MC 5</t>
  </si>
  <si>
    <t>MC 9</t>
  </si>
  <si>
    <t>MC 10</t>
  </si>
  <si>
    <t>Actual</t>
  </si>
  <si>
    <t>Expecting</t>
  </si>
  <si>
    <t>PPR/AQ/20/16/4</t>
  </si>
  <si>
    <t>PPR/AQ/20/20/4</t>
  </si>
  <si>
    <t>PPR/AQ/20/25/4</t>
  </si>
  <si>
    <t>PPR/AQ/25/16/4</t>
  </si>
  <si>
    <t>PPR/AQ/25/20/4</t>
  </si>
  <si>
    <t>PPR/AQ/25/25/4</t>
  </si>
  <si>
    <t>PPR/AQ/32/16/4</t>
  </si>
  <si>
    <t>PPR/AQ/32/20/4</t>
  </si>
  <si>
    <t>PPR/AQ/32/25/4</t>
  </si>
  <si>
    <t>PPR/AQ/40/16/4</t>
  </si>
  <si>
    <t>PPR/AQ/40/20/4</t>
  </si>
  <si>
    <t>PPR/AQ/40/25/4</t>
  </si>
  <si>
    <t>PPR/AQ/50/16/4</t>
  </si>
  <si>
    <t>PPR/AQ/50/20/4</t>
  </si>
  <si>
    <t>PPR/AQ/50/25/4</t>
  </si>
  <si>
    <t>PPR/AQ/63/16/4</t>
  </si>
  <si>
    <t>PPR/AQ/63/20/4</t>
  </si>
  <si>
    <t>PPR/AQ/63/25/4</t>
  </si>
  <si>
    <t>PPR/AQ/75/16/4</t>
  </si>
  <si>
    <t>PPR/AQ/75/20/4</t>
  </si>
  <si>
    <t>PPR/AQ/90/16/4</t>
  </si>
  <si>
    <t>PPR/AQ/90/20/4</t>
  </si>
  <si>
    <t>PPR/AQ/110/16/4</t>
  </si>
  <si>
    <t>PPR/AQ/110/20/4</t>
  </si>
  <si>
    <t>PPR MACHINE RUNNING HOURS</t>
  </si>
  <si>
    <t>DATE:</t>
  </si>
  <si>
    <t>SHIFT HRS:</t>
  </si>
  <si>
    <t>SUPERVISOR:</t>
  </si>
  <si>
    <t xml:space="preserve">MACHINE  </t>
  </si>
  <si>
    <t>MACHINE  OPERATOR</t>
  </si>
  <si>
    <t>SIZE:</t>
  </si>
  <si>
    <t>STARTING TIME:</t>
  </si>
  <si>
    <t>END TIME:</t>
  </si>
  <si>
    <t>OPERATOR SIGNATURE:</t>
  </si>
  <si>
    <t>SUPERVISOR SIGNATURE:</t>
  </si>
  <si>
    <t>MACHINE</t>
  </si>
  <si>
    <t>MONTH</t>
  </si>
  <si>
    <t>MACHINE 2</t>
  </si>
  <si>
    <t>OCTOBER</t>
  </si>
  <si>
    <t>MACHINE 9</t>
  </si>
  <si>
    <t>MACHINE 10</t>
  </si>
  <si>
    <t>MACHINE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</si>
</sst>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8"/>
      <color theme="1"/>
      <name val="Algerian"/>
      <family val="5"/>
    </font>
    <font>
      <sz val="11"/>
      <color theme="1"/>
      <name val="Algerian"/>
      <family val="5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2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wrapText="1"/>
    </xf>
    <xf numFmtId="2" fontId="3" fillId="0" borderId="11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3" fillId="2" borderId="24" xfId="1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0" fontId="3" fillId="3" borderId="28" xfId="1" applyNumberFormat="1" applyFont="1" applyFill="1" applyBorder="1" applyAlignment="1">
      <alignment horizontal="center"/>
    </xf>
    <xf numFmtId="10" fontId="3" fillId="2" borderId="28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WEEKLY%20JOB%20DETAILS1.xlsx" TargetMode="External"/><Relationship Id="rId1" Type="http://schemas.openxmlformats.org/officeDocument/2006/relationships/externalLinkPath" Target="file:///C:\Users\USER\Desktop\WEEKLY%20JOB%20DETAI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Job Details"/>
      <sheetName val="september 30"/>
      <sheetName val="OUTPUT CHART"/>
      <sheetName val="RUNNING HOURS"/>
      <sheetName val="POWERBI SUMMARY"/>
    </sheetNames>
    <sheetDataSet>
      <sheetData sheetId="0" refreshError="1"/>
      <sheetData sheetId="1" refreshError="1"/>
      <sheetData sheetId="2">
        <row r="3">
          <cell r="G3">
            <v>3672.65</v>
          </cell>
        </row>
        <row r="36">
          <cell r="N36">
            <v>5.8084768211920537</v>
          </cell>
        </row>
        <row r="53">
          <cell r="N53">
            <v>8.8134615384615405</v>
          </cell>
        </row>
        <row r="58">
          <cell r="N58">
            <v>0.78279999999999994</v>
          </cell>
        </row>
        <row r="62">
          <cell r="S62">
            <v>750</v>
          </cell>
          <cell r="T62">
            <v>3.6407766990291264</v>
          </cell>
        </row>
        <row r="68">
          <cell r="Z68">
            <v>1.9907407407407407</v>
          </cell>
        </row>
        <row r="82">
          <cell r="N82">
            <v>5.2841059602649008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C29F-ECE3-4316-8A57-A9BC72F5BF23}">
  <dimension ref="A1:Z30"/>
  <sheetViews>
    <sheetView topLeftCell="A10" workbookViewId="0">
      <pane xSplit="2" topLeftCell="C1" activePane="topRight" state="frozen"/>
      <selection pane="topRight" activeCell="R27" sqref="R27"/>
    </sheetView>
  </sheetViews>
  <sheetFormatPr defaultColWidth="9.140625" defaultRowHeight="15" x14ac:dyDescent="0.25"/>
  <cols>
    <col min="1" max="1" width="12.140625" style="2" customWidth="1"/>
    <col min="2" max="2" width="12.28515625" style="2" customWidth="1"/>
    <col min="3" max="3" width="12.28515625" style="14" customWidth="1"/>
    <col min="4" max="4" width="20.140625" style="54" customWidth="1"/>
    <col min="5" max="5" width="26.42578125" style="2" customWidth="1"/>
    <col min="6" max="6" width="14.85546875" style="2" customWidth="1"/>
    <col min="7" max="7" width="12.7109375" style="54" customWidth="1"/>
    <col min="8" max="8" width="13.28515625" style="12" customWidth="1"/>
    <col min="9" max="9" width="12.5703125" style="14" customWidth="1"/>
    <col min="10" max="10" width="18.5703125" style="54" customWidth="1"/>
    <col min="11" max="11" width="24.28515625" style="2" customWidth="1"/>
    <col min="12" max="12" width="15" style="2" customWidth="1"/>
    <col min="13" max="13" width="13.85546875" style="54" customWidth="1"/>
    <col min="14" max="14" width="15.42578125" style="12" customWidth="1"/>
    <col min="15" max="15" width="14" style="14" customWidth="1"/>
    <col min="16" max="16" width="18.85546875" style="54" customWidth="1"/>
    <col min="17" max="17" width="23.7109375" style="2" customWidth="1"/>
    <col min="18" max="18" width="15.42578125" style="2" customWidth="1"/>
    <col min="19" max="19" width="13.28515625" style="54" customWidth="1"/>
    <col min="20" max="20" width="12.140625" style="12" customWidth="1"/>
    <col min="21" max="21" width="13.140625" style="2" customWidth="1"/>
    <col min="22" max="22" width="18.7109375" style="54" bestFit="1" customWidth="1"/>
    <col min="23" max="23" width="24.7109375" style="2" bestFit="1" customWidth="1"/>
    <col min="24" max="24" width="13.7109375" style="2" bestFit="1" customWidth="1"/>
    <col min="25" max="25" width="11" style="54" customWidth="1"/>
    <col min="26" max="26" width="10.7109375" style="2" customWidth="1"/>
    <col min="27" max="16384" width="9.140625" style="2"/>
  </cols>
  <sheetData>
    <row r="1" spans="1:26" s="6" customFormat="1" x14ac:dyDescent="0.25">
      <c r="A1" s="5"/>
      <c r="B1" s="7"/>
      <c r="C1" s="13" t="s">
        <v>0</v>
      </c>
      <c r="D1" s="56" t="s">
        <v>0</v>
      </c>
      <c r="E1" s="9" t="s">
        <v>0</v>
      </c>
      <c r="F1" s="9" t="s">
        <v>0</v>
      </c>
      <c r="G1" s="49" t="s">
        <v>0</v>
      </c>
      <c r="H1" s="10" t="s">
        <v>0</v>
      </c>
      <c r="I1" s="13" t="s">
        <v>1</v>
      </c>
      <c r="J1" s="56" t="s">
        <v>1</v>
      </c>
      <c r="K1" s="9" t="s">
        <v>1</v>
      </c>
      <c r="L1" s="9" t="s">
        <v>1</v>
      </c>
      <c r="M1" s="49" t="s">
        <v>1</v>
      </c>
      <c r="N1" s="10" t="s">
        <v>1</v>
      </c>
      <c r="O1" s="13" t="s">
        <v>2</v>
      </c>
      <c r="P1" s="56" t="s">
        <v>2</v>
      </c>
      <c r="Q1" s="9" t="s">
        <v>2</v>
      </c>
      <c r="R1" s="9" t="s">
        <v>2</v>
      </c>
      <c r="S1" s="49" t="s">
        <v>2</v>
      </c>
      <c r="T1" s="10" t="s">
        <v>2</v>
      </c>
      <c r="U1" s="28" t="s">
        <v>3</v>
      </c>
      <c r="V1" s="57" t="s">
        <v>3</v>
      </c>
      <c r="W1" s="28" t="s">
        <v>3</v>
      </c>
      <c r="X1" s="57" t="s">
        <v>3</v>
      </c>
      <c r="Y1" s="57" t="s">
        <v>3</v>
      </c>
      <c r="Z1" s="28" t="s">
        <v>3</v>
      </c>
    </row>
    <row r="2" spans="1:26" s="6" customFormat="1" x14ac:dyDescent="0.25">
      <c r="A2" s="15" t="s">
        <v>4</v>
      </c>
      <c r="B2" s="16" t="s">
        <v>5</v>
      </c>
      <c r="C2" s="21" t="s">
        <v>6</v>
      </c>
      <c r="D2" s="58" t="s">
        <v>7</v>
      </c>
      <c r="E2" s="15" t="s">
        <v>8</v>
      </c>
      <c r="F2" s="15" t="s">
        <v>9</v>
      </c>
      <c r="G2" s="50" t="s">
        <v>10</v>
      </c>
      <c r="H2" s="18" t="s">
        <v>11</v>
      </c>
      <c r="I2" s="21" t="s">
        <v>6</v>
      </c>
      <c r="J2" s="58" t="s">
        <v>7</v>
      </c>
      <c r="K2" s="15" t="s">
        <v>8</v>
      </c>
      <c r="L2" s="15" t="s">
        <v>9</v>
      </c>
      <c r="M2" s="50" t="s">
        <v>10</v>
      </c>
      <c r="N2" s="18" t="s">
        <v>11</v>
      </c>
      <c r="O2" s="21" t="s">
        <v>6</v>
      </c>
      <c r="P2" s="58" t="s">
        <v>7</v>
      </c>
      <c r="Q2" s="15" t="s">
        <v>8</v>
      </c>
      <c r="R2" s="15" t="s">
        <v>9</v>
      </c>
      <c r="S2" s="50" t="s">
        <v>10</v>
      </c>
      <c r="T2" s="18" t="s">
        <v>11</v>
      </c>
      <c r="U2" s="29" t="s">
        <v>6</v>
      </c>
      <c r="V2" s="59" t="s">
        <v>7</v>
      </c>
      <c r="W2" s="15" t="s">
        <v>8</v>
      </c>
      <c r="X2" s="50" t="s">
        <v>9</v>
      </c>
      <c r="Y2" s="50" t="s">
        <v>10</v>
      </c>
      <c r="Z2" s="18" t="s">
        <v>11</v>
      </c>
    </row>
    <row r="3" spans="1:26" s="1" customFormat="1" x14ac:dyDescent="0.25">
      <c r="A3" s="1" t="s">
        <v>12</v>
      </c>
      <c r="B3" s="30" t="s">
        <v>13</v>
      </c>
      <c r="C3" s="1">
        <v>75</v>
      </c>
      <c r="D3" s="51">
        <f>C3*F3</f>
        <v>2910.8552445074415</v>
      </c>
      <c r="E3" s="1">
        <f>+'Job Details'!G13+'Job Details'!G30+'Job Details'!G35+'Job Details'!G39+'Job Details'!G74</f>
        <v>3409.7500000000005</v>
      </c>
      <c r="F3" s="51">
        <f>+'Job Details'!H13+'Job Details'!H30+'Job Details'!H35+'Job Details'!H39+'Job Details'!H74</f>
        <v>38.811403260099219</v>
      </c>
      <c r="G3" s="51">
        <f>E3/F3</f>
        <v>87.854334385931807</v>
      </c>
      <c r="H3" s="35">
        <f>(G3-C3)/C3</f>
        <v>0.17139112514575744</v>
      </c>
      <c r="I3" s="1">
        <v>75</v>
      </c>
      <c r="J3" s="51">
        <f>I3*L3</f>
        <v>661.00961538461559</v>
      </c>
      <c r="K3" s="1">
        <f>+'Job Details'!M53</f>
        <v>687.45000000000016</v>
      </c>
      <c r="L3" s="51">
        <f>+'[1]Job Details'!N53</f>
        <v>8.8134615384615405</v>
      </c>
      <c r="M3" s="51">
        <f>K3/L3</f>
        <v>78</v>
      </c>
      <c r="N3" s="35">
        <f>(M3-I3)/I3</f>
        <v>0.04</v>
      </c>
      <c r="O3" s="1">
        <v>100</v>
      </c>
      <c r="P3" s="51">
        <f>O3*R3</f>
        <v>0</v>
      </c>
      <c r="S3" s="51" t="e">
        <f>Q3/R3</f>
        <v>#DIV/0!</v>
      </c>
      <c r="T3" s="35" t="e">
        <f>(S3-O3)/O3</f>
        <v>#DIV/0!</v>
      </c>
      <c r="V3" s="51">
        <f>U3*X3</f>
        <v>0</v>
      </c>
      <c r="Y3" s="51" t="e">
        <f>W3/X3</f>
        <v>#DIV/0!</v>
      </c>
      <c r="Z3" s="35" t="e">
        <f>(Y3-U3)/U3</f>
        <v>#DIV/0!</v>
      </c>
    </row>
    <row r="4" spans="1:26" s="1" customFormat="1" x14ac:dyDescent="0.25">
      <c r="A4" s="1" t="s">
        <v>14</v>
      </c>
      <c r="B4" s="30" t="s">
        <v>13</v>
      </c>
      <c r="C4" s="1">
        <v>85</v>
      </c>
      <c r="D4" s="51">
        <f t="shared" ref="D4:D28" si="0">C4*F4</f>
        <v>3624.5734580831354</v>
      </c>
      <c r="E4" s="51">
        <f>+'Job Details'!G5+'Job Details'!G29+'Job Details'!G40+'Job Details'!G44+'Job Details'!G75</f>
        <v>4277.05</v>
      </c>
      <c r="F4" s="51">
        <f>+'Job Details'!H29+'Job Details'!H40+'Job Details'!H44+'Job Details'!H75</f>
        <v>42.642040683331004</v>
      </c>
      <c r="G4" s="51">
        <f t="shared" ref="G4:G28" si="1">E4/F4</f>
        <v>100.30125039658154</v>
      </c>
      <c r="H4" s="35">
        <f t="shared" ref="H4:H28" si="2">(G4-C4)/C4</f>
        <v>0.18001471054801807</v>
      </c>
      <c r="I4" s="1">
        <v>85</v>
      </c>
      <c r="J4" s="51">
        <f t="shared" ref="J4" si="3">I4*L4</f>
        <v>263.5</v>
      </c>
      <c r="K4" s="51">
        <f>+'Job Details'!L5</f>
        <v>263.5</v>
      </c>
      <c r="L4" s="51">
        <f>+'Job Details'!N5</f>
        <v>3.1</v>
      </c>
      <c r="M4" s="51">
        <f t="shared" ref="M4:M28" si="4">K4/L4</f>
        <v>85</v>
      </c>
      <c r="N4" s="35">
        <f t="shared" ref="N4:N28" si="5">(M4-I4)/I4</f>
        <v>0</v>
      </c>
      <c r="O4" s="1">
        <v>110</v>
      </c>
      <c r="P4" s="51">
        <f>O4*R4</f>
        <v>0</v>
      </c>
      <c r="S4" s="51" t="e">
        <f t="shared" ref="S4:S28" si="6">Q4/R4</f>
        <v>#DIV/0!</v>
      </c>
      <c r="T4" s="35" t="e">
        <f t="shared" ref="T4:T28" si="7">(S4-O4)/O4</f>
        <v>#DIV/0!</v>
      </c>
      <c r="U4" s="32"/>
      <c r="V4" s="51">
        <f t="shared" ref="V4:V29" si="8">U4*X4</f>
        <v>0</v>
      </c>
      <c r="Y4" s="51" t="e">
        <f t="shared" ref="Y4:Y29" si="9">W4/X4</f>
        <v>#DIV/0!</v>
      </c>
      <c r="Z4" s="35" t="e">
        <f t="shared" ref="Z4:Z29" si="10">(Y4-U4)/U4</f>
        <v>#DIV/0!</v>
      </c>
    </row>
    <row r="5" spans="1:26" s="1" customFormat="1" x14ac:dyDescent="0.25">
      <c r="A5" s="1" t="s">
        <v>15</v>
      </c>
      <c r="B5" s="30" t="s">
        <v>13</v>
      </c>
      <c r="C5" s="32"/>
      <c r="D5" s="51"/>
      <c r="G5" s="51"/>
      <c r="H5" s="35"/>
      <c r="I5" s="34"/>
      <c r="J5" s="51"/>
      <c r="K5" s="1">
        <f>+'Job Details'!M48</f>
        <v>395.59999999999997</v>
      </c>
      <c r="M5" s="51"/>
      <c r="N5" s="35"/>
      <c r="O5" s="34"/>
      <c r="P5" s="51">
        <f t="shared" ref="P5:P29" si="11">O5*R5</f>
        <v>0</v>
      </c>
      <c r="S5" s="51"/>
      <c r="T5" s="35"/>
      <c r="U5" s="32"/>
      <c r="V5" s="51">
        <f t="shared" si="8"/>
        <v>0</v>
      </c>
      <c r="Y5" s="51" t="e">
        <f t="shared" si="9"/>
        <v>#DIV/0!</v>
      </c>
      <c r="Z5" s="35" t="e">
        <f t="shared" si="10"/>
        <v>#DIV/0!</v>
      </c>
    </row>
    <row r="6" spans="1:26" s="1" customFormat="1" x14ac:dyDescent="0.25">
      <c r="A6" s="1" t="s">
        <v>16</v>
      </c>
      <c r="B6" s="30" t="s">
        <v>13</v>
      </c>
      <c r="C6" s="1">
        <v>155</v>
      </c>
      <c r="D6" s="51">
        <f t="shared" si="0"/>
        <v>4468.7652242506201</v>
      </c>
      <c r="E6" s="1">
        <f>+'Job Details'!G21+'Job Details'!G51+'Job Details'!G65</f>
        <v>4538.1000000000004</v>
      </c>
      <c r="F6" s="51">
        <f>+'Job Details'!H21+'Job Details'!H51+'Job Details'!H65</f>
        <v>28.830743382262064</v>
      </c>
      <c r="G6" s="51">
        <f t="shared" si="1"/>
        <v>157.40489032246177</v>
      </c>
      <c r="H6" s="35">
        <f t="shared" si="2"/>
        <v>1.5515421435237209E-2</v>
      </c>
      <c r="I6" s="1">
        <v>130</v>
      </c>
      <c r="J6" s="51">
        <f t="shared" ref="J6:J28" si="12">I6*L6</f>
        <v>1173.6624185613612</v>
      </c>
      <c r="K6" s="1">
        <f>+'Job Details'!M51+'Job Details'!M56</f>
        <v>1102.8299999999997</v>
      </c>
      <c r="L6" s="51">
        <f>+'Job Details'!N51+'Job Details'!N56</f>
        <v>9.0281724504720096</v>
      </c>
      <c r="M6" s="51">
        <f t="shared" si="4"/>
        <v>122.15429047795179</v>
      </c>
      <c r="N6" s="35">
        <f t="shared" si="5"/>
        <v>-6.0351611708063156E-2</v>
      </c>
      <c r="O6" s="1">
        <v>170</v>
      </c>
      <c r="P6" s="51">
        <f t="shared" si="11"/>
        <v>27534.345743719754</v>
      </c>
      <c r="Q6" s="1">
        <f>+'Job Details'!S8+'Job Details'!S11+'Job Details'!S17+'Job Details'!S20+'Job Details'!S21+'Job Details'!S27+'Job Details'!S34+'Job Details'!S38+'Job Details'!S97</f>
        <v>28320.839999999989</v>
      </c>
      <c r="R6" s="51">
        <f>+'Job Details'!T8+'Job Details'!T11+'Job Details'!T17+'Job Details'!T20+'Job Details'!T21+'Job Details'!T27+'Job Details'!T34+'Job Details'!T38+'Job Details'!T97</f>
        <v>161.96673966893974</v>
      </c>
      <c r="S6" s="51">
        <f t="shared" si="6"/>
        <v>174.85589978465845</v>
      </c>
      <c r="T6" s="35">
        <f t="shared" si="7"/>
        <v>2.8564116380343809E-2</v>
      </c>
      <c r="U6" s="32"/>
      <c r="V6" s="51">
        <f t="shared" si="8"/>
        <v>0</v>
      </c>
      <c r="Y6" s="51" t="e">
        <f t="shared" si="9"/>
        <v>#DIV/0!</v>
      </c>
      <c r="Z6" s="35" t="e">
        <f t="shared" si="10"/>
        <v>#DIV/0!</v>
      </c>
    </row>
    <row r="7" spans="1:26" s="1" customFormat="1" x14ac:dyDescent="0.25">
      <c r="A7" s="1" t="s">
        <v>17</v>
      </c>
      <c r="B7" s="30" t="s">
        <v>13</v>
      </c>
      <c r="C7" s="1">
        <v>160</v>
      </c>
      <c r="D7" s="51">
        <f t="shared" si="0"/>
        <v>19327.508912395737</v>
      </c>
      <c r="E7" s="1">
        <f>+'Job Details'!G14+'Job Details'!G18+'Job Details'!G22+'Job Details'!G25+'Job Details'!G28+'Job Details'!G45+'Job Details'!G52+'Job Details'!G55+'Job Details'!G66</f>
        <v>19527.43</v>
      </c>
      <c r="F7" s="51">
        <f>+'Job Details'!H14+'Job Details'!H18+'Job Details'!H22+'Job Details'!H25+'Job Details'!H28+'Job Details'!H45+'Job Details'!H52+'Job Details'!H55+'Job Details'!H66</f>
        <v>120.79693070247336</v>
      </c>
      <c r="G7" s="51">
        <f t="shared" si="1"/>
        <v>161.65501794161207</v>
      </c>
      <c r="H7" s="35">
        <f t="shared" si="2"/>
        <v>1.0343862135075455E-2</v>
      </c>
      <c r="I7" s="1">
        <v>140</v>
      </c>
      <c r="J7" s="51">
        <f>I7*L7</f>
        <v>2062.9815092453773</v>
      </c>
      <c r="K7" s="1">
        <f>+'Job Details'!M4+'Job Details'!M37+'Job Details'!M43+'Job Details'!M55</f>
        <v>1675.25</v>
      </c>
      <c r="L7" s="51">
        <f>+'Job Details'!N4+'Job Details'!N37+'Job Details'!N43+'Job Details'!N55</f>
        <v>14.735582208895552</v>
      </c>
      <c r="M7" s="51">
        <f t="shared" si="4"/>
        <v>113.68739804448906</v>
      </c>
      <c r="N7" s="35">
        <f t="shared" si="5"/>
        <v>-0.18794715682507815</v>
      </c>
      <c r="O7" s="1">
        <v>195</v>
      </c>
      <c r="P7" s="51">
        <f t="shared" si="11"/>
        <v>38044.87417235499</v>
      </c>
      <c r="Q7" s="1">
        <f>+'Job Details'!S4+'Job Details'!S37+'Job Details'!S43+'Job Details'!S49+'Job Details'!S73+'Job Details'!S78+'Job Details'!S85+'Job Details'!S87+'Job Details'!S91+'Job Details'!S98+'Job Details'!S102+'Job Details'!S103</f>
        <v>40049.380000000005</v>
      </c>
      <c r="R7" s="51">
        <f>+'Job Details'!T4+'Job Details'!T37+'Job Details'!T43+'Job Details'!T49+'Job Details'!T73+'Job Details'!T78+'Job Details'!T85+'Job Details'!T87+'Job Details'!T91+'Job Details'!T98+'Job Details'!T102+'Job Details'!T103</f>
        <v>195.10191883258969</v>
      </c>
      <c r="S7" s="51">
        <f t="shared" si="6"/>
        <v>205.27414717209939</v>
      </c>
      <c r="T7" s="35">
        <f t="shared" si="7"/>
        <v>5.2687934215894308E-2</v>
      </c>
      <c r="U7" s="32">
        <v>140</v>
      </c>
      <c r="V7" s="51">
        <f t="shared" si="8"/>
        <v>4686.1125869702719</v>
      </c>
      <c r="W7" s="1">
        <f>+'Job Details'!Y81+'Job Details'!Y87+'Job Details'!Y91</f>
        <v>5136</v>
      </c>
      <c r="X7" s="51">
        <f>+'Job Details'!Z81+'Job Details'!Z87+'Job Details'!Z91</f>
        <v>33.472232764073368</v>
      </c>
      <c r="Y7" s="51">
        <f t="shared" si="9"/>
        <v>153.44061557532561</v>
      </c>
      <c r="Z7" s="35">
        <f t="shared" si="10"/>
        <v>9.6004396966611491E-2</v>
      </c>
    </row>
    <row r="8" spans="1:26" s="1" customFormat="1" x14ac:dyDescent="0.25">
      <c r="A8" s="1" t="s">
        <v>18</v>
      </c>
      <c r="B8" s="30" t="s">
        <v>13</v>
      </c>
      <c r="C8" s="34"/>
      <c r="D8" s="51"/>
      <c r="G8" s="51"/>
      <c r="H8" s="35"/>
      <c r="I8" s="34"/>
      <c r="J8" s="51"/>
      <c r="K8" s="1">
        <f>+'Job Details'!M41+'Job Details'!M47</f>
        <v>781.94999999999993</v>
      </c>
      <c r="M8" s="51"/>
      <c r="N8" s="35"/>
      <c r="O8" s="34"/>
      <c r="P8" s="51">
        <f t="shared" si="11"/>
        <v>0</v>
      </c>
      <c r="S8" s="51"/>
      <c r="T8" s="35"/>
      <c r="U8" s="32"/>
      <c r="V8" s="51">
        <f t="shared" si="8"/>
        <v>0</v>
      </c>
      <c r="Y8" s="51" t="e">
        <f t="shared" si="9"/>
        <v>#DIV/0!</v>
      </c>
      <c r="Z8" s="35" t="e">
        <f t="shared" si="10"/>
        <v>#DIV/0!</v>
      </c>
    </row>
    <row r="9" spans="1:26" s="1" customFormat="1" x14ac:dyDescent="0.25">
      <c r="A9" s="1" t="s">
        <v>19</v>
      </c>
      <c r="B9" s="30" t="s">
        <v>13</v>
      </c>
      <c r="C9" s="1">
        <v>165</v>
      </c>
      <c r="D9" s="51">
        <f t="shared" si="0"/>
        <v>716.59298780487836</v>
      </c>
      <c r="E9" s="1">
        <f>+'Job Details'!G95</f>
        <v>712.25000000000023</v>
      </c>
      <c r="F9" s="51">
        <f>+'Job Details'!H95</f>
        <v>4.3429878048780504</v>
      </c>
      <c r="G9" s="51">
        <f t="shared" si="1"/>
        <v>164</v>
      </c>
      <c r="H9" s="35">
        <f t="shared" si="2"/>
        <v>-6.0606060606060606E-3</v>
      </c>
      <c r="I9" s="1">
        <v>150</v>
      </c>
      <c r="J9" s="51">
        <f t="shared" si="12"/>
        <v>13954.212494720048</v>
      </c>
      <c r="K9" s="1">
        <f>+'Job Details'!M16+'Job Details'!M19+'Job Details'!M23+'Job Details'!M26+'Job Details'!M31+'Job Details'!M89+'Job Details'!M93+'Job Details'!M95</f>
        <v>13690.05</v>
      </c>
      <c r="L9" s="51">
        <f>+'Job Details'!N16+'Job Details'!N19+'Job Details'!N23+'Job Details'!N26+'Job Details'!N31+'Job Details'!N89+'Job Details'!N93+'Job Details'!N95</f>
        <v>93.028083298133652</v>
      </c>
      <c r="M9" s="51">
        <f t="shared" si="4"/>
        <v>147.16040054406508</v>
      </c>
      <c r="N9" s="35">
        <f t="shared" si="5"/>
        <v>-1.8930663039566108E-2</v>
      </c>
      <c r="O9" s="1">
        <v>195</v>
      </c>
      <c r="P9" s="51">
        <f t="shared" si="11"/>
        <v>709.95145631067965</v>
      </c>
      <c r="Q9" s="1">
        <f>+'[1]Job Details'!S62</f>
        <v>750</v>
      </c>
      <c r="R9" s="51">
        <f>+'[1]Job Details'!T62</f>
        <v>3.6407766990291264</v>
      </c>
      <c r="S9" s="51">
        <f t="shared" si="6"/>
        <v>206</v>
      </c>
      <c r="T9" s="35">
        <f t="shared" si="7"/>
        <v>5.6410256410256411E-2</v>
      </c>
      <c r="U9" s="32"/>
      <c r="V9" s="51">
        <f t="shared" si="8"/>
        <v>0</v>
      </c>
      <c r="Y9" s="51" t="e">
        <f t="shared" si="9"/>
        <v>#DIV/0!</v>
      </c>
      <c r="Z9" s="35" t="e">
        <f t="shared" si="10"/>
        <v>#DIV/0!</v>
      </c>
    </row>
    <row r="10" spans="1:26" s="1" customFormat="1" x14ac:dyDescent="0.25">
      <c r="A10" s="1" t="s">
        <v>20</v>
      </c>
      <c r="B10" s="30" t="s">
        <v>13</v>
      </c>
      <c r="C10" s="1">
        <v>170</v>
      </c>
      <c r="D10" s="51">
        <f t="shared" si="0"/>
        <v>32743.977969746044</v>
      </c>
      <c r="E10" s="51">
        <f>+'Job Details'!G3+'Job Details'!G9+'Job Details'!G12+'Job Details'!G67+'Job Details'!G70+'Job Details'!G76+'Job Details'!G79+'Job Details'!G86+'Job Details'!G90+'Job Details'!G94+'Job Details'!G99+'Job Details'!G104</f>
        <v>32119.549999999996</v>
      </c>
      <c r="F10" s="51">
        <f>+'Job Details'!H3+'Job Details'!H9+'Job Details'!H12+'Job Details'!H67+'Job Details'!H70+'Job Details'!H76+'Job Details'!H79+'Job Details'!H86+'Job Details'!H90+'Job Details'!H94+'Job Details'!H99+'Job Details'!H104</f>
        <v>192.6116351161532</v>
      </c>
      <c r="G10" s="51">
        <f t="shared" si="1"/>
        <v>166.75809839125506</v>
      </c>
      <c r="H10" s="35">
        <f t="shared" si="2"/>
        <v>-1.9070009463205525E-2</v>
      </c>
      <c r="I10" s="1">
        <v>150</v>
      </c>
      <c r="J10" s="51">
        <f t="shared" si="12"/>
        <v>1841.2291666666667</v>
      </c>
      <c r="K10" s="51">
        <f>+'Job Details'!M32+'Job Details'!M90</f>
        <v>1876.4500000000003</v>
      </c>
      <c r="L10" s="51">
        <f>+'Job Details'!N32+'Job Details'!N90</f>
        <v>12.274861111111111</v>
      </c>
      <c r="M10" s="51">
        <f t="shared" si="4"/>
        <v>152.86934679052717</v>
      </c>
      <c r="N10" s="35">
        <f t="shared" si="5"/>
        <v>1.9128978603514497E-2</v>
      </c>
      <c r="O10" s="1">
        <v>195</v>
      </c>
      <c r="P10" s="51">
        <f t="shared" si="11"/>
        <v>11313.447564309312</v>
      </c>
      <c r="Q10" s="1">
        <f>+'Job Details'!S50+'Job Details'!S54+'Job Details'!S60+'Job Details'!S61</f>
        <v>12508.599999999999</v>
      </c>
      <c r="R10" s="51">
        <f>+'Job Details'!T50+'Job Details'!T54+'Job Details'!T60+'Job Details'!T61</f>
        <v>58.017679816970833</v>
      </c>
      <c r="S10" s="51">
        <f t="shared" si="6"/>
        <v>215.59979715598848</v>
      </c>
      <c r="T10" s="35">
        <f t="shared" si="7"/>
        <v>0.10563998541532556</v>
      </c>
      <c r="U10" s="32"/>
      <c r="V10" s="51">
        <f t="shared" si="8"/>
        <v>0</v>
      </c>
      <c r="Y10" s="51" t="e">
        <f t="shared" si="9"/>
        <v>#DIV/0!</v>
      </c>
      <c r="Z10" s="35" t="e">
        <f t="shared" si="10"/>
        <v>#DIV/0!</v>
      </c>
    </row>
    <row r="11" spans="1:26" s="1" customFormat="1" x14ac:dyDescent="0.25">
      <c r="A11" s="1" t="s">
        <v>21</v>
      </c>
      <c r="B11" s="30" t="s">
        <v>13</v>
      </c>
      <c r="C11" s="34"/>
      <c r="D11" s="51"/>
      <c r="G11" s="51"/>
      <c r="H11" s="35"/>
      <c r="I11" s="34"/>
      <c r="J11" s="51"/>
      <c r="K11" s="1">
        <f>+'Job Details'!M42+'Job Details'!M46</f>
        <v>302.14999999999998</v>
      </c>
      <c r="M11" s="51"/>
      <c r="N11" s="35"/>
      <c r="O11" s="34"/>
      <c r="P11" s="51">
        <f t="shared" si="11"/>
        <v>0</v>
      </c>
      <c r="S11" s="51"/>
      <c r="T11" s="35"/>
      <c r="U11" s="32"/>
      <c r="V11" s="51">
        <f t="shared" si="8"/>
        <v>0</v>
      </c>
      <c r="Y11" s="51" t="e">
        <f t="shared" si="9"/>
        <v>#DIV/0!</v>
      </c>
      <c r="Z11" s="35" t="e">
        <f t="shared" si="10"/>
        <v>#DIV/0!</v>
      </c>
    </row>
    <row r="12" spans="1:26" s="1" customFormat="1" x14ac:dyDescent="0.25">
      <c r="A12" s="1" t="s">
        <v>22</v>
      </c>
      <c r="B12" s="30" t="s">
        <v>13</v>
      </c>
      <c r="C12" s="1">
        <v>165</v>
      </c>
      <c r="D12" s="51">
        <f t="shared" si="0"/>
        <v>0</v>
      </c>
      <c r="G12" s="51" t="e">
        <f t="shared" si="1"/>
        <v>#DIV/0!</v>
      </c>
      <c r="H12" s="35" t="e">
        <f t="shared" si="2"/>
        <v>#DIV/0!</v>
      </c>
      <c r="I12" s="1">
        <v>150</v>
      </c>
      <c r="J12" s="51">
        <f t="shared" si="12"/>
        <v>3262.8594619666042</v>
      </c>
      <c r="K12" s="1">
        <f>+'Job Details'!M24+'Job Details'!M84+'Job Details'!M88</f>
        <v>3280.8499999999995</v>
      </c>
      <c r="L12" s="51">
        <f>+'Job Details'!N24+'Job Details'!N84+'Job Details'!N88</f>
        <v>21.752396413110695</v>
      </c>
      <c r="M12" s="51">
        <f t="shared" si="4"/>
        <v>150.82706004854489</v>
      </c>
      <c r="N12" s="35">
        <f t="shared" si="5"/>
        <v>5.5137336569659589E-3</v>
      </c>
      <c r="O12" s="1">
        <v>195</v>
      </c>
      <c r="P12" s="51">
        <f t="shared" si="11"/>
        <v>0</v>
      </c>
      <c r="S12" s="51" t="e">
        <f t="shared" si="6"/>
        <v>#DIV/0!</v>
      </c>
      <c r="T12" s="35" t="e">
        <f t="shared" si="7"/>
        <v>#DIV/0!</v>
      </c>
      <c r="U12" s="32">
        <v>150</v>
      </c>
      <c r="V12" s="51">
        <f t="shared" si="8"/>
        <v>298.61111111111109</v>
      </c>
      <c r="W12" s="1">
        <f>+'Job Details'!Y68</f>
        <v>322.5</v>
      </c>
      <c r="X12" s="51">
        <f>+'[1]Job Details'!Z68</f>
        <v>1.9907407407407407</v>
      </c>
      <c r="Y12" s="51">
        <f t="shared" si="9"/>
        <v>162</v>
      </c>
      <c r="Z12" s="35">
        <f t="shared" si="10"/>
        <v>0.08</v>
      </c>
    </row>
    <row r="13" spans="1:26" s="1" customFormat="1" x14ac:dyDescent="0.25">
      <c r="A13" s="1" t="s">
        <v>23</v>
      </c>
      <c r="B13" s="30" t="s">
        <v>13</v>
      </c>
      <c r="C13" s="1">
        <v>165</v>
      </c>
      <c r="D13" s="51">
        <f t="shared" si="0"/>
        <v>0</v>
      </c>
      <c r="G13" s="51" t="e">
        <f t="shared" si="1"/>
        <v>#DIV/0!</v>
      </c>
      <c r="H13" s="35" t="e">
        <f t="shared" si="2"/>
        <v>#DIV/0!</v>
      </c>
      <c r="I13" s="1">
        <v>150</v>
      </c>
      <c r="J13" s="51">
        <f t="shared" si="12"/>
        <v>5910.353002450981</v>
      </c>
      <c r="K13" s="1">
        <f>+'Job Details'!M7+'Job Details'!M10+'Job Details'!M15+'Job Details'!M33+'Job Details'!M59</f>
        <v>6325.7699999999995</v>
      </c>
      <c r="L13" s="51">
        <f>+'Job Details'!N7+'Job Details'!N10+'Job Details'!N15+'Job Details'!N33+'Job Details'!N59</f>
        <v>39.402353349673206</v>
      </c>
      <c r="M13" s="51">
        <f t="shared" si="4"/>
        <v>160.54294889095664</v>
      </c>
      <c r="N13" s="35">
        <f t="shared" si="5"/>
        <v>7.0286325939710917E-2</v>
      </c>
      <c r="O13" s="1">
        <v>195</v>
      </c>
      <c r="P13" s="51">
        <f t="shared" si="11"/>
        <v>0</v>
      </c>
      <c r="S13" s="51" t="e">
        <f t="shared" si="6"/>
        <v>#DIV/0!</v>
      </c>
      <c r="T13" s="35" t="e">
        <f t="shared" si="7"/>
        <v>#DIV/0!</v>
      </c>
      <c r="U13" s="32">
        <v>150</v>
      </c>
      <c r="V13" s="51">
        <f t="shared" si="8"/>
        <v>5026.8420896584448</v>
      </c>
      <c r="W13" s="1">
        <f>+'Job Details'!Y69+'Job Details'!Y71+'Job Details'!Y80</f>
        <v>5391.5</v>
      </c>
      <c r="X13" s="51">
        <f>+'Job Details'!Z69+'Job Details'!Z71+'Job Details'!Z80</f>
        <v>33.512280597722963</v>
      </c>
      <c r="Y13" s="51">
        <f t="shared" si="9"/>
        <v>160.88132182702995</v>
      </c>
      <c r="Z13" s="35">
        <f t="shared" si="10"/>
        <v>7.2542145513532996E-2</v>
      </c>
    </row>
    <row r="14" spans="1:26" s="1" customFormat="1" x14ac:dyDescent="0.25">
      <c r="A14" s="1" t="s">
        <v>24</v>
      </c>
      <c r="B14" s="30" t="s">
        <v>13</v>
      </c>
      <c r="C14" s="34"/>
      <c r="D14" s="51"/>
      <c r="G14" s="51"/>
      <c r="H14" s="35"/>
      <c r="I14" s="34"/>
      <c r="J14" s="51"/>
      <c r="L14" s="51"/>
      <c r="M14" s="51"/>
      <c r="N14" s="35"/>
      <c r="O14" s="34"/>
      <c r="P14" s="51">
        <f t="shared" si="11"/>
        <v>0</v>
      </c>
      <c r="S14" s="51"/>
      <c r="T14" s="35"/>
      <c r="U14" s="32"/>
      <c r="V14" s="51">
        <f t="shared" si="8"/>
        <v>0</v>
      </c>
      <c r="Y14" s="51" t="e">
        <f t="shared" si="9"/>
        <v>#DIV/0!</v>
      </c>
      <c r="Z14" s="35" t="e">
        <f t="shared" si="10"/>
        <v>#DIV/0!</v>
      </c>
    </row>
    <row r="15" spans="1:26" s="1" customFormat="1" x14ac:dyDescent="0.25">
      <c r="A15" s="1" t="s">
        <v>25</v>
      </c>
      <c r="B15" s="30" t="s">
        <v>13</v>
      </c>
      <c r="C15" s="1">
        <v>165</v>
      </c>
      <c r="D15" s="51">
        <f t="shared" si="0"/>
        <v>0</v>
      </c>
      <c r="G15" s="51" t="e">
        <f t="shared" si="1"/>
        <v>#DIV/0!</v>
      </c>
      <c r="H15" s="35" t="e">
        <f t="shared" si="2"/>
        <v>#DIV/0!</v>
      </c>
      <c r="I15" s="1">
        <v>150</v>
      </c>
      <c r="J15" s="51">
        <f t="shared" si="12"/>
        <v>3224.3286617312629</v>
      </c>
      <c r="K15" s="1">
        <f>+'Job Details'!M6+'Job Details'!M83+'Job Details'!M100</f>
        <v>3250.0199999999995</v>
      </c>
      <c r="L15" s="51">
        <f>+'Job Details'!N6+'Job Details'!N83+'Job Details'!N100</f>
        <v>21.495524411541751</v>
      </c>
      <c r="M15" s="51">
        <f t="shared" si="4"/>
        <v>151.1951947659831</v>
      </c>
      <c r="N15" s="35">
        <f t="shared" si="5"/>
        <v>7.967965106554023E-3</v>
      </c>
      <c r="O15" s="1">
        <v>195</v>
      </c>
      <c r="P15" s="51">
        <f t="shared" si="11"/>
        <v>0</v>
      </c>
      <c r="S15" s="51" t="e">
        <f t="shared" si="6"/>
        <v>#DIV/0!</v>
      </c>
      <c r="T15" s="35" t="e">
        <f t="shared" si="7"/>
        <v>#DIV/0!</v>
      </c>
      <c r="U15" s="32"/>
      <c r="V15" s="51">
        <f t="shared" si="8"/>
        <v>0</v>
      </c>
      <c r="Y15" s="51" t="e">
        <f t="shared" si="9"/>
        <v>#DIV/0!</v>
      </c>
      <c r="Z15" s="35" t="e">
        <f t="shared" si="10"/>
        <v>#DIV/0!</v>
      </c>
    </row>
    <row r="16" spans="1:26" s="1" customFormat="1" x14ac:dyDescent="0.25">
      <c r="A16" s="1" t="s">
        <v>26</v>
      </c>
      <c r="B16" s="30" t="s">
        <v>13</v>
      </c>
      <c r="C16" s="1">
        <v>165</v>
      </c>
      <c r="D16" s="51">
        <f t="shared" si="0"/>
        <v>0</v>
      </c>
      <c r="G16" s="51" t="e">
        <f t="shared" si="1"/>
        <v>#DIV/0!</v>
      </c>
      <c r="H16" s="35" t="e">
        <f t="shared" si="2"/>
        <v>#DIV/0!</v>
      </c>
      <c r="I16" s="1">
        <v>150</v>
      </c>
      <c r="J16" s="51">
        <f t="shared" si="12"/>
        <v>1781.3074172185432</v>
      </c>
      <c r="K16" s="1">
        <f>+'Job Details'!M36+'Job Details'!M58+'Job Details'!M82</f>
        <v>1772.83</v>
      </c>
      <c r="L16" s="51">
        <f>+'[1]Job Details'!N36+'[1]Job Details'!N58+'[1]Job Details'!N82</f>
        <v>11.875382781456954</v>
      </c>
      <c r="M16" s="51">
        <f t="shared" si="4"/>
        <v>149.28613524510718</v>
      </c>
      <c r="N16" s="35">
        <f t="shared" si="5"/>
        <v>-4.7590983659521651E-3</v>
      </c>
      <c r="O16" s="1">
        <v>195</v>
      </c>
      <c r="P16" s="51">
        <f t="shared" si="11"/>
        <v>0</v>
      </c>
      <c r="S16" s="51" t="e">
        <f t="shared" si="6"/>
        <v>#DIV/0!</v>
      </c>
      <c r="T16" s="35" t="e">
        <f t="shared" si="7"/>
        <v>#DIV/0!</v>
      </c>
      <c r="U16" s="32">
        <v>150</v>
      </c>
      <c r="V16" s="51">
        <f t="shared" si="8"/>
        <v>3595.4948646125117</v>
      </c>
      <c r="W16" s="1">
        <f>+'Job Details'!Y92+'Job Details'!Y96</f>
        <v>4247</v>
      </c>
      <c r="X16" s="51">
        <f>+'Job Details'!Z92+'Job Details'!Z96</f>
        <v>23.969965764083412</v>
      </c>
      <c r="Y16" s="51">
        <f t="shared" si="9"/>
        <v>177.18006115652042</v>
      </c>
      <c r="Z16" s="35">
        <f t="shared" si="10"/>
        <v>0.18120040771013615</v>
      </c>
    </row>
    <row r="17" spans="1:26" s="1" customFormat="1" x14ac:dyDescent="0.25">
      <c r="A17" s="1" t="s">
        <v>27</v>
      </c>
      <c r="B17" s="30" t="s">
        <v>13</v>
      </c>
      <c r="C17" s="34"/>
      <c r="D17" s="51"/>
      <c r="G17" s="51"/>
      <c r="H17" s="35"/>
      <c r="I17" s="34"/>
      <c r="J17" s="51"/>
      <c r="M17" s="51"/>
      <c r="N17" s="35"/>
      <c r="O17" s="34"/>
      <c r="P17" s="51">
        <f t="shared" si="11"/>
        <v>0</v>
      </c>
      <c r="S17" s="51"/>
      <c r="T17" s="35"/>
      <c r="U17" s="32"/>
      <c r="V17" s="51">
        <f t="shared" si="8"/>
        <v>0</v>
      </c>
      <c r="Y17" s="51" t="e">
        <f t="shared" si="9"/>
        <v>#DIV/0!</v>
      </c>
      <c r="Z17" s="35" t="e">
        <f t="shared" si="10"/>
        <v>#DIV/0!</v>
      </c>
    </row>
    <row r="18" spans="1:26" s="1" customFormat="1" x14ac:dyDescent="0.25">
      <c r="A18" s="1" t="s">
        <v>28</v>
      </c>
      <c r="B18" s="30" t="s">
        <v>13</v>
      </c>
      <c r="C18" s="1">
        <v>170</v>
      </c>
      <c r="D18" s="51">
        <f t="shared" si="0"/>
        <v>0</v>
      </c>
      <c r="G18" s="51" t="e">
        <f t="shared" si="1"/>
        <v>#DIV/0!</v>
      </c>
      <c r="H18" s="35" t="e">
        <f t="shared" si="2"/>
        <v>#DIV/0!</v>
      </c>
      <c r="I18" s="1">
        <v>155</v>
      </c>
      <c r="J18" s="51">
        <f t="shared" si="12"/>
        <v>364.27672413793107</v>
      </c>
      <c r="K18" s="1">
        <f>+'Job Details'!M63+'Job Details'!M101</f>
        <v>380.15</v>
      </c>
      <c r="L18" s="51">
        <f>+'Job Details'!N63+'Job Details'!N101</f>
        <v>2.3501724137931035</v>
      </c>
      <c r="M18" s="51">
        <f t="shared" si="4"/>
        <v>161.75408994204386</v>
      </c>
      <c r="N18" s="35">
        <f t="shared" si="5"/>
        <v>4.357477381963782E-2</v>
      </c>
      <c r="O18" s="1">
        <v>200</v>
      </c>
      <c r="P18" s="51">
        <f t="shared" si="11"/>
        <v>0</v>
      </c>
      <c r="S18" s="51" t="e">
        <f t="shared" si="6"/>
        <v>#DIV/0!</v>
      </c>
      <c r="T18" s="35" t="e">
        <f t="shared" si="7"/>
        <v>#DIV/0!</v>
      </c>
      <c r="U18" s="32"/>
      <c r="V18" s="51">
        <f t="shared" si="8"/>
        <v>0</v>
      </c>
      <c r="Y18" s="51" t="e">
        <f t="shared" si="9"/>
        <v>#DIV/0!</v>
      </c>
      <c r="Z18" s="35" t="e">
        <f t="shared" si="10"/>
        <v>#DIV/0!</v>
      </c>
    </row>
    <row r="19" spans="1:26" s="1" customFormat="1" x14ac:dyDescent="0.25">
      <c r="A19" s="1" t="s">
        <v>29</v>
      </c>
      <c r="B19" s="30" t="s">
        <v>13</v>
      </c>
      <c r="C19" s="1">
        <v>175</v>
      </c>
      <c r="D19" s="51">
        <f t="shared" si="0"/>
        <v>0</v>
      </c>
      <c r="G19" s="51" t="e">
        <f t="shared" si="1"/>
        <v>#DIV/0!</v>
      </c>
      <c r="H19" s="35" t="e">
        <f t="shared" si="2"/>
        <v>#DIV/0!</v>
      </c>
      <c r="I19" s="1">
        <v>165</v>
      </c>
      <c r="J19" s="51">
        <f t="shared" si="12"/>
        <v>9127.2526026029464</v>
      </c>
      <c r="K19" s="1">
        <f>+'Job Details'!M57+'Job Details'!M64+'Job Details'!M72+'Job Details'!M77</f>
        <v>9815.5</v>
      </c>
      <c r="L19" s="51">
        <f>+'Job Details'!N57+'Job Details'!N64+'Job Details'!N72+'Job Details'!N77</f>
        <v>55.316682440017857</v>
      </c>
      <c r="M19" s="51">
        <f t="shared" si="4"/>
        <v>177.44195000564881</v>
      </c>
      <c r="N19" s="35">
        <f t="shared" si="5"/>
        <v>7.5405757609992768E-2</v>
      </c>
      <c r="O19" s="1">
        <v>205</v>
      </c>
      <c r="P19" s="51">
        <f t="shared" si="11"/>
        <v>0</v>
      </c>
      <c r="S19" s="51" t="e">
        <f t="shared" si="6"/>
        <v>#DIV/0!</v>
      </c>
      <c r="T19" s="35" t="e">
        <f t="shared" si="7"/>
        <v>#DIV/0!</v>
      </c>
      <c r="U19" s="32"/>
      <c r="V19" s="51">
        <f t="shared" si="8"/>
        <v>0</v>
      </c>
      <c r="Y19" s="51" t="e">
        <f t="shared" si="9"/>
        <v>#DIV/0!</v>
      </c>
      <c r="Z19" s="35" t="e">
        <f t="shared" si="10"/>
        <v>#DIV/0!</v>
      </c>
    </row>
    <row r="20" spans="1:26" s="1" customFormat="1" x14ac:dyDescent="0.25">
      <c r="A20" s="1" t="s">
        <v>30</v>
      </c>
      <c r="B20" s="30" t="s">
        <v>13</v>
      </c>
      <c r="C20" s="34"/>
      <c r="D20" s="51"/>
      <c r="G20" s="51"/>
      <c r="H20" s="35"/>
      <c r="I20" s="34"/>
      <c r="J20" s="51"/>
      <c r="M20" s="51"/>
      <c r="N20" s="35"/>
      <c r="O20" s="34"/>
      <c r="P20" s="51">
        <f t="shared" si="11"/>
        <v>0</v>
      </c>
      <c r="S20" s="51"/>
      <c r="T20" s="35"/>
      <c r="U20" s="32"/>
      <c r="V20" s="51">
        <f t="shared" si="8"/>
        <v>0</v>
      </c>
      <c r="Y20" s="51" t="e">
        <f t="shared" si="9"/>
        <v>#DIV/0!</v>
      </c>
      <c r="Z20" s="35" t="e">
        <f t="shared" si="10"/>
        <v>#DIV/0!</v>
      </c>
    </row>
    <row r="21" spans="1:26" s="1" customFormat="1" x14ac:dyDescent="0.25">
      <c r="A21" s="1" t="s">
        <v>31</v>
      </c>
      <c r="B21" s="30" t="s">
        <v>13</v>
      </c>
      <c r="C21" s="1">
        <v>170</v>
      </c>
      <c r="D21" s="51">
        <f t="shared" si="0"/>
        <v>0</v>
      </c>
      <c r="G21" s="51" t="e">
        <f t="shared" si="1"/>
        <v>#DIV/0!</v>
      </c>
      <c r="H21" s="35" t="e">
        <f t="shared" si="2"/>
        <v>#DIV/0!</v>
      </c>
      <c r="I21" s="1">
        <v>155</v>
      </c>
      <c r="J21" s="51">
        <f t="shared" si="12"/>
        <v>0</v>
      </c>
      <c r="M21" s="51" t="e">
        <f t="shared" si="4"/>
        <v>#DIV/0!</v>
      </c>
      <c r="N21" s="35" t="e">
        <f t="shared" si="5"/>
        <v>#DIV/0!</v>
      </c>
      <c r="O21" s="34"/>
      <c r="P21" s="51">
        <f t="shared" si="11"/>
        <v>0</v>
      </c>
      <c r="S21" s="51" t="e">
        <f t="shared" si="6"/>
        <v>#DIV/0!</v>
      </c>
      <c r="T21" s="35" t="e">
        <f t="shared" si="7"/>
        <v>#DIV/0!</v>
      </c>
      <c r="U21" s="32"/>
      <c r="V21" s="51">
        <f t="shared" si="8"/>
        <v>0</v>
      </c>
      <c r="Y21" s="51" t="e">
        <f t="shared" si="9"/>
        <v>#DIV/0!</v>
      </c>
      <c r="Z21" s="35" t="e">
        <f t="shared" si="10"/>
        <v>#DIV/0!</v>
      </c>
    </row>
    <row r="22" spans="1:26" s="1" customFormat="1" x14ac:dyDescent="0.25">
      <c r="A22" s="1" t="s">
        <v>32</v>
      </c>
      <c r="B22" s="30" t="s">
        <v>13</v>
      </c>
      <c r="C22" s="1">
        <v>175</v>
      </c>
      <c r="D22" s="51">
        <f t="shared" si="0"/>
        <v>0</v>
      </c>
      <c r="G22" s="51" t="e">
        <f t="shared" si="1"/>
        <v>#DIV/0!</v>
      </c>
      <c r="H22" s="35" t="e">
        <f t="shared" si="2"/>
        <v>#DIV/0!</v>
      </c>
      <c r="I22" s="1">
        <v>165</v>
      </c>
      <c r="J22" s="51">
        <f t="shared" si="12"/>
        <v>0</v>
      </c>
      <c r="M22" s="51" t="e">
        <f t="shared" si="4"/>
        <v>#DIV/0!</v>
      </c>
      <c r="N22" s="35" t="e">
        <f t="shared" si="5"/>
        <v>#DIV/0!</v>
      </c>
      <c r="O22" s="34"/>
      <c r="P22" s="51">
        <f t="shared" si="11"/>
        <v>0</v>
      </c>
      <c r="S22" s="51" t="e">
        <f t="shared" si="6"/>
        <v>#DIV/0!</v>
      </c>
      <c r="T22" s="35" t="e">
        <f t="shared" si="7"/>
        <v>#DIV/0!</v>
      </c>
      <c r="U22" s="32"/>
      <c r="V22" s="51">
        <f t="shared" si="8"/>
        <v>0</v>
      </c>
      <c r="Y22" s="51" t="e">
        <f t="shared" si="9"/>
        <v>#DIV/0!</v>
      </c>
      <c r="Z22" s="35" t="e">
        <f t="shared" si="10"/>
        <v>#DIV/0!</v>
      </c>
    </row>
    <row r="23" spans="1:26" s="1" customFormat="1" x14ac:dyDescent="0.25">
      <c r="A23" s="1" t="s">
        <v>33</v>
      </c>
      <c r="B23" s="30" t="s">
        <v>13</v>
      </c>
      <c r="C23" s="34"/>
      <c r="D23" s="51"/>
      <c r="G23" s="51"/>
      <c r="H23" s="35"/>
      <c r="I23" s="34"/>
      <c r="J23" s="51"/>
      <c r="M23" s="51"/>
      <c r="N23" s="35"/>
      <c r="O23" s="34"/>
      <c r="P23" s="51">
        <f t="shared" si="11"/>
        <v>0</v>
      </c>
      <c r="S23" s="51"/>
      <c r="T23" s="35"/>
      <c r="U23" s="32"/>
      <c r="V23" s="51">
        <f t="shared" si="8"/>
        <v>0</v>
      </c>
      <c r="Y23" s="51" t="e">
        <f t="shared" si="9"/>
        <v>#DIV/0!</v>
      </c>
      <c r="Z23" s="35" t="e">
        <f t="shared" si="10"/>
        <v>#DIV/0!</v>
      </c>
    </row>
    <row r="24" spans="1:26" s="1" customFormat="1" x14ac:dyDescent="0.25">
      <c r="A24" s="1" t="s">
        <v>34</v>
      </c>
      <c r="B24" s="30" t="s">
        <v>13</v>
      </c>
      <c r="C24" s="1">
        <v>170</v>
      </c>
      <c r="D24" s="51">
        <f>C24*F24</f>
        <v>0</v>
      </c>
      <c r="G24" s="51" t="e">
        <f>E24/F24</f>
        <v>#DIV/0!</v>
      </c>
      <c r="H24" s="35" t="e">
        <f>(G24-C24)/C24</f>
        <v>#DIV/0!</v>
      </c>
      <c r="I24" s="1">
        <v>155</v>
      </c>
      <c r="J24" s="51">
        <f>I24*L24</f>
        <v>0</v>
      </c>
      <c r="M24" s="51" t="e">
        <f>K24/L24</f>
        <v>#DIV/0!</v>
      </c>
      <c r="N24" s="35" t="e">
        <f>(M24-I24)/I24</f>
        <v>#DIV/0!</v>
      </c>
      <c r="O24" s="34"/>
      <c r="P24" s="51">
        <f t="shared" si="11"/>
        <v>0</v>
      </c>
      <c r="S24" s="51"/>
      <c r="T24" s="35"/>
      <c r="U24" s="32"/>
      <c r="V24" s="51">
        <f t="shared" si="8"/>
        <v>0</v>
      </c>
      <c r="Y24" s="51" t="e">
        <f t="shared" si="9"/>
        <v>#DIV/0!</v>
      </c>
      <c r="Z24" s="35" t="e">
        <f t="shared" si="10"/>
        <v>#DIV/0!</v>
      </c>
    </row>
    <row r="25" spans="1:26" s="1" customFormat="1" x14ac:dyDescent="0.25">
      <c r="A25" s="1" t="s">
        <v>35</v>
      </c>
      <c r="B25" s="30" t="s">
        <v>13</v>
      </c>
      <c r="C25" s="1">
        <v>175</v>
      </c>
      <c r="D25" s="51">
        <f>C25*F25</f>
        <v>0</v>
      </c>
      <c r="G25" s="51" t="e">
        <f>E25/F25</f>
        <v>#DIV/0!</v>
      </c>
      <c r="H25" s="35" t="e">
        <f>(G25-C25)/C25</f>
        <v>#DIV/0!</v>
      </c>
      <c r="I25" s="1">
        <v>165</v>
      </c>
      <c r="J25" s="51">
        <f>I25*L25</f>
        <v>0</v>
      </c>
      <c r="M25" s="51" t="e">
        <f>K25/L25</f>
        <v>#DIV/0!</v>
      </c>
      <c r="N25" s="35" t="e">
        <f>(M25-I25)/I25</f>
        <v>#DIV/0!</v>
      </c>
      <c r="O25" s="34"/>
      <c r="P25" s="51">
        <f t="shared" si="11"/>
        <v>0</v>
      </c>
      <c r="S25" s="51"/>
      <c r="T25" s="35"/>
      <c r="U25" s="32"/>
      <c r="V25" s="51">
        <f t="shared" si="8"/>
        <v>0</v>
      </c>
      <c r="Y25" s="51" t="e">
        <f t="shared" si="9"/>
        <v>#DIV/0!</v>
      </c>
      <c r="Z25" s="35" t="e">
        <f t="shared" si="10"/>
        <v>#DIV/0!</v>
      </c>
    </row>
    <row r="26" spans="1:26" s="1" customFormat="1" x14ac:dyDescent="0.25">
      <c r="A26" s="1" t="s">
        <v>36</v>
      </c>
      <c r="B26" s="30" t="s">
        <v>13</v>
      </c>
      <c r="C26" s="34"/>
      <c r="D26" s="51"/>
      <c r="G26" s="51"/>
      <c r="H26" s="35"/>
      <c r="I26" s="34"/>
      <c r="J26" s="51"/>
      <c r="M26" s="51"/>
      <c r="N26" s="35"/>
      <c r="O26" s="34"/>
      <c r="P26" s="51">
        <f t="shared" si="11"/>
        <v>0</v>
      </c>
      <c r="S26" s="51"/>
      <c r="T26" s="35"/>
      <c r="U26" s="32"/>
      <c r="V26" s="51">
        <f t="shared" si="8"/>
        <v>0</v>
      </c>
      <c r="Y26" s="51" t="e">
        <f t="shared" si="9"/>
        <v>#DIV/0!</v>
      </c>
      <c r="Z26" s="35" t="e">
        <f t="shared" si="10"/>
        <v>#DIV/0!</v>
      </c>
    </row>
    <row r="27" spans="1:26" s="1" customFormat="1" x14ac:dyDescent="0.25">
      <c r="A27" s="1" t="s">
        <v>37</v>
      </c>
      <c r="B27" s="30" t="s">
        <v>13</v>
      </c>
      <c r="C27" s="1">
        <v>170</v>
      </c>
      <c r="D27" s="51">
        <f t="shared" si="0"/>
        <v>0</v>
      </c>
      <c r="G27" s="51" t="e">
        <f t="shared" si="1"/>
        <v>#DIV/0!</v>
      </c>
      <c r="H27" s="35" t="e">
        <f t="shared" si="2"/>
        <v>#DIV/0!</v>
      </c>
      <c r="I27" s="1">
        <v>160</v>
      </c>
      <c r="J27" s="51">
        <f t="shared" si="12"/>
        <v>0</v>
      </c>
      <c r="M27" s="51" t="e">
        <f t="shared" si="4"/>
        <v>#DIV/0!</v>
      </c>
      <c r="N27" s="35" t="e">
        <f t="shared" si="5"/>
        <v>#DIV/0!</v>
      </c>
      <c r="O27" s="34"/>
      <c r="P27" s="51">
        <f t="shared" si="11"/>
        <v>0</v>
      </c>
      <c r="S27" s="51" t="e">
        <f t="shared" si="6"/>
        <v>#DIV/0!</v>
      </c>
      <c r="T27" s="35" t="e">
        <f t="shared" si="7"/>
        <v>#DIV/0!</v>
      </c>
      <c r="U27" s="32"/>
      <c r="V27" s="51">
        <f t="shared" si="8"/>
        <v>0</v>
      </c>
      <c r="Y27" s="51" t="e">
        <f t="shared" si="9"/>
        <v>#DIV/0!</v>
      </c>
      <c r="Z27" s="35" t="e">
        <f t="shared" si="10"/>
        <v>#DIV/0!</v>
      </c>
    </row>
    <row r="28" spans="1:26" s="1" customFormat="1" x14ac:dyDescent="0.25">
      <c r="A28" s="1" t="s">
        <v>38</v>
      </c>
      <c r="B28" s="30" t="s">
        <v>13</v>
      </c>
      <c r="C28" s="1">
        <v>175</v>
      </c>
      <c r="D28" s="51">
        <f t="shared" si="0"/>
        <v>0</v>
      </c>
      <c r="G28" s="51" t="e">
        <f t="shared" si="1"/>
        <v>#DIV/0!</v>
      </c>
      <c r="H28" s="35" t="e">
        <f t="shared" si="2"/>
        <v>#DIV/0!</v>
      </c>
      <c r="I28" s="1">
        <v>170</v>
      </c>
      <c r="J28" s="51">
        <f t="shared" si="12"/>
        <v>1879.0666666666666</v>
      </c>
      <c r="K28" s="1">
        <f>+'Job Details'!M105</f>
        <v>1658</v>
      </c>
      <c r="L28" s="51">
        <f>+'Job Details'!N105</f>
        <v>11.053333333333333</v>
      </c>
      <c r="M28" s="51">
        <f t="shared" si="4"/>
        <v>150</v>
      </c>
      <c r="N28" s="35">
        <f t="shared" si="5"/>
        <v>-0.11764705882352941</v>
      </c>
      <c r="O28" s="34"/>
      <c r="P28" s="51">
        <f t="shared" si="11"/>
        <v>0</v>
      </c>
      <c r="S28" s="51" t="e">
        <f t="shared" si="6"/>
        <v>#DIV/0!</v>
      </c>
      <c r="T28" s="35" t="e">
        <f t="shared" si="7"/>
        <v>#DIV/0!</v>
      </c>
      <c r="U28" s="32"/>
      <c r="V28" s="51">
        <f t="shared" si="8"/>
        <v>0</v>
      </c>
      <c r="Y28" s="51" t="e">
        <f t="shared" si="9"/>
        <v>#DIV/0!</v>
      </c>
      <c r="Z28" s="35" t="e">
        <f t="shared" si="10"/>
        <v>#DIV/0!</v>
      </c>
    </row>
    <row r="29" spans="1:26" s="46" customFormat="1" ht="15.75" thickBot="1" x14ac:dyDescent="0.3">
      <c r="A29" s="1" t="s">
        <v>39</v>
      </c>
      <c r="B29" s="30" t="s">
        <v>13</v>
      </c>
      <c r="C29" s="45"/>
      <c r="D29" s="60"/>
      <c r="G29" s="60"/>
      <c r="H29" s="47"/>
      <c r="I29" s="45"/>
      <c r="J29" s="60"/>
      <c r="M29" s="60"/>
      <c r="N29" s="47"/>
      <c r="O29" s="45"/>
      <c r="P29" s="51">
        <f t="shared" si="11"/>
        <v>0</v>
      </c>
      <c r="S29" s="60"/>
      <c r="T29" s="47"/>
      <c r="U29" s="44"/>
      <c r="V29" s="51">
        <f t="shared" si="8"/>
        <v>0</v>
      </c>
      <c r="Y29" s="51" t="e">
        <f t="shared" si="9"/>
        <v>#DIV/0!</v>
      </c>
      <c r="Z29" s="35" t="e">
        <f t="shared" si="10"/>
        <v>#DIV/0!</v>
      </c>
    </row>
    <row r="30" spans="1:26" s="25" customFormat="1" ht="15.75" thickBot="1" x14ac:dyDescent="0.3">
      <c r="A30" s="24" t="s">
        <v>40</v>
      </c>
      <c r="B30" s="38"/>
      <c r="C30" s="24"/>
      <c r="D30" s="61">
        <f>SUM(D3:D28)</f>
        <v>63792.273796787849</v>
      </c>
      <c r="E30" s="25">
        <f>SUM(E3:E28)</f>
        <v>64584.13</v>
      </c>
      <c r="G30" s="61"/>
      <c r="H30" s="70">
        <f>(E30-D30)/D30</f>
        <v>1.2413042459258141E-2</v>
      </c>
      <c r="I30" s="24"/>
      <c r="J30" s="61">
        <f>SUM(J3:J28)</f>
        <v>45506.039741353001</v>
      </c>
      <c r="K30" s="25">
        <f>SUM(K3:K28)</f>
        <v>47258.35</v>
      </c>
      <c r="M30" s="61"/>
      <c r="N30" s="71">
        <f>(K30-J30)/J30</f>
        <v>3.850720187049389E-2</v>
      </c>
      <c r="O30" s="24"/>
      <c r="P30" s="61">
        <f>SUM(P3:P28)</f>
        <v>77602.618936694736</v>
      </c>
      <c r="Q30" s="25">
        <f>SUM(Q3:Q28)</f>
        <v>81628.820000000007</v>
      </c>
      <c r="S30" s="61"/>
      <c r="T30" s="71">
        <f>(Q30-P30)/P30</f>
        <v>5.1882283336206633E-2</v>
      </c>
      <c r="U30" s="24"/>
      <c r="V30" s="61">
        <f>SUM(V3:V28)</f>
        <v>13607.06065235234</v>
      </c>
      <c r="W30" s="25">
        <f>SUM(W3:W28)</f>
        <v>15097</v>
      </c>
      <c r="Y30" s="61"/>
      <c r="Z30" s="71">
        <f>(W30-V30)/V30</f>
        <v>0.10949751645224602</v>
      </c>
    </row>
  </sheetData>
  <autoFilter ref="A2:Z30" xr:uid="{8C6DC29F-ECE3-4316-8A57-A9BC72F5BF2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69A7-8F8D-46BD-8E5D-2CF3CD4450E6}">
  <dimension ref="A1:H4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5"/>
      <c r="B1" s="5"/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</row>
    <row r="2" spans="1:8" x14ac:dyDescent="0.25">
      <c r="A2" s="1" t="s">
        <v>4</v>
      </c>
      <c r="B2" s="1" t="s">
        <v>5</v>
      </c>
      <c r="C2" s="4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 s="2" t="s">
        <v>12</v>
      </c>
      <c r="B3" s="2" t="s">
        <v>13</v>
      </c>
      <c r="C3" s="2">
        <v>80</v>
      </c>
      <c r="D3" s="2">
        <f>C3*F3</f>
        <v>5040</v>
      </c>
      <c r="E3" s="2">
        <f>1280+590+3750</f>
        <v>5620</v>
      </c>
      <c r="F3" s="2">
        <v>63</v>
      </c>
      <c r="G3" s="2">
        <f>E3/F3</f>
        <v>89.206349206349202</v>
      </c>
      <c r="H3" s="3">
        <f>(G3-C3)/C3</f>
        <v>0.11507936507936503</v>
      </c>
    </row>
    <row r="4" spans="1:8" x14ac:dyDescent="0.25">
      <c r="A4" s="2" t="s">
        <v>14</v>
      </c>
      <c r="B4" s="2" t="s">
        <v>13</v>
      </c>
      <c r="C4" s="2">
        <v>100</v>
      </c>
      <c r="D4" s="2">
        <f t="shared" ref="D4" si="0">C4*F4</f>
        <v>11500</v>
      </c>
      <c r="E4" s="2">
        <v>13412</v>
      </c>
      <c r="F4" s="2">
        <v>115</v>
      </c>
      <c r="G4" s="2">
        <f t="shared" ref="G4" si="1">E4/F4</f>
        <v>116.62608695652175</v>
      </c>
      <c r="H4" s="3">
        <f t="shared" ref="H4" si="2">(G4-C4)/C4</f>
        <v>0.16626086956521746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0EFF-3DD1-4F63-AB5D-039692A2D1E2}">
  <dimension ref="A1:AB139"/>
  <sheetViews>
    <sheetView topLeftCell="A126" workbookViewId="0">
      <pane xSplit="3" topLeftCell="T1" activePane="topRight" state="frozen"/>
      <selection pane="topRight" activeCell="AB145" sqref="AB145"/>
    </sheetView>
  </sheetViews>
  <sheetFormatPr defaultColWidth="9.140625" defaultRowHeight="15" x14ac:dyDescent="0.25"/>
  <cols>
    <col min="1" max="1" width="7.28515625" style="2" customWidth="1"/>
    <col min="2" max="2" width="19.42578125" style="2" customWidth="1"/>
    <col min="3" max="3" width="13.85546875" style="2" customWidth="1"/>
    <col min="4" max="4" width="12.28515625" style="2" customWidth="1"/>
    <col min="5" max="5" width="13.42578125" style="11" customWidth="1"/>
    <col min="6" max="6" width="19.28515625" style="66" customWidth="1"/>
    <col min="7" max="7" width="24.85546875" style="2" customWidth="1"/>
    <col min="8" max="8" width="13.85546875" style="54" customWidth="1"/>
    <col min="9" max="9" width="15.7109375" style="54" customWidth="1"/>
    <col min="10" max="10" width="12.42578125" style="12" customWidth="1"/>
    <col min="11" max="11" width="14.7109375" style="11" customWidth="1"/>
    <col min="12" max="12" width="18.28515625" style="54" customWidth="1"/>
    <col min="13" max="13" width="25.28515625" style="2" customWidth="1"/>
    <col min="14" max="14" width="14.140625" style="54" customWidth="1"/>
    <col min="15" max="15" width="14.28515625" style="54" customWidth="1"/>
    <col min="16" max="16" width="12.42578125" style="12" customWidth="1"/>
    <col min="17" max="17" width="14.5703125" style="11" customWidth="1"/>
    <col min="18" max="18" width="20.5703125" style="54" customWidth="1"/>
    <col min="19" max="19" width="24.85546875" style="2" customWidth="1"/>
    <col min="20" max="20" width="15" style="54" customWidth="1"/>
    <col min="21" max="21" width="12.5703125" style="2" customWidth="1"/>
    <col min="22" max="22" width="12.5703125" style="12" customWidth="1"/>
    <col min="23" max="23" width="10.5703125" style="2" bestFit="1" customWidth="1"/>
    <col min="24" max="24" width="18.7109375" style="54" bestFit="1" customWidth="1"/>
    <col min="25" max="25" width="24.7109375" style="2" bestFit="1" customWidth="1"/>
    <col min="26" max="26" width="13.7109375" style="54" bestFit="1" customWidth="1"/>
    <col min="27" max="27" width="14" style="2" customWidth="1"/>
    <col min="28" max="28" width="12.42578125" style="2" customWidth="1"/>
    <col min="29" max="16384" width="9.140625" style="2"/>
  </cols>
  <sheetData>
    <row r="1" spans="1:28" s="6" customFormat="1" x14ac:dyDescent="0.25">
      <c r="A1" s="5"/>
      <c r="B1" s="5"/>
      <c r="C1" s="5"/>
      <c r="D1" s="7"/>
      <c r="E1" s="28" t="s">
        <v>0</v>
      </c>
      <c r="F1" s="62" t="s">
        <v>0</v>
      </c>
      <c r="G1" s="9" t="s">
        <v>0</v>
      </c>
      <c r="H1" s="49" t="s">
        <v>0</v>
      </c>
      <c r="I1" s="49" t="s">
        <v>0</v>
      </c>
      <c r="J1" s="10" t="s">
        <v>0</v>
      </c>
      <c r="K1" s="8" t="s">
        <v>1</v>
      </c>
      <c r="L1" s="49" t="s">
        <v>1</v>
      </c>
      <c r="M1" s="9" t="s">
        <v>1</v>
      </c>
      <c r="N1" s="49" t="s">
        <v>1</v>
      </c>
      <c r="O1" s="49" t="s">
        <v>1</v>
      </c>
      <c r="P1" s="10" t="s">
        <v>1</v>
      </c>
      <c r="Q1" s="8" t="s">
        <v>2</v>
      </c>
      <c r="R1" s="49" t="s">
        <v>2</v>
      </c>
      <c r="S1" s="9" t="s">
        <v>2</v>
      </c>
      <c r="T1" s="49" t="s">
        <v>2</v>
      </c>
      <c r="U1" s="9" t="s">
        <v>2</v>
      </c>
      <c r="V1" s="10" t="s">
        <v>2</v>
      </c>
      <c r="W1" s="28" t="s">
        <v>3</v>
      </c>
      <c r="X1" s="57" t="s">
        <v>3</v>
      </c>
      <c r="Y1" s="28" t="s">
        <v>3</v>
      </c>
      <c r="Z1" s="57" t="s">
        <v>3</v>
      </c>
      <c r="AA1" s="28" t="s">
        <v>3</v>
      </c>
      <c r="AB1" s="28" t="s">
        <v>3</v>
      </c>
    </row>
    <row r="2" spans="1:28" s="6" customFormat="1" x14ac:dyDescent="0.25">
      <c r="A2" s="15" t="s">
        <v>41</v>
      </c>
      <c r="B2" s="15" t="s">
        <v>42</v>
      </c>
      <c r="C2" s="15" t="s">
        <v>4</v>
      </c>
      <c r="D2" s="16" t="s">
        <v>5</v>
      </c>
      <c r="E2" s="29" t="s">
        <v>6</v>
      </c>
      <c r="F2" s="59" t="s">
        <v>7</v>
      </c>
      <c r="G2" s="15" t="s">
        <v>8</v>
      </c>
      <c r="H2" s="50" t="s">
        <v>9</v>
      </c>
      <c r="I2" s="50" t="s">
        <v>10</v>
      </c>
      <c r="J2" s="18" t="s">
        <v>11</v>
      </c>
      <c r="K2" s="17" t="s">
        <v>6</v>
      </c>
      <c r="L2" s="50" t="s">
        <v>7</v>
      </c>
      <c r="M2" s="15" t="s">
        <v>8</v>
      </c>
      <c r="N2" s="50" t="s">
        <v>9</v>
      </c>
      <c r="O2" s="50" t="s">
        <v>10</v>
      </c>
      <c r="P2" s="18" t="s">
        <v>11</v>
      </c>
      <c r="Q2" s="19" t="s">
        <v>6</v>
      </c>
      <c r="R2" s="50" t="s">
        <v>7</v>
      </c>
      <c r="S2" s="15" t="s">
        <v>8</v>
      </c>
      <c r="T2" s="50" t="s">
        <v>9</v>
      </c>
      <c r="U2" s="15" t="s">
        <v>10</v>
      </c>
      <c r="V2" s="18" t="s">
        <v>11</v>
      </c>
      <c r="W2" s="29" t="s">
        <v>6</v>
      </c>
      <c r="X2" s="59" t="s">
        <v>7</v>
      </c>
      <c r="Y2" s="15" t="s">
        <v>8</v>
      </c>
      <c r="Z2" s="50" t="s">
        <v>9</v>
      </c>
      <c r="AA2" s="15" t="s">
        <v>10</v>
      </c>
      <c r="AB2" s="18" t="s">
        <v>11</v>
      </c>
    </row>
    <row r="3" spans="1:28" s="1" customFormat="1" x14ac:dyDescent="0.25">
      <c r="B3" s="20">
        <v>45931</v>
      </c>
      <c r="C3" s="1" t="s">
        <v>20</v>
      </c>
      <c r="D3" s="1" t="s">
        <v>13</v>
      </c>
      <c r="E3" s="30">
        <v>170</v>
      </c>
      <c r="F3" s="63">
        <f t="shared" ref="F3:F66" si="0">E3*H3</f>
        <v>3910</v>
      </c>
      <c r="G3" s="1">
        <v>3672.65</v>
      </c>
      <c r="H3" s="51">
        <v>23</v>
      </c>
      <c r="I3" s="51">
        <f t="shared" ref="I3:I66" si="1">G3/H3</f>
        <v>159.6804347826087</v>
      </c>
      <c r="J3" s="35">
        <f t="shared" ref="J3:J66" si="2">(I3-E3)/E3</f>
        <v>-6.070332480818412E-2</v>
      </c>
      <c r="K3" s="34"/>
      <c r="L3" s="51">
        <f t="shared" ref="L3:L34" si="3">K3*N3</f>
        <v>0</v>
      </c>
      <c r="N3" s="51"/>
      <c r="O3" s="51" t="e">
        <f t="shared" ref="O3:O66" si="4">M3/N3</f>
        <v>#DIV/0!</v>
      </c>
      <c r="P3" s="35" t="e">
        <f t="shared" ref="P3:P66" si="5">(O3-K3)/K3</f>
        <v>#DIV/0!</v>
      </c>
      <c r="Q3" s="34"/>
      <c r="R3" s="51">
        <f>Q3*T3</f>
        <v>0</v>
      </c>
      <c r="T3" s="51"/>
      <c r="U3" s="1" t="e">
        <f t="shared" ref="U3:U66" si="6">S3/T3</f>
        <v>#DIV/0!</v>
      </c>
      <c r="V3" s="35" t="e">
        <f t="shared" ref="V3:V66" si="7">(U3-Q3)/Q3</f>
        <v>#DIV/0!</v>
      </c>
      <c r="W3" s="32"/>
      <c r="X3" s="51">
        <f t="shared" ref="X3:X66" si="8">W3*Z3</f>
        <v>0</v>
      </c>
      <c r="Z3" s="51"/>
      <c r="AA3" s="1" t="e">
        <f t="shared" ref="AA3:AA66" si="9">Y3/Z3</f>
        <v>#DIV/0!</v>
      </c>
      <c r="AB3" s="35" t="e">
        <f t="shared" ref="AB3:AB66" si="10">(AA3-W3)/W3</f>
        <v>#DIV/0!</v>
      </c>
    </row>
    <row r="4" spans="1:28" s="1" customFormat="1" x14ac:dyDescent="0.25">
      <c r="B4" s="20">
        <v>45931</v>
      </c>
      <c r="C4" s="1" t="s">
        <v>17</v>
      </c>
      <c r="D4" s="1" t="s">
        <v>13</v>
      </c>
      <c r="E4" s="30"/>
      <c r="F4" s="63">
        <f t="shared" si="0"/>
        <v>0</v>
      </c>
      <c r="H4" s="51"/>
      <c r="I4" s="51" t="e">
        <f t="shared" si="1"/>
        <v>#DIV/0!</v>
      </c>
      <c r="J4" s="35" t="e">
        <f t="shared" si="2"/>
        <v>#DIV/0!</v>
      </c>
      <c r="K4" s="1">
        <v>140</v>
      </c>
      <c r="L4" s="51">
        <f t="shared" si="3"/>
        <v>420</v>
      </c>
      <c r="M4" s="1">
        <v>352.8</v>
      </c>
      <c r="N4" s="51">
        <v>3</v>
      </c>
      <c r="O4" s="51">
        <f t="shared" si="4"/>
        <v>117.60000000000001</v>
      </c>
      <c r="P4" s="35">
        <f t="shared" si="5"/>
        <v>-0.15999999999999995</v>
      </c>
      <c r="Q4" s="1">
        <v>195</v>
      </c>
      <c r="R4" s="51">
        <f t="shared" ref="R4:R67" si="11">Q4*T4</f>
        <v>1182.7537878787878</v>
      </c>
      <c r="S4" s="1">
        <v>1200.9499999999998</v>
      </c>
      <c r="T4" s="51">
        <f>+S4/198</f>
        <v>6.0654040404040392</v>
      </c>
      <c r="U4" s="1">
        <f t="shared" si="6"/>
        <v>198</v>
      </c>
      <c r="V4" s="48">
        <f t="shared" si="7"/>
        <v>1.5384615384615385E-2</v>
      </c>
      <c r="W4" s="32"/>
      <c r="X4" s="51">
        <f t="shared" si="8"/>
        <v>0</v>
      </c>
      <c r="Z4" s="51"/>
      <c r="AA4" s="1" t="e">
        <f t="shared" si="9"/>
        <v>#DIV/0!</v>
      </c>
      <c r="AB4" s="35" t="e">
        <f t="shared" si="10"/>
        <v>#DIV/0!</v>
      </c>
    </row>
    <row r="5" spans="1:28" s="1" customFormat="1" x14ac:dyDescent="0.25">
      <c r="B5" s="20">
        <v>45931</v>
      </c>
      <c r="C5" s="1" t="s">
        <v>14</v>
      </c>
      <c r="D5" s="1" t="s">
        <v>13</v>
      </c>
      <c r="E5" s="30"/>
      <c r="F5" s="63">
        <f t="shared" si="0"/>
        <v>0</v>
      </c>
      <c r="H5" s="51"/>
      <c r="I5" s="51" t="e">
        <f t="shared" si="1"/>
        <v>#DIV/0!</v>
      </c>
      <c r="J5" s="35" t="e">
        <f t="shared" si="2"/>
        <v>#DIV/0!</v>
      </c>
      <c r="K5" s="1">
        <v>85</v>
      </c>
      <c r="L5" s="51">
        <f t="shared" si="3"/>
        <v>263.5</v>
      </c>
      <c r="M5" s="1">
        <v>260.3</v>
      </c>
      <c r="N5" s="51">
        <v>3.1</v>
      </c>
      <c r="O5" s="51">
        <f t="shared" si="4"/>
        <v>83.967741935483872</v>
      </c>
      <c r="P5" s="48">
        <f t="shared" si="5"/>
        <v>-1.2144212523719155E-2</v>
      </c>
      <c r="Q5" s="34"/>
      <c r="R5" s="51">
        <f t="shared" si="11"/>
        <v>0</v>
      </c>
      <c r="T5" s="51"/>
      <c r="U5" s="1" t="e">
        <f t="shared" si="6"/>
        <v>#DIV/0!</v>
      </c>
      <c r="V5" s="35" t="e">
        <f t="shared" si="7"/>
        <v>#DIV/0!</v>
      </c>
      <c r="W5" s="32"/>
      <c r="X5" s="51">
        <f t="shared" si="8"/>
        <v>0</v>
      </c>
      <c r="Z5" s="51"/>
      <c r="AA5" s="1" t="e">
        <f t="shared" si="9"/>
        <v>#DIV/0!</v>
      </c>
      <c r="AB5" s="35" t="e">
        <f t="shared" si="10"/>
        <v>#DIV/0!</v>
      </c>
    </row>
    <row r="6" spans="1:28" s="1" customFormat="1" x14ac:dyDescent="0.25">
      <c r="B6" s="20">
        <v>45931</v>
      </c>
      <c r="C6" s="1" t="s">
        <v>25</v>
      </c>
      <c r="D6" s="1" t="s">
        <v>13</v>
      </c>
      <c r="E6" s="30"/>
      <c r="F6" s="63">
        <f t="shared" si="0"/>
        <v>0</v>
      </c>
      <c r="H6" s="51"/>
      <c r="I6" s="51" t="e">
        <f t="shared" si="1"/>
        <v>#DIV/0!</v>
      </c>
      <c r="J6" s="35" t="e">
        <f t="shared" si="2"/>
        <v>#DIV/0!</v>
      </c>
      <c r="K6" s="34">
        <v>150</v>
      </c>
      <c r="L6" s="51">
        <f t="shared" si="3"/>
        <v>249.38811188811187</v>
      </c>
      <c r="M6" s="1">
        <v>237.75</v>
      </c>
      <c r="N6" s="51">
        <f>+M6/143</f>
        <v>1.6625874125874125</v>
      </c>
      <c r="O6" s="51">
        <f>M6/N6</f>
        <v>143</v>
      </c>
      <c r="P6" s="35">
        <f t="shared" si="5"/>
        <v>-4.6666666666666669E-2</v>
      </c>
      <c r="Q6" s="34"/>
      <c r="R6" s="51">
        <f t="shared" si="11"/>
        <v>0</v>
      </c>
      <c r="T6" s="51"/>
      <c r="U6" s="1" t="e">
        <f t="shared" si="6"/>
        <v>#DIV/0!</v>
      </c>
      <c r="V6" s="35" t="e">
        <f t="shared" si="7"/>
        <v>#DIV/0!</v>
      </c>
      <c r="W6" s="32"/>
      <c r="X6" s="51">
        <f t="shared" si="8"/>
        <v>0</v>
      </c>
      <c r="Z6" s="51"/>
      <c r="AA6" s="1" t="e">
        <f t="shared" si="9"/>
        <v>#DIV/0!</v>
      </c>
      <c r="AB6" s="35" t="e">
        <f t="shared" si="10"/>
        <v>#DIV/0!</v>
      </c>
    </row>
    <row r="7" spans="1:28" s="1" customFormat="1" x14ac:dyDescent="0.25">
      <c r="B7" s="20">
        <v>45931</v>
      </c>
      <c r="C7" s="1" t="s">
        <v>23</v>
      </c>
      <c r="D7" s="1" t="s">
        <v>13</v>
      </c>
      <c r="E7" s="30"/>
      <c r="F7" s="63">
        <f t="shared" si="0"/>
        <v>0</v>
      </c>
      <c r="H7" s="51"/>
      <c r="I7" s="51" t="e">
        <f t="shared" si="1"/>
        <v>#DIV/0!</v>
      </c>
      <c r="J7" s="35" t="e">
        <f t="shared" si="2"/>
        <v>#DIV/0!</v>
      </c>
      <c r="K7" s="34">
        <v>150</v>
      </c>
      <c r="L7" s="51">
        <f t="shared" si="3"/>
        <v>674.06862745098044</v>
      </c>
      <c r="M7" s="1">
        <v>687.55000000000007</v>
      </c>
      <c r="N7" s="51">
        <f>+M7/153</f>
        <v>4.4937908496732026</v>
      </c>
      <c r="O7" s="51">
        <f t="shared" si="4"/>
        <v>153.00000000000003</v>
      </c>
      <c r="P7" s="48">
        <f t="shared" si="5"/>
        <v>2.0000000000000188E-2</v>
      </c>
      <c r="Q7" s="34"/>
      <c r="R7" s="51">
        <f t="shared" si="11"/>
        <v>0</v>
      </c>
      <c r="T7" s="51"/>
      <c r="U7" s="1" t="e">
        <f t="shared" si="6"/>
        <v>#DIV/0!</v>
      </c>
      <c r="V7" s="35" t="e">
        <f t="shared" si="7"/>
        <v>#DIV/0!</v>
      </c>
      <c r="W7" s="32"/>
      <c r="X7" s="51">
        <f t="shared" si="8"/>
        <v>0</v>
      </c>
      <c r="Z7" s="51"/>
      <c r="AA7" s="1" t="e">
        <f t="shared" si="9"/>
        <v>#DIV/0!</v>
      </c>
      <c r="AB7" s="35" t="e">
        <f t="shared" si="10"/>
        <v>#DIV/0!</v>
      </c>
    </row>
    <row r="8" spans="1:28" s="1" customFormat="1" x14ac:dyDescent="0.25">
      <c r="B8" s="20">
        <v>45931</v>
      </c>
      <c r="C8" s="1" t="s">
        <v>16</v>
      </c>
      <c r="D8" s="1" t="s">
        <v>13</v>
      </c>
      <c r="E8" s="30"/>
      <c r="F8" s="63">
        <f t="shared" si="0"/>
        <v>0</v>
      </c>
      <c r="H8" s="51"/>
      <c r="I8" s="51" t="e">
        <f t="shared" si="1"/>
        <v>#DIV/0!</v>
      </c>
      <c r="J8" s="35" t="e">
        <f t="shared" si="2"/>
        <v>#DIV/0!</v>
      </c>
      <c r="K8" s="34"/>
      <c r="L8" s="51">
        <f t="shared" si="3"/>
        <v>0</v>
      </c>
      <c r="N8" s="51"/>
      <c r="O8" s="51" t="e">
        <f t="shared" si="4"/>
        <v>#DIV/0!</v>
      </c>
      <c r="P8" s="35" t="e">
        <f t="shared" si="5"/>
        <v>#DIV/0!</v>
      </c>
      <c r="Q8" s="1">
        <v>170</v>
      </c>
      <c r="R8" s="51">
        <f t="shared" si="11"/>
        <v>2992.0000000000005</v>
      </c>
      <c r="S8" s="1">
        <v>3170.2</v>
      </c>
      <c r="T8" s="51">
        <f>2+15.6</f>
        <v>17.600000000000001</v>
      </c>
      <c r="U8" s="1">
        <f t="shared" si="6"/>
        <v>180.12499999999997</v>
      </c>
      <c r="V8" s="35">
        <f t="shared" si="7"/>
        <v>5.9558823529411595E-2</v>
      </c>
      <c r="W8" s="32"/>
      <c r="X8" s="51">
        <f t="shared" si="8"/>
        <v>0</v>
      </c>
      <c r="Z8" s="51"/>
      <c r="AA8" s="1" t="e">
        <f t="shared" si="9"/>
        <v>#DIV/0!</v>
      </c>
      <c r="AB8" s="35" t="e">
        <f t="shared" si="10"/>
        <v>#DIV/0!</v>
      </c>
    </row>
    <row r="9" spans="1:28" s="1" customFormat="1" x14ac:dyDescent="0.25">
      <c r="B9" s="20">
        <v>45932</v>
      </c>
      <c r="C9" s="1" t="s">
        <v>20</v>
      </c>
      <c r="D9" s="1" t="s">
        <v>13</v>
      </c>
      <c r="E9" s="30">
        <v>170</v>
      </c>
      <c r="F9" s="63">
        <f t="shared" si="0"/>
        <v>3740</v>
      </c>
      <c r="G9" s="1">
        <v>3511.1</v>
      </c>
      <c r="H9" s="51">
        <v>22</v>
      </c>
      <c r="I9" s="51">
        <f t="shared" si="1"/>
        <v>159.59545454545454</v>
      </c>
      <c r="J9" s="35">
        <f t="shared" si="2"/>
        <v>-6.1203208556149739E-2</v>
      </c>
      <c r="K9" s="34"/>
      <c r="L9" s="51">
        <f t="shared" si="3"/>
        <v>0</v>
      </c>
      <c r="N9" s="51"/>
      <c r="O9" s="51" t="e">
        <f t="shared" si="4"/>
        <v>#DIV/0!</v>
      </c>
      <c r="P9" s="35" t="e">
        <f t="shared" si="5"/>
        <v>#DIV/0!</v>
      </c>
      <c r="Q9" s="34"/>
      <c r="R9" s="51">
        <f t="shared" si="11"/>
        <v>0</v>
      </c>
      <c r="T9" s="51"/>
      <c r="U9" s="1" t="e">
        <f t="shared" si="6"/>
        <v>#DIV/0!</v>
      </c>
      <c r="V9" s="35" t="e">
        <f t="shared" si="7"/>
        <v>#DIV/0!</v>
      </c>
      <c r="W9" s="32"/>
      <c r="X9" s="51">
        <f t="shared" si="8"/>
        <v>0</v>
      </c>
      <c r="Z9" s="51"/>
      <c r="AA9" s="1" t="e">
        <f t="shared" si="9"/>
        <v>#DIV/0!</v>
      </c>
      <c r="AB9" s="35" t="e">
        <f t="shared" si="10"/>
        <v>#DIV/0!</v>
      </c>
    </row>
    <row r="10" spans="1:28" s="1" customFormat="1" x14ac:dyDescent="0.25">
      <c r="B10" s="20">
        <v>45932</v>
      </c>
      <c r="C10" s="1" t="s">
        <v>23</v>
      </c>
      <c r="D10" s="1" t="s">
        <v>13</v>
      </c>
      <c r="E10" s="30"/>
      <c r="F10" s="63">
        <f t="shared" si="0"/>
        <v>0</v>
      </c>
      <c r="H10" s="51"/>
      <c r="I10" s="51" t="e">
        <f t="shared" si="1"/>
        <v>#DIV/0!</v>
      </c>
      <c r="J10" s="35" t="e">
        <f t="shared" si="2"/>
        <v>#DIV/0!</v>
      </c>
      <c r="K10" s="34">
        <v>150</v>
      </c>
      <c r="L10" s="51">
        <f t="shared" si="3"/>
        <v>3300</v>
      </c>
      <c r="M10" s="1">
        <v>3534.95</v>
      </c>
      <c r="N10" s="51">
        <v>22</v>
      </c>
      <c r="O10" s="51">
        <f t="shared" si="4"/>
        <v>160.67954545454543</v>
      </c>
      <c r="P10" s="35">
        <f t="shared" si="5"/>
        <v>7.119696969696955E-2</v>
      </c>
      <c r="Q10" s="34"/>
      <c r="R10" s="51">
        <f t="shared" si="11"/>
        <v>0</v>
      </c>
      <c r="T10" s="51"/>
      <c r="U10" s="1" t="e">
        <f t="shared" si="6"/>
        <v>#DIV/0!</v>
      </c>
      <c r="V10" s="35" t="e">
        <f t="shared" si="7"/>
        <v>#DIV/0!</v>
      </c>
      <c r="W10" s="32"/>
      <c r="X10" s="51">
        <f t="shared" si="8"/>
        <v>0</v>
      </c>
      <c r="Z10" s="51"/>
      <c r="AA10" s="1" t="e">
        <f t="shared" si="9"/>
        <v>#DIV/0!</v>
      </c>
      <c r="AB10" s="35" t="e">
        <f t="shared" si="10"/>
        <v>#DIV/0!</v>
      </c>
    </row>
    <row r="11" spans="1:28" s="1" customFormat="1" x14ac:dyDescent="0.25">
      <c r="B11" s="20">
        <v>45932</v>
      </c>
      <c r="C11" s="1" t="s">
        <v>16</v>
      </c>
      <c r="D11" s="1" t="s">
        <v>13</v>
      </c>
      <c r="E11" s="30"/>
      <c r="F11" s="63">
        <f t="shared" si="0"/>
        <v>0</v>
      </c>
      <c r="H11" s="51"/>
      <c r="I11" s="51" t="e">
        <f t="shared" si="1"/>
        <v>#DIV/0!</v>
      </c>
      <c r="J11" s="35" t="e">
        <f t="shared" si="2"/>
        <v>#DIV/0!</v>
      </c>
      <c r="K11" s="34"/>
      <c r="L11" s="51">
        <f t="shared" si="3"/>
        <v>0</v>
      </c>
      <c r="N11" s="51"/>
      <c r="O11" s="51" t="e">
        <f t="shared" si="4"/>
        <v>#DIV/0!</v>
      </c>
      <c r="P11" s="35" t="e">
        <f t="shared" si="5"/>
        <v>#DIV/0!</v>
      </c>
      <c r="Q11" s="1">
        <v>170</v>
      </c>
      <c r="R11" s="51">
        <f t="shared" si="11"/>
        <v>4151.5292397660814</v>
      </c>
      <c r="S11" s="1">
        <v>4175.95</v>
      </c>
      <c r="T11" s="51">
        <f>+S11/171</f>
        <v>24.420760233918127</v>
      </c>
      <c r="U11" s="1">
        <f t="shared" si="6"/>
        <v>171</v>
      </c>
      <c r="V11" s="48">
        <f t="shared" si="7"/>
        <v>5.8823529411764705E-3</v>
      </c>
      <c r="W11" s="32"/>
      <c r="X11" s="51">
        <f t="shared" si="8"/>
        <v>0</v>
      </c>
      <c r="Z11" s="51"/>
      <c r="AA11" s="1" t="e">
        <f t="shared" si="9"/>
        <v>#DIV/0!</v>
      </c>
      <c r="AB11" s="35" t="e">
        <f t="shared" si="10"/>
        <v>#DIV/0!</v>
      </c>
    </row>
    <row r="12" spans="1:28" s="1" customFormat="1" x14ac:dyDescent="0.25">
      <c r="B12" s="20">
        <v>45933</v>
      </c>
      <c r="C12" s="1" t="s">
        <v>20</v>
      </c>
      <c r="D12" s="1" t="s">
        <v>13</v>
      </c>
      <c r="E12" s="30">
        <v>170</v>
      </c>
      <c r="F12" s="63">
        <f t="shared" si="0"/>
        <v>340</v>
      </c>
      <c r="G12" s="1">
        <v>360.55</v>
      </c>
      <c r="H12" s="51">
        <v>2</v>
      </c>
      <c r="I12" s="51">
        <f t="shared" si="1"/>
        <v>180.27500000000001</v>
      </c>
      <c r="J12" s="35">
        <f t="shared" si="2"/>
        <v>6.0441176470588269E-2</v>
      </c>
      <c r="K12" s="34"/>
      <c r="L12" s="51">
        <f t="shared" si="3"/>
        <v>0</v>
      </c>
      <c r="N12" s="51"/>
      <c r="O12" s="51" t="e">
        <f t="shared" si="4"/>
        <v>#DIV/0!</v>
      </c>
      <c r="P12" s="35" t="e">
        <f t="shared" si="5"/>
        <v>#DIV/0!</v>
      </c>
      <c r="Q12" s="34"/>
      <c r="R12" s="51">
        <f t="shared" si="11"/>
        <v>0</v>
      </c>
      <c r="T12" s="51"/>
      <c r="U12" s="1" t="e">
        <f t="shared" si="6"/>
        <v>#DIV/0!</v>
      </c>
      <c r="V12" s="35" t="e">
        <f t="shared" si="7"/>
        <v>#DIV/0!</v>
      </c>
      <c r="W12" s="32"/>
      <c r="X12" s="51">
        <f t="shared" si="8"/>
        <v>0</v>
      </c>
      <c r="Z12" s="51"/>
      <c r="AA12" s="1" t="e">
        <f t="shared" si="9"/>
        <v>#DIV/0!</v>
      </c>
      <c r="AB12" s="35" t="e">
        <f t="shared" si="10"/>
        <v>#DIV/0!</v>
      </c>
    </row>
    <row r="13" spans="1:28" s="1" customFormat="1" x14ac:dyDescent="0.25">
      <c r="B13" s="20">
        <v>45933</v>
      </c>
      <c r="C13" s="1" t="s">
        <v>12</v>
      </c>
      <c r="D13" s="1" t="s">
        <v>13</v>
      </c>
      <c r="E13" s="1">
        <v>75</v>
      </c>
      <c r="F13" s="63">
        <f t="shared" si="0"/>
        <v>600</v>
      </c>
      <c r="G13" s="1">
        <v>624.95000000000005</v>
      </c>
      <c r="H13" s="51">
        <v>8</v>
      </c>
      <c r="I13" s="51">
        <f t="shared" si="1"/>
        <v>78.118750000000006</v>
      </c>
      <c r="J13" s="48">
        <f t="shared" si="2"/>
        <v>4.158333333333341E-2</v>
      </c>
      <c r="K13" s="34"/>
      <c r="L13" s="51">
        <f t="shared" si="3"/>
        <v>0</v>
      </c>
      <c r="N13" s="51"/>
      <c r="O13" s="51" t="e">
        <f t="shared" si="4"/>
        <v>#DIV/0!</v>
      </c>
      <c r="P13" s="35" t="e">
        <f t="shared" si="5"/>
        <v>#DIV/0!</v>
      </c>
      <c r="Q13" s="34"/>
      <c r="R13" s="51">
        <f t="shared" si="11"/>
        <v>0</v>
      </c>
      <c r="T13" s="51"/>
      <c r="U13" s="1" t="e">
        <f t="shared" si="6"/>
        <v>#DIV/0!</v>
      </c>
      <c r="V13" s="35" t="e">
        <f t="shared" si="7"/>
        <v>#DIV/0!</v>
      </c>
      <c r="W13" s="32"/>
      <c r="X13" s="51">
        <f t="shared" si="8"/>
        <v>0</v>
      </c>
      <c r="Z13" s="51"/>
      <c r="AA13" s="1" t="e">
        <f t="shared" si="9"/>
        <v>#DIV/0!</v>
      </c>
      <c r="AB13" s="35" t="e">
        <f t="shared" si="10"/>
        <v>#DIV/0!</v>
      </c>
    </row>
    <row r="14" spans="1:28" s="1" customFormat="1" x14ac:dyDescent="0.25">
      <c r="B14" s="20">
        <v>45933</v>
      </c>
      <c r="C14" s="1" t="s">
        <v>17</v>
      </c>
      <c r="D14" s="1" t="s">
        <v>13</v>
      </c>
      <c r="E14" s="1">
        <v>160</v>
      </c>
      <c r="F14" s="63">
        <f t="shared" si="0"/>
        <v>1392</v>
      </c>
      <c r="G14" s="1">
        <v>1418.649999999999</v>
      </c>
      <c r="H14" s="51">
        <v>8.6999999999999993</v>
      </c>
      <c r="I14" s="51">
        <f t="shared" si="1"/>
        <v>163.06321839080448</v>
      </c>
      <c r="J14" s="48">
        <f t="shared" si="2"/>
        <v>1.9145114942527998E-2</v>
      </c>
      <c r="K14" s="34"/>
      <c r="L14" s="51">
        <f t="shared" si="3"/>
        <v>0</v>
      </c>
      <c r="N14" s="51"/>
      <c r="O14" s="51" t="e">
        <f t="shared" si="4"/>
        <v>#DIV/0!</v>
      </c>
      <c r="P14" s="35" t="e">
        <f t="shared" si="5"/>
        <v>#DIV/0!</v>
      </c>
      <c r="Q14" s="34"/>
      <c r="R14" s="51">
        <f t="shared" si="11"/>
        <v>0</v>
      </c>
      <c r="T14" s="51"/>
      <c r="U14" s="1" t="e">
        <f t="shared" si="6"/>
        <v>#DIV/0!</v>
      </c>
      <c r="V14" s="35" t="e">
        <f t="shared" si="7"/>
        <v>#DIV/0!</v>
      </c>
      <c r="W14" s="32"/>
      <c r="X14" s="51">
        <f t="shared" si="8"/>
        <v>0</v>
      </c>
      <c r="Z14" s="51"/>
      <c r="AA14" s="1" t="e">
        <f t="shared" si="9"/>
        <v>#DIV/0!</v>
      </c>
      <c r="AB14" s="35" t="e">
        <f t="shared" si="10"/>
        <v>#DIV/0!</v>
      </c>
    </row>
    <row r="15" spans="1:28" s="1" customFormat="1" x14ac:dyDescent="0.25">
      <c r="B15" s="20">
        <v>45933</v>
      </c>
      <c r="C15" s="1" t="s">
        <v>23</v>
      </c>
      <c r="D15" s="1" t="s">
        <v>13</v>
      </c>
      <c r="E15" s="30"/>
      <c r="F15" s="63">
        <f t="shared" si="0"/>
        <v>0</v>
      </c>
      <c r="H15" s="51"/>
      <c r="I15" s="51" t="e">
        <f t="shared" si="1"/>
        <v>#DIV/0!</v>
      </c>
      <c r="J15" s="35" t="e">
        <f t="shared" si="2"/>
        <v>#DIV/0!</v>
      </c>
      <c r="K15" s="34">
        <v>150</v>
      </c>
      <c r="L15" s="51">
        <f t="shared" si="3"/>
        <v>1050</v>
      </c>
      <c r="M15" s="1">
        <v>1175.82</v>
      </c>
      <c r="N15" s="51">
        <v>7</v>
      </c>
      <c r="O15" s="51">
        <f t="shared" si="4"/>
        <v>167.97428571428571</v>
      </c>
      <c r="P15" s="35">
        <f t="shared" si="5"/>
        <v>0.11982857142857142</v>
      </c>
      <c r="Q15" s="34"/>
      <c r="R15" s="51">
        <f t="shared" si="11"/>
        <v>0</v>
      </c>
      <c r="T15" s="51"/>
      <c r="U15" s="1" t="e">
        <f t="shared" si="6"/>
        <v>#DIV/0!</v>
      </c>
      <c r="V15" s="35" t="e">
        <f t="shared" si="7"/>
        <v>#DIV/0!</v>
      </c>
      <c r="W15" s="32"/>
      <c r="X15" s="51">
        <f t="shared" si="8"/>
        <v>0</v>
      </c>
      <c r="Z15" s="51"/>
      <c r="AA15" s="1" t="e">
        <f t="shared" si="9"/>
        <v>#DIV/0!</v>
      </c>
      <c r="AB15" s="35" t="e">
        <f t="shared" si="10"/>
        <v>#DIV/0!</v>
      </c>
    </row>
    <row r="16" spans="1:28" s="1" customFormat="1" x14ac:dyDescent="0.25">
      <c r="B16" s="20">
        <v>45933</v>
      </c>
      <c r="C16" s="1" t="s">
        <v>19</v>
      </c>
      <c r="D16" s="1" t="s">
        <v>13</v>
      </c>
      <c r="E16" s="30"/>
      <c r="F16" s="63">
        <f t="shared" si="0"/>
        <v>0</v>
      </c>
      <c r="H16" s="51"/>
      <c r="I16" s="51" t="e">
        <f t="shared" si="1"/>
        <v>#DIV/0!</v>
      </c>
      <c r="J16" s="35" t="e">
        <f t="shared" si="2"/>
        <v>#DIV/0!</v>
      </c>
      <c r="K16" s="34">
        <v>150</v>
      </c>
      <c r="L16" s="51">
        <f t="shared" si="3"/>
        <v>210</v>
      </c>
      <c r="M16" s="1">
        <v>194.85</v>
      </c>
      <c r="N16" s="51">
        <v>1.4</v>
      </c>
      <c r="O16" s="51">
        <f t="shared" si="4"/>
        <v>139.17857142857144</v>
      </c>
      <c r="P16" s="48">
        <f t="shared" si="5"/>
        <v>-7.2142857142857036E-2</v>
      </c>
      <c r="Q16" s="34"/>
      <c r="R16" s="51">
        <f t="shared" si="11"/>
        <v>0</v>
      </c>
      <c r="T16" s="51"/>
      <c r="U16" s="1" t="e">
        <f t="shared" si="6"/>
        <v>#DIV/0!</v>
      </c>
      <c r="V16" s="35" t="e">
        <f t="shared" si="7"/>
        <v>#DIV/0!</v>
      </c>
      <c r="W16" s="32"/>
      <c r="X16" s="51">
        <f t="shared" si="8"/>
        <v>0</v>
      </c>
      <c r="Z16" s="51"/>
      <c r="AA16" s="1" t="e">
        <f t="shared" si="9"/>
        <v>#DIV/0!</v>
      </c>
      <c r="AB16" s="35" t="e">
        <f t="shared" si="10"/>
        <v>#DIV/0!</v>
      </c>
    </row>
    <row r="17" spans="2:28" s="1" customFormat="1" x14ac:dyDescent="0.25">
      <c r="B17" s="20">
        <v>45933</v>
      </c>
      <c r="C17" s="1" t="s">
        <v>16</v>
      </c>
      <c r="D17" s="1" t="s">
        <v>13</v>
      </c>
      <c r="E17" s="30"/>
      <c r="F17" s="63">
        <f t="shared" si="0"/>
        <v>0</v>
      </c>
      <c r="H17" s="51"/>
      <c r="I17" s="51" t="e">
        <f t="shared" si="1"/>
        <v>#DIV/0!</v>
      </c>
      <c r="J17" s="35" t="e">
        <f t="shared" si="2"/>
        <v>#DIV/0!</v>
      </c>
      <c r="K17" s="34"/>
      <c r="L17" s="51">
        <f t="shared" si="3"/>
        <v>0</v>
      </c>
      <c r="N17" s="51"/>
      <c r="O17" s="51" t="e">
        <f t="shared" si="4"/>
        <v>#DIV/0!</v>
      </c>
      <c r="P17" s="35" t="e">
        <f t="shared" si="5"/>
        <v>#DIV/0!</v>
      </c>
      <c r="Q17" s="1">
        <v>170</v>
      </c>
      <c r="R17" s="51">
        <f t="shared" si="11"/>
        <v>2815.6249999999932</v>
      </c>
      <c r="S17" s="1">
        <v>2981.2499999999932</v>
      </c>
      <c r="T17" s="51">
        <f>+S17/180</f>
        <v>16.562499999999961</v>
      </c>
      <c r="U17" s="1">
        <f t="shared" si="6"/>
        <v>180</v>
      </c>
      <c r="V17" s="48">
        <f t="shared" si="7"/>
        <v>5.8823529411764705E-2</v>
      </c>
      <c r="W17" s="32"/>
      <c r="X17" s="51">
        <f t="shared" si="8"/>
        <v>0</v>
      </c>
      <c r="Z17" s="51"/>
      <c r="AA17" s="1" t="e">
        <f t="shared" si="9"/>
        <v>#DIV/0!</v>
      </c>
      <c r="AB17" s="35" t="e">
        <f t="shared" si="10"/>
        <v>#DIV/0!</v>
      </c>
    </row>
    <row r="18" spans="2:28" s="1" customFormat="1" x14ac:dyDescent="0.25">
      <c r="B18" s="20">
        <v>45934</v>
      </c>
      <c r="C18" s="1" t="s">
        <v>17</v>
      </c>
      <c r="D18" s="1" t="s">
        <v>13</v>
      </c>
      <c r="E18" s="1">
        <v>160</v>
      </c>
      <c r="F18" s="63">
        <f t="shared" si="0"/>
        <v>3520</v>
      </c>
      <c r="G18" s="1">
        <v>3832.55</v>
      </c>
      <c r="H18" s="51">
        <v>22</v>
      </c>
      <c r="I18" s="51">
        <f t="shared" si="1"/>
        <v>174.20681818181819</v>
      </c>
      <c r="J18" s="35">
        <f t="shared" si="2"/>
        <v>8.8792613636363704E-2</v>
      </c>
      <c r="K18" s="34"/>
      <c r="L18" s="51">
        <f t="shared" si="3"/>
        <v>0</v>
      </c>
      <c r="N18" s="51"/>
      <c r="O18" s="51" t="e">
        <f t="shared" si="4"/>
        <v>#DIV/0!</v>
      </c>
      <c r="P18" s="35" t="e">
        <f t="shared" si="5"/>
        <v>#DIV/0!</v>
      </c>
      <c r="Q18" s="34"/>
      <c r="R18" s="51">
        <f t="shared" si="11"/>
        <v>0</v>
      </c>
      <c r="T18" s="51"/>
      <c r="U18" s="1" t="e">
        <f t="shared" si="6"/>
        <v>#DIV/0!</v>
      </c>
      <c r="V18" s="35" t="e">
        <f t="shared" si="7"/>
        <v>#DIV/0!</v>
      </c>
      <c r="W18" s="32"/>
      <c r="X18" s="51">
        <f t="shared" si="8"/>
        <v>0</v>
      </c>
      <c r="Z18" s="51"/>
      <c r="AA18" s="1" t="e">
        <f t="shared" si="9"/>
        <v>#DIV/0!</v>
      </c>
      <c r="AB18" s="35" t="e">
        <f t="shared" si="10"/>
        <v>#DIV/0!</v>
      </c>
    </row>
    <row r="19" spans="2:28" s="1" customFormat="1" x14ac:dyDescent="0.25">
      <c r="B19" s="20">
        <v>45934</v>
      </c>
      <c r="C19" s="1" t="s">
        <v>19</v>
      </c>
      <c r="D19" s="1" t="s">
        <v>13</v>
      </c>
      <c r="E19" s="30"/>
      <c r="F19" s="63">
        <f t="shared" si="0"/>
        <v>0</v>
      </c>
      <c r="H19" s="51"/>
      <c r="I19" s="51" t="e">
        <f t="shared" si="1"/>
        <v>#DIV/0!</v>
      </c>
      <c r="J19" s="35" t="e">
        <f t="shared" si="2"/>
        <v>#DIV/0!</v>
      </c>
      <c r="K19" s="34">
        <v>150</v>
      </c>
      <c r="L19" s="51">
        <f t="shared" si="3"/>
        <v>2340</v>
      </c>
      <c r="M19" s="1">
        <v>2106.25</v>
      </c>
      <c r="N19" s="51">
        <f>1.1+14.5</f>
        <v>15.6</v>
      </c>
      <c r="O19" s="51">
        <f t="shared" si="4"/>
        <v>135.01602564102564</v>
      </c>
      <c r="P19" s="48">
        <f t="shared" si="5"/>
        <v>-9.9893162393162427E-2</v>
      </c>
      <c r="Q19" s="34"/>
      <c r="R19" s="51">
        <f t="shared" si="11"/>
        <v>0</v>
      </c>
      <c r="T19" s="51"/>
      <c r="U19" s="1" t="e">
        <f t="shared" si="6"/>
        <v>#DIV/0!</v>
      </c>
      <c r="V19" s="35" t="e">
        <f t="shared" si="7"/>
        <v>#DIV/0!</v>
      </c>
      <c r="W19" s="32"/>
      <c r="X19" s="51">
        <f t="shared" si="8"/>
        <v>0</v>
      </c>
      <c r="Z19" s="51"/>
      <c r="AA19" s="1" t="e">
        <f t="shared" si="9"/>
        <v>#DIV/0!</v>
      </c>
      <c r="AB19" s="35" t="e">
        <f t="shared" si="10"/>
        <v>#DIV/0!</v>
      </c>
    </row>
    <row r="20" spans="2:28" s="1" customFormat="1" ht="15.75" thickBot="1" x14ac:dyDescent="0.3">
      <c r="B20" s="20">
        <v>45934</v>
      </c>
      <c r="C20" s="1" t="s">
        <v>16</v>
      </c>
      <c r="D20" s="1" t="s">
        <v>13</v>
      </c>
      <c r="E20" s="30"/>
      <c r="F20" s="63">
        <f t="shared" si="0"/>
        <v>0</v>
      </c>
      <c r="H20" s="51"/>
      <c r="I20" s="51" t="e">
        <f t="shared" si="1"/>
        <v>#DIV/0!</v>
      </c>
      <c r="J20" s="35" t="e">
        <f t="shared" si="2"/>
        <v>#DIV/0!</v>
      </c>
      <c r="K20" s="34"/>
      <c r="L20" s="51">
        <f t="shared" si="3"/>
        <v>0</v>
      </c>
      <c r="N20" s="51"/>
      <c r="O20" s="51" t="e">
        <f t="shared" si="4"/>
        <v>#DIV/0!</v>
      </c>
      <c r="P20" s="35" t="e">
        <f t="shared" si="5"/>
        <v>#DIV/0!</v>
      </c>
      <c r="Q20" s="1">
        <v>170</v>
      </c>
      <c r="R20" s="51">
        <f t="shared" si="11"/>
        <v>4080</v>
      </c>
      <c r="S20" s="1">
        <v>4173.45</v>
      </c>
      <c r="T20" s="51">
        <v>24</v>
      </c>
      <c r="U20" s="1">
        <f t="shared" si="6"/>
        <v>173.89374999999998</v>
      </c>
      <c r="V20" s="35">
        <f t="shared" si="7"/>
        <v>2.2904411764705781E-2</v>
      </c>
      <c r="W20" s="32"/>
      <c r="X20" s="51">
        <f t="shared" si="8"/>
        <v>0</v>
      </c>
      <c r="Z20" s="51"/>
      <c r="AA20" s="1" t="e">
        <f t="shared" si="9"/>
        <v>#DIV/0!</v>
      </c>
      <c r="AB20" s="35" t="e">
        <f t="shared" si="10"/>
        <v>#DIV/0!</v>
      </c>
    </row>
    <row r="21" spans="2:28" s="1" customFormat="1" x14ac:dyDescent="0.25">
      <c r="B21" s="20">
        <v>45936</v>
      </c>
      <c r="C21" s="1" t="s">
        <v>16</v>
      </c>
      <c r="D21" s="1" t="s">
        <v>13</v>
      </c>
      <c r="E21" s="30">
        <v>155</v>
      </c>
      <c r="F21" s="63">
        <f t="shared" si="0"/>
        <v>1860</v>
      </c>
      <c r="G21" s="55">
        <v>2044.7</v>
      </c>
      <c r="H21" s="51">
        <f>2+10</f>
        <v>12</v>
      </c>
      <c r="I21" s="51">
        <f t="shared" si="1"/>
        <v>170.39166666666668</v>
      </c>
      <c r="J21" s="48">
        <f t="shared" si="2"/>
        <v>9.930107526881729E-2</v>
      </c>
      <c r="K21" s="34"/>
      <c r="L21" s="51">
        <f t="shared" si="3"/>
        <v>0</v>
      </c>
      <c r="N21" s="51"/>
      <c r="O21" s="51"/>
      <c r="P21" s="48"/>
      <c r="Q21" s="32">
        <v>170</v>
      </c>
      <c r="R21" s="51">
        <f t="shared" si="11"/>
        <v>2755.9428571428571</v>
      </c>
      <c r="S21" s="1">
        <v>2837</v>
      </c>
      <c r="T21" s="51">
        <f>S21/175</f>
        <v>16.21142857142857</v>
      </c>
      <c r="U21" s="1">
        <f t="shared" si="6"/>
        <v>175.00000000000003</v>
      </c>
      <c r="V21" s="48">
        <f t="shared" si="7"/>
        <v>2.9411764705882519E-2</v>
      </c>
      <c r="W21" s="32"/>
      <c r="X21" s="51">
        <f t="shared" si="8"/>
        <v>0</v>
      </c>
      <c r="Z21" s="51"/>
      <c r="AA21" s="1" t="e">
        <f t="shared" si="9"/>
        <v>#DIV/0!</v>
      </c>
      <c r="AB21" s="35" t="e">
        <f t="shared" si="10"/>
        <v>#DIV/0!</v>
      </c>
    </row>
    <row r="22" spans="2:28" s="1" customFormat="1" x14ac:dyDescent="0.25">
      <c r="B22" s="20">
        <v>45936</v>
      </c>
      <c r="C22" s="1" t="s">
        <v>17</v>
      </c>
      <c r="D22" s="1" t="s">
        <v>13</v>
      </c>
      <c r="E22" s="1">
        <v>160</v>
      </c>
      <c r="F22" s="63">
        <f t="shared" si="0"/>
        <v>320</v>
      </c>
      <c r="G22" s="1">
        <v>273.64999999999998</v>
      </c>
      <c r="H22" s="51">
        <v>2</v>
      </c>
      <c r="I22" s="51">
        <f t="shared" si="1"/>
        <v>136.82499999999999</v>
      </c>
      <c r="J22" s="35">
        <f t="shared" si="2"/>
        <v>-0.14484375000000008</v>
      </c>
      <c r="K22" s="34"/>
      <c r="L22" s="51">
        <f t="shared" si="3"/>
        <v>0</v>
      </c>
      <c r="N22" s="51"/>
      <c r="O22" s="51" t="e">
        <f t="shared" si="4"/>
        <v>#DIV/0!</v>
      </c>
      <c r="P22" s="35" t="e">
        <f t="shared" si="5"/>
        <v>#DIV/0!</v>
      </c>
      <c r="Q22" s="34"/>
      <c r="R22" s="51">
        <f t="shared" si="11"/>
        <v>0</v>
      </c>
      <c r="T22" s="51"/>
      <c r="U22" s="1" t="e">
        <f t="shared" si="6"/>
        <v>#DIV/0!</v>
      </c>
      <c r="V22" s="35" t="e">
        <f t="shared" si="7"/>
        <v>#DIV/0!</v>
      </c>
      <c r="W22" s="32"/>
      <c r="X22" s="51">
        <f t="shared" si="8"/>
        <v>0</v>
      </c>
      <c r="Z22" s="51"/>
      <c r="AA22" s="1" t="e">
        <f t="shared" si="9"/>
        <v>#DIV/0!</v>
      </c>
      <c r="AB22" s="35" t="e">
        <f t="shared" si="10"/>
        <v>#DIV/0!</v>
      </c>
    </row>
    <row r="23" spans="2:28" s="1" customFormat="1" x14ac:dyDescent="0.25">
      <c r="B23" s="20">
        <v>45936</v>
      </c>
      <c r="C23" s="1" t="s">
        <v>19</v>
      </c>
      <c r="D23" s="1" t="s">
        <v>13</v>
      </c>
      <c r="F23" s="63">
        <f t="shared" si="0"/>
        <v>0</v>
      </c>
      <c r="H23" s="51"/>
      <c r="I23" s="51" t="e">
        <f t="shared" si="1"/>
        <v>#DIV/0!</v>
      </c>
      <c r="J23" s="35" t="e">
        <f t="shared" si="2"/>
        <v>#DIV/0!</v>
      </c>
      <c r="K23" s="34">
        <v>150</v>
      </c>
      <c r="L23" s="51">
        <f t="shared" si="3"/>
        <v>1950</v>
      </c>
      <c r="M23" s="1">
        <v>2050.9</v>
      </c>
      <c r="N23" s="51">
        <v>13</v>
      </c>
      <c r="O23" s="51">
        <f t="shared" si="4"/>
        <v>157.76153846153846</v>
      </c>
      <c r="P23" s="35">
        <f t="shared" si="5"/>
        <v>5.1743589743589759E-2</v>
      </c>
      <c r="Q23" s="34"/>
      <c r="R23" s="51">
        <f t="shared" si="11"/>
        <v>0</v>
      </c>
      <c r="T23" s="51"/>
      <c r="U23" s="1" t="e">
        <f t="shared" si="6"/>
        <v>#DIV/0!</v>
      </c>
      <c r="V23" s="35" t="e">
        <f t="shared" si="7"/>
        <v>#DIV/0!</v>
      </c>
      <c r="W23" s="32"/>
      <c r="X23" s="51">
        <f t="shared" si="8"/>
        <v>0</v>
      </c>
      <c r="Z23" s="51"/>
      <c r="AA23" s="1" t="e">
        <f t="shared" si="9"/>
        <v>#DIV/0!</v>
      </c>
      <c r="AB23" s="35" t="e">
        <f t="shared" si="10"/>
        <v>#DIV/0!</v>
      </c>
    </row>
    <row r="24" spans="2:28" s="1" customFormat="1" x14ac:dyDescent="0.25">
      <c r="B24" s="20">
        <v>45936</v>
      </c>
      <c r="C24" s="1" t="s">
        <v>22</v>
      </c>
      <c r="D24" s="1" t="s">
        <v>13</v>
      </c>
      <c r="E24" s="30"/>
      <c r="F24" s="63">
        <f t="shared" si="0"/>
        <v>0</v>
      </c>
      <c r="H24" s="51"/>
      <c r="I24" s="51" t="e">
        <f t="shared" si="1"/>
        <v>#DIV/0!</v>
      </c>
      <c r="J24" s="35" t="e">
        <f t="shared" si="2"/>
        <v>#DIV/0!</v>
      </c>
      <c r="K24" s="34">
        <v>150</v>
      </c>
      <c r="L24" s="51">
        <f t="shared" si="3"/>
        <v>225</v>
      </c>
      <c r="M24" s="1">
        <v>237.7</v>
      </c>
      <c r="N24" s="51">
        <v>1.5</v>
      </c>
      <c r="O24" s="51">
        <f t="shared" si="4"/>
        <v>158.46666666666667</v>
      </c>
      <c r="P24" s="35">
        <f t="shared" si="5"/>
        <v>5.6444444444444457E-2</v>
      </c>
      <c r="Q24" s="34"/>
      <c r="R24" s="51">
        <f t="shared" si="11"/>
        <v>0</v>
      </c>
      <c r="T24" s="51"/>
      <c r="U24" s="1" t="e">
        <f t="shared" si="6"/>
        <v>#DIV/0!</v>
      </c>
      <c r="V24" s="35" t="e">
        <f t="shared" si="7"/>
        <v>#DIV/0!</v>
      </c>
      <c r="W24" s="32"/>
      <c r="X24" s="51">
        <f t="shared" si="8"/>
        <v>0</v>
      </c>
      <c r="Z24" s="51"/>
      <c r="AA24" s="1" t="e">
        <f t="shared" si="9"/>
        <v>#DIV/0!</v>
      </c>
      <c r="AB24" s="35" t="e">
        <f t="shared" si="10"/>
        <v>#DIV/0!</v>
      </c>
    </row>
    <row r="25" spans="2:28" s="1" customFormat="1" x14ac:dyDescent="0.25">
      <c r="B25" s="20">
        <v>45937</v>
      </c>
      <c r="C25" s="1" t="s">
        <v>17</v>
      </c>
      <c r="D25" s="1" t="s">
        <v>13</v>
      </c>
      <c r="E25" s="30">
        <v>160</v>
      </c>
      <c r="F25" s="63">
        <f t="shared" si="0"/>
        <v>3538.8760736196318</v>
      </c>
      <c r="G25" s="1">
        <v>3605.23</v>
      </c>
      <c r="H25" s="51">
        <f>+G25/163</f>
        <v>22.1179754601227</v>
      </c>
      <c r="I25" s="51">
        <f t="shared" si="1"/>
        <v>163</v>
      </c>
      <c r="J25" s="35">
        <f t="shared" si="2"/>
        <v>1.8749999999999999E-2</v>
      </c>
      <c r="K25" s="34"/>
      <c r="L25" s="51">
        <f t="shared" si="3"/>
        <v>0</v>
      </c>
      <c r="N25" s="51"/>
      <c r="O25" s="51" t="e">
        <f t="shared" si="4"/>
        <v>#DIV/0!</v>
      </c>
      <c r="P25" s="35" t="e">
        <f t="shared" si="5"/>
        <v>#DIV/0!</v>
      </c>
      <c r="Q25" s="34"/>
      <c r="R25" s="51">
        <f t="shared" si="11"/>
        <v>0</v>
      </c>
      <c r="T25" s="51"/>
      <c r="U25" s="1" t="e">
        <f t="shared" si="6"/>
        <v>#DIV/0!</v>
      </c>
      <c r="V25" s="35" t="e">
        <f t="shared" si="7"/>
        <v>#DIV/0!</v>
      </c>
      <c r="W25" s="32"/>
      <c r="X25" s="51">
        <f t="shared" si="8"/>
        <v>0</v>
      </c>
      <c r="Z25" s="51"/>
      <c r="AA25" s="1" t="e">
        <f t="shared" si="9"/>
        <v>#DIV/0!</v>
      </c>
      <c r="AB25" s="35" t="e">
        <f t="shared" si="10"/>
        <v>#DIV/0!</v>
      </c>
    </row>
    <row r="26" spans="2:28" s="1" customFormat="1" x14ac:dyDescent="0.25">
      <c r="B26" s="20">
        <v>45937</v>
      </c>
      <c r="C26" s="1" t="s">
        <v>19</v>
      </c>
      <c r="D26" s="1" t="s">
        <v>13</v>
      </c>
      <c r="E26" s="30"/>
      <c r="F26" s="63">
        <f t="shared" si="0"/>
        <v>0</v>
      </c>
      <c r="H26" s="51"/>
      <c r="I26" s="51" t="e">
        <f t="shared" si="1"/>
        <v>#DIV/0!</v>
      </c>
      <c r="J26" s="35" t="e">
        <f t="shared" si="2"/>
        <v>#DIV/0!</v>
      </c>
      <c r="K26" s="34">
        <v>150</v>
      </c>
      <c r="L26" s="51">
        <f t="shared" si="3"/>
        <v>3300</v>
      </c>
      <c r="M26" s="1">
        <v>3367.8</v>
      </c>
      <c r="N26" s="51">
        <v>22</v>
      </c>
      <c r="O26" s="51">
        <f t="shared" si="4"/>
        <v>153.08181818181819</v>
      </c>
      <c r="P26" s="35">
        <f t="shared" si="5"/>
        <v>2.0545454545454617E-2</v>
      </c>
      <c r="Q26" s="34"/>
      <c r="R26" s="51">
        <f t="shared" si="11"/>
        <v>0</v>
      </c>
      <c r="T26" s="51"/>
      <c r="U26" s="1" t="e">
        <f t="shared" si="6"/>
        <v>#DIV/0!</v>
      </c>
      <c r="V26" s="35" t="e">
        <f t="shared" si="7"/>
        <v>#DIV/0!</v>
      </c>
      <c r="W26" s="32"/>
      <c r="X26" s="51">
        <f t="shared" si="8"/>
        <v>0</v>
      </c>
      <c r="Z26" s="51"/>
      <c r="AA26" s="1" t="e">
        <f t="shared" si="9"/>
        <v>#DIV/0!</v>
      </c>
      <c r="AB26" s="35" t="e">
        <f t="shared" si="10"/>
        <v>#DIV/0!</v>
      </c>
    </row>
    <row r="27" spans="2:28" s="1" customFormat="1" x14ac:dyDescent="0.25">
      <c r="B27" s="20">
        <v>45937</v>
      </c>
      <c r="C27" s="1" t="s">
        <v>16</v>
      </c>
      <c r="D27" s="1" t="s">
        <v>13</v>
      </c>
      <c r="E27" s="30"/>
      <c r="F27" s="63">
        <f t="shared" si="0"/>
        <v>0</v>
      </c>
      <c r="H27" s="51"/>
      <c r="I27" s="51" t="e">
        <f t="shared" si="1"/>
        <v>#DIV/0!</v>
      </c>
      <c r="J27" s="35" t="e">
        <f t="shared" si="2"/>
        <v>#DIV/0!</v>
      </c>
      <c r="K27" s="34"/>
      <c r="L27" s="51">
        <f t="shared" si="3"/>
        <v>0</v>
      </c>
      <c r="N27" s="51"/>
      <c r="O27" s="51" t="e">
        <f t="shared" si="4"/>
        <v>#DIV/0!</v>
      </c>
      <c r="P27" s="35" t="e">
        <f t="shared" si="5"/>
        <v>#DIV/0!</v>
      </c>
      <c r="Q27" s="34">
        <v>170</v>
      </c>
      <c r="R27" s="51">
        <f t="shared" si="11"/>
        <v>4108.1093023255808</v>
      </c>
      <c r="S27" s="1">
        <v>4156.4399999999996</v>
      </c>
      <c r="T27" s="51">
        <f>+S27/172</f>
        <v>24.165348837209301</v>
      </c>
      <c r="U27" s="1">
        <f t="shared" si="6"/>
        <v>172</v>
      </c>
      <c r="V27" s="35">
        <f t="shared" si="7"/>
        <v>1.1764705882352941E-2</v>
      </c>
      <c r="W27" s="32"/>
      <c r="X27" s="51">
        <f t="shared" si="8"/>
        <v>0</v>
      </c>
      <c r="Z27" s="51"/>
      <c r="AA27" s="1" t="e">
        <f t="shared" si="9"/>
        <v>#DIV/0!</v>
      </c>
      <c r="AB27" s="35" t="e">
        <f t="shared" si="10"/>
        <v>#DIV/0!</v>
      </c>
    </row>
    <row r="28" spans="2:28" s="1" customFormat="1" x14ac:dyDescent="0.25">
      <c r="B28" s="20">
        <v>45938</v>
      </c>
      <c r="C28" s="1" t="s">
        <v>17</v>
      </c>
      <c r="D28" s="1" t="s">
        <v>13</v>
      </c>
      <c r="E28" s="30">
        <v>160</v>
      </c>
      <c r="F28" s="63">
        <f t="shared" si="0"/>
        <v>2442.159509202454</v>
      </c>
      <c r="G28" s="1">
        <v>2331.25</v>
      </c>
      <c r="H28" s="51">
        <f>8+(1183.95/163)</f>
        <v>15.263496932515338</v>
      </c>
      <c r="I28" s="51">
        <f t="shared" si="1"/>
        <v>152.73367631986173</v>
      </c>
      <c r="J28" s="35">
        <f t="shared" si="2"/>
        <v>-4.5414523000864196E-2</v>
      </c>
      <c r="K28" s="34"/>
      <c r="L28" s="51">
        <f t="shared" si="3"/>
        <v>0</v>
      </c>
      <c r="N28" s="51"/>
      <c r="O28" s="51" t="e">
        <f t="shared" si="4"/>
        <v>#DIV/0!</v>
      </c>
      <c r="P28" s="35" t="e">
        <f t="shared" si="5"/>
        <v>#DIV/0!</v>
      </c>
      <c r="Q28" s="34"/>
      <c r="R28" s="51">
        <f t="shared" si="11"/>
        <v>0</v>
      </c>
      <c r="T28" s="51"/>
      <c r="U28" s="1" t="e">
        <f t="shared" si="6"/>
        <v>#DIV/0!</v>
      </c>
      <c r="V28" s="35" t="e">
        <f t="shared" si="7"/>
        <v>#DIV/0!</v>
      </c>
      <c r="W28" s="32"/>
      <c r="X28" s="51">
        <f t="shared" si="8"/>
        <v>0</v>
      </c>
      <c r="Z28" s="51"/>
      <c r="AA28" s="1" t="e">
        <f t="shared" si="9"/>
        <v>#DIV/0!</v>
      </c>
      <c r="AB28" s="35" t="e">
        <f t="shared" si="10"/>
        <v>#DIV/0!</v>
      </c>
    </row>
    <row r="29" spans="2:28" s="1" customFormat="1" x14ac:dyDescent="0.25">
      <c r="B29" s="20">
        <v>45938</v>
      </c>
      <c r="C29" s="1" t="s">
        <v>14</v>
      </c>
      <c r="D29" s="1" t="s">
        <v>13</v>
      </c>
      <c r="E29" s="30">
        <v>85</v>
      </c>
      <c r="F29" s="63">
        <f t="shared" si="0"/>
        <v>321.12634408602156</v>
      </c>
      <c r="G29" s="1">
        <v>351.35</v>
      </c>
      <c r="H29" s="51">
        <f>+G29/93</f>
        <v>3.7779569892473122</v>
      </c>
      <c r="I29" s="51">
        <f t="shared" si="1"/>
        <v>93</v>
      </c>
      <c r="J29" s="35">
        <f t="shared" si="2"/>
        <v>9.4117647058823528E-2</v>
      </c>
      <c r="K29" s="34"/>
      <c r="L29" s="51">
        <f t="shared" si="3"/>
        <v>0</v>
      </c>
      <c r="N29" s="51"/>
      <c r="O29" s="51" t="e">
        <f t="shared" si="4"/>
        <v>#DIV/0!</v>
      </c>
      <c r="P29" s="35" t="e">
        <f t="shared" si="5"/>
        <v>#DIV/0!</v>
      </c>
      <c r="Q29" s="34"/>
      <c r="R29" s="51">
        <f t="shared" si="11"/>
        <v>0</v>
      </c>
      <c r="T29" s="51"/>
      <c r="U29" s="1" t="e">
        <f t="shared" si="6"/>
        <v>#DIV/0!</v>
      </c>
      <c r="V29" s="35" t="e">
        <f t="shared" si="7"/>
        <v>#DIV/0!</v>
      </c>
      <c r="W29" s="32"/>
      <c r="X29" s="51">
        <f t="shared" si="8"/>
        <v>0</v>
      </c>
      <c r="Z29" s="51"/>
      <c r="AA29" s="1" t="e">
        <f t="shared" si="9"/>
        <v>#DIV/0!</v>
      </c>
      <c r="AB29" s="35" t="e">
        <f t="shared" si="10"/>
        <v>#DIV/0!</v>
      </c>
    </row>
    <row r="30" spans="2:28" s="1" customFormat="1" x14ac:dyDescent="0.25">
      <c r="B30" s="20">
        <v>45938</v>
      </c>
      <c r="C30" s="1" t="s">
        <v>12</v>
      </c>
      <c r="D30" s="1" t="s">
        <v>13</v>
      </c>
      <c r="E30" s="30">
        <v>75</v>
      </c>
      <c r="F30" s="63">
        <f t="shared" si="0"/>
        <v>150</v>
      </c>
      <c r="G30" s="1">
        <v>151.1</v>
      </c>
      <c r="H30" s="51">
        <v>2</v>
      </c>
      <c r="I30" s="51">
        <f t="shared" si="1"/>
        <v>75.55</v>
      </c>
      <c r="J30" s="35">
        <f t="shared" si="2"/>
        <v>7.333333333333295E-3</v>
      </c>
      <c r="K30" s="34"/>
      <c r="L30" s="51">
        <f t="shared" si="3"/>
        <v>0</v>
      </c>
      <c r="N30" s="51"/>
      <c r="O30" s="51" t="e">
        <f t="shared" si="4"/>
        <v>#DIV/0!</v>
      </c>
      <c r="P30" s="35" t="e">
        <f t="shared" si="5"/>
        <v>#DIV/0!</v>
      </c>
      <c r="Q30" s="34"/>
      <c r="R30" s="51">
        <f t="shared" si="11"/>
        <v>0</v>
      </c>
      <c r="T30" s="51"/>
      <c r="U30" s="1" t="e">
        <f t="shared" si="6"/>
        <v>#DIV/0!</v>
      </c>
      <c r="V30" s="35" t="e">
        <f t="shared" si="7"/>
        <v>#DIV/0!</v>
      </c>
      <c r="W30" s="32"/>
      <c r="X30" s="51">
        <f t="shared" si="8"/>
        <v>0</v>
      </c>
      <c r="Z30" s="51"/>
      <c r="AA30" s="1" t="e">
        <f t="shared" si="9"/>
        <v>#DIV/0!</v>
      </c>
      <c r="AB30" s="35" t="e">
        <f t="shared" si="10"/>
        <v>#DIV/0!</v>
      </c>
    </row>
    <row r="31" spans="2:28" s="1" customFormat="1" x14ac:dyDescent="0.25">
      <c r="B31" s="20">
        <v>45938</v>
      </c>
      <c r="C31" s="1" t="s">
        <v>19</v>
      </c>
      <c r="D31" s="1" t="s">
        <v>13</v>
      </c>
      <c r="E31" s="30"/>
      <c r="F31" s="63">
        <f t="shared" si="0"/>
        <v>0</v>
      </c>
      <c r="H31" s="51"/>
      <c r="I31" s="51" t="e">
        <f t="shared" si="1"/>
        <v>#DIV/0!</v>
      </c>
      <c r="J31" s="35" t="e">
        <f t="shared" si="2"/>
        <v>#DIV/0!</v>
      </c>
      <c r="K31" s="34">
        <v>150</v>
      </c>
      <c r="L31" s="51">
        <f t="shared" si="3"/>
        <v>1035</v>
      </c>
      <c r="M31" s="1">
        <v>979.8</v>
      </c>
      <c r="N31" s="51">
        <f>+M31/142</f>
        <v>6.8999999999999995</v>
      </c>
      <c r="O31" s="51">
        <f t="shared" si="4"/>
        <v>142</v>
      </c>
      <c r="P31" s="35">
        <f t="shared" si="5"/>
        <v>-5.3333333333333337E-2</v>
      </c>
      <c r="Q31" s="34"/>
      <c r="R31" s="51">
        <f t="shared" si="11"/>
        <v>0</v>
      </c>
      <c r="T31" s="51"/>
      <c r="U31" s="1" t="e">
        <f t="shared" si="6"/>
        <v>#DIV/0!</v>
      </c>
      <c r="V31" s="35" t="e">
        <f t="shared" si="7"/>
        <v>#DIV/0!</v>
      </c>
      <c r="W31" s="32"/>
      <c r="X31" s="51">
        <f t="shared" si="8"/>
        <v>0</v>
      </c>
      <c r="Z31" s="51"/>
      <c r="AA31" s="1" t="e">
        <f t="shared" si="9"/>
        <v>#DIV/0!</v>
      </c>
      <c r="AB31" s="35" t="e">
        <f t="shared" si="10"/>
        <v>#DIV/0!</v>
      </c>
    </row>
    <row r="32" spans="2:28" s="1" customFormat="1" x14ac:dyDescent="0.25">
      <c r="B32" s="20">
        <v>45938</v>
      </c>
      <c r="C32" s="1" t="s">
        <v>20</v>
      </c>
      <c r="D32" s="1" t="s">
        <v>13</v>
      </c>
      <c r="E32" s="30"/>
      <c r="F32" s="63">
        <f t="shared" si="0"/>
        <v>0</v>
      </c>
      <c r="H32" s="51"/>
      <c r="I32" s="51" t="e">
        <f t="shared" si="1"/>
        <v>#DIV/0!</v>
      </c>
      <c r="J32" s="35" t="e">
        <f t="shared" si="2"/>
        <v>#DIV/0!</v>
      </c>
      <c r="K32" s="34">
        <v>150</v>
      </c>
      <c r="L32" s="51">
        <f t="shared" si="3"/>
        <v>1020.65625</v>
      </c>
      <c r="M32" s="1">
        <v>1088.7</v>
      </c>
      <c r="N32" s="51">
        <f>+M32/160</f>
        <v>6.8043750000000003</v>
      </c>
      <c r="O32" s="51">
        <f t="shared" si="4"/>
        <v>160</v>
      </c>
      <c r="P32" s="35">
        <f t="shared" si="5"/>
        <v>6.6666666666666666E-2</v>
      </c>
      <c r="Q32" s="34"/>
      <c r="R32" s="51">
        <f t="shared" si="11"/>
        <v>0</v>
      </c>
      <c r="T32" s="51"/>
      <c r="U32" s="1" t="e">
        <f t="shared" si="6"/>
        <v>#DIV/0!</v>
      </c>
      <c r="V32" s="35" t="e">
        <f t="shared" si="7"/>
        <v>#DIV/0!</v>
      </c>
      <c r="W32" s="32"/>
      <c r="X32" s="51">
        <f t="shared" si="8"/>
        <v>0</v>
      </c>
      <c r="Z32" s="51"/>
      <c r="AA32" s="1" t="e">
        <f t="shared" si="9"/>
        <v>#DIV/0!</v>
      </c>
      <c r="AB32" s="35" t="e">
        <f t="shared" si="10"/>
        <v>#DIV/0!</v>
      </c>
    </row>
    <row r="33" spans="2:28" s="1" customFormat="1" x14ac:dyDescent="0.25">
      <c r="B33" s="20">
        <v>45938</v>
      </c>
      <c r="C33" s="1" t="s">
        <v>23</v>
      </c>
      <c r="D33" s="1" t="s">
        <v>13</v>
      </c>
      <c r="E33" s="30"/>
      <c r="F33" s="63">
        <f t="shared" si="0"/>
        <v>0</v>
      </c>
      <c r="H33" s="51"/>
      <c r="I33" s="51" t="e">
        <f t="shared" si="1"/>
        <v>#DIV/0!</v>
      </c>
      <c r="J33" s="35" t="e">
        <f t="shared" si="2"/>
        <v>#DIV/0!</v>
      </c>
      <c r="K33" s="34">
        <v>150</v>
      </c>
      <c r="L33" s="51">
        <f t="shared" si="3"/>
        <v>809.484375</v>
      </c>
      <c r="M33" s="1">
        <v>863.45</v>
      </c>
      <c r="N33" s="51">
        <f>+M33/160</f>
        <v>5.3965624999999999</v>
      </c>
      <c r="O33" s="51">
        <f t="shared" si="4"/>
        <v>160</v>
      </c>
      <c r="P33" s="35">
        <f t="shared" si="5"/>
        <v>6.6666666666666666E-2</v>
      </c>
      <c r="Q33" s="34"/>
      <c r="R33" s="51">
        <f t="shared" si="11"/>
        <v>0</v>
      </c>
      <c r="T33" s="51"/>
      <c r="U33" s="1" t="e">
        <f t="shared" si="6"/>
        <v>#DIV/0!</v>
      </c>
      <c r="V33" s="35" t="e">
        <f t="shared" si="7"/>
        <v>#DIV/0!</v>
      </c>
      <c r="W33" s="32"/>
      <c r="X33" s="51">
        <f t="shared" si="8"/>
        <v>0</v>
      </c>
      <c r="Z33" s="51"/>
      <c r="AA33" s="1" t="e">
        <f t="shared" si="9"/>
        <v>#DIV/0!</v>
      </c>
      <c r="AB33" s="35" t="e">
        <f t="shared" si="10"/>
        <v>#DIV/0!</v>
      </c>
    </row>
    <row r="34" spans="2:28" s="1" customFormat="1" x14ac:dyDescent="0.25">
      <c r="B34" s="20">
        <v>45938</v>
      </c>
      <c r="C34" s="1" t="s">
        <v>16</v>
      </c>
      <c r="D34" s="1" t="s">
        <v>13</v>
      </c>
      <c r="E34" s="30"/>
      <c r="F34" s="63">
        <f t="shared" si="0"/>
        <v>0</v>
      </c>
      <c r="H34" s="51"/>
      <c r="I34" s="51" t="e">
        <f t="shared" si="1"/>
        <v>#DIV/0!</v>
      </c>
      <c r="J34" s="35" t="e">
        <f t="shared" si="2"/>
        <v>#DIV/0!</v>
      </c>
      <c r="K34" s="34"/>
      <c r="L34" s="51">
        <f t="shared" si="3"/>
        <v>0</v>
      </c>
      <c r="N34" s="51"/>
      <c r="O34" s="51" t="e">
        <f t="shared" si="4"/>
        <v>#DIV/0!</v>
      </c>
      <c r="P34" s="35" t="e">
        <f t="shared" si="5"/>
        <v>#DIV/0!</v>
      </c>
      <c r="Q34" s="34">
        <v>170</v>
      </c>
      <c r="R34" s="51">
        <f t="shared" si="11"/>
        <v>4103.6220930232557</v>
      </c>
      <c r="S34" s="1">
        <v>4151.8999999999996</v>
      </c>
      <c r="T34" s="51">
        <f>+S34/172</f>
        <v>24.138953488372092</v>
      </c>
      <c r="U34" s="1">
        <f t="shared" si="6"/>
        <v>172</v>
      </c>
      <c r="V34" s="35">
        <f t="shared" si="7"/>
        <v>1.1764705882352941E-2</v>
      </c>
      <c r="W34" s="32"/>
      <c r="X34" s="51">
        <f t="shared" si="8"/>
        <v>0</v>
      </c>
      <c r="Z34" s="51"/>
      <c r="AA34" s="1" t="e">
        <f t="shared" si="9"/>
        <v>#DIV/0!</v>
      </c>
      <c r="AB34" s="35" t="e">
        <f t="shared" si="10"/>
        <v>#DIV/0!</v>
      </c>
    </row>
    <row r="35" spans="2:28" s="1" customFormat="1" x14ac:dyDescent="0.25">
      <c r="B35" s="20">
        <v>45939</v>
      </c>
      <c r="C35" s="1" t="s">
        <v>12</v>
      </c>
      <c r="D35" s="1" t="s">
        <v>13</v>
      </c>
      <c r="E35" s="30">
        <v>75</v>
      </c>
      <c r="F35" s="63">
        <f t="shared" si="0"/>
        <v>1762.5</v>
      </c>
      <c r="G35" s="1">
        <v>2187.15</v>
      </c>
      <c r="H35" s="51">
        <v>23.5</v>
      </c>
      <c r="I35" s="51">
        <f t="shared" si="1"/>
        <v>93.07021276595745</v>
      </c>
      <c r="J35" s="35">
        <f t="shared" si="2"/>
        <v>0.240936170212766</v>
      </c>
      <c r="K35" s="34"/>
      <c r="L35" s="51">
        <f t="shared" ref="L35:L66" si="12">K35*N35</f>
        <v>0</v>
      </c>
      <c r="N35" s="51"/>
      <c r="O35" s="51" t="e">
        <f t="shared" si="4"/>
        <v>#DIV/0!</v>
      </c>
      <c r="P35" s="35" t="e">
        <f t="shared" si="5"/>
        <v>#DIV/0!</v>
      </c>
      <c r="Q35" s="34"/>
      <c r="R35" s="51">
        <f t="shared" si="11"/>
        <v>0</v>
      </c>
      <c r="T35" s="51"/>
      <c r="U35" s="1" t="e">
        <f t="shared" si="6"/>
        <v>#DIV/0!</v>
      </c>
      <c r="V35" s="35" t="e">
        <f t="shared" si="7"/>
        <v>#DIV/0!</v>
      </c>
      <c r="W35" s="32"/>
      <c r="X35" s="51">
        <f t="shared" si="8"/>
        <v>0</v>
      </c>
      <c r="Z35" s="51"/>
      <c r="AA35" s="1" t="e">
        <f t="shared" si="9"/>
        <v>#DIV/0!</v>
      </c>
      <c r="AB35" s="35" t="e">
        <f t="shared" si="10"/>
        <v>#DIV/0!</v>
      </c>
    </row>
    <row r="36" spans="2:28" s="1" customFormat="1" x14ac:dyDescent="0.25">
      <c r="B36" s="20">
        <v>45939</v>
      </c>
      <c r="C36" s="1" t="s">
        <v>26</v>
      </c>
      <c r="D36" s="1" t="s">
        <v>13</v>
      </c>
      <c r="E36" s="30"/>
      <c r="F36" s="63">
        <f t="shared" si="0"/>
        <v>0</v>
      </c>
      <c r="H36" s="51"/>
      <c r="I36" s="51" t="e">
        <f t="shared" si="1"/>
        <v>#DIV/0!</v>
      </c>
      <c r="J36" s="35" t="e">
        <f t="shared" si="2"/>
        <v>#DIV/0!</v>
      </c>
      <c r="K36" s="34">
        <v>150</v>
      </c>
      <c r="L36" s="51">
        <f t="shared" si="12"/>
        <v>871.27152317880802</v>
      </c>
      <c r="M36" s="1">
        <v>877.08</v>
      </c>
      <c r="N36" s="51">
        <f>+M36/151</f>
        <v>5.8084768211920537</v>
      </c>
      <c r="O36" s="51">
        <f t="shared" si="4"/>
        <v>151</v>
      </c>
      <c r="P36" s="35">
        <f t="shared" si="5"/>
        <v>6.6666666666666671E-3</v>
      </c>
      <c r="Q36" s="34"/>
      <c r="R36" s="51">
        <f t="shared" si="11"/>
        <v>0</v>
      </c>
      <c r="T36" s="51"/>
      <c r="U36" s="1" t="e">
        <f t="shared" si="6"/>
        <v>#DIV/0!</v>
      </c>
      <c r="V36" s="35" t="e">
        <f t="shared" si="7"/>
        <v>#DIV/0!</v>
      </c>
      <c r="W36" s="32"/>
      <c r="X36" s="51">
        <f t="shared" si="8"/>
        <v>0</v>
      </c>
      <c r="Z36" s="51"/>
      <c r="AA36" s="1" t="e">
        <f t="shared" si="9"/>
        <v>#DIV/0!</v>
      </c>
      <c r="AB36" s="35" t="e">
        <f t="shared" si="10"/>
        <v>#DIV/0!</v>
      </c>
    </row>
    <row r="37" spans="2:28" s="1" customFormat="1" x14ac:dyDescent="0.25">
      <c r="B37" s="20">
        <v>45939</v>
      </c>
      <c r="C37" s="1" t="s">
        <v>17</v>
      </c>
      <c r="D37" s="1" t="s">
        <v>13</v>
      </c>
      <c r="E37" s="30"/>
      <c r="F37" s="63">
        <f t="shared" si="0"/>
        <v>0</v>
      </c>
      <c r="H37" s="51"/>
      <c r="I37" s="51" t="e">
        <f t="shared" si="1"/>
        <v>#DIV/0!</v>
      </c>
      <c r="J37" s="35" t="e">
        <f t="shared" si="2"/>
        <v>#DIV/0!</v>
      </c>
      <c r="K37" s="34">
        <v>140</v>
      </c>
      <c r="L37" s="51">
        <f t="shared" si="12"/>
        <v>694.60919540229895</v>
      </c>
      <c r="M37" s="1">
        <v>431.65000000000009</v>
      </c>
      <c r="N37" s="51">
        <f>+M37/87</f>
        <v>4.9614942528735639</v>
      </c>
      <c r="O37" s="51">
        <f t="shared" si="4"/>
        <v>87</v>
      </c>
      <c r="P37" s="35">
        <f t="shared" si="5"/>
        <v>-0.37857142857142856</v>
      </c>
      <c r="Q37" s="34">
        <v>195</v>
      </c>
      <c r="R37" s="51">
        <f t="shared" si="11"/>
        <v>2347.2637499999996</v>
      </c>
      <c r="S37" s="1">
        <v>2407.4499999999998</v>
      </c>
      <c r="T37" s="51">
        <f>+S37/200</f>
        <v>12.037249999999998</v>
      </c>
      <c r="U37" s="1">
        <f t="shared" si="6"/>
        <v>200</v>
      </c>
      <c r="V37" s="35">
        <f t="shared" si="7"/>
        <v>2.564102564102564E-2</v>
      </c>
      <c r="W37" s="32"/>
      <c r="X37" s="51">
        <f t="shared" si="8"/>
        <v>0</v>
      </c>
      <c r="Z37" s="51"/>
      <c r="AA37" s="1" t="e">
        <f t="shared" si="9"/>
        <v>#DIV/0!</v>
      </c>
      <c r="AB37" s="35" t="e">
        <f t="shared" si="10"/>
        <v>#DIV/0!</v>
      </c>
    </row>
    <row r="38" spans="2:28" s="1" customFormat="1" x14ac:dyDescent="0.25">
      <c r="B38" s="20">
        <v>45939</v>
      </c>
      <c r="C38" s="1" t="s">
        <v>16</v>
      </c>
      <c r="D38" s="1" t="s">
        <v>13</v>
      </c>
      <c r="E38" s="30"/>
      <c r="F38" s="63">
        <f t="shared" si="0"/>
        <v>0</v>
      </c>
      <c r="H38" s="51"/>
      <c r="I38" s="51" t="e">
        <f t="shared" si="1"/>
        <v>#DIV/0!</v>
      </c>
      <c r="J38" s="35" t="e">
        <f t="shared" si="2"/>
        <v>#DIV/0!</v>
      </c>
      <c r="K38" s="34"/>
      <c r="L38" s="51">
        <f t="shared" si="12"/>
        <v>0</v>
      </c>
      <c r="N38" s="51"/>
      <c r="O38" s="51" t="e">
        <f t="shared" si="4"/>
        <v>#DIV/0!</v>
      </c>
      <c r="P38" s="35" t="e">
        <f t="shared" si="5"/>
        <v>#DIV/0!</v>
      </c>
      <c r="Q38" s="34">
        <v>170</v>
      </c>
      <c r="R38" s="51">
        <f t="shared" si="11"/>
        <v>1344.093567251462</v>
      </c>
      <c r="S38" s="1">
        <v>1352</v>
      </c>
      <c r="T38" s="51">
        <f>+S38/171</f>
        <v>7.9064327485380117</v>
      </c>
      <c r="U38" s="1">
        <f t="shared" si="6"/>
        <v>171</v>
      </c>
      <c r="V38" s="35">
        <f t="shared" si="7"/>
        <v>5.8823529411764705E-3</v>
      </c>
      <c r="W38" s="32"/>
      <c r="X38" s="51">
        <f t="shared" si="8"/>
        <v>0</v>
      </c>
      <c r="Z38" s="51"/>
      <c r="AA38" s="1" t="e">
        <f t="shared" si="9"/>
        <v>#DIV/0!</v>
      </c>
      <c r="AB38" s="35" t="e">
        <f t="shared" si="10"/>
        <v>#DIV/0!</v>
      </c>
    </row>
    <row r="39" spans="2:28" s="23" customFormat="1" x14ac:dyDescent="0.25">
      <c r="B39" s="20">
        <v>45940</v>
      </c>
      <c r="C39" s="1" t="s">
        <v>12</v>
      </c>
      <c r="D39" s="23" t="s">
        <v>13</v>
      </c>
      <c r="E39" s="31">
        <v>75</v>
      </c>
      <c r="F39" s="64">
        <f t="shared" si="0"/>
        <v>213.88235294117649</v>
      </c>
      <c r="G39" s="23">
        <v>242.4</v>
      </c>
      <c r="H39" s="52">
        <f>+G39/85</f>
        <v>2.8517647058823532</v>
      </c>
      <c r="I39" s="52">
        <f t="shared" si="1"/>
        <v>85</v>
      </c>
      <c r="J39" s="37">
        <f t="shared" si="2"/>
        <v>0.13333333333333333</v>
      </c>
      <c r="K39" s="36"/>
      <c r="L39" s="51">
        <f t="shared" si="12"/>
        <v>0</v>
      </c>
      <c r="N39" s="52"/>
      <c r="O39" s="52" t="e">
        <f t="shared" si="4"/>
        <v>#DIV/0!</v>
      </c>
      <c r="P39" s="37" t="e">
        <f t="shared" si="5"/>
        <v>#DIV/0!</v>
      </c>
      <c r="Q39" s="36"/>
      <c r="R39" s="51">
        <f t="shared" si="11"/>
        <v>0</v>
      </c>
      <c r="T39" s="52"/>
      <c r="U39" s="23" t="e">
        <f t="shared" si="6"/>
        <v>#DIV/0!</v>
      </c>
      <c r="V39" s="37" t="e">
        <f t="shared" si="7"/>
        <v>#DIV/0!</v>
      </c>
      <c r="W39" s="33"/>
      <c r="X39" s="51">
        <f t="shared" si="8"/>
        <v>0</v>
      </c>
      <c r="Z39" s="52"/>
      <c r="AA39" s="1" t="e">
        <f t="shared" si="9"/>
        <v>#DIV/0!</v>
      </c>
      <c r="AB39" s="35" t="e">
        <f t="shared" si="10"/>
        <v>#DIV/0!</v>
      </c>
    </row>
    <row r="40" spans="2:28" x14ac:dyDescent="0.25">
      <c r="B40" s="20">
        <v>45940</v>
      </c>
      <c r="C40" s="1" t="s">
        <v>14</v>
      </c>
      <c r="D40" s="23" t="s">
        <v>13</v>
      </c>
      <c r="E40" s="2">
        <v>85</v>
      </c>
      <c r="F40" s="64">
        <f t="shared" si="0"/>
        <v>1584.4809523809524</v>
      </c>
      <c r="G40" s="2">
        <v>1957.3</v>
      </c>
      <c r="H40" s="54">
        <f>+G40/105</f>
        <v>18.640952380952381</v>
      </c>
      <c r="I40" s="52">
        <f t="shared" si="1"/>
        <v>105</v>
      </c>
      <c r="J40" s="37">
        <f t="shared" si="2"/>
        <v>0.23529411764705882</v>
      </c>
      <c r="L40" s="51">
        <f t="shared" si="12"/>
        <v>0</v>
      </c>
      <c r="O40" s="52" t="e">
        <f t="shared" si="4"/>
        <v>#DIV/0!</v>
      </c>
      <c r="P40" s="37" t="e">
        <f t="shared" si="5"/>
        <v>#DIV/0!</v>
      </c>
      <c r="R40" s="51">
        <f t="shared" si="11"/>
        <v>0</v>
      </c>
      <c r="U40" s="23" t="e">
        <f t="shared" si="6"/>
        <v>#DIV/0!</v>
      </c>
      <c r="V40" s="37" t="e">
        <f t="shared" si="7"/>
        <v>#DIV/0!</v>
      </c>
      <c r="X40" s="51">
        <f t="shared" si="8"/>
        <v>0</v>
      </c>
      <c r="AA40" s="1" t="e">
        <f t="shared" si="9"/>
        <v>#DIV/0!</v>
      </c>
      <c r="AB40" s="35" t="e">
        <f t="shared" si="10"/>
        <v>#DIV/0!</v>
      </c>
    </row>
    <row r="41" spans="2:28" x14ac:dyDescent="0.25">
      <c r="B41" s="20">
        <v>45940</v>
      </c>
      <c r="C41" s="4" t="s">
        <v>18</v>
      </c>
      <c r="D41" s="23" t="s">
        <v>13</v>
      </c>
      <c r="E41" s="2"/>
      <c r="F41" s="64">
        <f t="shared" si="0"/>
        <v>0</v>
      </c>
      <c r="I41" s="52" t="e">
        <f t="shared" si="1"/>
        <v>#DIV/0!</v>
      </c>
      <c r="J41" s="37" t="e">
        <f t="shared" si="2"/>
        <v>#DIV/0!</v>
      </c>
      <c r="L41" s="51">
        <f t="shared" si="12"/>
        <v>0</v>
      </c>
      <c r="M41" s="2">
        <v>664.4</v>
      </c>
      <c r="O41" s="52" t="e">
        <f t="shared" si="4"/>
        <v>#DIV/0!</v>
      </c>
      <c r="P41" s="37" t="e">
        <f t="shared" si="5"/>
        <v>#DIV/0!</v>
      </c>
      <c r="R41" s="51">
        <f t="shared" si="11"/>
        <v>0</v>
      </c>
      <c r="U41" s="23" t="e">
        <f t="shared" si="6"/>
        <v>#DIV/0!</v>
      </c>
      <c r="V41" s="37" t="e">
        <f t="shared" si="7"/>
        <v>#DIV/0!</v>
      </c>
      <c r="X41" s="51">
        <f t="shared" si="8"/>
        <v>0</v>
      </c>
      <c r="AA41" s="1" t="e">
        <f t="shared" si="9"/>
        <v>#DIV/0!</v>
      </c>
      <c r="AB41" s="35" t="e">
        <f t="shared" si="10"/>
        <v>#DIV/0!</v>
      </c>
    </row>
    <row r="42" spans="2:28" x14ac:dyDescent="0.25">
      <c r="B42" s="20">
        <v>45940</v>
      </c>
      <c r="C42" s="4" t="s">
        <v>21</v>
      </c>
      <c r="D42" s="23" t="s">
        <v>13</v>
      </c>
      <c r="E42" s="2"/>
      <c r="F42" s="64">
        <f t="shared" si="0"/>
        <v>0</v>
      </c>
      <c r="I42" s="52" t="e">
        <f t="shared" si="1"/>
        <v>#DIV/0!</v>
      </c>
      <c r="J42" s="37" t="e">
        <f t="shared" si="2"/>
        <v>#DIV/0!</v>
      </c>
      <c r="L42" s="51">
        <f t="shared" si="12"/>
        <v>0</v>
      </c>
      <c r="M42" s="2">
        <v>251.7</v>
      </c>
      <c r="O42" s="52" t="e">
        <f t="shared" si="4"/>
        <v>#DIV/0!</v>
      </c>
      <c r="P42" s="37" t="e">
        <f t="shared" si="5"/>
        <v>#DIV/0!</v>
      </c>
      <c r="R42" s="51">
        <f t="shared" si="11"/>
        <v>0</v>
      </c>
      <c r="U42" s="23" t="e">
        <f t="shared" si="6"/>
        <v>#DIV/0!</v>
      </c>
      <c r="V42" s="37" t="e">
        <f t="shared" si="7"/>
        <v>#DIV/0!</v>
      </c>
      <c r="X42" s="51">
        <f t="shared" si="8"/>
        <v>0</v>
      </c>
      <c r="AA42" s="1" t="e">
        <f t="shared" si="9"/>
        <v>#DIV/0!</v>
      </c>
      <c r="AB42" s="35" t="e">
        <f t="shared" si="10"/>
        <v>#DIV/0!</v>
      </c>
    </row>
    <row r="43" spans="2:28" x14ac:dyDescent="0.25">
      <c r="B43" s="20">
        <v>45940</v>
      </c>
      <c r="C43" s="1" t="s">
        <v>17</v>
      </c>
      <c r="D43" s="23" t="s">
        <v>13</v>
      </c>
      <c r="E43" s="2"/>
      <c r="F43" s="64">
        <f t="shared" si="0"/>
        <v>0</v>
      </c>
      <c r="I43" s="52" t="e">
        <f t="shared" si="1"/>
        <v>#DIV/0!</v>
      </c>
      <c r="J43" s="37" t="e">
        <f t="shared" si="2"/>
        <v>#DIV/0!</v>
      </c>
      <c r="K43" s="34">
        <v>140</v>
      </c>
      <c r="L43" s="51">
        <f t="shared" si="12"/>
        <v>120.85057471264366</v>
      </c>
      <c r="M43" s="2">
        <v>75.099999999999994</v>
      </c>
      <c r="N43" s="54">
        <f>+M43/87</f>
        <v>0.86321839080459761</v>
      </c>
      <c r="O43" s="52">
        <f t="shared" si="4"/>
        <v>87</v>
      </c>
      <c r="P43" s="37">
        <f t="shared" si="5"/>
        <v>-0.37857142857142856</v>
      </c>
      <c r="Q43" s="11">
        <v>195</v>
      </c>
      <c r="R43" s="51">
        <f t="shared" si="11"/>
        <v>4209.4317073170732</v>
      </c>
      <c r="S43" s="2">
        <v>4425.3</v>
      </c>
      <c r="T43" s="54">
        <f>+S43/205</f>
        <v>21.586829268292682</v>
      </c>
      <c r="U43" s="23">
        <f t="shared" si="6"/>
        <v>205.00000000000003</v>
      </c>
      <c r="V43" s="37">
        <f t="shared" si="7"/>
        <v>5.1282051282051426E-2</v>
      </c>
      <c r="X43" s="51">
        <f t="shared" si="8"/>
        <v>0</v>
      </c>
      <c r="AA43" s="1" t="e">
        <f t="shared" si="9"/>
        <v>#DIV/0!</v>
      </c>
      <c r="AB43" s="35" t="e">
        <f t="shared" si="10"/>
        <v>#DIV/0!</v>
      </c>
    </row>
    <row r="44" spans="2:28" x14ac:dyDescent="0.25">
      <c r="B44" s="20">
        <v>45941</v>
      </c>
      <c r="C44" s="2" t="s">
        <v>14</v>
      </c>
      <c r="D44" s="23" t="s">
        <v>13</v>
      </c>
      <c r="E44" s="2">
        <v>85</v>
      </c>
      <c r="F44" s="64">
        <f t="shared" si="0"/>
        <v>1400.7828282828282</v>
      </c>
      <c r="G44" s="2">
        <v>1631.5</v>
      </c>
      <c r="H44" s="54">
        <f>+G44/99</f>
        <v>16.479797979797979</v>
      </c>
      <c r="I44" s="52">
        <f t="shared" si="1"/>
        <v>99</v>
      </c>
      <c r="J44" s="37">
        <f t="shared" si="2"/>
        <v>0.16470588235294117</v>
      </c>
      <c r="L44" s="51">
        <f t="shared" si="12"/>
        <v>0</v>
      </c>
      <c r="O44" s="52" t="e">
        <f t="shared" si="4"/>
        <v>#DIV/0!</v>
      </c>
      <c r="P44" s="37" t="e">
        <f t="shared" si="5"/>
        <v>#DIV/0!</v>
      </c>
      <c r="R44" s="51">
        <f t="shared" si="11"/>
        <v>0</v>
      </c>
      <c r="U44" s="23" t="e">
        <f t="shared" si="6"/>
        <v>#DIV/0!</v>
      </c>
      <c r="V44" s="37" t="e">
        <f t="shared" si="7"/>
        <v>#DIV/0!</v>
      </c>
      <c r="X44" s="51">
        <f t="shared" si="8"/>
        <v>0</v>
      </c>
      <c r="AA44" s="1" t="e">
        <f t="shared" si="9"/>
        <v>#DIV/0!</v>
      </c>
      <c r="AB44" s="35" t="e">
        <f t="shared" si="10"/>
        <v>#DIV/0!</v>
      </c>
    </row>
    <row r="45" spans="2:28" x14ac:dyDescent="0.25">
      <c r="B45" s="20">
        <v>45941</v>
      </c>
      <c r="C45" s="1" t="s">
        <v>17</v>
      </c>
      <c r="D45" s="23" t="s">
        <v>13</v>
      </c>
      <c r="E45" s="30">
        <v>160</v>
      </c>
      <c r="F45" s="64">
        <f t="shared" si="0"/>
        <v>1061.1733333333334</v>
      </c>
      <c r="G45" s="2">
        <v>994.85</v>
      </c>
      <c r="H45" s="54">
        <f>+G45/150</f>
        <v>6.6323333333333334</v>
      </c>
      <c r="I45" s="52">
        <f t="shared" si="1"/>
        <v>150</v>
      </c>
      <c r="J45" s="37">
        <f t="shared" si="2"/>
        <v>-6.25E-2</v>
      </c>
      <c r="L45" s="51">
        <f t="shared" si="12"/>
        <v>0</v>
      </c>
      <c r="O45" s="52" t="e">
        <f t="shared" si="4"/>
        <v>#DIV/0!</v>
      </c>
      <c r="P45" s="37" t="e">
        <f t="shared" si="5"/>
        <v>#DIV/0!</v>
      </c>
      <c r="R45" s="51">
        <f t="shared" si="11"/>
        <v>0</v>
      </c>
      <c r="U45" s="23" t="e">
        <f t="shared" si="6"/>
        <v>#DIV/0!</v>
      </c>
      <c r="V45" s="37" t="e">
        <f t="shared" si="7"/>
        <v>#DIV/0!</v>
      </c>
      <c r="X45" s="51">
        <f t="shared" si="8"/>
        <v>0</v>
      </c>
      <c r="AA45" s="1" t="e">
        <f t="shared" si="9"/>
        <v>#DIV/0!</v>
      </c>
      <c r="AB45" s="35" t="e">
        <f t="shared" si="10"/>
        <v>#DIV/0!</v>
      </c>
    </row>
    <row r="46" spans="2:28" x14ac:dyDescent="0.25">
      <c r="B46" s="20">
        <v>45941</v>
      </c>
      <c r="C46" s="4" t="s">
        <v>21</v>
      </c>
      <c r="D46" s="23" t="s">
        <v>13</v>
      </c>
      <c r="E46" s="2"/>
      <c r="F46" s="64">
        <f t="shared" si="0"/>
        <v>0</v>
      </c>
      <c r="I46" s="52" t="e">
        <f t="shared" si="1"/>
        <v>#DIV/0!</v>
      </c>
      <c r="J46" s="37" t="e">
        <f t="shared" si="2"/>
        <v>#DIV/0!</v>
      </c>
      <c r="L46" s="51">
        <f t="shared" si="12"/>
        <v>0</v>
      </c>
      <c r="M46" s="2">
        <v>50.45</v>
      </c>
      <c r="O46" s="52" t="e">
        <f t="shared" si="4"/>
        <v>#DIV/0!</v>
      </c>
      <c r="P46" s="37" t="e">
        <f t="shared" si="5"/>
        <v>#DIV/0!</v>
      </c>
      <c r="R46" s="51">
        <f t="shared" si="11"/>
        <v>0</v>
      </c>
      <c r="U46" s="23" t="e">
        <f t="shared" si="6"/>
        <v>#DIV/0!</v>
      </c>
      <c r="V46" s="37" t="e">
        <f t="shared" si="7"/>
        <v>#DIV/0!</v>
      </c>
      <c r="X46" s="51">
        <f t="shared" si="8"/>
        <v>0</v>
      </c>
      <c r="AA46" s="1" t="e">
        <f t="shared" si="9"/>
        <v>#DIV/0!</v>
      </c>
      <c r="AB46" s="35" t="e">
        <f t="shared" si="10"/>
        <v>#DIV/0!</v>
      </c>
    </row>
    <row r="47" spans="2:28" x14ac:dyDescent="0.25">
      <c r="B47" s="20">
        <v>45941</v>
      </c>
      <c r="C47" s="4" t="s">
        <v>18</v>
      </c>
      <c r="D47" s="23" t="s">
        <v>13</v>
      </c>
      <c r="E47" s="2"/>
      <c r="F47" s="64">
        <f t="shared" si="0"/>
        <v>0</v>
      </c>
      <c r="I47" s="52" t="e">
        <f t="shared" si="1"/>
        <v>#DIV/0!</v>
      </c>
      <c r="J47" s="37" t="e">
        <f t="shared" si="2"/>
        <v>#DIV/0!</v>
      </c>
      <c r="L47" s="51">
        <f t="shared" si="12"/>
        <v>0</v>
      </c>
      <c r="M47" s="2">
        <v>117.55</v>
      </c>
      <c r="O47" s="52" t="e">
        <f t="shared" si="4"/>
        <v>#DIV/0!</v>
      </c>
      <c r="P47" s="37" t="e">
        <f t="shared" si="5"/>
        <v>#DIV/0!</v>
      </c>
      <c r="R47" s="51">
        <f t="shared" si="11"/>
        <v>0</v>
      </c>
      <c r="U47" s="23" t="e">
        <f t="shared" si="6"/>
        <v>#DIV/0!</v>
      </c>
      <c r="V47" s="37" t="e">
        <f t="shared" si="7"/>
        <v>#DIV/0!</v>
      </c>
      <c r="X47" s="51">
        <f t="shared" si="8"/>
        <v>0</v>
      </c>
      <c r="AA47" s="1" t="e">
        <f t="shared" si="9"/>
        <v>#DIV/0!</v>
      </c>
      <c r="AB47" s="35" t="e">
        <f t="shared" si="10"/>
        <v>#DIV/0!</v>
      </c>
    </row>
    <row r="48" spans="2:28" x14ac:dyDescent="0.25">
      <c r="B48" s="20">
        <v>45941</v>
      </c>
      <c r="C48" s="4" t="s">
        <v>15</v>
      </c>
      <c r="D48" s="23" t="s">
        <v>13</v>
      </c>
      <c r="E48" s="2"/>
      <c r="F48" s="64">
        <f t="shared" si="0"/>
        <v>0</v>
      </c>
      <c r="I48" s="52" t="e">
        <f t="shared" si="1"/>
        <v>#DIV/0!</v>
      </c>
      <c r="J48" s="37" t="e">
        <f t="shared" si="2"/>
        <v>#DIV/0!</v>
      </c>
      <c r="L48" s="51">
        <f t="shared" si="12"/>
        <v>0</v>
      </c>
      <c r="M48" s="2">
        <v>395.59999999999997</v>
      </c>
      <c r="O48" s="52" t="e">
        <f t="shared" si="4"/>
        <v>#DIV/0!</v>
      </c>
      <c r="P48" s="37" t="e">
        <f t="shared" si="5"/>
        <v>#DIV/0!</v>
      </c>
      <c r="R48" s="51">
        <f t="shared" si="11"/>
        <v>0</v>
      </c>
      <c r="U48" s="23" t="e">
        <f t="shared" si="6"/>
        <v>#DIV/0!</v>
      </c>
      <c r="V48" s="37" t="e">
        <f t="shared" si="7"/>
        <v>#DIV/0!</v>
      </c>
      <c r="X48" s="51">
        <f t="shared" si="8"/>
        <v>0</v>
      </c>
      <c r="AA48" s="1" t="e">
        <f t="shared" si="9"/>
        <v>#DIV/0!</v>
      </c>
      <c r="AB48" s="35" t="e">
        <f t="shared" si="10"/>
        <v>#DIV/0!</v>
      </c>
    </row>
    <row r="49" spans="2:28" x14ac:dyDescent="0.25">
      <c r="B49" s="20">
        <v>45941</v>
      </c>
      <c r="C49" s="1" t="s">
        <v>17</v>
      </c>
      <c r="D49" s="23" t="s">
        <v>13</v>
      </c>
      <c r="E49" s="2"/>
      <c r="F49" s="64">
        <f t="shared" si="0"/>
        <v>0</v>
      </c>
      <c r="I49" s="52" t="e">
        <f t="shared" si="1"/>
        <v>#DIV/0!</v>
      </c>
      <c r="J49" s="37" t="e">
        <f t="shared" si="2"/>
        <v>#DIV/0!</v>
      </c>
      <c r="L49" s="51">
        <f t="shared" si="12"/>
        <v>0</v>
      </c>
      <c r="O49" s="52" t="e">
        <f t="shared" si="4"/>
        <v>#DIV/0!</v>
      </c>
      <c r="P49" s="37" t="e">
        <f t="shared" si="5"/>
        <v>#DIV/0!</v>
      </c>
      <c r="Q49" s="34">
        <v>195</v>
      </c>
      <c r="R49" s="51">
        <f t="shared" si="11"/>
        <v>1161.1536585365855</v>
      </c>
      <c r="S49" s="2">
        <v>1220.7</v>
      </c>
      <c r="T49" s="54">
        <f>+S49/205</f>
        <v>5.9546341463414638</v>
      </c>
      <c r="U49" s="23">
        <f t="shared" si="6"/>
        <v>205</v>
      </c>
      <c r="V49" s="37">
        <f t="shared" si="7"/>
        <v>5.128205128205128E-2</v>
      </c>
      <c r="X49" s="51">
        <f t="shared" si="8"/>
        <v>0</v>
      </c>
      <c r="AA49" s="1" t="e">
        <f t="shared" si="9"/>
        <v>#DIV/0!</v>
      </c>
      <c r="AB49" s="35" t="e">
        <f t="shared" si="10"/>
        <v>#DIV/0!</v>
      </c>
    </row>
    <row r="50" spans="2:28" x14ac:dyDescent="0.25">
      <c r="B50" s="20">
        <v>45941</v>
      </c>
      <c r="C50" s="1" t="s">
        <v>20</v>
      </c>
      <c r="D50" s="23" t="s">
        <v>13</v>
      </c>
      <c r="E50" s="2"/>
      <c r="F50" s="64">
        <f t="shared" si="0"/>
        <v>0</v>
      </c>
      <c r="I50" s="52" t="e">
        <f t="shared" si="1"/>
        <v>#DIV/0!</v>
      </c>
      <c r="J50" s="37" t="e">
        <f t="shared" si="2"/>
        <v>#DIV/0!</v>
      </c>
      <c r="L50" s="51">
        <f t="shared" si="12"/>
        <v>0</v>
      </c>
      <c r="O50" s="52" t="e">
        <f t="shared" si="4"/>
        <v>#DIV/0!</v>
      </c>
      <c r="P50" s="37" t="e">
        <f t="shared" si="5"/>
        <v>#DIV/0!</v>
      </c>
      <c r="Q50" s="11">
        <v>195</v>
      </c>
      <c r="R50" s="51">
        <f t="shared" si="11"/>
        <v>1924.0145089285706</v>
      </c>
      <c r="S50" s="2">
        <v>2210.1499999999992</v>
      </c>
      <c r="T50" s="54">
        <f>+S50/224</f>
        <v>9.8667410714285673</v>
      </c>
      <c r="U50" s="23">
        <f t="shared" si="6"/>
        <v>224</v>
      </c>
      <c r="V50" s="37">
        <f t="shared" si="7"/>
        <v>0.14871794871794872</v>
      </c>
      <c r="X50" s="51">
        <f t="shared" si="8"/>
        <v>0</v>
      </c>
      <c r="AA50" s="1" t="e">
        <f t="shared" si="9"/>
        <v>#DIV/0!</v>
      </c>
      <c r="AB50" s="35" t="e">
        <f t="shared" si="10"/>
        <v>#DIV/0!</v>
      </c>
    </row>
    <row r="51" spans="2:28" x14ac:dyDescent="0.25">
      <c r="B51" s="20">
        <v>45943</v>
      </c>
      <c r="C51" s="1" t="s">
        <v>16</v>
      </c>
      <c r="D51" s="23" t="s">
        <v>13</v>
      </c>
      <c r="E51" s="2">
        <v>155</v>
      </c>
      <c r="F51" s="64">
        <f t="shared" si="0"/>
        <v>782.19281045751632</v>
      </c>
      <c r="G51" s="2">
        <v>772.1</v>
      </c>
      <c r="H51" s="54">
        <f>+G51/153</f>
        <v>5.0464052287581698</v>
      </c>
      <c r="I51" s="52">
        <f t="shared" si="1"/>
        <v>153</v>
      </c>
      <c r="J51" s="37">
        <f t="shared" si="2"/>
        <v>-1.2903225806451613E-2</v>
      </c>
      <c r="K51" s="11">
        <v>130</v>
      </c>
      <c r="L51" s="51">
        <f t="shared" si="12"/>
        <v>641.2935779816512</v>
      </c>
      <c r="M51" s="2">
        <v>537.69999999999982</v>
      </c>
      <c r="N51" s="54">
        <f>+M51/109</f>
        <v>4.9330275229357783</v>
      </c>
      <c r="O51" s="52">
        <f t="shared" si="4"/>
        <v>109</v>
      </c>
      <c r="P51" s="37">
        <f t="shared" si="5"/>
        <v>-0.16153846153846155</v>
      </c>
      <c r="R51" s="51">
        <f t="shared" si="11"/>
        <v>0</v>
      </c>
      <c r="U51" s="23" t="e">
        <f t="shared" si="6"/>
        <v>#DIV/0!</v>
      </c>
      <c r="V51" s="37" t="e">
        <f t="shared" si="7"/>
        <v>#DIV/0!</v>
      </c>
      <c r="X51" s="51">
        <f t="shared" si="8"/>
        <v>0</v>
      </c>
      <c r="AA51" s="1" t="e">
        <f t="shared" si="9"/>
        <v>#DIV/0!</v>
      </c>
      <c r="AB51" s="35" t="e">
        <f t="shared" si="10"/>
        <v>#DIV/0!</v>
      </c>
    </row>
    <row r="52" spans="2:28" x14ac:dyDescent="0.25">
      <c r="B52" s="20">
        <v>45943</v>
      </c>
      <c r="C52" s="1" t="s">
        <v>17</v>
      </c>
      <c r="D52" s="23" t="s">
        <v>13</v>
      </c>
      <c r="E52" s="2">
        <v>160</v>
      </c>
      <c r="F52" s="64">
        <f t="shared" si="0"/>
        <v>2485.1878787878786</v>
      </c>
      <c r="G52" s="2">
        <v>2562.85</v>
      </c>
      <c r="H52" s="54">
        <f>+G52/165</f>
        <v>15.532424242424241</v>
      </c>
      <c r="I52" s="52">
        <f t="shared" si="1"/>
        <v>165</v>
      </c>
      <c r="J52" s="37">
        <f t="shared" si="2"/>
        <v>3.125E-2</v>
      </c>
      <c r="L52" s="51">
        <f t="shared" si="12"/>
        <v>0</v>
      </c>
      <c r="O52" s="52" t="e">
        <f t="shared" si="4"/>
        <v>#DIV/0!</v>
      </c>
      <c r="P52" s="37" t="e">
        <f t="shared" si="5"/>
        <v>#DIV/0!</v>
      </c>
      <c r="R52" s="51">
        <f t="shared" si="11"/>
        <v>0</v>
      </c>
      <c r="U52" s="23" t="e">
        <f t="shared" si="6"/>
        <v>#DIV/0!</v>
      </c>
      <c r="V52" s="37" t="e">
        <f t="shared" si="7"/>
        <v>#DIV/0!</v>
      </c>
      <c r="X52" s="51">
        <f t="shared" si="8"/>
        <v>0</v>
      </c>
      <c r="AA52" s="1" t="e">
        <f t="shared" si="9"/>
        <v>#DIV/0!</v>
      </c>
      <c r="AB52" s="35" t="e">
        <f t="shared" si="10"/>
        <v>#DIV/0!</v>
      </c>
    </row>
    <row r="53" spans="2:28" x14ac:dyDescent="0.25">
      <c r="B53" s="20">
        <v>45943</v>
      </c>
      <c r="C53" s="1" t="s">
        <v>12</v>
      </c>
      <c r="D53" s="23" t="s">
        <v>13</v>
      </c>
      <c r="E53" s="2"/>
      <c r="F53" s="64">
        <f t="shared" si="0"/>
        <v>0</v>
      </c>
      <c r="I53" s="52" t="e">
        <f t="shared" si="1"/>
        <v>#DIV/0!</v>
      </c>
      <c r="J53" s="37" t="e">
        <f t="shared" si="2"/>
        <v>#DIV/0!</v>
      </c>
      <c r="K53" s="11">
        <v>75</v>
      </c>
      <c r="L53" s="51">
        <f t="shared" si="12"/>
        <v>661.00961538461559</v>
      </c>
      <c r="M53" s="1">
        <v>687.45000000000016</v>
      </c>
      <c r="N53" s="54">
        <f>+M53/78</f>
        <v>8.8134615384615405</v>
      </c>
      <c r="O53" s="52">
        <f t="shared" si="4"/>
        <v>78</v>
      </c>
      <c r="P53" s="37">
        <f t="shared" si="5"/>
        <v>0.04</v>
      </c>
      <c r="R53" s="51">
        <f t="shared" si="11"/>
        <v>0</v>
      </c>
      <c r="U53" s="23" t="e">
        <f t="shared" si="6"/>
        <v>#DIV/0!</v>
      </c>
      <c r="V53" s="37" t="e">
        <f t="shared" si="7"/>
        <v>#DIV/0!</v>
      </c>
      <c r="X53" s="51">
        <f t="shared" si="8"/>
        <v>0</v>
      </c>
      <c r="AA53" s="1" t="e">
        <f t="shared" si="9"/>
        <v>#DIV/0!</v>
      </c>
      <c r="AB53" s="35" t="e">
        <f t="shared" si="10"/>
        <v>#DIV/0!</v>
      </c>
    </row>
    <row r="54" spans="2:28" x14ac:dyDescent="0.25">
      <c r="B54" s="20">
        <v>45943</v>
      </c>
      <c r="C54" s="1" t="s">
        <v>20</v>
      </c>
      <c r="D54" s="23" t="s">
        <v>13</v>
      </c>
      <c r="E54" s="2"/>
      <c r="F54" s="64">
        <f t="shared" si="0"/>
        <v>0</v>
      </c>
      <c r="I54" s="52" t="e">
        <f t="shared" si="1"/>
        <v>#DIV/0!</v>
      </c>
      <c r="J54" s="37" t="e">
        <f t="shared" si="2"/>
        <v>#DIV/0!</v>
      </c>
      <c r="L54" s="51">
        <f t="shared" si="12"/>
        <v>0</v>
      </c>
      <c r="O54" s="52" t="e">
        <f t="shared" si="4"/>
        <v>#DIV/0!</v>
      </c>
      <c r="P54" s="37" t="e">
        <f t="shared" si="5"/>
        <v>#DIV/0!</v>
      </c>
      <c r="Q54" s="11">
        <v>195</v>
      </c>
      <c r="R54" s="51">
        <f t="shared" si="11"/>
        <v>2142.1651982378853</v>
      </c>
      <c r="S54" s="2">
        <v>2493.6999999999998</v>
      </c>
      <c r="T54" s="54">
        <f>+S54/227</f>
        <v>10.985462555066078</v>
      </c>
      <c r="U54" s="23">
        <f t="shared" si="6"/>
        <v>227</v>
      </c>
      <c r="V54" s="37">
        <f t="shared" si="7"/>
        <v>0.1641025641025641</v>
      </c>
      <c r="X54" s="51">
        <f t="shared" si="8"/>
        <v>0</v>
      </c>
      <c r="AA54" s="1" t="e">
        <f t="shared" si="9"/>
        <v>#DIV/0!</v>
      </c>
      <c r="AB54" s="35" t="e">
        <f t="shared" si="10"/>
        <v>#DIV/0!</v>
      </c>
    </row>
    <row r="55" spans="2:28" x14ac:dyDescent="0.25">
      <c r="B55" s="20">
        <v>45944</v>
      </c>
      <c r="C55" s="1" t="s">
        <v>17</v>
      </c>
      <c r="D55" s="23" t="s">
        <v>13</v>
      </c>
      <c r="E55" s="2">
        <v>160</v>
      </c>
      <c r="F55" s="64">
        <f t="shared" si="0"/>
        <v>3753.2403225806452</v>
      </c>
      <c r="G55" s="2">
        <v>3713.9</v>
      </c>
      <c r="H55" s="54">
        <f>+(1219.55/155)+(2494.35/160)</f>
        <v>23.457752016129032</v>
      </c>
      <c r="I55" s="52">
        <f t="shared" si="1"/>
        <v>158.32292870375665</v>
      </c>
      <c r="J55" s="37">
        <f>(I55-E55)/E55</f>
        <v>-1.0481695601520968E-2</v>
      </c>
      <c r="K55" s="11">
        <v>140</v>
      </c>
      <c r="L55" s="51">
        <f t="shared" si="12"/>
        <v>827.52173913043475</v>
      </c>
      <c r="M55" s="2">
        <v>815.69999999999993</v>
      </c>
      <c r="N55" s="54">
        <f>+M55/138</f>
        <v>5.910869565217391</v>
      </c>
      <c r="O55" s="52">
        <f t="shared" si="4"/>
        <v>138</v>
      </c>
      <c r="P55" s="37">
        <f t="shared" si="5"/>
        <v>-1.4285714285714285E-2</v>
      </c>
      <c r="R55" s="51">
        <f t="shared" si="11"/>
        <v>0</v>
      </c>
      <c r="U55" s="23" t="e">
        <f t="shared" si="6"/>
        <v>#DIV/0!</v>
      </c>
      <c r="V55" s="37" t="e">
        <f t="shared" si="7"/>
        <v>#DIV/0!</v>
      </c>
      <c r="X55" s="51">
        <f t="shared" si="8"/>
        <v>0</v>
      </c>
      <c r="AA55" s="1" t="e">
        <f t="shared" si="9"/>
        <v>#DIV/0!</v>
      </c>
      <c r="AB55" s="35" t="e">
        <f t="shared" si="10"/>
        <v>#DIV/0!</v>
      </c>
    </row>
    <row r="56" spans="2:28" x14ac:dyDescent="0.25">
      <c r="B56" s="20">
        <v>45944</v>
      </c>
      <c r="C56" s="2" t="s">
        <v>16</v>
      </c>
      <c r="D56" s="23" t="s">
        <v>13</v>
      </c>
      <c r="E56" s="2"/>
      <c r="F56" s="64">
        <f t="shared" si="0"/>
        <v>0</v>
      </c>
      <c r="I56" s="52" t="e">
        <f t="shared" si="1"/>
        <v>#DIV/0!</v>
      </c>
      <c r="J56" s="37" t="e">
        <f t="shared" si="2"/>
        <v>#DIV/0!</v>
      </c>
      <c r="K56" s="11">
        <v>130</v>
      </c>
      <c r="L56" s="51">
        <f t="shared" si="12"/>
        <v>532.36884057971008</v>
      </c>
      <c r="M56" s="2">
        <v>565.12999999999988</v>
      </c>
      <c r="N56" s="54">
        <f>+M56/138</f>
        <v>4.0951449275362313</v>
      </c>
      <c r="O56" s="52">
        <f t="shared" si="4"/>
        <v>138</v>
      </c>
      <c r="P56" s="37">
        <f t="shared" si="5"/>
        <v>6.1538461538461542E-2</v>
      </c>
      <c r="R56" s="51">
        <f t="shared" si="11"/>
        <v>0</v>
      </c>
      <c r="U56" s="23" t="e">
        <f t="shared" si="6"/>
        <v>#DIV/0!</v>
      </c>
      <c r="V56" s="37" t="e">
        <f t="shared" si="7"/>
        <v>#DIV/0!</v>
      </c>
      <c r="X56" s="51">
        <f t="shared" si="8"/>
        <v>0</v>
      </c>
      <c r="AA56" s="1" t="e">
        <f t="shared" si="9"/>
        <v>#DIV/0!</v>
      </c>
      <c r="AB56" s="35" t="e">
        <f t="shared" si="10"/>
        <v>#DIV/0!</v>
      </c>
    </row>
    <row r="57" spans="2:28" x14ac:dyDescent="0.25">
      <c r="B57" s="20">
        <v>45944</v>
      </c>
      <c r="C57" s="2" t="s">
        <v>29</v>
      </c>
      <c r="D57" s="23" t="s">
        <v>13</v>
      </c>
      <c r="E57" s="2"/>
      <c r="F57" s="64">
        <f t="shared" si="0"/>
        <v>0</v>
      </c>
      <c r="I57" s="52" t="e">
        <f t="shared" si="1"/>
        <v>#DIV/0!</v>
      </c>
      <c r="J57" s="37" t="e">
        <f t="shared" si="2"/>
        <v>#DIV/0!</v>
      </c>
      <c r="K57" s="11">
        <v>165</v>
      </c>
      <c r="L57" s="51">
        <f t="shared" si="12"/>
        <v>191.90769230769229</v>
      </c>
      <c r="M57" s="2">
        <v>151.19999999999999</v>
      </c>
      <c r="N57" s="54">
        <f>+M57/130</f>
        <v>1.1630769230769229</v>
      </c>
      <c r="O57" s="52">
        <f t="shared" si="4"/>
        <v>130</v>
      </c>
      <c r="P57" s="37">
        <f t="shared" si="5"/>
        <v>-0.21212121212121213</v>
      </c>
      <c r="R57" s="51">
        <f t="shared" si="11"/>
        <v>0</v>
      </c>
      <c r="U57" s="23" t="e">
        <f t="shared" si="6"/>
        <v>#DIV/0!</v>
      </c>
      <c r="V57" s="37" t="e">
        <f t="shared" si="7"/>
        <v>#DIV/0!</v>
      </c>
      <c r="X57" s="51">
        <f t="shared" si="8"/>
        <v>0</v>
      </c>
      <c r="AA57" s="1" t="e">
        <f t="shared" si="9"/>
        <v>#DIV/0!</v>
      </c>
      <c r="AB57" s="35" t="e">
        <f t="shared" si="10"/>
        <v>#DIV/0!</v>
      </c>
    </row>
    <row r="58" spans="2:28" x14ac:dyDescent="0.25">
      <c r="B58" s="20">
        <v>45944</v>
      </c>
      <c r="C58" s="2" t="s">
        <v>26</v>
      </c>
      <c r="D58" s="23" t="s">
        <v>13</v>
      </c>
      <c r="E58" s="2"/>
      <c r="F58" s="64">
        <f t="shared" si="0"/>
        <v>0</v>
      </c>
      <c r="I58" s="52" t="e">
        <f t="shared" si="1"/>
        <v>#DIV/0!</v>
      </c>
      <c r="J58" s="37" t="e">
        <f t="shared" si="2"/>
        <v>#DIV/0!</v>
      </c>
      <c r="K58" s="11">
        <v>150</v>
      </c>
      <c r="L58" s="51">
        <f t="shared" si="12"/>
        <v>117.41999999999999</v>
      </c>
      <c r="M58" s="2">
        <v>97.85</v>
      </c>
      <c r="N58" s="54">
        <f>+M58/125</f>
        <v>0.78279999999999994</v>
      </c>
      <c r="O58" s="52">
        <f t="shared" si="4"/>
        <v>125</v>
      </c>
      <c r="P58" s="37">
        <f t="shared" si="5"/>
        <v>-0.16666666666666666</v>
      </c>
      <c r="R58" s="51">
        <f t="shared" si="11"/>
        <v>0</v>
      </c>
      <c r="U58" s="23" t="e">
        <f t="shared" si="6"/>
        <v>#DIV/0!</v>
      </c>
      <c r="V58" s="37" t="e">
        <f t="shared" si="7"/>
        <v>#DIV/0!</v>
      </c>
      <c r="X58" s="51">
        <f t="shared" si="8"/>
        <v>0</v>
      </c>
      <c r="AA58" s="1" t="e">
        <f t="shared" si="9"/>
        <v>#DIV/0!</v>
      </c>
      <c r="AB58" s="35" t="e">
        <f t="shared" si="10"/>
        <v>#DIV/0!</v>
      </c>
    </row>
    <row r="59" spans="2:28" x14ac:dyDescent="0.25">
      <c r="B59" s="20">
        <v>45944</v>
      </c>
      <c r="C59" s="2" t="s">
        <v>23</v>
      </c>
      <c r="D59" s="23" t="s">
        <v>13</v>
      </c>
      <c r="E59" s="2"/>
      <c r="F59" s="64">
        <f t="shared" si="0"/>
        <v>0</v>
      </c>
      <c r="I59" s="52" t="e">
        <f t="shared" si="1"/>
        <v>#DIV/0!</v>
      </c>
      <c r="J59" s="37" t="e">
        <f t="shared" si="2"/>
        <v>#DIV/0!</v>
      </c>
      <c r="K59" s="1">
        <v>150</v>
      </c>
      <c r="L59" s="51">
        <f t="shared" si="12"/>
        <v>76.8</v>
      </c>
      <c r="M59" s="2">
        <v>64</v>
      </c>
      <c r="N59" s="54">
        <f>+M59/125</f>
        <v>0.51200000000000001</v>
      </c>
      <c r="O59" s="52">
        <f t="shared" si="4"/>
        <v>125</v>
      </c>
      <c r="P59" s="37">
        <f t="shared" si="5"/>
        <v>-0.16666666666666666</v>
      </c>
      <c r="R59" s="51">
        <f t="shared" si="11"/>
        <v>0</v>
      </c>
      <c r="U59" s="23" t="e">
        <f t="shared" si="6"/>
        <v>#DIV/0!</v>
      </c>
      <c r="V59" s="37" t="e">
        <f t="shared" si="7"/>
        <v>#DIV/0!</v>
      </c>
      <c r="X59" s="51">
        <f t="shared" si="8"/>
        <v>0</v>
      </c>
      <c r="AA59" s="1" t="e">
        <f t="shared" si="9"/>
        <v>#DIV/0!</v>
      </c>
      <c r="AB59" s="35" t="e">
        <f t="shared" si="10"/>
        <v>#DIV/0!</v>
      </c>
    </row>
    <row r="60" spans="2:28" x14ac:dyDescent="0.25">
      <c r="B60" s="20">
        <v>45944</v>
      </c>
      <c r="C60" s="2" t="s">
        <v>20</v>
      </c>
      <c r="D60" s="23" t="s">
        <v>13</v>
      </c>
      <c r="E60" s="2"/>
      <c r="F60" s="64">
        <f t="shared" si="0"/>
        <v>0</v>
      </c>
      <c r="I60" s="52" t="e">
        <f t="shared" si="1"/>
        <v>#DIV/0!</v>
      </c>
      <c r="J60" s="37" t="e">
        <f t="shared" si="2"/>
        <v>#DIV/0!</v>
      </c>
      <c r="L60" s="51">
        <f t="shared" si="12"/>
        <v>0</v>
      </c>
      <c r="O60" s="52" t="e">
        <f t="shared" si="4"/>
        <v>#DIV/0!</v>
      </c>
      <c r="P60" s="37" t="e">
        <f t="shared" si="5"/>
        <v>#DIV/0!</v>
      </c>
      <c r="Q60" s="11">
        <v>195</v>
      </c>
      <c r="R60" s="51">
        <f t="shared" si="11"/>
        <v>4269.8035714285716</v>
      </c>
      <c r="S60" s="2">
        <v>4598.25</v>
      </c>
      <c r="T60" s="54">
        <f>+S60/210</f>
        <v>21.896428571428572</v>
      </c>
      <c r="U60" s="23">
        <f t="shared" si="6"/>
        <v>210</v>
      </c>
      <c r="V60" s="37">
        <f t="shared" si="7"/>
        <v>7.6923076923076927E-2</v>
      </c>
      <c r="X60" s="51">
        <f t="shared" si="8"/>
        <v>0</v>
      </c>
      <c r="AA60" s="1" t="e">
        <f t="shared" si="9"/>
        <v>#DIV/0!</v>
      </c>
      <c r="AB60" s="35" t="e">
        <f t="shared" si="10"/>
        <v>#DIV/0!</v>
      </c>
    </row>
    <row r="61" spans="2:28" x14ac:dyDescent="0.25">
      <c r="B61" s="20">
        <v>45945</v>
      </c>
      <c r="C61" s="2" t="s">
        <v>20</v>
      </c>
      <c r="D61" s="23" t="s">
        <v>13</v>
      </c>
      <c r="E61" s="2"/>
      <c r="F61" s="64">
        <f t="shared" si="0"/>
        <v>0</v>
      </c>
      <c r="I61" s="52" t="e">
        <f t="shared" si="1"/>
        <v>#DIV/0!</v>
      </c>
      <c r="J61" s="37" t="e">
        <f t="shared" si="2"/>
        <v>#DIV/0!</v>
      </c>
      <c r="L61" s="51">
        <f t="shared" si="12"/>
        <v>0</v>
      </c>
      <c r="O61" s="52" t="e">
        <f t="shared" si="4"/>
        <v>#DIV/0!</v>
      </c>
      <c r="P61" s="37" t="e">
        <f t="shared" si="5"/>
        <v>#DIV/0!</v>
      </c>
      <c r="Q61" s="11">
        <v>195</v>
      </c>
      <c r="R61" s="51">
        <f t="shared" si="11"/>
        <v>2977.4642857142858</v>
      </c>
      <c r="S61" s="2">
        <v>3206.5</v>
      </c>
      <c r="T61" s="54">
        <f>+S61/210</f>
        <v>15.269047619047619</v>
      </c>
      <c r="U61" s="23">
        <f t="shared" si="6"/>
        <v>210</v>
      </c>
      <c r="V61" s="37">
        <f t="shared" si="7"/>
        <v>7.6923076923076927E-2</v>
      </c>
      <c r="X61" s="51">
        <f t="shared" si="8"/>
        <v>0</v>
      </c>
      <c r="AA61" s="1" t="e">
        <f t="shared" si="9"/>
        <v>#DIV/0!</v>
      </c>
      <c r="AB61" s="35" t="e">
        <f t="shared" si="10"/>
        <v>#DIV/0!</v>
      </c>
    </row>
    <row r="62" spans="2:28" x14ac:dyDescent="0.25">
      <c r="B62" s="20">
        <v>45945</v>
      </c>
      <c r="C62" s="2" t="s">
        <v>19</v>
      </c>
      <c r="D62" s="23" t="s">
        <v>13</v>
      </c>
      <c r="E62" s="2"/>
      <c r="F62" s="64">
        <f t="shared" si="0"/>
        <v>0</v>
      </c>
      <c r="I62" s="52" t="e">
        <f t="shared" si="1"/>
        <v>#DIV/0!</v>
      </c>
      <c r="J62" s="37" t="e">
        <f t="shared" si="2"/>
        <v>#DIV/0!</v>
      </c>
      <c r="L62" s="51">
        <f t="shared" si="12"/>
        <v>0</v>
      </c>
      <c r="O62" s="52" t="e">
        <f t="shared" si="4"/>
        <v>#DIV/0!</v>
      </c>
      <c r="P62" s="37" t="e">
        <f t="shared" si="5"/>
        <v>#DIV/0!</v>
      </c>
      <c r="Q62" s="11">
        <v>195</v>
      </c>
      <c r="R62" s="51">
        <f t="shared" si="11"/>
        <v>709.95145631067965</v>
      </c>
      <c r="S62" s="2">
        <v>750</v>
      </c>
      <c r="T62" s="54">
        <f>+S62/206</f>
        <v>3.6407766990291264</v>
      </c>
      <c r="U62" s="23">
        <f t="shared" si="6"/>
        <v>206</v>
      </c>
      <c r="V62" s="37">
        <f t="shared" si="7"/>
        <v>5.6410256410256411E-2</v>
      </c>
      <c r="X62" s="51">
        <f t="shared" si="8"/>
        <v>0</v>
      </c>
      <c r="AA62" s="1" t="e">
        <f t="shared" si="9"/>
        <v>#DIV/0!</v>
      </c>
      <c r="AB62" s="35" t="e">
        <f t="shared" si="10"/>
        <v>#DIV/0!</v>
      </c>
    </row>
    <row r="63" spans="2:28" x14ac:dyDescent="0.25">
      <c r="B63" s="20">
        <v>45945</v>
      </c>
      <c r="C63" s="1" t="s">
        <v>28</v>
      </c>
      <c r="D63" s="23" t="s">
        <v>13</v>
      </c>
      <c r="E63" s="2"/>
      <c r="F63" s="64">
        <f t="shared" si="0"/>
        <v>0</v>
      </c>
      <c r="I63" s="52" t="e">
        <f t="shared" si="1"/>
        <v>#DIV/0!</v>
      </c>
      <c r="J63" s="37" t="e">
        <f t="shared" si="2"/>
        <v>#DIV/0!</v>
      </c>
      <c r="K63" s="11">
        <v>155</v>
      </c>
      <c r="L63" s="51">
        <f t="shared" si="12"/>
        <v>244.125</v>
      </c>
      <c r="M63" s="2">
        <v>267.75</v>
      </c>
      <c r="N63" s="54">
        <f>+M63/170</f>
        <v>1.575</v>
      </c>
      <c r="O63" s="52">
        <f t="shared" si="4"/>
        <v>170</v>
      </c>
      <c r="P63" s="37">
        <f t="shared" si="5"/>
        <v>9.6774193548387094E-2</v>
      </c>
      <c r="R63" s="51">
        <f t="shared" si="11"/>
        <v>0</v>
      </c>
      <c r="U63" s="23" t="e">
        <f t="shared" si="6"/>
        <v>#DIV/0!</v>
      </c>
      <c r="V63" s="37" t="e">
        <f t="shared" si="7"/>
        <v>#DIV/0!</v>
      </c>
      <c r="X63" s="51">
        <f t="shared" si="8"/>
        <v>0</v>
      </c>
      <c r="AA63" s="1" t="e">
        <f t="shared" si="9"/>
        <v>#DIV/0!</v>
      </c>
      <c r="AB63" s="35" t="e">
        <f t="shared" si="10"/>
        <v>#DIV/0!</v>
      </c>
    </row>
    <row r="64" spans="2:28" x14ac:dyDescent="0.25">
      <c r="B64" s="20">
        <v>45945</v>
      </c>
      <c r="C64" s="1" t="s">
        <v>29</v>
      </c>
      <c r="D64" s="23" t="s">
        <v>13</v>
      </c>
      <c r="E64" s="2"/>
      <c r="F64" s="64">
        <f t="shared" si="0"/>
        <v>0</v>
      </c>
      <c r="I64" s="52" t="e">
        <f t="shared" si="1"/>
        <v>#DIV/0!</v>
      </c>
      <c r="J64" s="37" t="e">
        <f t="shared" si="2"/>
        <v>#DIV/0!</v>
      </c>
      <c r="K64" s="11">
        <v>165</v>
      </c>
      <c r="L64" s="51">
        <f t="shared" si="12"/>
        <v>2558.7306629834261</v>
      </c>
      <c r="M64" s="2">
        <v>2806.8500000000008</v>
      </c>
      <c r="N64" s="54">
        <f>+M64/181</f>
        <v>15.507458563535916</v>
      </c>
      <c r="O64" s="52">
        <f t="shared" si="4"/>
        <v>181</v>
      </c>
      <c r="P64" s="37">
        <f t="shared" si="5"/>
        <v>9.696969696969697E-2</v>
      </c>
      <c r="R64" s="51">
        <f t="shared" si="11"/>
        <v>0</v>
      </c>
      <c r="U64" s="23" t="e">
        <f t="shared" si="6"/>
        <v>#DIV/0!</v>
      </c>
      <c r="V64" s="37" t="e">
        <f t="shared" si="7"/>
        <v>#DIV/0!</v>
      </c>
      <c r="X64" s="51">
        <f t="shared" si="8"/>
        <v>0</v>
      </c>
      <c r="AA64" s="1" t="e">
        <f t="shared" si="9"/>
        <v>#DIV/0!</v>
      </c>
      <c r="AB64" s="35" t="e">
        <f t="shared" si="10"/>
        <v>#DIV/0!</v>
      </c>
    </row>
    <row r="65" spans="2:28" x14ac:dyDescent="0.25">
      <c r="B65" s="20">
        <v>45945</v>
      </c>
      <c r="C65" s="1" t="s">
        <v>16</v>
      </c>
      <c r="D65" s="23" t="s">
        <v>13</v>
      </c>
      <c r="E65" s="2">
        <v>155</v>
      </c>
      <c r="F65" s="64">
        <f t="shared" si="0"/>
        <v>1826.5724137931036</v>
      </c>
      <c r="G65" s="2">
        <v>1721.3</v>
      </c>
      <c r="H65" s="54">
        <f>+(194.85/155)+(1526.45/145)</f>
        <v>11.784338153503894</v>
      </c>
      <c r="I65" s="52">
        <f t="shared" si="1"/>
        <v>146.0667521228757</v>
      </c>
      <c r="J65" s="37">
        <f t="shared" si="2"/>
        <v>-5.7633857271769687E-2</v>
      </c>
      <c r="L65" s="51">
        <f t="shared" si="12"/>
        <v>0</v>
      </c>
      <c r="O65" s="52" t="e">
        <f t="shared" si="4"/>
        <v>#DIV/0!</v>
      </c>
      <c r="P65" s="37" t="e">
        <f t="shared" si="5"/>
        <v>#DIV/0!</v>
      </c>
      <c r="R65" s="51">
        <f t="shared" si="11"/>
        <v>0</v>
      </c>
      <c r="U65" s="23" t="e">
        <f t="shared" si="6"/>
        <v>#DIV/0!</v>
      </c>
      <c r="V65" s="37" t="e">
        <f t="shared" si="7"/>
        <v>#DIV/0!</v>
      </c>
      <c r="X65" s="51">
        <f t="shared" si="8"/>
        <v>0</v>
      </c>
      <c r="AA65" s="1" t="e">
        <f t="shared" si="9"/>
        <v>#DIV/0!</v>
      </c>
      <c r="AB65" s="35" t="e">
        <f t="shared" si="10"/>
        <v>#DIV/0!</v>
      </c>
    </row>
    <row r="66" spans="2:28" x14ac:dyDescent="0.25">
      <c r="B66" s="20">
        <v>45945</v>
      </c>
      <c r="C66" s="1" t="s">
        <v>17</v>
      </c>
      <c r="D66" s="23" t="s">
        <v>13</v>
      </c>
      <c r="E66" s="2">
        <v>160</v>
      </c>
      <c r="F66" s="64">
        <f t="shared" si="0"/>
        <v>814.87179487179492</v>
      </c>
      <c r="G66" s="2">
        <v>794.50000000000011</v>
      </c>
      <c r="H66" s="54">
        <f>(794.5/156)</f>
        <v>5.0929487179487181</v>
      </c>
      <c r="I66" s="52">
        <f t="shared" si="1"/>
        <v>156.00000000000003</v>
      </c>
      <c r="J66" s="37">
        <f t="shared" si="2"/>
        <v>-2.4999999999999821E-2</v>
      </c>
      <c r="L66" s="51">
        <f t="shared" si="12"/>
        <v>0</v>
      </c>
      <c r="O66" s="52" t="e">
        <f t="shared" si="4"/>
        <v>#DIV/0!</v>
      </c>
      <c r="P66" s="37" t="e">
        <f t="shared" si="5"/>
        <v>#DIV/0!</v>
      </c>
      <c r="R66" s="51">
        <f t="shared" si="11"/>
        <v>0</v>
      </c>
      <c r="U66" s="23" t="e">
        <f t="shared" si="6"/>
        <v>#DIV/0!</v>
      </c>
      <c r="V66" s="37" t="e">
        <f t="shared" si="7"/>
        <v>#DIV/0!</v>
      </c>
      <c r="X66" s="51">
        <f t="shared" si="8"/>
        <v>0</v>
      </c>
      <c r="AA66" s="1" t="e">
        <f t="shared" si="9"/>
        <v>#DIV/0!</v>
      </c>
      <c r="AB66" s="35" t="e">
        <f t="shared" si="10"/>
        <v>#DIV/0!</v>
      </c>
    </row>
    <row r="67" spans="2:28" x14ac:dyDescent="0.25">
      <c r="B67" s="20">
        <v>45945</v>
      </c>
      <c r="C67" s="2" t="s">
        <v>20</v>
      </c>
      <c r="D67" s="23" t="s">
        <v>13</v>
      </c>
      <c r="E67" s="2">
        <v>170</v>
      </c>
      <c r="F67" s="64">
        <f t="shared" ref="F67:F138" si="13">E67*H67</f>
        <v>762.72222222222206</v>
      </c>
      <c r="G67" s="2">
        <v>686.44999999999993</v>
      </c>
      <c r="H67" s="54">
        <f>+G67/153</f>
        <v>4.4866013071895416</v>
      </c>
      <c r="I67" s="52">
        <f t="shared" ref="I67:I138" si="14">G67/H67</f>
        <v>153</v>
      </c>
      <c r="J67" s="37">
        <f t="shared" ref="J67:J138" si="15">(I67-E67)/E67</f>
        <v>-0.1</v>
      </c>
      <c r="L67" s="51">
        <f t="shared" ref="L67:L138" si="16">K67*N67</f>
        <v>0</v>
      </c>
      <c r="O67" s="52" t="e">
        <f t="shared" ref="O67:O138" si="17">M67/N67</f>
        <v>#DIV/0!</v>
      </c>
      <c r="P67" s="37" t="e">
        <f t="shared" ref="P67:P138" si="18">(O67-K67)/K67</f>
        <v>#DIV/0!</v>
      </c>
      <c r="R67" s="51">
        <f t="shared" si="11"/>
        <v>0</v>
      </c>
      <c r="U67" s="23" t="e">
        <f t="shared" ref="U67:U138" si="19">S67/T67</f>
        <v>#DIV/0!</v>
      </c>
      <c r="V67" s="37" t="e">
        <f t="shared" ref="V67:V138" si="20">(U67-Q67)/Q67</f>
        <v>#DIV/0!</v>
      </c>
      <c r="X67" s="51">
        <f t="shared" ref="X67:X138" si="21">W67*Z67</f>
        <v>0</v>
      </c>
      <c r="AA67" s="1" t="e">
        <f t="shared" ref="AA67:AA138" si="22">Y67/Z67</f>
        <v>#DIV/0!</v>
      </c>
      <c r="AB67" s="35" t="e">
        <f t="shared" ref="AB67:AB138" si="23">(AA67-W67)/W67</f>
        <v>#DIV/0!</v>
      </c>
    </row>
    <row r="68" spans="2:28" x14ac:dyDescent="0.25">
      <c r="B68" s="20">
        <v>45945</v>
      </c>
      <c r="C68" s="2" t="s">
        <v>22</v>
      </c>
      <c r="D68" s="23" t="s">
        <v>13</v>
      </c>
      <c r="E68" s="2"/>
      <c r="F68" s="64">
        <f t="shared" si="13"/>
        <v>0</v>
      </c>
      <c r="I68" s="52" t="e">
        <f t="shared" si="14"/>
        <v>#DIV/0!</v>
      </c>
      <c r="J68" s="37" t="e">
        <f t="shared" si="15"/>
        <v>#DIV/0!</v>
      </c>
      <c r="L68" s="51">
        <f t="shared" si="16"/>
        <v>0</v>
      </c>
      <c r="O68" s="52" t="e">
        <f t="shared" si="17"/>
        <v>#DIV/0!</v>
      </c>
      <c r="P68" s="37" t="e">
        <f t="shared" si="18"/>
        <v>#DIV/0!</v>
      </c>
      <c r="R68" s="51">
        <f t="shared" ref="R68:R131" si="24">Q68*T68</f>
        <v>0</v>
      </c>
      <c r="U68" s="23" t="e">
        <f t="shared" si="19"/>
        <v>#DIV/0!</v>
      </c>
      <c r="V68" s="37" t="e">
        <f t="shared" si="20"/>
        <v>#DIV/0!</v>
      </c>
      <c r="W68" s="2">
        <v>150</v>
      </c>
      <c r="X68" s="51">
        <f t="shared" si="21"/>
        <v>298.61111111111109</v>
      </c>
      <c r="Y68" s="2">
        <v>322.5</v>
      </c>
      <c r="Z68" s="54">
        <f>+Y68/162</f>
        <v>1.9907407407407407</v>
      </c>
      <c r="AA68" s="1">
        <f t="shared" si="22"/>
        <v>162</v>
      </c>
      <c r="AB68" s="35">
        <f t="shared" si="23"/>
        <v>0.08</v>
      </c>
    </row>
    <row r="69" spans="2:28" x14ac:dyDescent="0.25">
      <c r="B69" s="20">
        <v>45945</v>
      </c>
      <c r="C69" s="2" t="s">
        <v>23</v>
      </c>
      <c r="D69" s="23" t="s">
        <v>13</v>
      </c>
      <c r="E69" s="2"/>
      <c r="F69" s="64">
        <f t="shared" si="13"/>
        <v>0</v>
      </c>
      <c r="I69" s="52" t="e">
        <f t="shared" si="14"/>
        <v>#DIV/0!</v>
      </c>
      <c r="J69" s="37" t="e">
        <f t="shared" si="15"/>
        <v>#DIV/0!</v>
      </c>
      <c r="L69" s="51">
        <f t="shared" si="16"/>
        <v>0</v>
      </c>
      <c r="O69" s="52" t="e">
        <f t="shared" si="17"/>
        <v>#DIV/0!</v>
      </c>
      <c r="P69" s="37" t="e">
        <f t="shared" si="18"/>
        <v>#DIV/0!</v>
      </c>
      <c r="R69" s="51">
        <f t="shared" si="24"/>
        <v>0</v>
      </c>
      <c r="U69" s="23" t="e">
        <f t="shared" si="19"/>
        <v>#DIV/0!</v>
      </c>
      <c r="V69" s="37" t="e">
        <f t="shared" si="20"/>
        <v>#DIV/0!</v>
      </c>
      <c r="W69" s="2">
        <v>150</v>
      </c>
      <c r="X69" s="51">
        <f t="shared" si="21"/>
        <v>772.05882352941182</v>
      </c>
      <c r="Y69" s="2">
        <v>875</v>
      </c>
      <c r="Z69" s="54">
        <f>+Y69/170</f>
        <v>5.1470588235294121</v>
      </c>
      <c r="AA69" s="1">
        <f t="shared" si="22"/>
        <v>170</v>
      </c>
      <c r="AB69" s="35">
        <f t="shared" si="23"/>
        <v>0.13333333333333333</v>
      </c>
    </row>
    <row r="70" spans="2:28" x14ac:dyDescent="0.25">
      <c r="B70" s="20">
        <v>45946</v>
      </c>
      <c r="C70" s="2" t="s">
        <v>20</v>
      </c>
      <c r="D70" s="23" t="s">
        <v>13</v>
      </c>
      <c r="E70" s="2">
        <v>170</v>
      </c>
      <c r="F70" s="64">
        <f t="shared" si="13"/>
        <v>3882.6655367231642</v>
      </c>
      <c r="G70" s="2">
        <v>3946.6</v>
      </c>
      <c r="H70" s="54">
        <f>(1312.3/165)+(2634.8/177)</f>
        <v>22.839209039548024</v>
      </c>
      <c r="I70" s="52">
        <f t="shared" si="14"/>
        <v>172.79932913465296</v>
      </c>
      <c r="J70" s="37">
        <f t="shared" si="15"/>
        <v>1.6466641968546851E-2</v>
      </c>
      <c r="L70" s="51">
        <f t="shared" si="16"/>
        <v>0</v>
      </c>
      <c r="O70" s="52" t="e">
        <f t="shared" si="17"/>
        <v>#DIV/0!</v>
      </c>
      <c r="P70" s="37" t="e">
        <f t="shared" si="18"/>
        <v>#DIV/0!</v>
      </c>
      <c r="R70" s="51">
        <f t="shared" si="24"/>
        <v>0</v>
      </c>
      <c r="U70" s="23" t="e">
        <f t="shared" si="19"/>
        <v>#DIV/0!</v>
      </c>
      <c r="V70" s="37" t="e">
        <f t="shared" si="20"/>
        <v>#DIV/0!</v>
      </c>
      <c r="X70" s="51">
        <f t="shared" si="21"/>
        <v>0</v>
      </c>
      <c r="AA70" s="1" t="e">
        <f t="shared" si="22"/>
        <v>#DIV/0!</v>
      </c>
      <c r="AB70" s="35" t="e">
        <f t="shared" si="23"/>
        <v>#DIV/0!</v>
      </c>
    </row>
    <row r="71" spans="2:28" x14ac:dyDescent="0.25">
      <c r="B71" s="20">
        <v>45946</v>
      </c>
      <c r="C71" s="2" t="s">
        <v>23</v>
      </c>
      <c r="D71" s="23" t="s">
        <v>13</v>
      </c>
      <c r="E71" s="2"/>
      <c r="F71" s="64">
        <f t="shared" si="13"/>
        <v>0</v>
      </c>
      <c r="I71" s="52" t="e">
        <f t="shared" si="14"/>
        <v>#DIV/0!</v>
      </c>
      <c r="J71" s="37" t="e">
        <f t="shared" si="15"/>
        <v>#DIV/0!</v>
      </c>
      <c r="L71" s="51">
        <f t="shared" si="16"/>
        <v>0</v>
      </c>
      <c r="O71" s="52" t="e">
        <f t="shared" si="17"/>
        <v>#DIV/0!</v>
      </c>
      <c r="P71" s="37" t="e">
        <f t="shared" si="18"/>
        <v>#DIV/0!</v>
      </c>
      <c r="R71" s="51">
        <f t="shared" si="24"/>
        <v>0</v>
      </c>
      <c r="U71" s="23" t="e">
        <f t="shared" si="19"/>
        <v>#DIV/0!</v>
      </c>
      <c r="V71" s="37" t="e">
        <f t="shared" si="20"/>
        <v>#DIV/0!</v>
      </c>
      <c r="W71" s="2">
        <v>150</v>
      </c>
      <c r="X71" s="51">
        <f t="shared" si="21"/>
        <v>3596.71875</v>
      </c>
      <c r="Y71" s="2">
        <v>3836.5</v>
      </c>
      <c r="Z71" s="54">
        <f>+Y71/160</f>
        <v>23.978124999999999</v>
      </c>
      <c r="AA71" s="1">
        <f t="shared" si="22"/>
        <v>160</v>
      </c>
      <c r="AB71" s="35">
        <f t="shared" si="23"/>
        <v>6.6666666666666666E-2</v>
      </c>
    </row>
    <row r="72" spans="2:28" x14ac:dyDescent="0.25">
      <c r="B72" s="20">
        <v>45946</v>
      </c>
      <c r="C72" s="2" t="s">
        <v>29</v>
      </c>
      <c r="D72" s="23" t="s">
        <v>13</v>
      </c>
      <c r="E72" s="2"/>
      <c r="F72" s="64">
        <f t="shared" si="13"/>
        <v>0</v>
      </c>
      <c r="I72" s="52" t="e">
        <f t="shared" si="14"/>
        <v>#DIV/0!</v>
      </c>
      <c r="J72" s="37" t="e">
        <f t="shared" si="15"/>
        <v>#DIV/0!</v>
      </c>
      <c r="K72" s="11">
        <v>165</v>
      </c>
      <c r="L72" s="51">
        <f t="shared" si="16"/>
        <v>3703.2475806451616</v>
      </c>
      <c r="M72" s="2">
        <v>3941.05</v>
      </c>
      <c r="N72" s="54">
        <f>(1459.9/186)+(2481.15/170)</f>
        <v>22.443924731182797</v>
      </c>
      <c r="O72" s="52">
        <f t="shared" si="17"/>
        <v>175.59540264027194</v>
      </c>
      <c r="P72" s="37">
        <f t="shared" si="18"/>
        <v>6.4214561456193586E-2</v>
      </c>
      <c r="R72" s="51">
        <f t="shared" si="24"/>
        <v>0</v>
      </c>
      <c r="U72" s="23" t="e">
        <f>M72/T72</f>
        <v>#DIV/0!</v>
      </c>
      <c r="V72" s="37" t="e">
        <f t="shared" si="20"/>
        <v>#DIV/0!</v>
      </c>
      <c r="X72" s="51">
        <f t="shared" si="21"/>
        <v>0</v>
      </c>
      <c r="AA72" s="1" t="e">
        <f t="shared" si="22"/>
        <v>#DIV/0!</v>
      </c>
      <c r="AB72" s="35" t="e">
        <f t="shared" si="23"/>
        <v>#DIV/0!</v>
      </c>
    </row>
    <row r="73" spans="2:28" x14ac:dyDescent="0.25">
      <c r="B73" s="20">
        <v>45946</v>
      </c>
      <c r="C73" s="2" t="s">
        <v>17</v>
      </c>
      <c r="D73" s="23" t="s">
        <v>13</v>
      </c>
      <c r="E73" s="2"/>
      <c r="F73" s="64">
        <f t="shared" si="13"/>
        <v>0</v>
      </c>
      <c r="I73" s="52" t="e">
        <f t="shared" si="14"/>
        <v>#DIV/0!</v>
      </c>
      <c r="J73" s="37" t="e">
        <f t="shared" si="15"/>
        <v>#DIV/0!</v>
      </c>
      <c r="L73" s="51">
        <f t="shared" si="16"/>
        <v>0</v>
      </c>
      <c r="O73" s="52" t="e">
        <f t="shared" si="17"/>
        <v>#DIV/0!</v>
      </c>
      <c r="P73" s="37" t="e">
        <f t="shared" si="18"/>
        <v>#DIV/0!</v>
      </c>
      <c r="Q73" s="11">
        <v>195</v>
      </c>
      <c r="R73" s="51">
        <f t="shared" si="24"/>
        <v>3901.4839024390244</v>
      </c>
      <c r="S73" s="2">
        <v>4101.5600000000004</v>
      </c>
      <c r="T73" s="54">
        <f>+S73/205</f>
        <v>20.007609756097562</v>
      </c>
      <c r="U73" s="23">
        <f t="shared" ref="U73:U92" si="25">S73/T73</f>
        <v>205</v>
      </c>
      <c r="V73" s="37">
        <f t="shared" si="20"/>
        <v>5.128205128205128E-2</v>
      </c>
      <c r="X73" s="51">
        <f t="shared" si="21"/>
        <v>0</v>
      </c>
      <c r="AA73" s="1" t="e">
        <f t="shared" si="22"/>
        <v>#DIV/0!</v>
      </c>
      <c r="AB73" s="35" t="e">
        <f t="shared" si="23"/>
        <v>#DIV/0!</v>
      </c>
    </row>
    <row r="74" spans="2:28" x14ac:dyDescent="0.25">
      <c r="B74" s="20">
        <v>45948</v>
      </c>
      <c r="C74" s="2" t="s">
        <v>12</v>
      </c>
      <c r="D74" s="23" t="s">
        <v>13</v>
      </c>
      <c r="E74" s="1">
        <v>75</v>
      </c>
      <c r="F74" s="64">
        <f t="shared" si="13"/>
        <v>184.47289156626508</v>
      </c>
      <c r="G74" s="2">
        <v>204.15</v>
      </c>
      <c r="H74" s="54">
        <f>+(27.35/83)+(176.8/83)</f>
        <v>2.4596385542168675</v>
      </c>
      <c r="I74" s="52">
        <f t="shared" si="14"/>
        <v>83</v>
      </c>
      <c r="J74" s="37">
        <f t="shared" si="15"/>
        <v>0.10666666666666667</v>
      </c>
      <c r="L74" s="51">
        <f t="shared" si="16"/>
        <v>0</v>
      </c>
      <c r="O74" s="52" t="e">
        <f t="shared" si="17"/>
        <v>#DIV/0!</v>
      </c>
      <c r="P74" s="37" t="e">
        <f t="shared" si="18"/>
        <v>#DIV/0!</v>
      </c>
      <c r="R74" s="51">
        <f t="shared" si="24"/>
        <v>0</v>
      </c>
      <c r="U74" s="23" t="e">
        <f t="shared" si="25"/>
        <v>#DIV/0!</v>
      </c>
      <c r="V74" s="37" t="e">
        <f t="shared" si="20"/>
        <v>#DIV/0!</v>
      </c>
      <c r="X74" s="51">
        <f t="shared" si="21"/>
        <v>0</v>
      </c>
      <c r="AA74" s="1" t="e">
        <f t="shared" si="22"/>
        <v>#DIV/0!</v>
      </c>
      <c r="AB74" s="35" t="e">
        <f t="shared" si="23"/>
        <v>#DIV/0!</v>
      </c>
    </row>
    <row r="75" spans="2:28" x14ac:dyDescent="0.25">
      <c r="B75" s="20">
        <v>45948</v>
      </c>
      <c r="C75" s="2" t="s">
        <v>14</v>
      </c>
      <c r="D75" s="23" t="s">
        <v>13</v>
      </c>
      <c r="E75" s="1">
        <v>85</v>
      </c>
      <c r="F75" s="64">
        <f t="shared" si="13"/>
        <v>318.18333333333334</v>
      </c>
      <c r="G75" s="2">
        <v>336.9</v>
      </c>
      <c r="H75" s="54">
        <f>+G75/90</f>
        <v>3.7433333333333332</v>
      </c>
      <c r="I75" s="52">
        <f t="shared" si="14"/>
        <v>90</v>
      </c>
      <c r="J75" s="37">
        <f t="shared" si="15"/>
        <v>5.8823529411764705E-2</v>
      </c>
      <c r="L75" s="51">
        <f t="shared" si="16"/>
        <v>0</v>
      </c>
      <c r="O75" s="52" t="e">
        <f t="shared" si="17"/>
        <v>#DIV/0!</v>
      </c>
      <c r="P75" s="37" t="e">
        <f t="shared" si="18"/>
        <v>#DIV/0!</v>
      </c>
      <c r="R75" s="51">
        <f t="shared" si="24"/>
        <v>0</v>
      </c>
      <c r="U75" s="23" t="e">
        <f t="shared" si="25"/>
        <v>#DIV/0!</v>
      </c>
      <c r="V75" s="37" t="e">
        <f t="shared" si="20"/>
        <v>#DIV/0!</v>
      </c>
      <c r="X75" s="51">
        <f t="shared" si="21"/>
        <v>0</v>
      </c>
      <c r="AA75" s="1" t="e">
        <f t="shared" si="22"/>
        <v>#DIV/0!</v>
      </c>
      <c r="AB75" s="35" t="e">
        <f t="shared" si="23"/>
        <v>#DIV/0!</v>
      </c>
    </row>
    <row r="76" spans="2:28" x14ac:dyDescent="0.25">
      <c r="B76" s="20">
        <v>45948</v>
      </c>
      <c r="C76" s="2" t="s">
        <v>20</v>
      </c>
      <c r="D76" s="23" t="s">
        <v>13</v>
      </c>
      <c r="E76" s="1">
        <v>170</v>
      </c>
      <c r="F76" s="64">
        <f t="shared" si="13"/>
        <v>547.70639534883719</v>
      </c>
      <c r="G76" s="2">
        <v>554.15</v>
      </c>
      <c r="H76" s="54">
        <f>+G76/172</f>
        <v>3.221802325581395</v>
      </c>
      <c r="I76" s="52">
        <f t="shared" si="14"/>
        <v>172</v>
      </c>
      <c r="J76" s="37">
        <f t="shared" si="15"/>
        <v>1.1764705882352941E-2</v>
      </c>
      <c r="L76" s="51">
        <f t="shared" si="16"/>
        <v>0</v>
      </c>
      <c r="O76" s="52" t="e">
        <f t="shared" si="17"/>
        <v>#DIV/0!</v>
      </c>
      <c r="P76" s="37" t="e">
        <f t="shared" si="18"/>
        <v>#DIV/0!</v>
      </c>
      <c r="R76" s="51">
        <f t="shared" si="24"/>
        <v>0</v>
      </c>
      <c r="U76" s="23" t="e">
        <f t="shared" si="25"/>
        <v>#DIV/0!</v>
      </c>
      <c r="V76" s="37" t="e">
        <f t="shared" si="20"/>
        <v>#DIV/0!</v>
      </c>
      <c r="X76" s="51">
        <f t="shared" si="21"/>
        <v>0</v>
      </c>
      <c r="AA76" s="1" t="e">
        <f t="shared" si="22"/>
        <v>#DIV/0!</v>
      </c>
      <c r="AB76" s="35" t="e">
        <f t="shared" si="23"/>
        <v>#DIV/0!</v>
      </c>
    </row>
    <row r="77" spans="2:28" x14ac:dyDescent="0.25">
      <c r="B77" s="20">
        <v>45948</v>
      </c>
      <c r="C77" s="2" t="s">
        <v>29</v>
      </c>
      <c r="D77" s="23" t="s">
        <v>13</v>
      </c>
      <c r="E77" s="2"/>
      <c r="F77" s="64">
        <f t="shared" si="13"/>
        <v>0</v>
      </c>
      <c r="I77" s="52" t="e">
        <f t="shared" si="14"/>
        <v>#DIV/0!</v>
      </c>
      <c r="J77" s="37" t="e">
        <f t="shared" si="15"/>
        <v>#DIV/0!</v>
      </c>
      <c r="K77" s="11">
        <v>165</v>
      </c>
      <c r="L77" s="51">
        <f t="shared" si="16"/>
        <v>2673.3666666666668</v>
      </c>
      <c r="M77" s="2">
        <v>2916.4</v>
      </c>
      <c r="N77" s="54">
        <f>+M77/180</f>
        <v>16.202222222222222</v>
      </c>
      <c r="O77" s="52">
        <f t="shared" si="17"/>
        <v>180</v>
      </c>
      <c r="P77" s="37">
        <f t="shared" si="18"/>
        <v>9.0909090909090912E-2</v>
      </c>
      <c r="R77" s="51">
        <f t="shared" si="24"/>
        <v>0</v>
      </c>
      <c r="U77" s="23" t="e">
        <f t="shared" si="25"/>
        <v>#DIV/0!</v>
      </c>
      <c r="V77" s="37" t="e">
        <f t="shared" si="20"/>
        <v>#DIV/0!</v>
      </c>
      <c r="X77" s="51">
        <f t="shared" si="21"/>
        <v>0</v>
      </c>
      <c r="AA77" s="1" t="e">
        <f t="shared" si="22"/>
        <v>#DIV/0!</v>
      </c>
      <c r="AB77" s="35" t="e">
        <f t="shared" si="23"/>
        <v>#DIV/0!</v>
      </c>
    </row>
    <row r="78" spans="2:28" x14ac:dyDescent="0.25">
      <c r="B78" s="20">
        <v>45948</v>
      </c>
      <c r="C78" s="2" t="s">
        <v>17</v>
      </c>
      <c r="D78" s="23" t="s">
        <v>13</v>
      </c>
      <c r="E78" s="2"/>
      <c r="F78" s="64">
        <f t="shared" si="13"/>
        <v>0</v>
      </c>
      <c r="I78" s="52" t="e">
        <f t="shared" si="14"/>
        <v>#DIV/0!</v>
      </c>
      <c r="J78" s="37" t="e">
        <f t="shared" si="15"/>
        <v>#DIV/0!</v>
      </c>
      <c r="L78" s="51">
        <f t="shared" si="16"/>
        <v>0</v>
      </c>
      <c r="O78" s="52" t="e">
        <f t="shared" si="17"/>
        <v>#DIV/0!</v>
      </c>
      <c r="P78" s="37" t="e">
        <f t="shared" si="18"/>
        <v>#DIV/0!</v>
      </c>
      <c r="Q78" s="11">
        <v>195</v>
      </c>
      <c r="R78" s="51">
        <f t="shared" si="24"/>
        <v>3340.7150246305418</v>
      </c>
      <c r="S78" s="2">
        <v>3477.77</v>
      </c>
      <c r="T78" s="54">
        <f>+S78/203</f>
        <v>17.131871921182267</v>
      </c>
      <c r="U78" s="23">
        <f t="shared" si="25"/>
        <v>203</v>
      </c>
      <c r="V78" s="37">
        <f t="shared" si="20"/>
        <v>4.1025641025641026E-2</v>
      </c>
      <c r="X78" s="51">
        <f t="shared" si="21"/>
        <v>0</v>
      </c>
      <c r="AA78" s="1" t="e">
        <f t="shared" si="22"/>
        <v>#DIV/0!</v>
      </c>
      <c r="AB78" s="35" t="e">
        <f t="shared" si="23"/>
        <v>#DIV/0!</v>
      </c>
    </row>
    <row r="79" spans="2:28" x14ac:dyDescent="0.25">
      <c r="B79" s="20">
        <v>45951</v>
      </c>
      <c r="C79" s="2" t="s">
        <v>20</v>
      </c>
      <c r="D79" s="23" t="s">
        <v>13</v>
      </c>
      <c r="E79" s="2">
        <v>170</v>
      </c>
      <c r="F79" s="64">
        <f t="shared" si="13"/>
        <v>2847.3666074468874</v>
      </c>
      <c r="G79" s="2">
        <v>2823.75</v>
      </c>
      <c r="H79" s="54">
        <f>(490.6/158)+(2333.15/171)</f>
        <v>16.749215337922866</v>
      </c>
      <c r="I79" s="52">
        <f t="shared" si="14"/>
        <v>168.58998723400401</v>
      </c>
      <c r="J79" s="37">
        <f t="shared" si="15"/>
        <v>-8.2941927411528636E-3</v>
      </c>
      <c r="L79" s="51">
        <f t="shared" si="16"/>
        <v>0</v>
      </c>
      <c r="O79" s="52" t="e">
        <f t="shared" si="17"/>
        <v>#DIV/0!</v>
      </c>
      <c r="P79" s="37" t="e">
        <f t="shared" si="18"/>
        <v>#DIV/0!</v>
      </c>
      <c r="R79" s="51">
        <f t="shared" si="24"/>
        <v>0</v>
      </c>
      <c r="U79" s="23" t="e">
        <f t="shared" si="25"/>
        <v>#DIV/0!</v>
      </c>
      <c r="V79" s="37" t="e">
        <f t="shared" si="20"/>
        <v>#DIV/0!</v>
      </c>
      <c r="X79" s="51">
        <f t="shared" si="21"/>
        <v>0</v>
      </c>
      <c r="AA79" s="1" t="e">
        <f t="shared" si="22"/>
        <v>#DIV/0!</v>
      </c>
      <c r="AB79" s="35" t="e">
        <f t="shared" si="23"/>
        <v>#DIV/0!</v>
      </c>
    </row>
    <row r="80" spans="2:28" x14ac:dyDescent="0.25">
      <c r="B80" s="20">
        <v>45951</v>
      </c>
      <c r="C80" s="2" t="s">
        <v>23</v>
      </c>
      <c r="D80" s="23" t="s">
        <v>13</v>
      </c>
      <c r="E80" s="2"/>
      <c r="F80" s="64">
        <f t="shared" si="13"/>
        <v>0</v>
      </c>
      <c r="I80" s="52" t="e">
        <f t="shared" si="14"/>
        <v>#DIV/0!</v>
      </c>
      <c r="J80" s="37" t="e">
        <f t="shared" si="15"/>
        <v>#DIV/0!</v>
      </c>
      <c r="L80" s="51">
        <f t="shared" si="16"/>
        <v>0</v>
      </c>
      <c r="O80" s="52" t="e">
        <f t="shared" si="17"/>
        <v>#DIV/0!</v>
      </c>
      <c r="P80" s="37" t="e">
        <f t="shared" si="18"/>
        <v>#DIV/0!</v>
      </c>
      <c r="R80" s="51">
        <f t="shared" si="24"/>
        <v>0</v>
      </c>
      <c r="U80" s="23" t="e">
        <f t="shared" si="25"/>
        <v>#DIV/0!</v>
      </c>
      <c r="V80" s="37" t="e">
        <f t="shared" si="20"/>
        <v>#DIV/0!</v>
      </c>
      <c r="W80" s="2">
        <v>150</v>
      </c>
      <c r="X80" s="51">
        <f t="shared" si="21"/>
        <v>658.0645161290322</v>
      </c>
      <c r="Y80" s="2">
        <v>680</v>
      </c>
      <c r="Z80" s="54">
        <f>+Y80/155</f>
        <v>4.387096774193548</v>
      </c>
      <c r="AA80" s="1">
        <f t="shared" si="22"/>
        <v>155</v>
      </c>
      <c r="AB80" s="35">
        <f t="shared" si="23"/>
        <v>3.3333333333333333E-2</v>
      </c>
    </row>
    <row r="81" spans="2:28" x14ac:dyDescent="0.25">
      <c r="B81" s="20">
        <v>45951</v>
      </c>
      <c r="C81" s="2" t="s">
        <v>17</v>
      </c>
      <c r="D81" s="23" t="s">
        <v>13</v>
      </c>
      <c r="E81" s="2"/>
      <c r="F81" s="64">
        <f t="shared" si="13"/>
        <v>0</v>
      </c>
      <c r="I81" s="52" t="e">
        <f t="shared" si="14"/>
        <v>#DIV/0!</v>
      </c>
      <c r="J81" s="37" t="e">
        <f t="shared" si="15"/>
        <v>#DIV/0!</v>
      </c>
      <c r="L81" s="51">
        <f t="shared" si="16"/>
        <v>0</v>
      </c>
      <c r="O81" s="52" t="e">
        <f t="shared" si="17"/>
        <v>#DIV/0!</v>
      </c>
      <c r="P81" s="37" t="e">
        <f t="shared" si="18"/>
        <v>#DIV/0!</v>
      </c>
      <c r="R81" s="51">
        <f t="shared" si="24"/>
        <v>0</v>
      </c>
      <c r="U81" s="23" t="e">
        <f t="shared" si="25"/>
        <v>#DIV/0!</v>
      </c>
      <c r="V81" s="37" t="e">
        <f t="shared" si="20"/>
        <v>#DIV/0!</v>
      </c>
      <c r="W81" s="2">
        <v>140</v>
      </c>
      <c r="X81" s="51">
        <f t="shared" si="21"/>
        <v>1452.3870967741937</v>
      </c>
      <c r="Y81" s="2">
        <v>1608</v>
      </c>
      <c r="Z81" s="54">
        <f>+Y81/155</f>
        <v>10.374193548387098</v>
      </c>
      <c r="AA81" s="1">
        <f t="shared" si="22"/>
        <v>155</v>
      </c>
      <c r="AB81" s="35">
        <f t="shared" si="23"/>
        <v>0.10714285714285714</v>
      </c>
    </row>
    <row r="82" spans="2:28" x14ac:dyDescent="0.25">
      <c r="B82" s="20">
        <v>45951</v>
      </c>
      <c r="C82" s="2" t="s">
        <v>26</v>
      </c>
      <c r="D82" s="23" t="s">
        <v>13</v>
      </c>
      <c r="E82" s="2"/>
      <c r="F82" s="64">
        <f t="shared" si="13"/>
        <v>0</v>
      </c>
      <c r="I82" s="52" t="e">
        <f t="shared" si="14"/>
        <v>#DIV/0!</v>
      </c>
      <c r="J82" s="37" t="e">
        <f t="shared" si="15"/>
        <v>#DIV/0!</v>
      </c>
      <c r="K82" s="11">
        <v>150</v>
      </c>
      <c r="L82" s="51">
        <f t="shared" si="16"/>
        <v>792.61589403973517</v>
      </c>
      <c r="M82" s="2">
        <v>797.9</v>
      </c>
      <c r="N82" s="54">
        <f>+M82/151</f>
        <v>5.2841059602649008</v>
      </c>
      <c r="O82" s="52">
        <f t="shared" si="17"/>
        <v>151</v>
      </c>
      <c r="P82" s="37">
        <f t="shared" si="18"/>
        <v>6.6666666666666671E-3</v>
      </c>
      <c r="R82" s="51">
        <f t="shared" si="24"/>
        <v>0</v>
      </c>
      <c r="U82" s="23" t="e">
        <f t="shared" si="25"/>
        <v>#DIV/0!</v>
      </c>
      <c r="V82" s="37" t="e">
        <f t="shared" si="20"/>
        <v>#DIV/0!</v>
      </c>
      <c r="X82" s="51">
        <f t="shared" si="21"/>
        <v>0</v>
      </c>
      <c r="AA82" s="1" t="e">
        <f t="shared" si="22"/>
        <v>#DIV/0!</v>
      </c>
      <c r="AB82" s="35" t="e">
        <f t="shared" si="23"/>
        <v>#DIV/0!</v>
      </c>
    </row>
    <row r="83" spans="2:28" x14ac:dyDescent="0.25">
      <c r="B83" s="20">
        <v>45951</v>
      </c>
      <c r="C83" s="2" t="s">
        <v>25</v>
      </c>
      <c r="D83" s="23" t="s">
        <v>13</v>
      </c>
      <c r="E83" s="2"/>
      <c r="F83" s="64">
        <f t="shared" si="13"/>
        <v>0</v>
      </c>
      <c r="I83" s="52" t="e">
        <f t="shared" si="14"/>
        <v>#DIV/0!</v>
      </c>
      <c r="J83" s="37" t="e">
        <f t="shared" si="15"/>
        <v>#DIV/0!</v>
      </c>
      <c r="K83" s="11">
        <v>150</v>
      </c>
      <c r="L83" s="51">
        <f t="shared" si="16"/>
        <v>350.46357615894044</v>
      </c>
      <c r="M83" s="2">
        <v>352.8</v>
      </c>
      <c r="N83" s="54">
        <f>+M83/151</f>
        <v>2.3364238410596028</v>
      </c>
      <c r="O83" s="52">
        <f t="shared" si="17"/>
        <v>151</v>
      </c>
      <c r="P83" s="37">
        <f t="shared" si="18"/>
        <v>6.6666666666666671E-3</v>
      </c>
      <c r="R83" s="51">
        <f t="shared" si="24"/>
        <v>0</v>
      </c>
      <c r="U83" s="23" t="e">
        <f t="shared" si="25"/>
        <v>#DIV/0!</v>
      </c>
      <c r="V83" s="37" t="e">
        <f t="shared" si="20"/>
        <v>#DIV/0!</v>
      </c>
      <c r="X83" s="51">
        <f t="shared" si="21"/>
        <v>0</v>
      </c>
      <c r="AA83" s="1" t="e">
        <f t="shared" si="22"/>
        <v>#DIV/0!</v>
      </c>
      <c r="AB83" s="35" t="e">
        <f t="shared" si="23"/>
        <v>#DIV/0!</v>
      </c>
    </row>
    <row r="84" spans="2:28" x14ac:dyDescent="0.25">
      <c r="B84" s="20">
        <v>45951</v>
      </c>
      <c r="C84" s="2" t="s">
        <v>22</v>
      </c>
      <c r="D84" s="23" t="s">
        <v>13</v>
      </c>
      <c r="E84" s="2"/>
      <c r="F84" s="64">
        <f t="shared" si="13"/>
        <v>0</v>
      </c>
      <c r="I84" s="52" t="e">
        <f t="shared" si="14"/>
        <v>#DIV/0!</v>
      </c>
      <c r="J84" s="37" t="e">
        <f t="shared" si="15"/>
        <v>#DIV/0!</v>
      </c>
      <c r="K84" s="11">
        <v>150</v>
      </c>
      <c r="L84" s="51">
        <f t="shared" si="16"/>
        <v>1415.3084415584412</v>
      </c>
      <c r="M84" s="2">
        <v>1453.0499999999997</v>
      </c>
      <c r="N84" s="54">
        <f>+M84/154</f>
        <v>9.435389610389608</v>
      </c>
      <c r="O84" s="52">
        <f t="shared" si="17"/>
        <v>154</v>
      </c>
      <c r="P84" s="37">
        <f t="shared" si="18"/>
        <v>2.6666666666666668E-2</v>
      </c>
      <c r="R84" s="51">
        <f t="shared" si="24"/>
        <v>0</v>
      </c>
      <c r="U84" s="23" t="e">
        <f t="shared" si="25"/>
        <v>#DIV/0!</v>
      </c>
      <c r="V84" s="37" t="e">
        <f t="shared" si="20"/>
        <v>#DIV/0!</v>
      </c>
      <c r="X84" s="51">
        <f t="shared" si="21"/>
        <v>0</v>
      </c>
      <c r="AA84" s="1" t="e">
        <f t="shared" si="22"/>
        <v>#DIV/0!</v>
      </c>
      <c r="AB84" s="35" t="e">
        <f t="shared" si="23"/>
        <v>#DIV/0!</v>
      </c>
    </row>
    <row r="85" spans="2:28" x14ac:dyDescent="0.25">
      <c r="B85" s="20">
        <v>45951</v>
      </c>
      <c r="C85" s="1" t="s">
        <v>17</v>
      </c>
      <c r="D85" s="23" t="s">
        <v>13</v>
      </c>
      <c r="E85" s="2"/>
      <c r="F85" s="64">
        <f t="shared" si="13"/>
        <v>0</v>
      </c>
      <c r="I85" s="52" t="e">
        <f t="shared" si="14"/>
        <v>#DIV/0!</v>
      </c>
      <c r="J85" s="37" t="e">
        <f t="shared" si="15"/>
        <v>#DIV/0!</v>
      </c>
      <c r="L85" s="51">
        <f t="shared" si="16"/>
        <v>0</v>
      </c>
      <c r="O85" s="52" t="e">
        <f t="shared" si="17"/>
        <v>#DIV/0!</v>
      </c>
      <c r="P85" s="37" t="e">
        <f t="shared" si="18"/>
        <v>#DIV/0!</v>
      </c>
      <c r="Q85" s="11">
        <v>195</v>
      </c>
      <c r="R85" s="51">
        <f t="shared" si="24"/>
        <v>2954.4402439024389</v>
      </c>
      <c r="S85" s="2">
        <v>3105.95</v>
      </c>
      <c r="T85" s="54">
        <f>+S85/205</f>
        <v>15.150975609756097</v>
      </c>
      <c r="U85" s="23">
        <f t="shared" si="25"/>
        <v>205</v>
      </c>
      <c r="V85" s="37">
        <f t="shared" si="20"/>
        <v>5.128205128205128E-2</v>
      </c>
      <c r="X85" s="51">
        <f t="shared" si="21"/>
        <v>0</v>
      </c>
      <c r="AA85" s="1" t="e">
        <f t="shared" si="22"/>
        <v>#DIV/0!</v>
      </c>
      <c r="AB85" s="35" t="e">
        <f t="shared" si="23"/>
        <v>#DIV/0!</v>
      </c>
    </row>
    <row r="86" spans="2:28" x14ac:dyDescent="0.25">
      <c r="B86" s="68">
        <v>45952</v>
      </c>
      <c r="C86" s="2" t="s">
        <v>20</v>
      </c>
      <c r="D86" s="23" t="s">
        <v>13</v>
      </c>
      <c r="E86" s="2">
        <v>170</v>
      </c>
      <c r="F86" s="64">
        <f t="shared" si="13"/>
        <v>4074.4520958083835</v>
      </c>
      <c r="G86" s="2">
        <v>4002.55</v>
      </c>
      <c r="H86" s="54">
        <f>+G86/167</f>
        <v>23.96736526946108</v>
      </c>
      <c r="I86" s="52">
        <f t="shared" si="14"/>
        <v>167</v>
      </c>
      <c r="J86" s="37">
        <f t="shared" si="15"/>
        <v>-1.7647058823529412E-2</v>
      </c>
      <c r="L86" s="51">
        <f t="shared" si="16"/>
        <v>0</v>
      </c>
      <c r="O86" s="52" t="e">
        <f t="shared" si="17"/>
        <v>#DIV/0!</v>
      </c>
      <c r="P86" s="37" t="e">
        <f t="shared" si="18"/>
        <v>#DIV/0!</v>
      </c>
      <c r="R86" s="51">
        <f t="shared" si="24"/>
        <v>0</v>
      </c>
      <c r="U86" s="23" t="e">
        <f t="shared" si="25"/>
        <v>#DIV/0!</v>
      </c>
      <c r="V86" s="37" t="e">
        <f t="shared" si="20"/>
        <v>#DIV/0!</v>
      </c>
      <c r="X86" s="51">
        <f t="shared" si="21"/>
        <v>0</v>
      </c>
      <c r="AA86" s="1" t="e">
        <f t="shared" si="22"/>
        <v>#DIV/0!</v>
      </c>
      <c r="AB86" s="35" t="e">
        <f t="shared" si="23"/>
        <v>#DIV/0!</v>
      </c>
    </row>
    <row r="87" spans="2:28" x14ac:dyDescent="0.25">
      <c r="B87" s="20">
        <v>45952</v>
      </c>
      <c r="C87" s="1" t="s">
        <v>17</v>
      </c>
      <c r="D87" s="23" t="s">
        <v>13</v>
      </c>
      <c r="E87" s="2"/>
      <c r="F87" s="64">
        <f t="shared" si="13"/>
        <v>0</v>
      </c>
      <c r="I87" s="52" t="e">
        <f t="shared" si="14"/>
        <v>#DIV/0!</v>
      </c>
      <c r="J87" s="37" t="e">
        <f t="shared" si="15"/>
        <v>#DIV/0!</v>
      </c>
      <c r="L87" s="51">
        <f t="shared" si="16"/>
        <v>0</v>
      </c>
      <c r="O87" s="52" t="e">
        <f t="shared" si="17"/>
        <v>#DIV/0!</v>
      </c>
      <c r="P87" s="37" t="e">
        <f t="shared" si="18"/>
        <v>#DIV/0!</v>
      </c>
      <c r="Q87" s="11">
        <v>195</v>
      </c>
      <c r="R87" s="51">
        <f t="shared" si="24"/>
        <v>3834.9697674418608</v>
      </c>
      <c r="S87" s="2">
        <v>4228.3</v>
      </c>
      <c r="T87" s="54">
        <f>+S87/215</f>
        <v>19.666511627906978</v>
      </c>
      <c r="U87" s="23">
        <f t="shared" si="25"/>
        <v>215</v>
      </c>
      <c r="V87" s="37">
        <f t="shared" si="20"/>
        <v>0.10256410256410256</v>
      </c>
      <c r="W87" s="2">
        <v>140</v>
      </c>
      <c r="X87" s="51">
        <f t="shared" si="21"/>
        <v>2953.7254901960782</v>
      </c>
      <c r="Y87" s="2">
        <v>3228</v>
      </c>
      <c r="Z87" s="54">
        <f>+Y87/153</f>
        <v>21.098039215686274</v>
      </c>
      <c r="AA87" s="1">
        <f t="shared" si="22"/>
        <v>153</v>
      </c>
      <c r="AB87" s="35">
        <f t="shared" si="23"/>
        <v>9.285714285714286E-2</v>
      </c>
    </row>
    <row r="88" spans="2:28" x14ac:dyDescent="0.25">
      <c r="B88" s="20">
        <v>45952</v>
      </c>
      <c r="C88" s="2" t="s">
        <v>22</v>
      </c>
      <c r="D88" s="23" t="s">
        <v>13</v>
      </c>
      <c r="E88" s="2"/>
      <c r="F88" s="64">
        <f t="shared" si="13"/>
        <v>0</v>
      </c>
      <c r="I88" s="52" t="e">
        <f t="shared" si="14"/>
        <v>#DIV/0!</v>
      </c>
      <c r="J88" s="37" t="e">
        <f t="shared" si="15"/>
        <v>#DIV/0!</v>
      </c>
      <c r="K88" s="11">
        <v>150</v>
      </c>
      <c r="L88" s="51">
        <f t="shared" si="16"/>
        <v>1622.5510204081631</v>
      </c>
      <c r="M88" s="2">
        <v>1590.1</v>
      </c>
      <c r="N88" s="54">
        <f>+M88/147</f>
        <v>10.817006802721087</v>
      </c>
      <c r="O88" s="52">
        <f t="shared" si="17"/>
        <v>147</v>
      </c>
      <c r="P88" s="37">
        <f t="shared" si="18"/>
        <v>-0.02</v>
      </c>
      <c r="R88" s="51">
        <f t="shared" si="24"/>
        <v>0</v>
      </c>
      <c r="U88" s="23" t="e">
        <f t="shared" si="25"/>
        <v>#DIV/0!</v>
      </c>
      <c r="V88" s="37" t="e">
        <f t="shared" si="20"/>
        <v>#DIV/0!</v>
      </c>
      <c r="X88" s="51">
        <f t="shared" si="21"/>
        <v>0</v>
      </c>
      <c r="AA88" s="1" t="e">
        <f t="shared" si="22"/>
        <v>#DIV/0!</v>
      </c>
      <c r="AB88" s="35" t="e">
        <f t="shared" si="23"/>
        <v>#DIV/0!</v>
      </c>
    </row>
    <row r="89" spans="2:28" x14ac:dyDescent="0.25">
      <c r="B89" s="20">
        <v>45952</v>
      </c>
      <c r="C89" s="2" t="s">
        <v>19</v>
      </c>
      <c r="D89" s="23" t="s">
        <v>13</v>
      </c>
      <c r="E89" s="2"/>
      <c r="F89" s="64">
        <f t="shared" si="13"/>
        <v>0</v>
      </c>
      <c r="I89" s="52" t="e">
        <f t="shared" si="14"/>
        <v>#DIV/0!</v>
      </c>
      <c r="J89" s="37" t="e">
        <f t="shared" si="15"/>
        <v>#DIV/0!</v>
      </c>
      <c r="K89" s="11">
        <v>150</v>
      </c>
      <c r="L89" s="51">
        <f t="shared" si="16"/>
        <v>147.32954545454547</v>
      </c>
      <c r="M89" s="2">
        <v>129.65</v>
      </c>
      <c r="N89" s="54">
        <f>+M89/132</f>
        <v>0.98219696969696979</v>
      </c>
      <c r="O89" s="52">
        <f t="shared" si="17"/>
        <v>132</v>
      </c>
      <c r="P89" s="37">
        <f t="shared" si="18"/>
        <v>-0.12</v>
      </c>
      <c r="R89" s="51">
        <f t="shared" si="24"/>
        <v>0</v>
      </c>
      <c r="U89" s="23" t="e">
        <f t="shared" si="25"/>
        <v>#DIV/0!</v>
      </c>
      <c r="V89" s="37" t="e">
        <f t="shared" si="20"/>
        <v>#DIV/0!</v>
      </c>
      <c r="X89" s="51">
        <f t="shared" si="21"/>
        <v>0</v>
      </c>
      <c r="AA89" s="1" t="e">
        <f t="shared" si="22"/>
        <v>#DIV/0!</v>
      </c>
      <c r="AB89" s="35" t="e">
        <f t="shared" si="23"/>
        <v>#DIV/0!</v>
      </c>
    </row>
    <row r="90" spans="2:28" x14ac:dyDescent="0.25">
      <c r="B90" s="20">
        <v>45953</v>
      </c>
      <c r="C90" s="2" t="s">
        <v>20</v>
      </c>
      <c r="D90" s="23" t="s">
        <v>13</v>
      </c>
      <c r="E90" s="2">
        <v>170</v>
      </c>
      <c r="F90" s="64">
        <f t="shared" si="13"/>
        <v>3397.8625730994149</v>
      </c>
      <c r="G90" s="2">
        <v>3417.85</v>
      </c>
      <c r="H90" s="54">
        <f>+G90/171</f>
        <v>19.987426900584794</v>
      </c>
      <c r="I90" s="52">
        <f t="shared" si="14"/>
        <v>171</v>
      </c>
      <c r="J90" s="37">
        <f t="shared" si="15"/>
        <v>5.8823529411764705E-3</v>
      </c>
      <c r="K90" s="11">
        <v>150</v>
      </c>
      <c r="L90" s="52">
        <f t="shared" si="16"/>
        <v>820.57291666666674</v>
      </c>
      <c r="M90" s="2">
        <v>787.75000000000011</v>
      </c>
      <c r="N90" s="54">
        <f>+M90/144</f>
        <v>5.4704861111111116</v>
      </c>
      <c r="O90" s="52">
        <f t="shared" si="17"/>
        <v>144</v>
      </c>
      <c r="P90" s="37">
        <f t="shared" si="18"/>
        <v>-0.04</v>
      </c>
      <c r="R90" s="51">
        <f t="shared" si="24"/>
        <v>0</v>
      </c>
      <c r="U90" s="23" t="e">
        <f t="shared" si="25"/>
        <v>#DIV/0!</v>
      </c>
      <c r="V90" s="37" t="e">
        <f t="shared" si="20"/>
        <v>#DIV/0!</v>
      </c>
      <c r="X90" s="51">
        <f t="shared" si="21"/>
        <v>0</v>
      </c>
      <c r="AA90" s="1" t="e">
        <f t="shared" si="22"/>
        <v>#DIV/0!</v>
      </c>
      <c r="AB90" s="35" t="e">
        <f t="shared" si="23"/>
        <v>#DIV/0!</v>
      </c>
    </row>
    <row r="91" spans="2:28" x14ac:dyDescent="0.25">
      <c r="B91" s="20">
        <v>45953</v>
      </c>
      <c r="C91" s="1" t="s">
        <v>17</v>
      </c>
      <c r="D91" s="23" t="s">
        <v>13</v>
      </c>
      <c r="E91" s="2"/>
      <c r="F91" s="64">
        <f t="shared" si="13"/>
        <v>0</v>
      </c>
      <c r="I91" s="52" t="e">
        <f t="shared" si="14"/>
        <v>#DIV/0!</v>
      </c>
      <c r="J91" s="37" t="e">
        <f t="shared" si="15"/>
        <v>#DIV/0!</v>
      </c>
      <c r="L91" s="52">
        <f t="shared" si="16"/>
        <v>0</v>
      </c>
      <c r="O91" s="52" t="e">
        <f t="shared" si="17"/>
        <v>#DIV/0!</v>
      </c>
      <c r="P91" s="37" t="e">
        <f t="shared" si="18"/>
        <v>#DIV/0!</v>
      </c>
      <c r="Q91" s="11">
        <v>195</v>
      </c>
      <c r="R91" s="51">
        <f t="shared" si="24"/>
        <v>4253.9487804878054</v>
      </c>
      <c r="S91" s="2">
        <v>4472.1000000000004</v>
      </c>
      <c r="T91" s="54">
        <f>+S91/205</f>
        <v>21.815121951219513</v>
      </c>
      <c r="U91" s="23">
        <f t="shared" si="25"/>
        <v>205</v>
      </c>
      <c r="V91" s="37">
        <f t="shared" si="20"/>
        <v>5.128205128205128E-2</v>
      </c>
      <c r="W91" s="2">
        <v>140</v>
      </c>
      <c r="X91" s="51">
        <f t="shared" si="21"/>
        <v>280</v>
      </c>
      <c r="Y91" s="2">
        <v>300</v>
      </c>
      <c r="Z91" s="54">
        <f>+Y91/150</f>
        <v>2</v>
      </c>
      <c r="AA91" s="1">
        <f t="shared" si="22"/>
        <v>150</v>
      </c>
      <c r="AB91" s="35">
        <f t="shared" si="23"/>
        <v>7.1428571428571425E-2</v>
      </c>
    </row>
    <row r="92" spans="2:28" x14ac:dyDescent="0.25">
      <c r="B92" s="20">
        <v>45953</v>
      </c>
      <c r="C92" s="2" t="s">
        <v>26</v>
      </c>
      <c r="D92" s="23" t="s">
        <v>13</v>
      </c>
      <c r="E92" s="2"/>
      <c r="F92" s="64">
        <f t="shared" si="13"/>
        <v>0</v>
      </c>
      <c r="I92" s="52" t="e">
        <f t="shared" si="14"/>
        <v>#DIV/0!</v>
      </c>
      <c r="J92" s="37" t="e">
        <f t="shared" si="15"/>
        <v>#DIV/0!</v>
      </c>
      <c r="L92" s="52">
        <f t="shared" si="16"/>
        <v>0</v>
      </c>
      <c r="O92" s="52" t="e">
        <f t="shared" si="17"/>
        <v>#DIV/0!</v>
      </c>
      <c r="P92" s="37" t="e">
        <f t="shared" si="18"/>
        <v>#DIV/0!</v>
      </c>
      <c r="R92" s="51">
        <f t="shared" si="24"/>
        <v>0</v>
      </c>
      <c r="U92" s="23" t="e">
        <f t="shared" si="25"/>
        <v>#DIV/0!</v>
      </c>
      <c r="V92" s="37" t="e">
        <f t="shared" si="20"/>
        <v>#DIV/0!</v>
      </c>
      <c r="W92" s="2">
        <v>150</v>
      </c>
      <c r="X92" s="51">
        <f t="shared" si="21"/>
        <v>2236.7647058823532</v>
      </c>
      <c r="Y92" s="2">
        <v>2535</v>
      </c>
      <c r="Z92" s="54">
        <f>+Y92/170</f>
        <v>14.911764705882353</v>
      </c>
      <c r="AA92" s="1">
        <f t="shared" si="22"/>
        <v>170</v>
      </c>
      <c r="AB92" s="35">
        <f t="shared" si="23"/>
        <v>0.13333333333333333</v>
      </c>
    </row>
    <row r="93" spans="2:28" x14ac:dyDescent="0.25">
      <c r="B93" s="20">
        <v>45953</v>
      </c>
      <c r="C93" s="2" t="s">
        <v>19</v>
      </c>
      <c r="D93" s="23" t="s">
        <v>13</v>
      </c>
      <c r="E93" s="2"/>
      <c r="F93" s="64">
        <f t="shared" si="13"/>
        <v>0</v>
      </c>
      <c r="I93" s="52" t="e">
        <f t="shared" ref="I93:I137" si="26">G93/H93</f>
        <v>#DIV/0!</v>
      </c>
      <c r="J93" s="37" t="e">
        <f t="shared" ref="J93:J137" si="27">(I93-E93)/E93</f>
        <v>#DIV/0!</v>
      </c>
      <c r="K93" s="11">
        <v>150</v>
      </c>
      <c r="L93" s="52">
        <f t="shared" si="16"/>
        <v>1948.4265734265744</v>
      </c>
      <c r="M93" s="2">
        <v>1857.5000000000009</v>
      </c>
      <c r="N93" s="54">
        <f>+M93/143</f>
        <v>12.989510489510495</v>
      </c>
      <c r="O93" s="52">
        <f t="shared" ref="O93:O137" si="28">M93/N93</f>
        <v>143</v>
      </c>
      <c r="P93" s="37">
        <f t="shared" ref="P93:P137" si="29">(O93-K93)/K93</f>
        <v>-4.6666666666666669E-2</v>
      </c>
      <c r="R93" s="51">
        <f t="shared" si="24"/>
        <v>0</v>
      </c>
      <c r="U93" s="23" t="e">
        <f t="shared" ref="U93:U137" si="30">S93/T93</f>
        <v>#DIV/0!</v>
      </c>
      <c r="V93" s="37" t="e">
        <f t="shared" ref="V93:V137" si="31">(U93-Q93)/Q93</f>
        <v>#DIV/0!</v>
      </c>
      <c r="X93" s="51">
        <f t="shared" si="21"/>
        <v>0</v>
      </c>
      <c r="AA93" s="1" t="e">
        <f t="shared" ref="AA93:AA137" si="32">Y93/Z93</f>
        <v>#DIV/0!</v>
      </c>
      <c r="AB93" s="35" t="e">
        <f t="shared" ref="AB93:AB137" si="33">(AA93-W93)/W93</f>
        <v>#DIV/0!</v>
      </c>
    </row>
    <row r="94" spans="2:28" x14ac:dyDescent="0.25">
      <c r="B94" s="20">
        <v>45954</v>
      </c>
      <c r="C94" s="2" t="s">
        <v>20</v>
      </c>
      <c r="D94" s="23" t="s">
        <v>13</v>
      </c>
      <c r="E94" s="2">
        <v>170</v>
      </c>
      <c r="F94" s="64">
        <f t="shared" si="13"/>
        <v>2982.6</v>
      </c>
      <c r="G94" s="2">
        <v>2982.6</v>
      </c>
      <c r="H94" s="54">
        <f>+G94/170</f>
        <v>17.54470588235294</v>
      </c>
      <c r="I94" s="52">
        <f t="shared" si="26"/>
        <v>170</v>
      </c>
      <c r="J94" s="37">
        <f t="shared" si="27"/>
        <v>0</v>
      </c>
      <c r="L94" s="51">
        <f t="shared" si="16"/>
        <v>0</v>
      </c>
      <c r="O94" s="52" t="e">
        <f t="shared" si="28"/>
        <v>#DIV/0!</v>
      </c>
      <c r="P94" s="37" t="e">
        <f t="shared" si="29"/>
        <v>#DIV/0!</v>
      </c>
      <c r="R94" s="51">
        <f t="shared" si="24"/>
        <v>0</v>
      </c>
      <c r="U94" s="23" t="e">
        <f t="shared" si="30"/>
        <v>#DIV/0!</v>
      </c>
      <c r="V94" s="37" t="e">
        <f t="shared" si="31"/>
        <v>#DIV/0!</v>
      </c>
      <c r="X94" s="51">
        <f t="shared" si="21"/>
        <v>0</v>
      </c>
      <c r="AA94" s="1" t="e">
        <f t="shared" si="32"/>
        <v>#DIV/0!</v>
      </c>
      <c r="AB94" s="35" t="e">
        <f t="shared" si="33"/>
        <v>#DIV/0!</v>
      </c>
    </row>
    <row r="95" spans="2:28" x14ac:dyDescent="0.25">
      <c r="B95" s="20">
        <v>45954</v>
      </c>
      <c r="C95" s="2" t="s">
        <v>19</v>
      </c>
      <c r="D95" s="23" t="s">
        <v>13</v>
      </c>
      <c r="E95" s="2">
        <v>165</v>
      </c>
      <c r="F95" s="64">
        <f t="shared" si="13"/>
        <v>716.59298780487836</v>
      </c>
      <c r="G95" s="69">
        <v>712.25000000000023</v>
      </c>
      <c r="H95" s="54">
        <f>+G95/164</f>
        <v>4.3429878048780504</v>
      </c>
      <c r="I95" s="52">
        <f t="shared" si="26"/>
        <v>164</v>
      </c>
      <c r="J95" s="37">
        <f t="shared" si="27"/>
        <v>-6.0606060606060606E-3</v>
      </c>
      <c r="K95" s="11">
        <v>150</v>
      </c>
      <c r="L95" s="51">
        <f t="shared" ref="L95" si="34">K95*N95</f>
        <v>3023.4563758389268</v>
      </c>
      <c r="M95" s="2">
        <v>3003.3</v>
      </c>
      <c r="N95" s="54">
        <f>+M95/149</f>
        <v>20.156375838926177</v>
      </c>
      <c r="O95" s="52">
        <f t="shared" si="28"/>
        <v>149</v>
      </c>
      <c r="P95" s="37">
        <f t="shared" si="29"/>
        <v>-6.6666666666666671E-3</v>
      </c>
      <c r="R95" s="51">
        <f t="shared" si="24"/>
        <v>0</v>
      </c>
      <c r="U95" s="23" t="e">
        <f t="shared" si="30"/>
        <v>#DIV/0!</v>
      </c>
      <c r="V95" s="37" t="e">
        <f t="shared" si="31"/>
        <v>#DIV/0!</v>
      </c>
      <c r="X95" s="51">
        <f t="shared" si="21"/>
        <v>0</v>
      </c>
      <c r="AA95" s="1" t="e">
        <f t="shared" si="32"/>
        <v>#DIV/0!</v>
      </c>
      <c r="AB95" s="35" t="e">
        <f t="shared" si="33"/>
        <v>#DIV/0!</v>
      </c>
    </row>
    <row r="96" spans="2:28" x14ac:dyDescent="0.25">
      <c r="B96" s="20">
        <v>45954</v>
      </c>
      <c r="C96" s="2" t="s">
        <v>26</v>
      </c>
      <c r="D96" s="23" t="s">
        <v>13</v>
      </c>
      <c r="E96" s="2"/>
      <c r="F96" s="64">
        <f t="shared" si="13"/>
        <v>0</v>
      </c>
      <c r="I96" s="52" t="e">
        <f t="shared" si="26"/>
        <v>#DIV/0!</v>
      </c>
      <c r="J96" s="37" t="e">
        <f t="shared" si="27"/>
        <v>#DIV/0!</v>
      </c>
      <c r="L96" s="51">
        <f t="shared" si="16"/>
        <v>0</v>
      </c>
      <c r="O96" s="52" t="e">
        <f t="shared" si="28"/>
        <v>#DIV/0!</v>
      </c>
      <c r="P96" s="37" t="e">
        <f t="shared" si="29"/>
        <v>#DIV/0!</v>
      </c>
      <c r="R96" s="51">
        <f t="shared" si="24"/>
        <v>0</v>
      </c>
      <c r="U96" s="23" t="e">
        <f t="shared" si="30"/>
        <v>#DIV/0!</v>
      </c>
      <c r="V96" s="37" t="e">
        <f t="shared" si="31"/>
        <v>#DIV/0!</v>
      </c>
      <c r="W96" s="2">
        <v>150</v>
      </c>
      <c r="X96" s="51">
        <f t="shared" si="21"/>
        <v>1358.7301587301588</v>
      </c>
      <c r="Y96" s="2">
        <v>1712</v>
      </c>
      <c r="Z96" s="54">
        <f>+Y96/189</f>
        <v>9.0582010582010586</v>
      </c>
      <c r="AA96" s="1">
        <f t="shared" si="32"/>
        <v>189</v>
      </c>
      <c r="AB96" s="35">
        <f t="shared" si="33"/>
        <v>0.26</v>
      </c>
    </row>
    <row r="97" spans="2:28" x14ac:dyDescent="0.25">
      <c r="B97" s="20">
        <v>45954</v>
      </c>
      <c r="C97" s="2" t="s">
        <v>16</v>
      </c>
      <c r="D97" s="23" t="s">
        <v>13</v>
      </c>
      <c r="E97" s="2"/>
      <c r="F97" s="64">
        <f t="shared" si="13"/>
        <v>0</v>
      </c>
      <c r="I97" s="52" t="e">
        <f t="shared" si="26"/>
        <v>#DIV/0!</v>
      </c>
      <c r="J97" s="37" t="e">
        <f t="shared" si="27"/>
        <v>#DIV/0!</v>
      </c>
      <c r="L97" s="51">
        <f t="shared" si="16"/>
        <v>0</v>
      </c>
      <c r="O97" s="52" t="e">
        <f t="shared" si="28"/>
        <v>#DIV/0!</v>
      </c>
      <c r="P97" s="37" t="e">
        <f t="shared" si="29"/>
        <v>#DIV/0!</v>
      </c>
      <c r="Q97" s="11">
        <v>170</v>
      </c>
      <c r="R97" s="51">
        <f t="shared" si="24"/>
        <v>1183.4236842105263</v>
      </c>
      <c r="S97" s="2">
        <v>1322.65</v>
      </c>
      <c r="T97" s="54">
        <f>+S97/190</f>
        <v>6.9613157894736846</v>
      </c>
      <c r="U97" s="23">
        <f t="shared" si="30"/>
        <v>190</v>
      </c>
      <c r="V97" s="37">
        <f t="shared" si="31"/>
        <v>0.11764705882352941</v>
      </c>
      <c r="X97" s="51">
        <f t="shared" si="21"/>
        <v>0</v>
      </c>
      <c r="AA97" s="1" t="e">
        <f t="shared" si="32"/>
        <v>#DIV/0!</v>
      </c>
      <c r="AB97" s="35" t="e">
        <f t="shared" si="33"/>
        <v>#DIV/0!</v>
      </c>
    </row>
    <row r="98" spans="2:28" x14ac:dyDescent="0.25">
      <c r="B98" s="20">
        <v>45954</v>
      </c>
      <c r="C98" s="2" t="s">
        <v>17</v>
      </c>
      <c r="D98" s="23" t="s">
        <v>13</v>
      </c>
      <c r="E98" s="2"/>
      <c r="F98" s="64">
        <f t="shared" si="13"/>
        <v>0</v>
      </c>
      <c r="I98" s="52" t="e">
        <f t="shared" si="26"/>
        <v>#DIV/0!</v>
      </c>
      <c r="J98" s="37" t="e">
        <f t="shared" si="27"/>
        <v>#DIV/0!</v>
      </c>
      <c r="L98" s="51">
        <f t="shared" si="16"/>
        <v>0</v>
      </c>
      <c r="O98" s="52" t="e">
        <f t="shared" si="28"/>
        <v>#DIV/0!</v>
      </c>
      <c r="P98" s="37" t="e">
        <f t="shared" si="29"/>
        <v>#DIV/0!</v>
      </c>
      <c r="Q98" s="11">
        <v>195</v>
      </c>
      <c r="R98" s="51">
        <f t="shared" si="24"/>
        <v>3223.9682926829273</v>
      </c>
      <c r="S98" s="2">
        <v>3389.3</v>
      </c>
      <c r="T98" s="54">
        <f>+S98/205</f>
        <v>16.533170731707319</v>
      </c>
      <c r="U98" s="23">
        <f t="shared" si="30"/>
        <v>205</v>
      </c>
      <c r="V98" s="37">
        <f t="shared" si="31"/>
        <v>5.128205128205128E-2</v>
      </c>
      <c r="X98" s="51">
        <f t="shared" si="21"/>
        <v>0</v>
      </c>
      <c r="AA98" s="1" t="e">
        <f t="shared" si="32"/>
        <v>#DIV/0!</v>
      </c>
      <c r="AB98" s="35" t="e">
        <f t="shared" si="33"/>
        <v>#DIV/0!</v>
      </c>
    </row>
    <row r="99" spans="2:28" x14ac:dyDescent="0.25">
      <c r="B99" s="20">
        <v>45955</v>
      </c>
      <c r="C99" s="2" t="s">
        <v>20</v>
      </c>
      <c r="D99" s="23" t="s">
        <v>13</v>
      </c>
      <c r="E99" s="2">
        <v>170</v>
      </c>
      <c r="F99" s="64">
        <f t="shared" si="13"/>
        <v>3531.7239263803685</v>
      </c>
      <c r="G99" s="2">
        <v>3386.3</v>
      </c>
      <c r="H99" s="54">
        <f>+G99/163</f>
        <v>20.774846625766873</v>
      </c>
      <c r="I99" s="52">
        <f t="shared" si="26"/>
        <v>163</v>
      </c>
      <c r="J99" s="37">
        <f t="shared" si="27"/>
        <v>-4.1176470588235294E-2</v>
      </c>
      <c r="L99" s="51">
        <f t="shared" si="16"/>
        <v>0</v>
      </c>
      <c r="O99" s="52" t="e">
        <f t="shared" si="28"/>
        <v>#DIV/0!</v>
      </c>
      <c r="P99" s="37" t="e">
        <f t="shared" si="29"/>
        <v>#DIV/0!</v>
      </c>
      <c r="R99" s="51">
        <f t="shared" si="24"/>
        <v>0</v>
      </c>
      <c r="U99" s="23" t="e">
        <f t="shared" si="30"/>
        <v>#DIV/0!</v>
      </c>
      <c r="V99" s="37" t="e">
        <f t="shared" si="31"/>
        <v>#DIV/0!</v>
      </c>
      <c r="X99" s="51">
        <f t="shared" si="21"/>
        <v>0</v>
      </c>
      <c r="AA99" s="1" t="e">
        <f t="shared" si="32"/>
        <v>#DIV/0!</v>
      </c>
      <c r="AB99" s="35" t="e">
        <f t="shared" si="33"/>
        <v>#DIV/0!</v>
      </c>
    </row>
    <row r="100" spans="2:28" x14ac:dyDescent="0.25">
      <c r="B100" s="20">
        <v>45955</v>
      </c>
      <c r="C100" s="2" t="s">
        <v>25</v>
      </c>
      <c r="D100" s="23" t="s">
        <v>13</v>
      </c>
      <c r="E100" s="2"/>
      <c r="F100" s="64">
        <f t="shared" si="13"/>
        <v>0</v>
      </c>
      <c r="I100" s="52" t="e">
        <f t="shared" si="26"/>
        <v>#DIV/0!</v>
      </c>
      <c r="J100" s="37" t="e">
        <f t="shared" si="27"/>
        <v>#DIV/0!</v>
      </c>
      <c r="K100" s="11">
        <v>150</v>
      </c>
      <c r="L100" s="51">
        <f t="shared" si="16"/>
        <v>2624.4769736842104</v>
      </c>
      <c r="M100" s="2">
        <v>2659.47</v>
      </c>
      <c r="N100" s="54">
        <f>+M100/152</f>
        <v>17.496513157894736</v>
      </c>
      <c r="O100" s="52">
        <f t="shared" si="28"/>
        <v>152</v>
      </c>
      <c r="P100" s="37">
        <f t="shared" si="29"/>
        <v>1.3333333333333334E-2</v>
      </c>
      <c r="R100" s="51">
        <f t="shared" si="24"/>
        <v>0</v>
      </c>
      <c r="U100" s="23" t="e">
        <f t="shared" si="30"/>
        <v>#DIV/0!</v>
      </c>
      <c r="V100" s="37" t="e">
        <f t="shared" si="31"/>
        <v>#DIV/0!</v>
      </c>
      <c r="X100" s="51">
        <f t="shared" si="21"/>
        <v>0</v>
      </c>
      <c r="AA100" s="1" t="e">
        <f t="shared" si="32"/>
        <v>#DIV/0!</v>
      </c>
      <c r="AB100" s="35" t="e">
        <f t="shared" si="33"/>
        <v>#DIV/0!</v>
      </c>
    </row>
    <row r="101" spans="2:28" x14ac:dyDescent="0.25">
      <c r="B101" s="20">
        <v>45955</v>
      </c>
      <c r="C101" s="2" t="s">
        <v>28</v>
      </c>
      <c r="D101" s="23" t="s">
        <v>13</v>
      </c>
      <c r="E101" s="2"/>
      <c r="F101" s="64">
        <f t="shared" si="13"/>
        <v>0</v>
      </c>
      <c r="I101" s="52" t="e">
        <f t="shared" si="26"/>
        <v>#DIV/0!</v>
      </c>
      <c r="J101" s="37" t="e">
        <f t="shared" si="27"/>
        <v>#DIV/0!</v>
      </c>
      <c r="K101" s="11">
        <v>155</v>
      </c>
      <c r="L101" s="51">
        <f t="shared" si="16"/>
        <v>120.15172413793104</v>
      </c>
      <c r="M101" s="2">
        <v>112.4</v>
      </c>
      <c r="N101" s="54">
        <f>+M101/145</f>
        <v>0.77517241379310353</v>
      </c>
      <c r="O101" s="52">
        <f t="shared" si="28"/>
        <v>145</v>
      </c>
      <c r="P101" s="37">
        <f t="shared" si="29"/>
        <v>-6.4516129032258063E-2</v>
      </c>
      <c r="R101" s="51">
        <f t="shared" si="24"/>
        <v>0</v>
      </c>
      <c r="U101" s="23" t="e">
        <f t="shared" si="30"/>
        <v>#DIV/0!</v>
      </c>
      <c r="V101" s="37" t="e">
        <f t="shared" si="31"/>
        <v>#DIV/0!</v>
      </c>
      <c r="X101" s="51">
        <f t="shared" si="21"/>
        <v>0</v>
      </c>
      <c r="AA101" s="1" t="e">
        <f t="shared" si="32"/>
        <v>#DIV/0!</v>
      </c>
      <c r="AB101" s="35" t="e">
        <f t="shared" si="33"/>
        <v>#DIV/0!</v>
      </c>
    </row>
    <row r="102" spans="2:28" x14ac:dyDescent="0.25">
      <c r="B102" s="20">
        <v>45955</v>
      </c>
      <c r="C102" s="2" t="s">
        <v>17</v>
      </c>
      <c r="D102" s="23" t="s">
        <v>13</v>
      </c>
      <c r="E102" s="2"/>
      <c r="F102" s="64">
        <f t="shared" si="13"/>
        <v>0</v>
      </c>
      <c r="I102" s="52" t="e">
        <f t="shared" si="26"/>
        <v>#DIV/0!</v>
      </c>
      <c r="J102" s="37" t="e">
        <f t="shared" si="27"/>
        <v>#DIV/0!</v>
      </c>
      <c r="L102" s="51">
        <f t="shared" si="16"/>
        <v>0</v>
      </c>
      <c r="O102" s="52" t="e">
        <f t="shared" si="28"/>
        <v>#DIV/0!</v>
      </c>
      <c r="P102" s="37" t="e">
        <f t="shared" si="29"/>
        <v>#DIV/0!</v>
      </c>
      <c r="Q102" s="11">
        <v>195</v>
      </c>
      <c r="R102" s="51">
        <f t="shared" si="24"/>
        <v>4531.9360465116279</v>
      </c>
      <c r="S102" s="2">
        <v>4996.75</v>
      </c>
      <c r="T102" s="54">
        <f>+S102/215</f>
        <v>23.240697674418605</v>
      </c>
      <c r="U102" s="23">
        <f t="shared" si="30"/>
        <v>215</v>
      </c>
      <c r="V102" s="37">
        <f t="shared" si="31"/>
        <v>0.10256410256410256</v>
      </c>
      <c r="X102" s="51">
        <f t="shared" si="21"/>
        <v>0</v>
      </c>
      <c r="AA102" s="1" t="e">
        <f t="shared" si="32"/>
        <v>#DIV/0!</v>
      </c>
      <c r="AB102" s="35" t="e">
        <f t="shared" si="33"/>
        <v>#DIV/0!</v>
      </c>
    </row>
    <row r="103" spans="2:28" x14ac:dyDescent="0.25">
      <c r="B103" s="20">
        <v>45957</v>
      </c>
      <c r="C103" s="2" t="s">
        <v>17</v>
      </c>
      <c r="D103" s="23" t="s">
        <v>13</v>
      </c>
      <c r="E103" s="2"/>
      <c r="F103" s="64">
        <f t="shared" si="13"/>
        <v>0</v>
      </c>
      <c r="I103" s="52" t="e">
        <f t="shared" si="26"/>
        <v>#DIV/0!</v>
      </c>
      <c r="J103" s="37" t="e">
        <f t="shared" si="27"/>
        <v>#DIV/0!</v>
      </c>
      <c r="L103" s="51">
        <f t="shared" si="16"/>
        <v>0</v>
      </c>
      <c r="O103" s="52" t="e">
        <f t="shared" si="28"/>
        <v>#DIV/0!</v>
      </c>
      <c r="P103" s="37" t="e">
        <f t="shared" si="29"/>
        <v>#DIV/0!</v>
      </c>
      <c r="Q103" s="11">
        <v>195</v>
      </c>
      <c r="R103" s="51">
        <f t="shared" si="24"/>
        <v>3102.8092105263158</v>
      </c>
      <c r="S103" s="2">
        <v>3023.25</v>
      </c>
      <c r="T103" s="54">
        <f>+S103/190</f>
        <v>15.911842105263158</v>
      </c>
      <c r="U103" s="23">
        <f t="shared" si="30"/>
        <v>190</v>
      </c>
      <c r="V103" s="37">
        <f t="shared" si="31"/>
        <v>-2.564102564102564E-2</v>
      </c>
      <c r="X103" s="51">
        <f t="shared" si="21"/>
        <v>0</v>
      </c>
      <c r="AA103" s="1" t="e">
        <f t="shared" si="32"/>
        <v>#DIV/0!</v>
      </c>
      <c r="AB103" s="35" t="e">
        <f t="shared" si="33"/>
        <v>#DIV/0!</v>
      </c>
    </row>
    <row r="104" spans="2:28" x14ac:dyDescent="0.25">
      <c r="B104" s="20">
        <v>45957</v>
      </c>
      <c r="C104" s="2" t="s">
        <v>20</v>
      </c>
      <c r="D104" s="23" t="s">
        <v>13</v>
      </c>
      <c r="E104" s="2">
        <v>170</v>
      </c>
      <c r="F104" s="64">
        <f t="shared" si="13"/>
        <v>2726.8786127167632</v>
      </c>
      <c r="G104" s="2">
        <v>2775</v>
      </c>
      <c r="H104" s="54">
        <f>+G104/173</f>
        <v>16.040462427745666</v>
      </c>
      <c r="I104" s="52">
        <f t="shared" si="26"/>
        <v>172.99999999999997</v>
      </c>
      <c r="J104" s="37">
        <f t="shared" si="27"/>
        <v>1.7647058823529245E-2</v>
      </c>
      <c r="L104" s="51">
        <f t="shared" si="16"/>
        <v>0</v>
      </c>
      <c r="O104" s="52" t="e">
        <f t="shared" si="28"/>
        <v>#DIV/0!</v>
      </c>
      <c r="P104" s="37" t="e">
        <f t="shared" si="29"/>
        <v>#DIV/0!</v>
      </c>
      <c r="R104" s="51">
        <f t="shared" si="24"/>
        <v>0</v>
      </c>
      <c r="U104" s="23" t="e">
        <f t="shared" si="30"/>
        <v>#DIV/0!</v>
      </c>
      <c r="V104" s="37" t="e">
        <f t="shared" si="31"/>
        <v>#DIV/0!</v>
      </c>
      <c r="X104" s="51">
        <f t="shared" si="21"/>
        <v>0</v>
      </c>
      <c r="AA104" s="1" t="e">
        <f t="shared" si="32"/>
        <v>#DIV/0!</v>
      </c>
      <c r="AB104" s="35" t="e">
        <f t="shared" si="33"/>
        <v>#DIV/0!</v>
      </c>
    </row>
    <row r="105" spans="2:28" x14ac:dyDescent="0.25">
      <c r="B105" s="20">
        <v>45957</v>
      </c>
      <c r="C105" s="2" t="s">
        <v>38</v>
      </c>
      <c r="D105" s="23" t="s">
        <v>13</v>
      </c>
      <c r="E105" s="2"/>
      <c r="F105" s="64">
        <f t="shared" si="13"/>
        <v>0</v>
      </c>
      <c r="I105" s="52" t="e">
        <f t="shared" si="26"/>
        <v>#DIV/0!</v>
      </c>
      <c r="J105" s="37" t="e">
        <f t="shared" si="27"/>
        <v>#DIV/0!</v>
      </c>
      <c r="K105" s="11">
        <v>170</v>
      </c>
      <c r="L105" s="51">
        <f t="shared" si="16"/>
        <v>1879.0666666666666</v>
      </c>
      <c r="M105" s="2">
        <v>1658</v>
      </c>
      <c r="N105" s="54">
        <f>+M105/150</f>
        <v>11.053333333333333</v>
      </c>
      <c r="O105" s="52">
        <f t="shared" si="28"/>
        <v>150</v>
      </c>
      <c r="P105" s="37">
        <f t="shared" si="29"/>
        <v>-0.11764705882352941</v>
      </c>
      <c r="R105" s="51">
        <f t="shared" si="24"/>
        <v>0</v>
      </c>
      <c r="U105" s="23" t="e">
        <f t="shared" si="30"/>
        <v>#DIV/0!</v>
      </c>
      <c r="V105" s="37" t="e">
        <f t="shared" si="31"/>
        <v>#DIV/0!</v>
      </c>
      <c r="X105" s="51">
        <f t="shared" si="21"/>
        <v>0</v>
      </c>
      <c r="AA105" s="1" t="e">
        <f t="shared" si="32"/>
        <v>#DIV/0!</v>
      </c>
      <c r="AB105" s="35" t="e">
        <f t="shared" si="33"/>
        <v>#DIV/0!</v>
      </c>
    </row>
    <row r="106" spans="2:28" x14ac:dyDescent="0.25">
      <c r="D106" s="23" t="s">
        <v>13</v>
      </c>
      <c r="E106" s="2"/>
      <c r="F106" s="64">
        <f t="shared" si="13"/>
        <v>0</v>
      </c>
      <c r="I106" s="52" t="e">
        <f t="shared" si="26"/>
        <v>#DIV/0!</v>
      </c>
      <c r="J106" s="37" t="e">
        <f t="shared" si="27"/>
        <v>#DIV/0!</v>
      </c>
      <c r="L106" s="51">
        <f t="shared" si="16"/>
        <v>0</v>
      </c>
      <c r="O106" s="52" t="e">
        <f t="shared" si="28"/>
        <v>#DIV/0!</v>
      </c>
      <c r="P106" s="37" t="e">
        <f t="shared" si="29"/>
        <v>#DIV/0!</v>
      </c>
      <c r="R106" s="51">
        <f t="shared" si="24"/>
        <v>0</v>
      </c>
      <c r="U106" s="23" t="e">
        <f t="shared" si="30"/>
        <v>#DIV/0!</v>
      </c>
      <c r="V106" s="37" t="e">
        <f t="shared" si="31"/>
        <v>#DIV/0!</v>
      </c>
      <c r="X106" s="51">
        <f t="shared" si="21"/>
        <v>0</v>
      </c>
      <c r="AA106" s="1" t="e">
        <f t="shared" si="32"/>
        <v>#DIV/0!</v>
      </c>
      <c r="AB106" s="35" t="e">
        <f t="shared" si="33"/>
        <v>#DIV/0!</v>
      </c>
    </row>
    <row r="107" spans="2:28" x14ac:dyDescent="0.25">
      <c r="D107" s="23" t="s">
        <v>13</v>
      </c>
      <c r="E107" s="2"/>
      <c r="F107" s="64">
        <f t="shared" si="13"/>
        <v>0</v>
      </c>
      <c r="I107" s="52" t="e">
        <f t="shared" si="26"/>
        <v>#DIV/0!</v>
      </c>
      <c r="J107" s="37" t="e">
        <f t="shared" si="27"/>
        <v>#DIV/0!</v>
      </c>
      <c r="L107" s="51">
        <f t="shared" si="16"/>
        <v>0</v>
      </c>
      <c r="O107" s="52" t="e">
        <f t="shared" si="28"/>
        <v>#DIV/0!</v>
      </c>
      <c r="P107" s="37" t="e">
        <f t="shared" si="29"/>
        <v>#DIV/0!</v>
      </c>
      <c r="R107" s="51">
        <f t="shared" si="24"/>
        <v>0</v>
      </c>
      <c r="U107" s="23" t="e">
        <f t="shared" si="30"/>
        <v>#DIV/0!</v>
      </c>
      <c r="V107" s="37" t="e">
        <f t="shared" si="31"/>
        <v>#DIV/0!</v>
      </c>
      <c r="X107" s="51">
        <f t="shared" si="21"/>
        <v>0</v>
      </c>
      <c r="AA107" s="1" t="e">
        <f t="shared" si="32"/>
        <v>#DIV/0!</v>
      </c>
      <c r="AB107" s="35" t="e">
        <f t="shared" si="33"/>
        <v>#DIV/0!</v>
      </c>
    </row>
    <row r="108" spans="2:28" x14ac:dyDescent="0.25">
      <c r="D108" s="23" t="s">
        <v>13</v>
      </c>
      <c r="E108" s="2"/>
      <c r="F108" s="64">
        <f t="shared" si="13"/>
        <v>0</v>
      </c>
      <c r="I108" s="52" t="e">
        <f t="shared" si="26"/>
        <v>#DIV/0!</v>
      </c>
      <c r="J108" s="37" t="e">
        <f t="shared" si="27"/>
        <v>#DIV/0!</v>
      </c>
      <c r="L108" s="51">
        <f t="shared" si="16"/>
        <v>0</v>
      </c>
      <c r="O108" s="52" t="e">
        <f t="shared" si="28"/>
        <v>#DIV/0!</v>
      </c>
      <c r="P108" s="37" t="e">
        <f t="shared" si="29"/>
        <v>#DIV/0!</v>
      </c>
      <c r="R108" s="51">
        <f t="shared" si="24"/>
        <v>0</v>
      </c>
      <c r="U108" s="23" t="e">
        <f t="shared" si="30"/>
        <v>#DIV/0!</v>
      </c>
      <c r="V108" s="37" t="e">
        <f t="shared" si="31"/>
        <v>#DIV/0!</v>
      </c>
      <c r="X108" s="51">
        <f t="shared" si="21"/>
        <v>0</v>
      </c>
      <c r="AA108" s="1" t="e">
        <f t="shared" si="32"/>
        <v>#DIV/0!</v>
      </c>
      <c r="AB108" s="35" t="e">
        <f t="shared" si="33"/>
        <v>#DIV/0!</v>
      </c>
    </row>
    <row r="109" spans="2:28" x14ac:dyDescent="0.25">
      <c r="D109" s="23" t="s">
        <v>13</v>
      </c>
      <c r="E109" s="2"/>
      <c r="F109" s="64">
        <f t="shared" si="13"/>
        <v>0</v>
      </c>
      <c r="I109" s="52" t="e">
        <f t="shared" si="26"/>
        <v>#DIV/0!</v>
      </c>
      <c r="J109" s="37" t="e">
        <f t="shared" si="27"/>
        <v>#DIV/0!</v>
      </c>
      <c r="L109" s="51">
        <f t="shared" si="16"/>
        <v>0</v>
      </c>
      <c r="O109" s="52" t="e">
        <f t="shared" si="28"/>
        <v>#DIV/0!</v>
      </c>
      <c r="P109" s="37" t="e">
        <f t="shared" si="29"/>
        <v>#DIV/0!</v>
      </c>
      <c r="R109" s="51">
        <f t="shared" si="24"/>
        <v>0</v>
      </c>
      <c r="U109" s="23" t="e">
        <f t="shared" si="30"/>
        <v>#DIV/0!</v>
      </c>
      <c r="V109" s="37" t="e">
        <f t="shared" si="31"/>
        <v>#DIV/0!</v>
      </c>
      <c r="X109" s="51">
        <f t="shared" si="21"/>
        <v>0</v>
      </c>
      <c r="AA109" s="1" t="e">
        <f t="shared" si="32"/>
        <v>#DIV/0!</v>
      </c>
      <c r="AB109" s="35" t="e">
        <f t="shared" si="33"/>
        <v>#DIV/0!</v>
      </c>
    </row>
    <row r="110" spans="2:28" x14ac:dyDescent="0.25">
      <c r="D110" s="23" t="s">
        <v>13</v>
      </c>
      <c r="E110" s="2"/>
      <c r="F110" s="64">
        <f t="shared" si="13"/>
        <v>0</v>
      </c>
      <c r="I110" s="52" t="e">
        <f t="shared" si="26"/>
        <v>#DIV/0!</v>
      </c>
      <c r="J110" s="37" t="e">
        <f t="shared" si="27"/>
        <v>#DIV/0!</v>
      </c>
      <c r="L110" s="51">
        <f t="shared" si="16"/>
        <v>0</v>
      </c>
      <c r="O110" s="52" t="e">
        <f t="shared" si="28"/>
        <v>#DIV/0!</v>
      </c>
      <c r="P110" s="37" t="e">
        <f t="shared" si="29"/>
        <v>#DIV/0!</v>
      </c>
      <c r="R110" s="51">
        <f t="shared" si="24"/>
        <v>0</v>
      </c>
      <c r="U110" s="23" t="e">
        <f t="shared" si="30"/>
        <v>#DIV/0!</v>
      </c>
      <c r="V110" s="37" t="e">
        <f t="shared" si="31"/>
        <v>#DIV/0!</v>
      </c>
      <c r="X110" s="51">
        <f t="shared" si="21"/>
        <v>0</v>
      </c>
      <c r="AA110" s="1" t="e">
        <f t="shared" si="32"/>
        <v>#DIV/0!</v>
      </c>
      <c r="AB110" s="35" t="e">
        <f t="shared" si="33"/>
        <v>#DIV/0!</v>
      </c>
    </row>
    <row r="111" spans="2:28" x14ac:dyDescent="0.25">
      <c r="D111" s="23" t="s">
        <v>13</v>
      </c>
      <c r="E111" s="2"/>
      <c r="F111" s="64">
        <f t="shared" si="13"/>
        <v>0</v>
      </c>
      <c r="I111" s="52" t="e">
        <f t="shared" si="26"/>
        <v>#DIV/0!</v>
      </c>
      <c r="J111" s="37" t="e">
        <f t="shared" si="27"/>
        <v>#DIV/0!</v>
      </c>
      <c r="L111" s="51">
        <f t="shared" si="16"/>
        <v>0</v>
      </c>
      <c r="O111" s="52" t="e">
        <f t="shared" si="28"/>
        <v>#DIV/0!</v>
      </c>
      <c r="P111" s="37" t="e">
        <f t="shared" si="29"/>
        <v>#DIV/0!</v>
      </c>
      <c r="R111" s="51">
        <f t="shared" si="24"/>
        <v>0</v>
      </c>
      <c r="U111" s="23" t="e">
        <f t="shared" si="30"/>
        <v>#DIV/0!</v>
      </c>
      <c r="V111" s="37" t="e">
        <f t="shared" si="31"/>
        <v>#DIV/0!</v>
      </c>
      <c r="X111" s="51">
        <f t="shared" si="21"/>
        <v>0</v>
      </c>
      <c r="AA111" s="1" t="e">
        <f t="shared" si="32"/>
        <v>#DIV/0!</v>
      </c>
      <c r="AB111" s="35" t="e">
        <f t="shared" si="33"/>
        <v>#DIV/0!</v>
      </c>
    </row>
    <row r="112" spans="2:28" x14ac:dyDescent="0.25">
      <c r="D112" s="23" t="s">
        <v>13</v>
      </c>
      <c r="E112" s="2"/>
      <c r="F112" s="64">
        <f t="shared" si="13"/>
        <v>0</v>
      </c>
      <c r="I112" s="52" t="e">
        <f t="shared" si="26"/>
        <v>#DIV/0!</v>
      </c>
      <c r="J112" s="37" t="e">
        <f t="shared" si="27"/>
        <v>#DIV/0!</v>
      </c>
      <c r="L112" s="51">
        <f t="shared" si="16"/>
        <v>0</v>
      </c>
      <c r="O112" s="52" t="e">
        <f t="shared" si="28"/>
        <v>#DIV/0!</v>
      </c>
      <c r="P112" s="37" t="e">
        <f t="shared" si="29"/>
        <v>#DIV/0!</v>
      </c>
      <c r="R112" s="51">
        <f t="shared" si="24"/>
        <v>0</v>
      </c>
      <c r="U112" s="23" t="e">
        <f t="shared" si="30"/>
        <v>#DIV/0!</v>
      </c>
      <c r="V112" s="37" t="e">
        <f t="shared" si="31"/>
        <v>#DIV/0!</v>
      </c>
      <c r="X112" s="51">
        <f t="shared" si="21"/>
        <v>0</v>
      </c>
      <c r="AA112" s="1" t="e">
        <f t="shared" si="32"/>
        <v>#DIV/0!</v>
      </c>
      <c r="AB112" s="35" t="e">
        <f t="shared" si="33"/>
        <v>#DIV/0!</v>
      </c>
    </row>
    <row r="113" spans="4:28" x14ac:dyDescent="0.25">
      <c r="D113" s="23" t="s">
        <v>13</v>
      </c>
      <c r="E113" s="2"/>
      <c r="F113" s="64">
        <f t="shared" si="13"/>
        <v>0</v>
      </c>
      <c r="I113" s="52" t="e">
        <f t="shared" si="26"/>
        <v>#DIV/0!</v>
      </c>
      <c r="J113" s="37" t="e">
        <f t="shared" si="27"/>
        <v>#DIV/0!</v>
      </c>
      <c r="L113" s="51">
        <f t="shared" si="16"/>
        <v>0</v>
      </c>
      <c r="O113" s="52" t="e">
        <f t="shared" si="28"/>
        <v>#DIV/0!</v>
      </c>
      <c r="P113" s="37" t="e">
        <f t="shared" si="29"/>
        <v>#DIV/0!</v>
      </c>
      <c r="R113" s="51">
        <f t="shared" si="24"/>
        <v>0</v>
      </c>
      <c r="U113" s="23" t="e">
        <f t="shared" si="30"/>
        <v>#DIV/0!</v>
      </c>
      <c r="V113" s="37" t="e">
        <f t="shared" si="31"/>
        <v>#DIV/0!</v>
      </c>
      <c r="X113" s="51">
        <f t="shared" si="21"/>
        <v>0</v>
      </c>
      <c r="AA113" s="1" t="e">
        <f t="shared" si="32"/>
        <v>#DIV/0!</v>
      </c>
      <c r="AB113" s="35" t="e">
        <f t="shared" si="33"/>
        <v>#DIV/0!</v>
      </c>
    </row>
    <row r="114" spans="4:28" x14ac:dyDescent="0.25">
      <c r="D114" s="23" t="s">
        <v>13</v>
      </c>
      <c r="E114" s="2"/>
      <c r="F114" s="64">
        <f t="shared" si="13"/>
        <v>0</v>
      </c>
      <c r="I114" s="52" t="e">
        <f t="shared" si="26"/>
        <v>#DIV/0!</v>
      </c>
      <c r="J114" s="37" t="e">
        <f t="shared" si="27"/>
        <v>#DIV/0!</v>
      </c>
      <c r="L114" s="51">
        <f t="shared" si="16"/>
        <v>0</v>
      </c>
      <c r="O114" s="52" t="e">
        <f t="shared" si="28"/>
        <v>#DIV/0!</v>
      </c>
      <c r="P114" s="37" t="e">
        <f t="shared" si="29"/>
        <v>#DIV/0!</v>
      </c>
      <c r="R114" s="51">
        <f t="shared" si="24"/>
        <v>0</v>
      </c>
      <c r="U114" s="23" t="e">
        <f t="shared" si="30"/>
        <v>#DIV/0!</v>
      </c>
      <c r="V114" s="37" t="e">
        <f t="shared" si="31"/>
        <v>#DIV/0!</v>
      </c>
      <c r="X114" s="51">
        <f t="shared" si="21"/>
        <v>0</v>
      </c>
      <c r="AA114" s="1" t="e">
        <f t="shared" si="32"/>
        <v>#DIV/0!</v>
      </c>
      <c r="AB114" s="35" t="e">
        <f t="shared" si="33"/>
        <v>#DIV/0!</v>
      </c>
    </row>
    <row r="115" spans="4:28" x14ac:dyDescent="0.25">
      <c r="D115" s="23" t="s">
        <v>13</v>
      </c>
      <c r="E115" s="2"/>
      <c r="F115" s="64">
        <f t="shared" si="13"/>
        <v>0</v>
      </c>
      <c r="I115" s="52" t="e">
        <f t="shared" si="26"/>
        <v>#DIV/0!</v>
      </c>
      <c r="J115" s="37" t="e">
        <f t="shared" si="27"/>
        <v>#DIV/0!</v>
      </c>
      <c r="L115" s="51">
        <f t="shared" si="16"/>
        <v>0</v>
      </c>
      <c r="O115" s="52" t="e">
        <f t="shared" si="28"/>
        <v>#DIV/0!</v>
      </c>
      <c r="P115" s="37" t="e">
        <f t="shared" si="29"/>
        <v>#DIV/0!</v>
      </c>
      <c r="R115" s="51">
        <f t="shared" si="24"/>
        <v>0</v>
      </c>
      <c r="U115" s="23" t="e">
        <f t="shared" si="30"/>
        <v>#DIV/0!</v>
      </c>
      <c r="V115" s="37" t="e">
        <f t="shared" si="31"/>
        <v>#DIV/0!</v>
      </c>
      <c r="X115" s="51">
        <f t="shared" si="21"/>
        <v>0</v>
      </c>
      <c r="AA115" s="1" t="e">
        <f t="shared" si="32"/>
        <v>#DIV/0!</v>
      </c>
      <c r="AB115" s="35" t="e">
        <f t="shared" si="33"/>
        <v>#DIV/0!</v>
      </c>
    </row>
    <row r="116" spans="4:28" x14ac:dyDescent="0.25">
      <c r="D116" s="23" t="s">
        <v>13</v>
      </c>
      <c r="E116" s="2"/>
      <c r="F116" s="64">
        <f t="shared" si="13"/>
        <v>0</v>
      </c>
      <c r="I116" s="52" t="e">
        <f t="shared" si="26"/>
        <v>#DIV/0!</v>
      </c>
      <c r="J116" s="37" t="e">
        <f t="shared" si="27"/>
        <v>#DIV/0!</v>
      </c>
      <c r="L116" s="51">
        <f t="shared" si="16"/>
        <v>0</v>
      </c>
      <c r="O116" s="52" t="e">
        <f t="shared" si="28"/>
        <v>#DIV/0!</v>
      </c>
      <c r="P116" s="37" t="e">
        <f t="shared" si="29"/>
        <v>#DIV/0!</v>
      </c>
      <c r="R116" s="51">
        <f t="shared" si="24"/>
        <v>0</v>
      </c>
      <c r="U116" s="23" t="e">
        <f t="shared" si="30"/>
        <v>#DIV/0!</v>
      </c>
      <c r="V116" s="37" t="e">
        <f t="shared" si="31"/>
        <v>#DIV/0!</v>
      </c>
      <c r="X116" s="51">
        <f t="shared" si="21"/>
        <v>0</v>
      </c>
      <c r="AA116" s="1" t="e">
        <f t="shared" si="32"/>
        <v>#DIV/0!</v>
      </c>
      <c r="AB116" s="35" t="e">
        <f t="shared" si="33"/>
        <v>#DIV/0!</v>
      </c>
    </row>
    <row r="117" spans="4:28" x14ac:dyDescent="0.25">
      <c r="D117" s="23" t="s">
        <v>13</v>
      </c>
      <c r="E117" s="2"/>
      <c r="F117" s="64">
        <f t="shared" si="13"/>
        <v>0</v>
      </c>
      <c r="I117" s="52" t="e">
        <f t="shared" si="26"/>
        <v>#DIV/0!</v>
      </c>
      <c r="J117" s="37" t="e">
        <f t="shared" si="27"/>
        <v>#DIV/0!</v>
      </c>
      <c r="L117" s="51">
        <f t="shared" si="16"/>
        <v>0</v>
      </c>
      <c r="O117" s="52" t="e">
        <f t="shared" si="28"/>
        <v>#DIV/0!</v>
      </c>
      <c r="P117" s="37" t="e">
        <f t="shared" si="29"/>
        <v>#DIV/0!</v>
      </c>
      <c r="R117" s="51">
        <f t="shared" si="24"/>
        <v>0</v>
      </c>
      <c r="U117" s="23" t="e">
        <f t="shared" si="30"/>
        <v>#DIV/0!</v>
      </c>
      <c r="V117" s="37" t="e">
        <f t="shared" si="31"/>
        <v>#DIV/0!</v>
      </c>
      <c r="X117" s="51">
        <f t="shared" si="21"/>
        <v>0</v>
      </c>
      <c r="AA117" s="1" t="e">
        <f t="shared" si="32"/>
        <v>#DIV/0!</v>
      </c>
      <c r="AB117" s="35" t="e">
        <f t="shared" si="33"/>
        <v>#DIV/0!</v>
      </c>
    </row>
    <row r="118" spans="4:28" x14ac:dyDescent="0.25">
      <c r="D118" s="23" t="s">
        <v>13</v>
      </c>
      <c r="E118" s="2"/>
      <c r="F118" s="64">
        <f t="shared" si="13"/>
        <v>0</v>
      </c>
      <c r="I118" s="52" t="e">
        <f t="shared" si="26"/>
        <v>#DIV/0!</v>
      </c>
      <c r="J118" s="37" t="e">
        <f t="shared" si="27"/>
        <v>#DIV/0!</v>
      </c>
      <c r="L118" s="51">
        <f t="shared" si="16"/>
        <v>0</v>
      </c>
      <c r="O118" s="52" t="e">
        <f t="shared" si="28"/>
        <v>#DIV/0!</v>
      </c>
      <c r="P118" s="37" t="e">
        <f t="shared" si="29"/>
        <v>#DIV/0!</v>
      </c>
      <c r="R118" s="51">
        <f t="shared" si="24"/>
        <v>0</v>
      </c>
      <c r="U118" s="23" t="e">
        <f t="shared" si="30"/>
        <v>#DIV/0!</v>
      </c>
      <c r="V118" s="37" t="e">
        <f t="shared" si="31"/>
        <v>#DIV/0!</v>
      </c>
      <c r="X118" s="51">
        <f t="shared" si="21"/>
        <v>0</v>
      </c>
      <c r="AA118" s="1" t="e">
        <f t="shared" si="32"/>
        <v>#DIV/0!</v>
      </c>
      <c r="AB118" s="35" t="e">
        <f t="shared" si="33"/>
        <v>#DIV/0!</v>
      </c>
    </row>
    <row r="119" spans="4:28" x14ac:dyDescent="0.25">
      <c r="D119" s="23" t="s">
        <v>13</v>
      </c>
      <c r="E119" s="2"/>
      <c r="F119" s="64">
        <f t="shared" si="13"/>
        <v>0</v>
      </c>
      <c r="I119" s="52" t="e">
        <f t="shared" si="26"/>
        <v>#DIV/0!</v>
      </c>
      <c r="J119" s="37" t="e">
        <f t="shared" si="27"/>
        <v>#DIV/0!</v>
      </c>
      <c r="L119" s="51">
        <f t="shared" si="16"/>
        <v>0</v>
      </c>
      <c r="O119" s="52" t="e">
        <f t="shared" si="28"/>
        <v>#DIV/0!</v>
      </c>
      <c r="P119" s="37" t="e">
        <f t="shared" si="29"/>
        <v>#DIV/0!</v>
      </c>
      <c r="R119" s="51">
        <f t="shared" si="24"/>
        <v>0</v>
      </c>
      <c r="U119" s="23" t="e">
        <f t="shared" si="30"/>
        <v>#DIV/0!</v>
      </c>
      <c r="V119" s="37" t="e">
        <f t="shared" si="31"/>
        <v>#DIV/0!</v>
      </c>
      <c r="X119" s="51">
        <f t="shared" si="21"/>
        <v>0</v>
      </c>
      <c r="AA119" s="1" t="e">
        <f t="shared" si="32"/>
        <v>#DIV/0!</v>
      </c>
      <c r="AB119" s="35" t="e">
        <f t="shared" si="33"/>
        <v>#DIV/0!</v>
      </c>
    </row>
    <row r="120" spans="4:28" x14ac:dyDescent="0.25">
      <c r="D120" s="23" t="s">
        <v>13</v>
      </c>
      <c r="E120" s="2"/>
      <c r="F120" s="64">
        <f t="shared" si="13"/>
        <v>0</v>
      </c>
      <c r="I120" s="52" t="e">
        <f t="shared" si="26"/>
        <v>#DIV/0!</v>
      </c>
      <c r="J120" s="37" t="e">
        <f t="shared" si="27"/>
        <v>#DIV/0!</v>
      </c>
      <c r="L120" s="51">
        <f t="shared" si="16"/>
        <v>0</v>
      </c>
      <c r="O120" s="52" t="e">
        <f t="shared" si="28"/>
        <v>#DIV/0!</v>
      </c>
      <c r="P120" s="37" t="e">
        <f t="shared" si="29"/>
        <v>#DIV/0!</v>
      </c>
      <c r="R120" s="51">
        <f t="shared" si="24"/>
        <v>0</v>
      </c>
      <c r="U120" s="23" t="e">
        <f t="shared" si="30"/>
        <v>#DIV/0!</v>
      </c>
      <c r="V120" s="37" t="e">
        <f t="shared" si="31"/>
        <v>#DIV/0!</v>
      </c>
      <c r="X120" s="51">
        <f t="shared" si="21"/>
        <v>0</v>
      </c>
      <c r="AA120" s="1" t="e">
        <f t="shared" si="32"/>
        <v>#DIV/0!</v>
      </c>
      <c r="AB120" s="35" t="e">
        <f t="shared" si="33"/>
        <v>#DIV/0!</v>
      </c>
    </row>
    <row r="121" spans="4:28" x14ac:dyDescent="0.25">
      <c r="D121" s="23" t="s">
        <v>13</v>
      </c>
      <c r="E121" s="2"/>
      <c r="F121" s="64">
        <f t="shared" si="13"/>
        <v>0</v>
      </c>
      <c r="I121" s="52" t="e">
        <f t="shared" si="26"/>
        <v>#DIV/0!</v>
      </c>
      <c r="J121" s="37" t="e">
        <f t="shared" si="27"/>
        <v>#DIV/0!</v>
      </c>
      <c r="L121" s="51">
        <f t="shared" si="16"/>
        <v>0</v>
      </c>
      <c r="O121" s="52" t="e">
        <f t="shared" si="28"/>
        <v>#DIV/0!</v>
      </c>
      <c r="P121" s="37" t="e">
        <f t="shared" si="29"/>
        <v>#DIV/0!</v>
      </c>
      <c r="R121" s="51">
        <f t="shared" si="24"/>
        <v>0</v>
      </c>
      <c r="U121" s="23" t="e">
        <f t="shared" si="30"/>
        <v>#DIV/0!</v>
      </c>
      <c r="V121" s="37" t="e">
        <f t="shared" si="31"/>
        <v>#DIV/0!</v>
      </c>
      <c r="X121" s="51">
        <f t="shared" si="21"/>
        <v>0</v>
      </c>
      <c r="AA121" s="1" t="e">
        <f t="shared" si="32"/>
        <v>#DIV/0!</v>
      </c>
      <c r="AB121" s="35" t="e">
        <f t="shared" si="33"/>
        <v>#DIV/0!</v>
      </c>
    </row>
    <row r="122" spans="4:28" x14ac:dyDescent="0.25">
      <c r="D122" s="23" t="s">
        <v>13</v>
      </c>
      <c r="E122" s="2"/>
      <c r="F122" s="64">
        <f t="shared" si="13"/>
        <v>0</v>
      </c>
      <c r="I122" s="52" t="e">
        <f t="shared" si="26"/>
        <v>#DIV/0!</v>
      </c>
      <c r="J122" s="37" t="e">
        <f t="shared" si="27"/>
        <v>#DIV/0!</v>
      </c>
      <c r="L122" s="51">
        <f t="shared" si="16"/>
        <v>0</v>
      </c>
      <c r="O122" s="52" t="e">
        <f t="shared" si="28"/>
        <v>#DIV/0!</v>
      </c>
      <c r="P122" s="37" t="e">
        <f t="shared" si="29"/>
        <v>#DIV/0!</v>
      </c>
      <c r="R122" s="51">
        <f t="shared" si="24"/>
        <v>0</v>
      </c>
      <c r="U122" s="23" t="e">
        <f t="shared" si="30"/>
        <v>#DIV/0!</v>
      </c>
      <c r="V122" s="37" t="e">
        <f t="shared" si="31"/>
        <v>#DIV/0!</v>
      </c>
      <c r="X122" s="51">
        <f t="shared" si="21"/>
        <v>0</v>
      </c>
      <c r="AA122" s="1" t="e">
        <f t="shared" si="32"/>
        <v>#DIV/0!</v>
      </c>
      <c r="AB122" s="35" t="e">
        <f t="shared" si="33"/>
        <v>#DIV/0!</v>
      </c>
    </row>
    <row r="123" spans="4:28" x14ac:dyDescent="0.25">
      <c r="D123" s="23" t="s">
        <v>13</v>
      </c>
      <c r="E123" s="2"/>
      <c r="F123" s="64">
        <f t="shared" si="13"/>
        <v>0</v>
      </c>
      <c r="I123" s="52" t="e">
        <f t="shared" si="26"/>
        <v>#DIV/0!</v>
      </c>
      <c r="J123" s="37" t="e">
        <f t="shared" si="27"/>
        <v>#DIV/0!</v>
      </c>
      <c r="L123" s="51">
        <f t="shared" si="16"/>
        <v>0</v>
      </c>
      <c r="O123" s="52" t="e">
        <f t="shared" si="28"/>
        <v>#DIV/0!</v>
      </c>
      <c r="P123" s="37" t="e">
        <f t="shared" si="29"/>
        <v>#DIV/0!</v>
      </c>
      <c r="R123" s="51">
        <f t="shared" si="24"/>
        <v>0</v>
      </c>
      <c r="U123" s="23" t="e">
        <f t="shared" si="30"/>
        <v>#DIV/0!</v>
      </c>
      <c r="V123" s="37" t="e">
        <f t="shared" si="31"/>
        <v>#DIV/0!</v>
      </c>
      <c r="X123" s="51">
        <f t="shared" si="21"/>
        <v>0</v>
      </c>
      <c r="AA123" s="1" t="e">
        <f t="shared" si="32"/>
        <v>#DIV/0!</v>
      </c>
      <c r="AB123" s="35" t="e">
        <f t="shared" si="33"/>
        <v>#DIV/0!</v>
      </c>
    </row>
    <row r="124" spans="4:28" x14ac:dyDescent="0.25">
      <c r="D124" s="23" t="s">
        <v>13</v>
      </c>
      <c r="E124" s="2"/>
      <c r="F124" s="64">
        <f t="shared" si="13"/>
        <v>0</v>
      </c>
      <c r="I124" s="52" t="e">
        <f t="shared" si="26"/>
        <v>#DIV/0!</v>
      </c>
      <c r="J124" s="37" t="e">
        <f t="shared" si="27"/>
        <v>#DIV/0!</v>
      </c>
      <c r="L124" s="51">
        <f t="shared" si="16"/>
        <v>0</v>
      </c>
      <c r="O124" s="52" t="e">
        <f t="shared" si="28"/>
        <v>#DIV/0!</v>
      </c>
      <c r="P124" s="37" t="e">
        <f t="shared" si="29"/>
        <v>#DIV/0!</v>
      </c>
      <c r="R124" s="51">
        <f t="shared" si="24"/>
        <v>0</v>
      </c>
      <c r="U124" s="23" t="e">
        <f t="shared" si="30"/>
        <v>#DIV/0!</v>
      </c>
      <c r="V124" s="37" t="e">
        <f t="shared" si="31"/>
        <v>#DIV/0!</v>
      </c>
      <c r="X124" s="51">
        <f t="shared" si="21"/>
        <v>0</v>
      </c>
      <c r="AA124" s="1" t="e">
        <f t="shared" si="32"/>
        <v>#DIV/0!</v>
      </c>
      <c r="AB124" s="35" t="e">
        <f t="shared" si="33"/>
        <v>#DIV/0!</v>
      </c>
    </row>
    <row r="125" spans="4:28" x14ac:dyDescent="0.25">
      <c r="D125" s="23" t="s">
        <v>13</v>
      </c>
      <c r="E125" s="2"/>
      <c r="F125" s="64">
        <f t="shared" si="13"/>
        <v>0</v>
      </c>
      <c r="I125" s="52" t="e">
        <f t="shared" si="26"/>
        <v>#DIV/0!</v>
      </c>
      <c r="J125" s="37" t="e">
        <f t="shared" si="27"/>
        <v>#DIV/0!</v>
      </c>
      <c r="L125" s="51">
        <f t="shared" si="16"/>
        <v>0</v>
      </c>
      <c r="O125" s="52" t="e">
        <f t="shared" si="28"/>
        <v>#DIV/0!</v>
      </c>
      <c r="P125" s="37" t="e">
        <f t="shared" si="29"/>
        <v>#DIV/0!</v>
      </c>
      <c r="R125" s="51">
        <f t="shared" si="24"/>
        <v>0</v>
      </c>
      <c r="U125" s="23" t="e">
        <f t="shared" si="30"/>
        <v>#DIV/0!</v>
      </c>
      <c r="V125" s="37" t="e">
        <f t="shared" si="31"/>
        <v>#DIV/0!</v>
      </c>
      <c r="X125" s="51">
        <f t="shared" si="21"/>
        <v>0</v>
      </c>
      <c r="AA125" s="1" t="e">
        <f t="shared" si="32"/>
        <v>#DIV/0!</v>
      </c>
      <c r="AB125" s="35" t="e">
        <f t="shared" si="33"/>
        <v>#DIV/0!</v>
      </c>
    </row>
    <row r="126" spans="4:28" x14ac:dyDescent="0.25">
      <c r="D126" s="23" t="s">
        <v>13</v>
      </c>
      <c r="E126" s="2"/>
      <c r="F126" s="64">
        <f t="shared" si="13"/>
        <v>0</v>
      </c>
      <c r="I126" s="52" t="e">
        <f t="shared" si="26"/>
        <v>#DIV/0!</v>
      </c>
      <c r="J126" s="37" t="e">
        <f t="shared" si="27"/>
        <v>#DIV/0!</v>
      </c>
      <c r="L126" s="51">
        <f t="shared" si="16"/>
        <v>0</v>
      </c>
      <c r="O126" s="52" t="e">
        <f t="shared" si="28"/>
        <v>#DIV/0!</v>
      </c>
      <c r="P126" s="37" t="e">
        <f t="shared" si="29"/>
        <v>#DIV/0!</v>
      </c>
      <c r="R126" s="51">
        <f t="shared" si="24"/>
        <v>0</v>
      </c>
      <c r="U126" s="23" t="e">
        <f t="shared" si="30"/>
        <v>#DIV/0!</v>
      </c>
      <c r="V126" s="37" t="e">
        <f t="shared" si="31"/>
        <v>#DIV/0!</v>
      </c>
      <c r="X126" s="51">
        <f t="shared" si="21"/>
        <v>0</v>
      </c>
      <c r="AA126" s="1" t="e">
        <f t="shared" si="32"/>
        <v>#DIV/0!</v>
      </c>
      <c r="AB126" s="35" t="e">
        <f t="shared" si="33"/>
        <v>#DIV/0!</v>
      </c>
    </row>
    <row r="127" spans="4:28" x14ac:dyDescent="0.25">
      <c r="D127" s="23" t="s">
        <v>13</v>
      </c>
      <c r="E127" s="2"/>
      <c r="F127" s="64">
        <f t="shared" si="13"/>
        <v>0</v>
      </c>
      <c r="I127" s="52" t="e">
        <f t="shared" si="26"/>
        <v>#DIV/0!</v>
      </c>
      <c r="J127" s="37" t="e">
        <f t="shared" si="27"/>
        <v>#DIV/0!</v>
      </c>
      <c r="L127" s="51">
        <f t="shared" si="16"/>
        <v>0</v>
      </c>
      <c r="O127" s="52" t="e">
        <f t="shared" si="28"/>
        <v>#DIV/0!</v>
      </c>
      <c r="P127" s="37" t="e">
        <f t="shared" si="29"/>
        <v>#DIV/0!</v>
      </c>
      <c r="R127" s="51">
        <f t="shared" si="24"/>
        <v>0</v>
      </c>
      <c r="U127" s="23" t="e">
        <f t="shared" si="30"/>
        <v>#DIV/0!</v>
      </c>
      <c r="V127" s="37" t="e">
        <f t="shared" si="31"/>
        <v>#DIV/0!</v>
      </c>
      <c r="X127" s="51">
        <f t="shared" si="21"/>
        <v>0</v>
      </c>
      <c r="AA127" s="1" t="e">
        <f t="shared" si="32"/>
        <v>#DIV/0!</v>
      </c>
      <c r="AB127" s="35" t="e">
        <f t="shared" si="33"/>
        <v>#DIV/0!</v>
      </c>
    </row>
    <row r="128" spans="4:28" x14ac:dyDescent="0.25">
      <c r="D128" s="23" t="s">
        <v>13</v>
      </c>
      <c r="E128" s="2"/>
      <c r="F128" s="64">
        <f t="shared" si="13"/>
        <v>0</v>
      </c>
      <c r="I128" s="52" t="e">
        <f t="shared" si="26"/>
        <v>#DIV/0!</v>
      </c>
      <c r="J128" s="37" t="e">
        <f t="shared" si="27"/>
        <v>#DIV/0!</v>
      </c>
      <c r="L128" s="51">
        <f t="shared" si="16"/>
        <v>0</v>
      </c>
      <c r="O128" s="52" t="e">
        <f t="shared" si="28"/>
        <v>#DIV/0!</v>
      </c>
      <c r="P128" s="37" t="e">
        <f t="shared" si="29"/>
        <v>#DIV/0!</v>
      </c>
      <c r="R128" s="51">
        <f t="shared" si="24"/>
        <v>0</v>
      </c>
      <c r="U128" s="23" t="e">
        <f t="shared" si="30"/>
        <v>#DIV/0!</v>
      </c>
      <c r="V128" s="37" t="e">
        <f t="shared" si="31"/>
        <v>#DIV/0!</v>
      </c>
      <c r="X128" s="51">
        <f t="shared" si="21"/>
        <v>0</v>
      </c>
      <c r="AA128" s="1" t="e">
        <f t="shared" si="32"/>
        <v>#DIV/0!</v>
      </c>
      <c r="AB128" s="35" t="e">
        <f t="shared" si="33"/>
        <v>#DIV/0!</v>
      </c>
    </row>
    <row r="129" spans="1:28" x14ac:dyDescent="0.25">
      <c r="D129" s="23" t="s">
        <v>13</v>
      </c>
      <c r="E129" s="2"/>
      <c r="F129" s="64">
        <f t="shared" si="13"/>
        <v>0</v>
      </c>
      <c r="I129" s="52" t="e">
        <f t="shared" si="26"/>
        <v>#DIV/0!</v>
      </c>
      <c r="J129" s="37" t="e">
        <f t="shared" si="27"/>
        <v>#DIV/0!</v>
      </c>
      <c r="L129" s="51">
        <f t="shared" si="16"/>
        <v>0</v>
      </c>
      <c r="O129" s="52" t="e">
        <f t="shared" si="28"/>
        <v>#DIV/0!</v>
      </c>
      <c r="P129" s="37" t="e">
        <f t="shared" si="29"/>
        <v>#DIV/0!</v>
      </c>
      <c r="R129" s="51">
        <f t="shared" si="24"/>
        <v>0</v>
      </c>
      <c r="U129" s="23" t="e">
        <f t="shared" si="30"/>
        <v>#DIV/0!</v>
      </c>
      <c r="V129" s="37" t="e">
        <f t="shared" si="31"/>
        <v>#DIV/0!</v>
      </c>
      <c r="X129" s="51">
        <f t="shared" si="21"/>
        <v>0</v>
      </c>
      <c r="AA129" s="1" t="e">
        <f t="shared" si="32"/>
        <v>#DIV/0!</v>
      </c>
      <c r="AB129" s="35" t="e">
        <f t="shared" si="33"/>
        <v>#DIV/0!</v>
      </c>
    </row>
    <row r="130" spans="1:28" x14ac:dyDescent="0.25">
      <c r="D130" s="23" t="s">
        <v>13</v>
      </c>
      <c r="E130" s="2"/>
      <c r="F130" s="64">
        <f t="shared" si="13"/>
        <v>0</v>
      </c>
      <c r="I130" s="52" t="e">
        <f t="shared" si="26"/>
        <v>#DIV/0!</v>
      </c>
      <c r="J130" s="37" t="e">
        <f t="shared" si="27"/>
        <v>#DIV/0!</v>
      </c>
      <c r="L130" s="51">
        <f t="shared" si="16"/>
        <v>0</v>
      </c>
      <c r="O130" s="52" t="e">
        <f t="shared" si="28"/>
        <v>#DIV/0!</v>
      </c>
      <c r="P130" s="37" t="e">
        <f t="shared" si="29"/>
        <v>#DIV/0!</v>
      </c>
      <c r="R130" s="51">
        <f t="shared" si="24"/>
        <v>0</v>
      </c>
      <c r="U130" s="23" t="e">
        <f t="shared" si="30"/>
        <v>#DIV/0!</v>
      </c>
      <c r="V130" s="37" t="e">
        <f t="shared" si="31"/>
        <v>#DIV/0!</v>
      </c>
      <c r="X130" s="51">
        <f t="shared" si="21"/>
        <v>0</v>
      </c>
      <c r="AA130" s="1" t="e">
        <f t="shared" si="32"/>
        <v>#DIV/0!</v>
      </c>
      <c r="AB130" s="35" t="e">
        <f t="shared" si="33"/>
        <v>#DIV/0!</v>
      </c>
    </row>
    <row r="131" spans="1:28" x14ac:dyDescent="0.25">
      <c r="D131" s="23" t="s">
        <v>13</v>
      </c>
      <c r="E131" s="2"/>
      <c r="F131" s="64">
        <f t="shared" si="13"/>
        <v>0</v>
      </c>
      <c r="I131" s="52" t="e">
        <f t="shared" si="26"/>
        <v>#DIV/0!</v>
      </c>
      <c r="J131" s="37" t="e">
        <f t="shared" si="27"/>
        <v>#DIV/0!</v>
      </c>
      <c r="L131" s="51">
        <f t="shared" si="16"/>
        <v>0</v>
      </c>
      <c r="O131" s="52" t="e">
        <f t="shared" si="28"/>
        <v>#DIV/0!</v>
      </c>
      <c r="P131" s="37" t="e">
        <f t="shared" si="29"/>
        <v>#DIV/0!</v>
      </c>
      <c r="R131" s="51">
        <f t="shared" si="24"/>
        <v>0</v>
      </c>
      <c r="U131" s="23" t="e">
        <f t="shared" si="30"/>
        <v>#DIV/0!</v>
      </c>
      <c r="V131" s="37" t="e">
        <f t="shared" si="31"/>
        <v>#DIV/0!</v>
      </c>
      <c r="X131" s="51">
        <f t="shared" si="21"/>
        <v>0</v>
      </c>
      <c r="AA131" s="1" t="e">
        <f t="shared" si="32"/>
        <v>#DIV/0!</v>
      </c>
      <c r="AB131" s="35" t="e">
        <f t="shared" si="33"/>
        <v>#DIV/0!</v>
      </c>
    </row>
    <row r="132" spans="1:28" x14ac:dyDescent="0.25">
      <c r="D132" s="23" t="s">
        <v>13</v>
      </c>
      <c r="E132" s="2"/>
      <c r="F132" s="64">
        <f t="shared" si="13"/>
        <v>0</v>
      </c>
      <c r="I132" s="52" t="e">
        <f t="shared" si="26"/>
        <v>#DIV/0!</v>
      </c>
      <c r="J132" s="37" t="e">
        <f t="shared" si="27"/>
        <v>#DIV/0!</v>
      </c>
      <c r="L132" s="51">
        <f t="shared" si="16"/>
        <v>0</v>
      </c>
      <c r="O132" s="52" t="e">
        <f t="shared" si="28"/>
        <v>#DIV/0!</v>
      </c>
      <c r="P132" s="37" t="e">
        <f t="shared" si="29"/>
        <v>#DIV/0!</v>
      </c>
      <c r="R132" s="51">
        <f t="shared" ref="R132:R138" si="35">Q132*T132</f>
        <v>0</v>
      </c>
      <c r="U132" s="23" t="e">
        <f t="shared" si="30"/>
        <v>#DIV/0!</v>
      </c>
      <c r="V132" s="37" t="e">
        <f t="shared" si="31"/>
        <v>#DIV/0!</v>
      </c>
      <c r="X132" s="51">
        <f t="shared" si="21"/>
        <v>0</v>
      </c>
      <c r="AA132" s="1" t="e">
        <f t="shared" si="32"/>
        <v>#DIV/0!</v>
      </c>
      <c r="AB132" s="35" t="e">
        <f t="shared" si="33"/>
        <v>#DIV/0!</v>
      </c>
    </row>
    <row r="133" spans="1:28" x14ac:dyDescent="0.25">
      <c r="D133" s="23" t="s">
        <v>13</v>
      </c>
      <c r="E133" s="2"/>
      <c r="F133" s="64">
        <f t="shared" si="13"/>
        <v>0</v>
      </c>
      <c r="I133" s="52" t="e">
        <f t="shared" si="26"/>
        <v>#DIV/0!</v>
      </c>
      <c r="J133" s="37" t="e">
        <f t="shared" si="27"/>
        <v>#DIV/0!</v>
      </c>
      <c r="L133" s="51">
        <f t="shared" si="16"/>
        <v>0</v>
      </c>
      <c r="O133" s="52" t="e">
        <f t="shared" si="28"/>
        <v>#DIV/0!</v>
      </c>
      <c r="P133" s="37" t="e">
        <f t="shared" si="29"/>
        <v>#DIV/0!</v>
      </c>
      <c r="R133" s="51">
        <f t="shared" si="35"/>
        <v>0</v>
      </c>
      <c r="U133" s="23" t="e">
        <f t="shared" si="30"/>
        <v>#DIV/0!</v>
      </c>
      <c r="V133" s="37" t="e">
        <f t="shared" si="31"/>
        <v>#DIV/0!</v>
      </c>
      <c r="X133" s="51">
        <f t="shared" si="21"/>
        <v>0</v>
      </c>
      <c r="AA133" s="1" t="e">
        <f t="shared" si="32"/>
        <v>#DIV/0!</v>
      </c>
      <c r="AB133" s="35" t="e">
        <f t="shared" si="33"/>
        <v>#DIV/0!</v>
      </c>
    </row>
    <row r="134" spans="1:28" x14ac:dyDescent="0.25">
      <c r="D134" s="23" t="s">
        <v>13</v>
      </c>
      <c r="E134" s="2"/>
      <c r="F134" s="64">
        <f t="shared" si="13"/>
        <v>0</v>
      </c>
      <c r="I134" s="52" t="e">
        <f t="shared" si="26"/>
        <v>#DIV/0!</v>
      </c>
      <c r="J134" s="37" t="e">
        <f t="shared" si="27"/>
        <v>#DIV/0!</v>
      </c>
      <c r="L134" s="51">
        <f t="shared" si="16"/>
        <v>0</v>
      </c>
      <c r="O134" s="52" t="e">
        <f t="shared" si="28"/>
        <v>#DIV/0!</v>
      </c>
      <c r="P134" s="37" t="e">
        <f t="shared" si="29"/>
        <v>#DIV/0!</v>
      </c>
      <c r="R134" s="51">
        <f t="shared" si="35"/>
        <v>0</v>
      </c>
      <c r="U134" s="23" t="e">
        <f t="shared" si="30"/>
        <v>#DIV/0!</v>
      </c>
      <c r="V134" s="37" t="e">
        <f t="shared" si="31"/>
        <v>#DIV/0!</v>
      </c>
      <c r="X134" s="51">
        <f t="shared" si="21"/>
        <v>0</v>
      </c>
      <c r="AA134" s="1" t="e">
        <f t="shared" si="32"/>
        <v>#DIV/0!</v>
      </c>
      <c r="AB134" s="35" t="e">
        <f t="shared" si="33"/>
        <v>#DIV/0!</v>
      </c>
    </row>
    <row r="135" spans="1:28" x14ac:dyDescent="0.25">
      <c r="D135" s="23" t="s">
        <v>13</v>
      </c>
      <c r="E135" s="2"/>
      <c r="F135" s="64">
        <f t="shared" si="13"/>
        <v>0</v>
      </c>
      <c r="I135" s="52" t="e">
        <f t="shared" si="26"/>
        <v>#DIV/0!</v>
      </c>
      <c r="J135" s="37" t="e">
        <f t="shared" si="27"/>
        <v>#DIV/0!</v>
      </c>
      <c r="L135" s="51">
        <f t="shared" si="16"/>
        <v>0</v>
      </c>
      <c r="O135" s="52" t="e">
        <f t="shared" si="28"/>
        <v>#DIV/0!</v>
      </c>
      <c r="P135" s="37" t="e">
        <f t="shared" si="29"/>
        <v>#DIV/0!</v>
      </c>
      <c r="R135" s="51">
        <f t="shared" si="35"/>
        <v>0</v>
      </c>
      <c r="U135" s="23" t="e">
        <f t="shared" si="30"/>
        <v>#DIV/0!</v>
      </c>
      <c r="V135" s="37" t="e">
        <f t="shared" si="31"/>
        <v>#DIV/0!</v>
      </c>
      <c r="X135" s="51">
        <f t="shared" si="21"/>
        <v>0</v>
      </c>
      <c r="AA135" s="1" t="e">
        <f t="shared" si="32"/>
        <v>#DIV/0!</v>
      </c>
      <c r="AB135" s="35" t="e">
        <f t="shared" si="33"/>
        <v>#DIV/0!</v>
      </c>
    </row>
    <row r="136" spans="1:28" x14ac:dyDescent="0.25">
      <c r="D136" s="23" t="s">
        <v>13</v>
      </c>
      <c r="E136" s="2"/>
      <c r="F136" s="64">
        <f t="shared" si="13"/>
        <v>0</v>
      </c>
      <c r="I136" s="52" t="e">
        <f t="shared" si="26"/>
        <v>#DIV/0!</v>
      </c>
      <c r="J136" s="37" t="e">
        <f t="shared" si="27"/>
        <v>#DIV/0!</v>
      </c>
      <c r="L136" s="51">
        <f t="shared" si="16"/>
        <v>0</v>
      </c>
      <c r="O136" s="52" t="e">
        <f t="shared" si="28"/>
        <v>#DIV/0!</v>
      </c>
      <c r="P136" s="37" t="e">
        <f t="shared" si="29"/>
        <v>#DIV/0!</v>
      </c>
      <c r="R136" s="51">
        <f t="shared" si="35"/>
        <v>0</v>
      </c>
      <c r="U136" s="23" t="e">
        <f t="shared" si="30"/>
        <v>#DIV/0!</v>
      </c>
      <c r="V136" s="37" t="e">
        <f t="shared" si="31"/>
        <v>#DIV/0!</v>
      </c>
      <c r="X136" s="51">
        <f t="shared" si="21"/>
        <v>0</v>
      </c>
      <c r="AA136" s="1" t="e">
        <f t="shared" si="32"/>
        <v>#DIV/0!</v>
      </c>
      <c r="AB136" s="35" t="e">
        <f t="shared" si="33"/>
        <v>#DIV/0!</v>
      </c>
    </row>
    <row r="137" spans="1:28" x14ac:dyDescent="0.25">
      <c r="D137" s="23" t="s">
        <v>13</v>
      </c>
      <c r="E137" s="2"/>
      <c r="F137" s="64">
        <f t="shared" si="13"/>
        <v>0</v>
      </c>
      <c r="I137" s="52" t="e">
        <f t="shared" si="26"/>
        <v>#DIV/0!</v>
      </c>
      <c r="J137" s="37" t="e">
        <f t="shared" si="27"/>
        <v>#DIV/0!</v>
      </c>
      <c r="L137" s="51">
        <f t="shared" si="16"/>
        <v>0</v>
      </c>
      <c r="O137" s="52" t="e">
        <f t="shared" si="28"/>
        <v>#DIV/0!</v>
      </c>
      <c r="P137" s="37" t="e">
        <f t="shared" si="29"/>
        <v>#DIV/0!</v>
      </c>
      <c r="R137" s="51">
        <f t="shared" si="35"/>
        <v>0</v>
      </c>
      <c r="U137" s="23" t="e">
        <f t="shared" si="30"/>
        <v>#DIV/0!</v>
      </c>
      <c r="V137" s="37" t="e">
        <f t="shared" si="31"/>
        <v>#DIV/0!</v>
      </c>
      <c r="X137" s="51">
        <f t="shared" si="21"/>
        <v>0</v>
      </c>
      <c r="AA137" s="1" t="e">
        <f t="shared" si="32"/>
        <v>#DIV/0!</v>
      </c>
      <c r="AB137" s="35" t="e">
        <f t="shared" si="33"/>
        <v>#DIV/0!</v>
      </c>
    </row>
    <row r="138" spans="1:28" ht="15.75" thickBot="1" x14ac:dyDescent="0.3">
      <c r="D138" s="23" t="s">
        <v>13</v>
      </c>
      <c r="E138" s="2"/>
      <c r="F138" s="64">
        <f t="shared" si="13"/>
        <v>0</v>
      </c>
      <c r="I138" s="52" t="e">
        <f t="shared" si="14"/>
        <v>#DIV/0!</v>
      </c>
      <c r="J138" s="37" t="e">
        <f t="shared" si="15"/>
        <v>#DIV/0!</v>
      </c>
      <c r="L138" s="51">
        <f t="shared" si="16"/>
        <v>0</v>
      </c>
      <c r="O138" s="52" t="e">
        <f t="shared" si="17"/>
        <v>#DIV/0!</v>
      </c>
      <c r="P138" s="37" t="e">
        <f t="shared" si="18"/>
        <v>#DIV/0!</v>
      </c>
      <c r="R138" s="51">
        <f t="shared" si="35"/>
        <v>0</v>
      </c>
      <c r="U138" s="23" t="e">
        <f t="shared" si="19"/>
        <v>#DIV/0!</v>
      </c>
      <c r="V138" s="37" t="e">
        <f t="shared" si="20"/>
        <v>#DIV/0!</v>
      </c>
      <c r="X138" s="51">
        <f t="shared" si="21"/>
        <v>0</v>
      </c>
      <c r="AA138" s="1" t="e">
        <f t="shared" si="22"/>
        <v>#DIV/0!</v>
      </c>
      <c r="AB138" s="35" t="e">
        <f t="shared" si="23"/>
        <v>#DIV/0!</v>
      </c>
    </row>
    <row r="139" spans="1:28" s="27" customFormat="1" ht="15.75" thickBot="1" x14ac:dyDescent="0.3">
      <c r="A139" s="26"/>
      <c r="C139" s="27" t="s">
        <v>40</v>
      </c>
      <c r="E139" s="26"/>
      <c r="F139" s="65">
        <f>SUM(F3:F138)</f>
        <v>63792.273796787849</v>
      </c>
      <c r="G139" s="65">
        <f>SUM(G3:G138)</f>
        <v>64584.130000000005</v>
      </c>
      <c r="H139" s="53"/>
      <c r="I139" s="53"/>
      <c r="J139" s="67">
        <f>(G139-F139)/F139</f>
        <v>1.2413042459258256E-2</v>
      </c>
      <c r="K139" s="26"/>
      <c r="L139" s="53">
        <f>SUM(L3:L138)</f>
        <v>45506.039741353015</v>
      </c>
      <c r="M139" s="53">
        <f>SUM(M3:M138)</f>
        <v>47255.150000000023</v>
      </c>
      <c r="N139" s="53"/>
      <c r="O139" s="53"/>
      <c r="P139" s="67">
        <f>(M139-L139)/L139</f>
        <v>3.8436881534596096E-2</v>
      </c>
      <c r="Q139" s="26"/>
      <c r="R139" s="53">
        <f>SUM(R3:R138)</f>
        <v>77602.618936694751</v>
      </c>
      <c r="S139" s="53">
        <f>SUM(S3:S138)</f>
        <v>81628.819999999978</v>
      </c>
      <c r="T139" s="53"/>
      <c r="V139" s="67">
        <f>(S139-R139)/R139</f>
        <v>5.1882283336206057E-2</v>
      </c>
      <c r="X139" s="53">
        <f>SUM(X3:X138)</f>
        <v>13607.06065235234</v>
      </c>
      <c r="Y139" s="27">
        <f>SUM(Y3:Y138)</f>
        <v>15097</v>
      </c>
      <c r="Z139" s="53"/>
      <c r="AB139" s="67">
        <f>(Y139-X139)/X139</f>
        <v>0.10949751645224602</v>
      </c>
    </row>
  </sheetData>
  <autoFilter ref="A2:AB139" xr:uid="{17E70EFF-3DD1-4F63-AB5D-039692A2D1E2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C14C-B39B-4F67-B37C-0C63DE05B641}">
  <dimension ref="B1:W4"/>
  <sheetViews>
    <sheetView workbookViewId="0">
      <selection activeCell="I15" sqref="I15"/>
    </sheetView>
  </sheetViews>
  <sheetFormatPr defaultRowHeight="15" x14ac:dyDescent="0.25"/>
  <cols>
    <col min="2" max="2" width="18.140625" customWidth="1"/>
  </cols>
  <sheetData>
    <row r="1" spans="2:23" s="1" customFormat="1" x14ac:dyDescent="0.25">
      <c r="B1" s="20">
        <v>45930</v>
      </c>
      <c r="C1" s="1" t="s">
        <v>17</v>
      </c>
      <c r="D1" s="1" t="s">
        <v>13</v>
      </c>
      <c r="E1" s="30"/>
      <c r="F1" s="34"/>
      <c r="I1" s="1" t="e">
        <f>G1/H1</f>
        <v>#DIV/0!</v>
      </c>
      <c r="J1" s="35" t="e">
        <f>(I1-E1)/E1</f>
        <v>#DIV/0!</v>
      </c>
      <c r="K1" s="1">
        <v>140</v>
      </c>
      <c r="L1" s="1">
        <f>K1*N1</f>
        <v>1120</v>
      </c>
      <c r="M1" s="1">
        <v>471.05</v>
      </c>
      <c r="N1" s="1">
        <v>8</v>
      </c>
      <c r="O1" s="1">
        <f>M1/N1</f>
        <v>58.881250000000001</v>
      </c>
      <c r="P1" s="39">
        <f>(O1-K1)/K1</f>
        <v>-0.57941964285714287</v>
      </c>
      <c r="Q1" s="1">
        <v>195</v>
      </c>
      <c r="R1" s="1">
        <f t="shared" ref="R1:R4" si="0">Q1*T1</f>
        <v>3900</v>
      </c>
      <c r="S1" s="1">
        <v>3350</v>
      </c>
      <c r="T1" s="1">
        <v>20</v>
      </c>
      <c r="U1" s="1">
        <f>S1/T1</f>
        <v>167.5</v>
      </c>
      <c r="V1" s="39">
        <f>(U1-Q1)/Q1</f>
        <v>-0.14102564102564102</v>
      </c>
      <c r="W1" s="32"/>
    </row>
    <row r="2" spans="2:23" s="1" customFormat="1" x14ac:dyDescent="0.25">
      <c r="B2" s="20">
        <v>45930</v>
      </c>
      <c r="C2" s="1" t="s">
        <v>20</v>
      </c>
      <c r="D2" s="1" t="s">
        <v>13</v>
      </c>
      <c r="E2" s="30">
        <v>170</v>
      </c>
      <c r="F2" s="34">
        <f t="shared" ref="F2:F4" si="1">E2*H2</f>
        <v>3400</v>
      </c>
      <c r="G2" s="1">
        <v>2640.3</v>
      </c>
      <c r="H2" s="1">
        <f>6+14</f>
        <v>20</v>
      </c>
      <c r="I2" s="1">
        <f t="shared" ref="I2:I3" si="2">G2/H2</f>
        <v>132.01500000000001</v>
      </c>
      <c r="J2" s="39">
        <f t="shared" ref="J2:J4" si="3">(I2-E2)/E2</f>
        <v>-0.22344117647058814</v>
      </c>
      <c r="K2" s="34">
        <v>150</v>
      </c>
      <c r="L2" s="1">
        <f t="shared" ref="L2:L4" si="4">K2*N2</f>
        <v>1050</v>
      </c>
      <c r="M2" s="1">
        <v>655.1</v>
      </c>
      <c r="N2" s="1">
        <v>7</v>
      </c>
      <c r="O2" s="1">
        <f t="shared" ref="O2:O4" si="5">M2/N2</f>
        <v>93.585714285714289</v>
      </c>
      <c r="P2" s="39">
        <f t="shared" ref="P2:P4" si="6">(O2-K2)/K2</f>
        <v>-0.37609523809523809</v>
      </c>
      <c r="Q2" s="34"/>
      <c r="R2" s="1">
        <f t="shared" si="0"/>
        <v>0</v>
      </c>
      <c r="U2" s="1" t="e">
        <f t="shared" ref="U2:U4" si="7">S2/T2</f>
        <v>#DIV/0!</v>
      </c>
      <c r="V2" s="35" t="e">
        <f t="shared" ref="V2:V4" si="8">(U2-Q2)/Q2</f>
        <v>#DIV/0!</v>
      </c>
      <c r="W2" s="32"/>
    </row>
    <row r="3" spans="2:23" s="1" customFormat="1" x14ac:dyDescent="0.25">
      <c r="B3" s="20">
        <v>45930</v>
      </c>
      <c r="C3" s="1" t="s">
        <v>23</v>
      </c>
      <c r="D3" s="1" t="s">
        <v>13</v>
      </c>
      <c r="E3" s="30"/>
      <c r="F3" s="34">
        <f t="shared" si="1"/>
        <v>0</v>
      </c>
      <c r="I3" s="1" t="e">
        <f t="shared" si="2"/>
        <v>#DIV/0!</v>
      </c>
      <c r="J3" s="35" t="e">
        <f t="shared" si="3"/>
        <v>#DIV/0!</v>
      </c>
      <c r="K3" s="34">
        <v>150</v>
      </c>
      <c r="L3" s="1">
        <f t="shared" si="4"/>
        <v>150</v>
      </c>
      <c r="M3" s="1">
        <v>55.1</v>
      </c>
      <c r="N3" s="1">
        <v>1</v>
      </c>
      <c r="O3" s="1">
        <f t="shared" si="5"/>
        <v>55.1</v>
      </c>
      <c r="P3" s="39">
        <f t="shared" si="6"/>
        <v>-0.63266666666666671</v>
      </c>
      <c r="Q3" s="34"/>
      <c r="R3" s="1">
        <f t="shared" si="0"/>
        <v>0</v>
      </c>
      <c r="U3" s="1" t="e">
        <f t="shared" si="7"/>
        <v>#DIV/0!</v>
      </c>
      <c r="V3" s="35" t="e">
        <f t="shared" si="8"/>
        <v>#DIV/0!</v>
      </c>
      <c r="W3" s="32"/>
    </row>
    <row r="4" spans="2:23" s="1" customFormat="1" x14ac:dyDescent="0.25">
      <c r="B4" s="20">
        <v>45930</v>
      </c>
      <c r="C4" s="1" t="s">
        <v>26</v>
      </c>
      <c r="D4" s="1" t="s">
        <v>13</v>
      </c>
      <c r="E4" s="30"/>
      <c r="F4" s="34">
        <f t="shared" si="1"/>
        <v>0</v>
      </c>
      <c r="I4" s="1" t="e">
        <f>G4/H4</f>
        <v>#DIV/0!</v>
      </c>
      <c r="J4" s="35" t="e">
        <f t="shared" si="3"/>
        <v>#DIV/0!</v>
      </c>
      <c r="K4" s="34">
        <v>150</v>
      </c>
      <c r="L4" s="1">
        <f t="shared" si="4"/>
        <v>300</v>
      </c>
      <c r="M4" s="1">
        <v>103.35</v>
      </c>
      <c r="N4" s="1">
        <v>2</v>
      </c>
      <c r="O4" s="1">
        <f t="shared" si="5"/>
        <v>51.674999999999997</v>
      </c>
      <c r="P4" s="39">
        <f t="shared" si="6"/>
        <v>-0.65549999999999997</v>
      </c>
      <c r="Q4" s="34"/>
      <c r="R4" s="1">
        <f t="shared" si="0"/>
        <v>0</v>
      </c>
      <c r="U4" s="1" t="e">
        <f t="shared" si="7"/>
        <v>#DIV/0!</v>
      </c>
      <c r="V4" s="35" t="e">
        <f t="shared" si="8"/>
        <v>#DIV/0!</v>
      </c>
      <c r="W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041-9190-4115-8F3C-3AE799111710}">
  <sheetPr>
    <pageSetUpPr fitToPage="1"/>
  </sheetPr>
  <dimension ref="B3:K29"/>
  <sheetViews>
    <sheetView workbookViewId="0">
      <selection activeCell="O12" sqref="O12"/>
    </sheetView>
  </sheetViews>
  <sheetFormatPr defaultRowHeight="15" x14ac:dyDescent="0.25"/>
  <cols>
    <col min="3" max="3" width="19.5703125" customWidth="1"/>
    <col min="4" max="5" width="11.85546875" customWidth="1"/>
    <col min="6" max="7" width="11.7109375" customWidth="1"/>
    <col min="8" max="9" width="14.5703125" customWidth="1"/>
    <col min="10" max="10" width="12.42578125" customWidth="1"/>
    <col min="11" max="11" width="14" customWidth="1"/>
  </cols>
  <sheetData>
    <row r="3" spans="2:11" ht="22.9" customHeight="1" x14ac:dyDescent="0.4">
      <c r="B3" s="72" t="s">
        <v>43</v>
      </c>
      <c r="C3" s="72"/>
      <c r="D3" s="72"/>
      <c r="E3" s="72"/>
      <c r="F3" s="72"/>
      <c r="G3" s="72"/>
      <c r="H3" s="72"/>
      <c r="I3" s="72"/>
      <c r="J3" s="72"/>
      <c r="K3" s="72"/>
    </row>
    <row r="4" spans="2:11" ht="32.450000000000003" customHeight="1" x14ac:dyDescent="0.25">
      <c r="B4" s="43" t="s">
        <v>44</v>
      </c>
      <c r="C4" s="43" t="s">
        <v>45</v>
      </c>
      <c r="D4" s="73" t="s">
        <v>46</v>
      </c>
      <c r="E4" s="74"/>
      <c r="F4" s="73" t="s">
        <v>47</v>
      </c>
      <c r="G4" s="74"/>
      <c r="H4" s="73" t="s">
        <v>48</v>
      </c>
      <c r="I4" s="74"/>
      <c r="J4" s="73" t="s">
        <v>49</v>
      </c>
      <c r="K4" s="74"/>
    </row>
    <row r="5" spans="2:11" ht="32.450000000000003" customHeight="1" x14ac:dyDescent="0.25">
      <c r="B5" s="43"/>
      <c r="C5" s="43"/>
      <c r="D5" s="43" t="s">
        <v>50</v>
      </c>
      <c r="E5" s="43" t="s">
        <v>51</v>
      </c>
      <c r="F5" s="43" t="s">
        <v>50</v>
      </c>
      <c r="G5" s="43" t="s">
        <v>51</v>
      </c>
      <c r="H5" s="43" t="s">
        <v>50</v>
      </c>
      <c r="I5" s="43" t="s">
        <v>51</v>
      </c>
      <c r="J5" s="43" t="s">
        <v>50</v>
      </c>
      <c r="K5" s="43" t="s">
        <v>51</v>
      </c>
    </row>
    <row r="6" spans="2:11" x14ac:dyDescent="0.25">
      <c r="B6" s="1">
        <v>1</v>
      </c>
      <c r="C6" s="1" t="s">
        <v>52</v>
      </c>
      <c r="D6" s="1">
        <v>75</v>
      </c>
      <c r="E6" s="42">
        <f>D6*10%+D6</f>
        <v>82.5</v>
      </c>
      <c r="F6" s="1">
        <v>75</v>
      </c>
      <c r="G6" s="42">
        <f>F6*10%+F6</f>
        <v>82.5</v>
      </c>
      <c r="H6" s="1">
        <v>75</v>
      </c>
      <c r="I6" s="42">
        <f>H6*10%+H6</f>
        <v>82.5</v>
      </c>
      <c r="J6" s="1">
        <v>100</v>
      </c>
      <c r="K6" s="42">
        <f>J6*10%+J6</f>
        <v>110</v>
      </c>
    </row>
    <row r="7" spans="2:11" x14ac:dyDescent="0.25">
      <c r="B7" s="1">
        <v>2</v>
      </c>
      <c r="C7" s="1" t="s">
        <v>53</v>
      </c>
      <c r="D7" s="1">
        <v>85</v>
      </c>
      <c r="E7" s="42">
        <f>D7*10%+D7</f>
        <v>93.5</v>
      </c>
      <c r="F7" s="1">
        <v>85</v>
      </c>
      <c r="G7" s="42">
        <f t="shared" ref="G7:G29" si="0">F7*10%+F7</f>
        <v>93.5</v>
      </c>
      <c r="H7" s="1">
        <v>85</v>
      </c>
      <c r="I7" s="42">
        <f t="shared" ref="I7:I29" si="1">H7*10%+H7</f>
        <v>93.5</v>
      </c>
      <c r="J7" s="1">
        <v>110</v>
      </c>
      <c r="K7" s="42">
        <f t="shared" ref="K7:K22" si="2">J7*10%+J7</f>
        <v>121</v>
      </c>
    </row>
    <row r="8" spans="2:11" x14ac:dyDescent="0.25">
      <c r="B8" s="1">
        <v>3</v>
      </c>
      <c r="C8" s="1" t="s">
        <v>54</v>
      </c>
      <c r="D8" s="1"/>
      <c r="E8" s="42">
        <f t="shared" ref="E8:E29" si="3">D8*10%+D8</f>
        <v>0</v>
      </c>
      <c r="F8" s="1"/>
      <c r="G8" s="42">
        <f t="shared" si="0"/>
        <v>0</v>
      </c>
      <c r="H8" s="1"/>
      <c r="I8" s="42">
        <f t="shared" si="1"/>
        <v>0</v>
      </c>
      <c r="J8" s="1"/>
      <c r="K8" s="42">
        <f t="shared" si="2"/>
        <v>0</v>
      </c>
    </row>
    <row r="9" spans="2:11" x14ac:dyDescent="0.25">
      <c r="B9" s="1">
        <v>4</v>
      </c>
      <c r="C9" s="1" t="s">
        <v>55</v>
      </c>
      <c r="D9" s="1">
        <v>155</v>
      </c>
      <c r="E9" s="42">
        <f t="shared" si="3"/>
        <v>170.5</v>
      </c>
      <c r="F9" s="1">
        <v>130</v>
      </c>
      <c r="G9" s="42">
        <f t="shared" si="0"/>
        <v>143</v>
      </c>
      <c r="H9" s="1">
        <v>130</v>
      </c>
      <c r="I9" s="42">
        <f t="shared" si="1"/>
        <v>143</v>
      </c>
      <c r="J9" s="1">
        <v>170</v>
      </c>
      <c r="K9" s="42">
        <f t="shared" si="2"/>
        <v>187</v>
      </c>
    </row>
    <row r="10" spans="2:11" x14ac:dyDescent="0.25">
      <c r="B10" s="1">
        <v>5</v>
      </c>
      <c r="C10" s="1" t="s">
        <v>56</v>
      </c>
      <c r="D10" s="1">
        <v>160</v>
      </c>
      <c r="E10" s="42">
        <f t="shared" si="3"/>
        <v>176</v>
      </c>
      <c r="F10" s="1">
        <v>140</v>
      </c>
      <c r="G10" s="42">
        <f t="shared" si="0"/>
        <v>154</v>
      </c>
      <c r="H10" s="1">
        <v>140</v>
      </c>
      <c r="I10" s="42">
        <f t="shared" si="1"/>
        <v>154</v>
      </c>
      <c r="J10" s="1">
        <v>195</v>
      </c>
      <c r="K10" s="42">
        <f t="shared" si="2"/>
        <v>214.5</v>
      </c>
    </row>
    <row r="11" spans="2:11" x14ac:dyDescent="0.25">
      <c r="B11" s="1">
        <v>6</v>
      </c>
      <c r="C11" s="1" t="s">
        <v>57</v>
      </c>
      <c r="D11" s="1"/>
      <c r="E11" s="42">
        <f t="shared" si="3"/>
        <v>0</v>
      </c>
      <c r="F11" s="1"/>
      <c r="G11" s="42">
        <f t="shared" si="0"/>
        <v>0</v>
      </c>
      <c r="H11" s="1"/>
      <c r="I11" s="42">
        <f t="shared" si="1"/>
        <v>0</v>
      </c>
      <c r="J11" s="1"/>
      <c r="K11" s="42">
        <f t="shared" si="2"/>
        <v>0</v>
      </c>
    </row>
    <row r="12" spans="2:11" x14ac:dyDescent="0.25">
      <c r="B12" s="1">
        <v>7</v>
      </c>
      <c r="C12" s="1" t="s">
        <v>58</v>
      </c>
      <c r="D12" s="1">
        <v>165</v>
      </c>
      <c r="E12" s="42">
        <f t="shared" si="3"/>
        <v>181.5</v>
      </c>
      <c r="F12" s="1">
        <v>150</v>
      </c>
      <c r="G12" s="42">
        <f t="shared" si="0"/>
        <v>165</v>
      </c>
      <c r="H12" s="1">
        <v>150</v>
      </c>
      <c r="I12" s="42">
        <f t="shared" si="1"/>
        <v>165</v>
      </c>
      <c r="J12" s="1">
        <v>195</v>
      </c>
      <c r="K12" s="42">
        <f t="shared" si="2"/>
        <v>214.5</v>
      </c>
    </row>
    <row r="13" spans="2:11" x14ac:dyDescent="0.25">
      <c r="B13" s="1">
        <v>8</v>
      </c>
      <c r="C13" s="1" t="s">
        <v>59</v>
      </c>
      <c r="D13" s="1">
        <v>170</v>
      </c>
      <c r="E13" s="42">
        <f t="shared" si="3"/>
        <v>187</v>
      </c>
      <c r="F13" s="1">
        <v>155</v>
      </c>
      <c r="G13" s="42">
        <f t="shared" si="0"/>
        <v>170.5</v>
      </c>
      <c r="H13" s="1">
        <v>150</v>
      </c>
      <c r="I13" s="42">
        <f t="shared" si="1"/>
        <v>165</v>
      </c>
      <c r="J13" s="1">
        <v>195</v>
      </c>
      <c r="K13" s="42">
        <f t="shared" si="2"/>
        <v>214.5</v>
      </c>
    </row>
    <row r="14" spans="2:11" x14ac:dyDescent="0.25">
      <c r="B14" s="1">
        <v>9</v>
      </c>
      <c r="C14" s="1" t="s">
        <v>60</v>
      </c>
      <c r="D14" s="1"/>
      <c r="E14" s="42">
        <f t="shared" si="3"/>
        <v>0</v>
      </c>
      <c r="F14" s="1"/>
      <c r="G14" s="42">
        <f t="shared" si="0"/>
        <v>0</v>
      </c>
      <c r="H14" s="1"/>
      <c r="I14" s="42">
        <f t="shared" si="1"/>
        <v>0</v>
      </c>
      <c r="J14" s="1"/>
      <c r="K14" s="42">
        <f t="shared" si="2"/>
        <v>0</v>
      </c>
    </row>
    <row r="15" spans="2:11" x14ac:dyDescent="0.25">
      <c r="B15" s="1">
        <v>10</v>
      </c>
      <c r="C15" s="1" t="s">
        <v>61</v>
      </c>
      <c r="D15" s="1">
        <v>165</v>
      </c>
      <c r="E15" s="42">
        <f t="shared" si="3"/>
        <v>181.5</v>
      </c>
      <c r="F15" s="1">
        <v>150</v>
      </c>
      <c r="G15" s="42">
        <f t="shared" si="0"/>
        <v>165</v>
      </c>
      <c r="H15" s="1">
        <v>150</v>
      </c>
      <c r="I15" s="42">
        <f t="shared" si="1"/>
        <v>165</v>
      </c>
      <c r="J15" s="1">
        <v>195</v>
      </c>
      <c r="K15" s="42">
        <f t="shared" si="2"/>
        <v>214.5</v>
      </c>
    </row>
    <row r="16" spans="2:11" x14ac:dyDescent="0.25">
      <c r="B16" s="1">
        <v>11</v>
      </c>
      <c r="C16" s="1" t="s">
        <v>62</v>
      </c>
      <c r="D16" s="1">
        <v>165</v>
      </c>
      <c r="E16" s="42">
        <f t="shared" si="3"/>
        <v>181.5</v>
      </c>
      <c r="F16" s="1">
        <v>150</v>
      </c>
      <c r="G16" s="42">
        <f t="shared" si="0"/>
        <v>165</v>
      </c>
      <c r="H16" s="1">
        <v>150</v>
      </c>
      <c r="I16" s="42">
        <f t="shared" si="1"/>
        <v>165</v>
      </c>
      <c r="J16" s="1">
        <v>195</v>
      </c>
      <c r="K16" s="42">
        <f t="shared" si="2"/>
        <v>214.5</v>
      </c>
    </row>
    <row r="17" spans="2:11" x14ac:dyDescent="0.25">
      <c r="B17" s="1">
        <v>12</v>
      </c>
      <c r="C17" s="1" t="s">
        <v>63</v>
      </c>
      <c r="D17" s="1"/>
      <c r="E17" s="42">
        <f t="shared" si="3"/>
        <v>0</v>
      </c>
      <c r="F17" s="1"/>
      <c r="G17" s="42">
        <f t="shared" si="0"/>
        <v>0</v>
      </c>
      <c r="H17" s="1"/>
      <c r="I17" s="42">
        <f t="shared" si="1"/>
        <v>0</v>
      </c>
      <c r="J17" s="1"/>
      <c r="K17" s="42">
        <f t="shared" si="2"/>
        <v>0</v>
      </c>
    </row>
    <row r="18" spans="2:11" x14ac:dyDescent="0.25">
      <c r="B18" s="1">
        <v>13</v>
      </c>
      <c r="C18" s="1" t="s">
        <v>64</v>
      </c>
      <c r="D18" s="1">
        <v>165</v>
      </c>
      <c r="E18" s="42">
        <f t="shared" si="3"/>
        <v>181.5</v>
      </c>
      <c r="F18" s="1">
        <v>150</v>
      </c>
      <c r="G18" s="42">
        <f t="shared" si="0"/>
        <v>165</v>
      </c>
      <c r="H18" s="1">
        <v>150</v>
      </c>
      <c r="I18" s="42">
        <f t="shared" si="1"/>
        <v>165</v>
      </c>
      <c r="J18" s="1">
        <v>195</v>
      </c>
      <c r="K18" s="42">
        <f t="shared" si="2"/>
        <v>214.5</v>
      </c>
    </row>
    <row r="19" spans="2:11" x14ac:dyDescent="0.25">
      <c r="B19" s="1">
        <v>14</v>
      </c>
      <c r="C19" s="1" t="s">
        <v>65</v>
      </c>
      <c r="D19" s="1">
        <v>165</v>
      </c>
      <c r="E19" s="42">
        <f t="shared" si="3"/>
        <v>181.5</v>
      </c>
      <c r="F19" s="1">
        <v>150</v>
      </c>
      <c r="G19" s="42">
        <f t="shared" si="0"/>
        <v>165</v>
      </c>
      <c r="H19" s="1">
        <v>150</v>
      </c>
      <c r="I19" s="42">
        <f t="shared" si="1"/>
        <v>165</v>
      </c>
      <c r="J19" s="1">
        <v>195</v>
      </c>
      <c r="K19" s="42">
        <f t="shared" si="2"/>
        <v>214.5</v>
      </c>
    </row>
    <row r="20" spans="2:11" x14ac:dyDescent="0.25">
      <c r="B20" s="1">
        <v>15</v>
      </c>
      <c r="C20" s="1" t="s">
        <v>66</v>
      </c>
      <c r="D20" s="41"/>
      <c r="E20" s="42">
        <f t="shared" si="3"/>
        <v>0</v>
      </c>
      <c r="F20" s="41"/>
      <c r="G20" s="42">
        <f t="shared" si="0"/>
        <v>0</v>
      </c>
      <c r="H20" s="41"/>
      <c r="I20" s="42">
        <f t="shared" si="1"/>
        <v>0</v>
      </c>
      <c r="J20" s="41"/>
      <c r="K20" s="42">
        <f t="shared" si="2"/>
        <v>0</v>
      </c>
    </row>
    <row r="21" spans="2:11" x14ac:dyDescent="0.25">
      <c r="B21" s="1">
        <v>16</v>
      </c>
      <c r="C21" s="1" t="s">
        <v>67</v>
      </c>
      <c r="D21" s="1">
        <v>170</v>
      </c>
      <c r="E21" s="42">
        <f t="shared" si="3"/>
        <v>187</v>
      </c>
      <c r="F21" s="1">
        <v>165</v>
      </c>
      <c r="G21" s="42">
        <f t="shared" si="0"/>
        <v>181.5</v>
      </c>
      <c r="H21" s="1">
        <v>155</v>
      </c>
      <c r="I21" s="42">
        <f t="shared" si="1"/>
        <v>170.5</v>
      </c>
      <c r="J21" s="1">
        <v>200</v>
      </c>
      <c r="K21" s="42">
        <f t="shared" si="2"/>
        <v>220</v>
      </c>
    </row>
    <row r="22" spans="2:11" x14ac:dyDescent="0.25">
      <c r="B22" s="1">
        <v>17</v>
      </c>
      <c r="C22" s="1" t="s">
        <v>68</v>
      </c>
      <c r="D22" s="1">
        <v>175</v>
      </c>
      <c r="E22" s="42">
        <f t="shared" si="3"/>
        <v>192.5</v>
      </c>
      <c r="F22" s="1">
        <v>170</v>
      </c>
      <c r="G22" s="42">
        <f t="shared" si="0"/>
        <v>187</v>
      </c>
      <c r="H22" s="1">
        <v>165</v>
      </c>
      <c r="I22" s="42">
        <f t="shared" si="1"/>
        <v>181.5</v>
      </c>
      <c r="J22" s="1">
        <v>205</v>
      </c>
      <c r="K22" s="42">
        <f t="shared" si="2"/>
        <v>225.5</v>
      </c>
    </row>
    <row r="23" spans="2:11" x14ac:dyDescent="0.25">
      <c r="B23" s="1">
        <v>18</v>
      </c>
      <c r="C23" s="1" t="s">
        <v>69</v>
      </c>
      <c r="D23" s="1"/>
      <c r="E23" s="42">
        <f t="shared" si="3"/>
        <v>0</v>
      </c>
      <c r="F23" s="1"/>
      <c r="G23" s="42">
        <f t="shared" si="0"/>
        <v>0</v>
      </c>
      <c r="H23" s="1"/>
      <c r="I23" s="42">
        <f t="shared" si="1"/>
        <v>0</v>
      </c>
      <c r="J23" s="1"/>
      <c r="K23" s="1"/>
    </row>
    <row r="24" spans="2:11" x14ac:dyDescent="0.25">
      <c r="B24" s="1">
        <v>19</v>
      </c>
      <c r="C24" s="1" t="s">
        <v>70</v>
      </c>
      <c r="D24" s="1">
        <v>170</v>
      </c>
      <c r="E24" s="42">
        <f t="shared" si="3"/>
        <v>187</v>
      </c>
      <c r="F24" s="1">
        <v>165</v>
      </c>
      <c r="G24" s="42">
        <f t="shared" si="0"/>
        <v>181.5</v>
      </c>
      <c r="H24" s="1">
        <v>155</v>
      </c>
      <c r="I24" s="42">
        <f t="shared" si="1"/>
        <v>170.5</v>
      </c>
      <c r="J24" s="1"/>
      <c r="K24" s="1"/>
    </row>
    <row r="25" spans="2:11" x14ac:dyDescent="0.25">
      <c r="B25" s="1">
        <v>20</v>
      </c>
      <c r="C25" s="1" t="s">
        <v>71</v>
      </c>
      <c r="D25" s="1">
        <v>175</v>
      </c>
      <c r="E25" s="42">
        <f t="shared" si="3"/>
        <v>192.5</v>
      </c>
      <c r="F25" s="1">
        <v>170</v>
      </c>
      <c r="G25" s="42">
        <f t="shared" si="0"/>
        <v>187</v>
      </c>
      <c r="H25" s="1">
        <v>165</v>
      </c>
      <c r="I25" s="42">
        <f t="shared" si="1"/>
        <v>181.5</v>
      </c>
      <c r="J25" s="1"/>
      <c r="K25" s="1"/>
    </row>
    <row r="26" spans="2:11" x14ac:dyDescent="0.25">
      <c r="B26" s="1">
        <v>21</v>
      </c>
      <c r="C26" s="1" t="s">
        <v>72</v>
      </c>
      <c r="D26" s="1">
        <v>170</v>
      </c>
      <c r="E26" s="42">
        <f t="shared" si="3"/>
        <v>187</v>
      </c>
      <c r="F26" s="1">
        <v>165</v>
      </c>
      <c r="G26" s="42">
        <f t="shared" si="0"/>
        <v>181.5</v>
      </c>
      <c r="H26" s="1">
        <v>155</v>
      </c>
      <c r="I26" s="42">
        <f t="shared" si="1"/>
        <v>170.5</v>
      </c>
      <c r="J26" s="1"/>
      <c r="K26" s="1"/>
    </row>
    <row r="27" spans="2:11" x14ac:dyDescent="0.25">
      <c r="B27" s="1">
        <v>22</v>
      </c>
      <c r="C27" s="1" t="s">
        <v>73</v>
      </c>
      <c r="D27" s="1">
        <v>175</v>
      </c>
      <c r="E27" s="42">
        <f t="shared" si="3"/>
        <v>192.5</v>
      </c>
      <c r="F27" s="1">
        <v>170</v>
      </c>
      <c r="G27" s="42">
        <f t="shared" si="0"/>
        <v>187</v>
      </c>
      <c r="H27" s="1">
        <v>165</v>
      </c>
      <c r="I27" s="42">
        <f t="shared" si="1"/>
        <v>181.5</v>
      </c>
      <c r="J27" s="1"/>
      <c r="K27" s="1"/>
    </row>
    <row r="28" spans="2:11" x14ac:dyDescent="0.25">
      <c r="B28" s="1">
        <v>23</v>
      </c>
      <c r="C28" s="1" t="s">
        <v>74</v>
      </c>
      <c r="D28" s="1">
        <v>170</v>
      </c>
      <c r="E28" s="42">
        <f t="shared" si="3"/>
        <v>187</v>
      </c>
      <c r="F28" s="1">
        <v>165</v>
      </c>
      <c r="G28" s="42">
        <f t="shared" si="0"/>
        <v>181.5</v>
      </c>
      <c r="H28" s="1">
        <v>160</v>
      </c>
      <c r="I28" s="42">
        <f t="shared" si="1"/>
        <v>176</v>
      </c>
      <c r="J28" s="1"/>
      <c r="K28" s="1"/>
    </row>
    <row r="29" spans="2:11" x14ac:dyDescent="0.25">
      <c r="B29" s="1">
        <v>24</v>
      </c>
      <c r="C29" s="1" t="s">
        <v>75</v>
      </c>
      <c r="D29" s="1">
        <v>175</v>
      </c>
      <c r="E29" s="42">
        <f t="shared" si="3"/>
        <v>192.5</v>
      </c>
      <c r="F29" s="1">
        <v>170</v>
      </c>
      <c r="G29" s="42">
        <f t="shared" si="0"/>
        <v>187</v>
      </c>
      <c r="H29" s="1">
        <v>170</v>
      </c>
      <c r="I29" s="42">
        <f t="shared" si="1"/>
        <v>187</v>
      </c>
      <c r="J29" s="1"/>
      <c r="K29" s="1"/>
    </row>
  </sheetData>
  <mergeCells count="5">
    <mergeCell ref="B3:K3"/>
    <mergeCell ref="J4:K4"/>
    <mergeCell ref="H4:I4"/>
    <mergeCell ref="F4:G4"/>
    <mergeCell ref="D4:E4"/>
  </mergeCells>
  <phoneticPr fontId="2" type="noConversion"/>
  <pageMargins left="0.11811023622047245" right="0.11811023622047245" top="0.74803149606299213" bottom="0.74803149606299213" header="0.31496062992125984" footer="0.31496062992125984"/>
  <pageSetup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70C3-05AC-4AC1-8491-4C6D35C9043C}">
  <sheetPr>
    <pageSetUpPr fitToPage="1"/>
  </sheetPr>
  <dimension ref="A1:G37"/>
  <sheetViews>
    <sheetView workbookViewId="0">
      <selection activeCell="O10" sqref="O10"/>
    </sheetView>
  </sheetViews>
  <sheetFormatPr defaultRowHeight="15" x14ac:dyDescent="0.25"/>
  <cols>
    <col min="2" max="2" width="15.5703125" customWidth="1"/>
    <col min="4" max="4" width="17" customWidth="1"/>
    <col min="5" max="5" width="13.85546875" customWidth="1"/>
    <col min="6" max="6" width="17.7109375" customWidth="1"/>
  </cols>
  <sheetData>
    <row r="1" spans="1:7" ht="30" customHeight="1" x14ac:dyDescent="0.25">
      <c r="A1" s="83" t="s">
        <v>76</v>
      </c>
      <c r="B1" s="83"/>
      <c r="C1" s="83"/>
      <c r="D1" s="83"/>
      <c r="E1" s="83"/>
      <c r="F1" s="83"/>
      <c r="G1" s="83"/>
    </row>
    <row r="2" spans="1:7" x14ac:dyDescent="0.25">
      <c r="A2" s="82" t="s">
        <v>77</v>
      </c>
      <c r="B2" s="82"/>
      <c r="C2" s="82" t="s">
        <v>78</v>
      </c>
      <c r="D2" s="82"/>
      <c r="E2" s="82" t="s">
        <v>79</v>
      </c>
      <c r="F2" s="82"/>
      <c r="G2" s="82"/>
    </row>
    <row r="3" spans="1:7" x14ac:dyDescent="0.25">
      <c r="A3" s="40" t="s">
        <v>80</v>
      </c>
      <c r="B3" s="40"/>
      <c r="C3" s="79"/>
      <c r="D3" s="80"/>
      <c r="E3" s="80"/>
      <c r="F3" s="80"/>
      <c r="G3" s="81"/>
    </row>
    <row r="4" spans="1:7" ht="19.5" customHeight="1" x14ac:dyDescent="0.25">
      <c r="A4" s="41" t="s">
        <v>81</v>
      </c>
      <c r="B4" s="41"/>
      <c r="C4" s="75"/>
      <c r="D4" s="75"/>
      <c r="E4" s="75"/>
      <c r="F4" s="75"/>
      <c r="G4" s="75"/>
    </row>
    <row r="5" spans="1:7" ht="17.25" customHeight="1" x14ac:dyDescent="0.25">
      <c r="A5" s="82" t="s">
        <v>82</v>
      </c>
      <c r="B5" s="82"/>
      <c r="C5" s="82"/>
      <c r="D5" s="82"/>
      <c r="E5" s="82"/>
      <c r="F5" s="82"/>
      <c r="G5" s="82"/>
    </row>
    <row r="6" spans="1:7" ht="21" customHeight="1" x14ac:dyDescent="0.25">
      <c r="A6" s="82" t="s">
        <v>83</v>
      </c>
      <c r="B6" s="82"/>
      <c r="C6" s="82"/>
      <c r="D6" s="82"/>
      <c r="E6" s="82"/>
      <c r="F6" s="82"/>
      <c r="G6" s="82"/>
    </row>
    <row r="7" spans="1:7" ht="17.25" customHeight="1" x14ac:dyDescent="0.25">
      <c r="A7" s="82" t="s">
        <v>84</v>
      </c>
      <c r="B7" s="82"/>
      <c r="C7" s="82"/>
      <c r="D7" s="82"/>
      <c r="E7" s="82"/>
      <c r="F7" s="82"/>
      <c r="G7" s="82"/>
    </row>
    <row r="8" spans="1:7" x14ac:dyDescent="0.25">
      <c r="A8" s="75"/>
      <c r="B8" s="75"/>
      <c r="C8" s="75"/>
      <c r="D8" s="75"/>
      <c r="E8" s="75"/>
      <c r="F8" s="75"/>
      <c r="G8" s="75"/>
    </row>
    <row r="9" spans="1:7" ht="15.75" customHeight="1" x14ac:dyDescent="0.25">
      <c r="A9" s="82" t="s">
        <v>82</v>
      </c>
      <c r="B9" s="82"/>
      <c r="C9" s="82"/>
      <c r="D9" s="82"/>
      <c r="E9" s="82"/>
      <c r="F9" s="82"/>
      <c r="G9" s="82"/>
    </row>
    <row r="10" spans="1:7" ht="18.75" customHeight="1" x14ac:dyDescent="0.25">
      <c r="A10" s="82" t="s">
        <v>83</v>
      </c>
      <c r="B10" s="82"/>
      <c r="C10" s="82"/>
      <c r="D10" s="82"/>
      <c r="E10" s="82"/>
      <c r="F10" s="82"/>
      <c r="G10" s="82"/>
    </row>
    <row r="11" spans="1:7" ht="20.25" customHeight="1" x14ac:dyDescent="0.25">
      <c r="A11" s="82" t="s">
        <v>84</v>
      </c>
      <c r="B11" s="82"/>
      <c r="C11" s="82"/>
      <c r="D11" s="82"/>
      <c r="E11" s="82"/>
      <c r="F11" s="82"/>
      <c r="G11" s="82"/>
    </row>
    <row r="12" spans="1:7" x14ac:dyDescent="0.25">
      <c r="A12" s="75"/>
      <c r="B12" s="75"/>
      <c r="C12" s="75"/>
      <c r="D12" s="75"/>
      <c r="E12" s="75"/>
      <c r="F12" s="75"/>
      <c r="G12" s="75"/>
    </row>
    <row r="13" spans="1:7" ht="25.5" customHeight="1" x14ac:dyDescent="0.25">
      <c r="A13" s="82" t="s">
        <v>82</v>
      </c>
      <c r="B13" s="82"/>
      <c r="C13" s="82"/>
      <c r="D13" s="82"/>
      <c r="E13" s="82"/>
      <c r="F13" s="82"/>
      <c r="G13" s="82"/>
    </row>
    <row r="14" spans="1:7" ht="19.5" customHeight="1" x14ac:dyDescent="0.25">
      <c r="A14" s="82" t="s">
        <v>83</v>
      </c>
      <c r="B14" s="82"/>
      <c r="C14" s="82"/>
      <c r="D14" s="82"/>
      <c r="E14" s="82"/>
      <c r="F14" s="82"/>
      <c r="G14" s="82"/>
    </row>
    <row r="15" spans="1:7" ht="21" customHeight="1" x14ac:dyDescent="0.25">
      <c r="A15" s="82" t="s">
        <v>84</v>
      </c>
      <c r="B15" s="82"/>
      <c r="C15" s="82"/>
      <c r="D15" s="82"/>
      <c r="E15" s="82"/>
      <c r="F15" s="82"/>
      <c r="G15" s="82"/>
    </row>
    <row r="16" spans="1:7" x14ac:dyDescent="0.25">
      <c r="A16" s="75"/>
      <c r="B16" s="75"/>
      <c r="C16" s="75"/>
      <c r="D16" s="75"/>
      <c r="E16" s="75"/>
      <c r="F16" s="75"/>
      <c r="G16" s="75"/>
    </row>
    <row r="17" spans="1:7" ht="21" customHeight="1" x14ac:dyDescent="0.25">
      <c r="A17" s="82" t="s">
        <v>82</v>
      </c>
      <c r="B17" s="82"/>
      <c r="C17" s="82"/>
      <c r="D17" s="82"/>
      <c r="E17" s="82"/>
      <c r="F17" s="82"/>
      <c r="G17" s="82"/>
    </row>
    <row r="18" spans="1:7" ht="19.5" customHeight="1" x14ac:dyDescent="0.25">
      <c r="A18" s="82" t="s">
        <v>83</v>
      </c>
      <c r="B18" s="82"/>
      <c r="C18" s="82"/>
      <c r="D18" s="82"/>
      <c r="E18" s="82"/>
      <c r="F18" s="82"/>
      <c r="G18" s="82"/>
    </row>
    <row r="19" spans="1:7" ht="21" customHeight="1" x14ac:dyDescent="0.25">
      <c r="A19" s="82" t="s">
        <v>84</v>
      </c>
      <c r="B19" s="82"/>
      <c r="C19" s="82"/>
      <c r="D19" s="82"/>
      <c r="E19" s="82"/>
      <c r="F19" s="82"/>
      <c r="G19" s="82"/>
    </row>
    <row r="20" spans="1:7" x14ac:dyDescent="0.25">
      <c r="A20" s="75"/>
      <c r="B20" s="75"/>
      <c r="C20" s="75"/>
      <c r="D20" s="75"/>
      <c r="E20" s="75"/>
      <c r="F20" s="75"/>
      <c r="G20" s="75"/>
    </row>
    <row r="21" spans="1:7" ht="17.25" customHeight="1" x14ac:dyDescent="0.25">
      <c r="A21" s="82" t="s">
        <v>82</v>
      </c>
      <c r="B21" s="82"/>
      <c r="C21" s="82"/>
      <c r="D21" s="82"/>
      <c r="E21" s="82"/>
      <c r="F21" s="82"/>
      <c r="G21" s="82"/>
    </row>
    <row r="22" spans="1:7" ht="18" customHeight="1" x14ac:dyDescent="0.25">
      <c r="A22" s="82" t="s">
        <v>83</v>
      </c>
      <c r="B22" s="82"/>
      <c r="C22" s="82"/>
      <c r="D22" s="82"/>
      <c r="E22" s="82"/>
      <c r="F22" s="82"/>
      <c r="G22" s="82"/>
    </row>
    <row r="23" spans="1:7" ht="19.5" customHeight="1" x14ac:dyDescent="0.25">
      <c r="A23" s="82" t="s">
        <v>84</v>
      </c>
      <c r="B23" s="82"/>
      <c r="C23" s="82"/>
      <c r="D23" s="82"/>
      <c r="E23" s="82"/>
      <c r="F23" s="82"/>
      <c r="G23" s="82"/>
    </row>
    <row r="24" spans="1:7" x14ac:dyDescent="0.25">
      <c r="A24" s="75"/>
      <c r="B24" s="75"/>
      <c r="C24" s="75"/>
      <c r="D24" s="75"/>
      <c r="E24" s="75"/>
      <c r="F24" s="75"/>
      <c r="G24" s="75"/>
    </row>
    <row r="25" spans="1:7" ht="20.25" customHeight="1" x14ac:dyDescent="0.25">
      <c r="A25" s="82" t="s">
        <v>82</v>
      </c>
      <c r="B25" s="82"/>
      <c r="C25" s="82"/>
      <c r="D25" s="82"/>
      <c r="E25" s="82"/>
      <c r="F25" s="82"/>
      <c r="G25" s="82"/>
    </row>
    <row r="26" spans="1:7" ht="19.5" customHeight="1" x14ac:dyDescent="0.25">
      <c r="A26" s="82" t="s">
        <v>83</v>
      </c>
      <c r="B26" s="82"/>
      <c r="C26" s="82"/>
      <c r="D26" s="82"/>
      <c r="E26" s="82"/>
      <c r="F26" s="82"/>
      <c r="G26" s="82"/>
    </row>
    <row r="27" spans="1:7" ht="19.5" customHeight="1" x14ac:dyDescent="0.25">
      <c r="A27" s="82" t="s">
        <v>84</v>
      </c>
      <c r="B27" s="82"/>
      <c r="C27" s="82"/>
      <c r="D27" s="82"/>
      <c r="E27" s="82"/>
      <c r="F27" s="82"/>
      <c r="G27" s="82"/>
    </row>
    <row r="28" spans="1:7" ht="19.5" customHeight="1" x14ac:dyDescent="0.25">
      <c r="A28" s="79"/>
      <c r="B28" s="80"/>
      <c r="C28" s="80"/>
      <c r="D28" s="80"/>
      <c r="E28" s="80"/>
      <c r="F28" s="80"/>
      <c r="G28" s="81"/>
    </row>
    <row r="29" spans="1:7" ht="19.5" customHeight="1" x14ac:dyDescent="0.25">
      <c r="A29" s="79"/>
      <c r="B29" s="80"/>
      <c r="C29" s="80"/>
      <c r="D29" s="80"/>
      <c r="E29" s="80"/>
      <c r="F29" s="80"/>
      <c r="G29" s="81"/>
    </row>
    <row r="30" spans="1:7" ht="19.5" customHeight="1" x14ac:dyDescent="0.25">
      <c r="A30" s="79"/>
      <c r="B30" s="80"/>
      <c r="C30" s="80"/>
      <c r="D30" s="80"/>
      <c r="E30" s="80"/>
      <c r="F30" s="80"/>
      <c r="G30" s="81"/>
    </row>
    <row r="31" spans="1:7" ht="19.5" customHeight="1" x14ac:dyDescent="0.25">
      <c r="A31" s="79"/>
      <c r="B31" s="80"/>
      <c r="C31" s="80"/>
      <c r="D31" s="80"/>
      <c r="E31" s="80"/>
      <c r="F31" s="80"/>
      <c r="G31" s="81"/>
    </row>
    <row r="32" spans="1:7" ht="19.5" customHeight="1" x14ac:dyDescent="0.25">
      <c r="A32" s="76" t="s">
        <v>85</v>
      </c>
      <c r="B32" s="77"/>
      <c r="C32" s="77"/>
      <c r="D32" s="77"/>
      <c r="E32" s="77"/>
      <c r="F32" s="77"/>
      <c r="G32" s="78"/>
    </row>
    <row r="33" spans="1:7" ht="19.5" customHeight="1" x14ac:dyDescent="0.25">
      <c r="A33" s="76" t="s">
        <v>86</v>
      </c>
      <c r="B33" s="77"/>
      <c r="C33" s="77"/>
      <c r="D33" s="77"/>
      <c r="E33" s="77"/>
      <c r="F33" s="77"/>
      <c r="G33" s="78"/>
    </row>
    <row r="34" spans="1:7" ht="19.5" customHeight="1" x14ac:dyDescent="0.25">
      <c r="A34" s="79"/>
      <c r="B34" s="80"/>
      <c r="C34" s="80"/>
      <c r="D34" s="80"/>
      <c r="E34" s="80"/>
      <c r="F34" s="80"/>
      <c r="G34" s="81"/>
    </row>
    <row r="35" spans="1:7" ht="19.5" customHeight="1" x14ac:dyDescent="0.25">
      <c r="A35" s="79"/>
      <c r="B35" s="80"/>
      <c r="C35" s="80"/>
      <c r="D35" s="80"/>
      <c r="E35" s="80"/>
      <c r="F35" s="80"/>
      <c r="G35" s="81"/>
    </row>
    <row r="36" spans="1:7" ht="19.5" customHeight="1" x14ac:dyDescent="0.25">
      <c r="A36" s="79"/>
      <c r="B36" s="80"/>
      <c r="C36" s="80"/>
      <c r="D36" s="80"/>
      <c r="E36" s="80"/>
      <c r="F36" s="80"/>
      <c r="G36" s="81"/>
    </row>
    <row r="37" spans="1:7" x14ac:dyDescent="0.25">
      <c r="A37" s="75"/>
      <c r="B37" s="75"/>
      <c r="C37" s="75"/>
      <c r="D37" s="75"/>
      <c r="E37" s="75"/>
      <c r="F37" s="75"/>
      <c r="G37" s="75"/>
    </row>
  </sheetData>
  <mergeCells count="39">
    <mergeCell ref="A1:G1"/>
    <mergeCell ref="C4:G4"/>
    <mergeCell ref="A6:G6"/>
    <mergeCell ref="A7:G7"/>
    <mergeCell ref="A5:G5"/>
    <mergeCell ref="A2:B2"/>
    <mergeCell ref="C2:D2"/>
    <mergeCell ref="E2:G2"/>
    <mergeCell ref="C3:G3"/>
    <mergeCell ref="A28:G28"/>
    <mergeCell ref="A29:G29"/>
    <mergeCell ref="A30:G30"/>
    <mergeCell ref="A31:G31"/>
    <mergeCell ref="A14:G14"/>
    <mergeCell ref="A15:G15"/>
    <mergeCell ref="A16:G16"/>
    <mergeCell ref="A17:G17"/>
    <mergeCell ref="A18:G18"/>
    <mergeCell ref="A19:G19"/>
    <mergeCell ref="A24:G24"/>
    <mergeCell ref="A25:G25"/>
    <mergeCell ref="A26:G26"/>
    <mergeCell ref="A27:G27"/>
    <mergeCell ref="A23:G23"/>
    <mergeCell ref="A8:G8"/>
    <mergeCell ref="A9:G9"/>
    <mergeCell ref="A20:G20"/>
    <mergeCell ref="A21:G21"/>
    <mergeCell ref="A22:G22"/>
    <mergeCell ref="A10:G10"/>
    <mergeCell ref="A11:G11"/>
    <mergeCell ref="A12:G12"/>
    <mergeCell ref="A13:G13"/>
    <mergeCell ref="A37:G37"/>
    <mergeCell ref="A32:G32"/>
    <mergeCell ref="A33:G33"/>
    <mergeCell ref="A34:G34"/>
    <mergeCell ref="A35:G35"/>
    <mergeCell ref="A36:G36"/>
  </mergeCells>
  <pageMargins left="0.7" right="0.7" top="0.75" bottom="0.7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5738-584E-4BD1-9602-7F4BF70BCF1C}">
  <dimension ref="A1:J109"/>
  <sheetViews>
    <sheetView tabSelected="1" workbookViewId="0">
      <selection activeCell="C64" sqref="C64:D79"/>
    </sheetView>
  </sheetViews>
  <sheetFormatPr defaultRowHeight="15" x14ac:dyDescent="0.25"/>
  <cols>
    <col min="1" max="1" width="12.140625" style="2" customWidth="1"/>
    <col min="2" max="2" width="12.28515625" style="2" customWidth="1"/>
    <col min="3" max="3" width="12.28515625" style="14" customWidth="1"/>
    <col min="4" max="4" width="20.140625" style="2" customWidth="1"/>
    <col min="5" max="5" width="26.42578125" style="2" customWidth="1"/>
    <col min="6" max="6" width="16.42578125" style="2" customWidth="1"/>
    <col min="7" max="7" width="12.7109375" style="2" customWidth="1"/>
    <col min="8" max="8" width="15.28515625" style="12" customWidth="1"/>
    <col min="9" max="9" width="16.42578125" customWidth="1"/>
    <col min="10" max="10" width="11.85546875" customWidth="1"/>
  </cols>
  <sheetData>
    <row r="1" spans="1:10" x14ac:dyDescent="0.25">
      <c r="A1" s="15" t="s">
        <v>4</v>
      </c>
      <c r="B1" s="16" t="s">
        <v>5</v>
      </c>
      <c r="C1" s="21" t="s">
        <v>6</v>
      </c>
      <c r="D1" s="22" t="s">
        <v>7</v>
      </c>
      <c r="E1" s="15" t="s">
        <v>8</v>
      </c>
      <c r="F1" s="15" t="s">
        <v>9</v>
      </c>
      <c r="G1" s="15" t="s">
        <v>10</v>
      </c>
      <c r="H1" s="18" t="s">
        <v>11</v>
      </c>
      <c r="I1" s="6" t="s">
        <v>87</v>
      </c>
      <c r="J1" s="6" t="s">
        <v>88</v>
      </c>
    </row>
    <row r="2" spans="1:10" x14ac:dyDescent="0.25">
      <c r="A2" s="1" t="s">
        <v>12</v>
      </c>
      <c r="B2" s="30" t="s">
        <v>13</v>
      </c>
      <c r="C2" s="1">
        <v>75</v>
      </c>
      <c r="D2" s="51">
        <v>2910.8552445074415</v>
      </c>
      <c r="E2" s="1">
        <v>3409.7500000000005</v>
      </c>
      <c r="F2" s="51">
        <v>38.811403260099219</v>
      </c>
      <c r="G2" s="51">
        <v>87.854334385931807</v>
      </c>
      <c r="H2" s="35">
        <v>0.17139112514575744</v>
      </c>
      <c r="I2" s="6" t="s">
        <v>89</v>
      </c>
      <c r="J2" t="s">
        <v>90</v>
      </c>
    </row>
    <row r="3" spans="1:10" x14ac:dyDescent="0.25">
      <c r="A3" s="1" t="s">
        <v>14</v>
      </c>
      <c r="B3" s="30" t="s">
        <v>13</v>
      </c>
      <c r="C3" s="1">
        <v>85</v>
      </c>
      <c r="D3" s="51">
        <v>3624.5734580831354</v>
      </c>
      <c r="E3" s="51">
        <v>4277.05</v>
      </c>
      <c r="F3" s="51">
        <v>42.642040683331004</v>
      </c>
      <c r="G3" s="51">
        <v>100.30125039658154</v>
      </c>
      <c r="H3" s="35">
        <v>0.18001471054801807</v>
      </c>
      <c r="I3" s="6" t="s">
        <v>89</v>
      </c>
      <c r="J3" t="s">
        <v>90</v>
      </c>
    </row>
    <row r="4" spans="1:10" x14ac:dyDescent="0.25">
      <c r="A4" s="1" t="s">
        <v>15</v>
      </c>
      <c r="B4" s="30" t="s">
        <v>13</v>
      </c>
      <c r="C4" s="32"/>
      <c r="D4" s="51"/>
      <c r="E4" s="1"/>
      <c r="F4" s="1"/>
      <c r="G4" s="51"/>
      <c r="H4" s="35"/>
      <c r="I4" s="6" t="s">
        <v>89</v>
      </c>
      <c r="J4" t="s">
        <v>90</v>
      </c>
    </row>
    <row r="5" spans="1:10" x14ac:dyDescent="0.25">
      <c r="A5" s="1" t="s">
        <v>16</v>
      </c>
      <c r="B5" s="30" t="s">
        <v>13</v>
      </c>
      <c r="C5" s="1">
        <v>155</v>
      </c>
      <c r="D5" s="51">
        <v>4468.7652242506201</v>
      </c>
      <c r="E5" s="1">
        <v>4538.1000000000004</v>
      </c>
      <c r="F5" s="51">
        <v>28.830743382262064</v>
      </c>
      <c r="G5" s="51">
        <v>157.40489032246177</v>
      </c>
      <c r="H5" s="35">
        <v>1.5515421435237209E-2</v>
      </c>
      <c r="I5" s="6" t="s">
        <v>89</v>
      </c>
      <c r="J5" t="s">
        <v>90</v>
      </c>
    </row>
    <row r="6" spans="1:10" x14ac:dyDescent="0.25">
      <c r="A6" s="1" t="s">
        <v>17</v>
      </c>
      <c r="B6" s="30" t="s">
        <v>13</v>
      </c>
      <c r="C6" s="1">
        <v>160</v>
      </c>
      <c r="D6" s="51">
        <v>19327.508912395737</v>
      </c>
      <c r="E6" s="1">
        <v>19527.43</v>
      </c>
      <c r="F6" s="51">
        <v>120.79693070247336</v>
      </c>
      <c r="G6" s="51">
        <v>161.65501794161207</v>
      </c>
      <c r="H6" s="35">
        <v>1.0343862135075455E-2</v>
      </c>
      <c r="I6" s="6" t="s">
        <v>89</v>
      </c>
      <c r="J6" t="s">
        <v>90</v>
      </c>
    </row>
    <row r="7" spans="1:10" x14ac:dyDescent="0.25">
      <c r="A7" s="1" t="s">
        <v>18</v>
      </c>
      <c r="B7" s="30" t="s">
        <v>13</v>
      </c>
      <c r="C7" s="34"/>
      <c r="D7" s="51"/>
      <c r="E7" s="1"/>
      <c r="F7" s="1"/>
      <c r="G7" s="51"/>
      <c r="H7" s="35"/>
      <c r="I7" s="6" t="s">
        <v>89</v>
      </c>
      <c r="J7" t="s">
        <v>90</v>
      </c>
    </row>
    <row r="8" spans="1:10" x14ac:dyDescent="0.25">
      <c r="A8" s="1" t="s">
        <v>19</v>
      </c>
      <c r="B8" s="30" t="s">
        <v>13</v>
      </c>
      <c r="C8" s="1">
        <v>165</v>
      </c>
      <c r="D8" s="51">
        <v>716.59298780487836</v>
      </c>
      <c r="E8" s="1">
        <v>712.25000000000023</v>
      </c>
      <c r="F8" s="51">
        <v>4.3429878048780504</v>
      </c>
      <c r="G8" s="51">
        <v>164</v>
      </c>
      <c r="H8" s="35">
        <v>-6.0606060606060606E-3</v>
      </c>
      <c r="I8" s="6" t="s">
        <v>89</v>
      </c>
      <c r="J8" t="s">
        <v>90</v>
      </c>
    </row>
    <row r="9" spans="1:10" x14ac:dyDescent="0.25">
      <c r="A9" s="1" t="s">
        <v>20</v>
      </c>
      <c r="B9" s="30" t="s">
        <v>13</v>
      </c>
      <c r="C9" s="1">
        <v>170</v>
      </c>
      <c r="D9" s="51">
        <v>32743.977969746044</v>
      </c>
      <c r="E9" s="51">
        <v>32119.549999999996</v>
      </c>
      <c r="F9" s="51">
        <v>192.6116351161532</v>
      </c>
      <c r="G9" s="51">
        <v>166.75809839125506</v>
      </c>
      <c r="H9" s="35">
        <v>-1.9070009463205525E-2</v>
      </c>
      <c r="I9" s="6" t="s">
        <v>89</v>
      </c>
      <c r="J9" t="s">
        <v>90</v>
      </c>
    </row>
    <row r="10" spans="1:10" x14ac:dyDescent="0.25">
      <c r="A10" s="1" t="s">
        <v>21</v>
      </c>
      <c r="B10" s="30" t="s">
        <v>13</v>
      </c>
      <c r="C10" s="34"/>
      <c r="D10" s="51"/>
      <c r="E10" s="1"/>
      <c r="F10" s="1"/>
      <c r="G10" s="51"/>
      <c r="H10" s="35"/>
      <c r="I10" s="6" t="s">
        <v>89</v>
      </c>
      <c r="J10" t="s">
        <v>90</v>
      </c>
    </row>
    <row r="11" spans="1:10" x14ac:dyDescent="0.25">
      <c r="A11" s="1" t="s">
        <v>22</v>
      </c>
      <c r="B11" s="30" t="s">
        <v>13</v>
      </c>
      <c r="C11" s="1"/>
      <c r="D11" s="51"/>
      <c r="E11" s="1"/>
      <c r="F11" s="1"/>
      <c r="G11" s="51" t="e">
        <v>#DIV/0!</v>
      </c>
      <c r="H11" s="35" t="e">
        <v>#DIV/0!</v>
      </c>
      <c r="I11" s="6" t="s">
        <v>89</v>
      </c>
      <c r="J11" t="s">
        <v>90</v>
      </c>
    </row>
    <row r="12" spans="1:10" x14ac:dyDescent="0.25">
      <c r="A12" s="1" t="s">
        <v>23</v>
      </c>
      <c r="B12" s="30" t="s">
        <v>13</v>
      </c>
      <c r="C12" s="1"/>
      <c r="D12" s="51"/>
      <c r="E12" s="1"/>
      <c r="F12" s="1"/>
      <c r="G12" s="51" t="e">
        <v>#DIV/0!</v>
      </c>
      <c r="H12" s="35" t="e">
        <v>#DIV/0!</v>
      </c>
      <c r="I12" s="6" t="s">
        <v>89</v>
      </c>
      <c r="J12" t="s">
        <v>90</v>
      </c>
    </row>
    <row r="13" spans="1:10" x14ac:dyDescent="0.25">
      <c r="A13" s="1" t="s">
        <v>24</v>
      </c>
      <c r="B13" s="30" t="s">
        <v>13</v>
      </c>
      <c r="C13" s="34"/>
      <c r="D13" s="51"/>
      <c r="E13" s="1"/>
      <c r="F13" s="1"/>
      <c r="G13" s="51"/>
      <c r="H13" s="35"/>
      <c r="I13" s="6" t="s">
        <v>89</v>
      </c>
      <c r="J13" t="s">
        <v>90</v>
      </c>
    </row>
    <row r="14" spans="1:10" x14ac:dyDescent="0.25">
      <c r="A14" s="1" t="s">
        <v>25</v>
      </c>
      <c r="B14" s="30" t="s">
        <v>13</v>
      </c>
      <c r="C14" s="1"/>
      <c r="D14" s="51"/>
      <c r="E14" s="1"/>
      <c r="F14" s="1"/>
      <c r="G14" s="51" t="e">
        <v>#DIV/0!</v>
      </c>
      <c r="H14" s="35" t="e">
        <v>#DIV/0!</v>
      </c>
      <c r="I14" s="6" t="s">
        <v>89</v>
      </c>
      <c r="J14" t="s">
        <v>90</v>
      </c>
    </row>
    <row r="15" spans="1:10" x14ac:dyDescent="0.25">
      <c r="A15" s="1" t="s">
        <v>26</v>
      </c>
      <c r="B15" s="30" t="s">
        <v>13</v>
      </c>
      <c r="C15" s="1"/>
      <c r="D15" s="51"/>
      <c r="E15" s="1"/>
      <c r="F15" s="1"/>
      <c r="G15" s="51" t="e">
        <v>#DIV/0!</v>
      </c>
      <c r="H15" s="35" t="e">
        <v>#DIV/0!</v>
      </c>
      <c r="I15" s="6" t="s">
        <v>89</v>
      </c>
      <c r="J15" t="s">
        <v>90</v>
      </c>
    </row>
    <row r="16" spans="1:10" x14ac:dyDescent="0.25">
      <c r="A16" s="1" t="s">
        <v>27</v>
      </c>
      <c r="B16" s="30" t="s">
        <v>13</v>
      </c>
      <c r="C16" s="34"/>
      <c r="D16" s="51"/>
      <c r="E16" s="1"/>
      <c r="F16" s="1"/>
      <c r="G16" s="51"/>
      <c r="H16" s="35"/>
      <c r="I16" s="6" t="s">
        <v>89</v>
      </c>
      <c r="J16" t="s">
        <v>90</v>
      </c>
    </row>
    <row r="17" spans="1:10" x14ac:dyDescent="0.25">
      <c r="A17" s="1" t="s">
        <v>28</v>
      </c>
      <c r="B17" s="30" t="s">
        <v>13</v>
      </c>
      <c r="C17" s="1"/>
      <c r="D17" s="51"/>
      <c r="E17" s="1"/>
      <c r="F17" s="1"/>
      <c r="G17" s="51" t="e">
        <v>#DIV/0!</v>
      </c>
      <c r="H17" s="35" t="e">
        <v>#DIV/0!</v>
      </c>
      <c r="I17" s="6" t="s">
        <v>89</v>
      </c>
      <c r="J17" t="s">
        <v>90</v>
      </c>
    </row>
    <row r="18" spans="1:10" x14ac:dyDescent="0.25">
      <c r="A18" s="1" t="s">
        <v>29</v>
      </c>
      <c r="B18" s="30" t="s">
        <v>13</v>
      </c>
      <c r="C18" s="1"/>
      <c r="D18" s="51"/>
      <c r="E18" s="1"/>
      <c r="F18" s="1"/>
      <c r="G18" s="51" t="e">
        <v>#DIV/0!</v>
      </c>
      <c r="H18" s="35" t="e">
        <v>#DIV/0!</v>
      </c>
      <c r="I18" s="6" t="s">
        <v>89</v>
      </c>
      <c r="J18" t="s">
        <v>90</v>
      </c>
    </row>
    <row r="19" spans="1:10" x14ac:dyDescent="0.25">
      <c r="A19" s="1" t="s">
        <v>30</v>
      </c>
      <c r="B19" s="30" t="s">
        <v>13</v>
      </c>
      <c r="C19" s="34"/>
      <c r="D19" s="51"/>
      <c r="E19" s="1"/>
      <c r="F19" s="1"/>
      <c r="G19" s="51"/>
      <c r="H19" s="35"/>
      <c r="I19" s="6" t="s">
        <v>89</v>
      </c>
      <c r="J19" t="s">
        <v>90</v>
      </c>
    </row>
    <row r="20" spans="1:10" x14ac:dyDescent="0.25">
      <c r="A20" s="1" t="s">
        <v>31</v>
      </c>
      <c r="B20" s="30" t="s">
        <v>13</v>
      </c>
      <c r="C20" s="1"/>
      <c r="D20" s="51"/>
      <c r="E20" s="1"/>
      <c r="F20" s="1"/>
      <c r="G20" s="51" t="e">
        <v>#DIV/0!</v>
      </c>
      <c r="H20" s="35" t="e">
        <v>#DIV/0!</v>
      </c>
      <c r="I20" s="6" t="s">
        <v>89</v>
      </c>
      <c r="J20" t="s">
        <v>90</v>
      </c>
    </row>
    <row r="21" spans="1:10" x14ac:dyDescent="0.25">
      <c r="A21" s="1" t="s">
        <v>32</v>
      </c>
      <c r="B21" s="30" t="s">
        <v>13</v>
      </c>
      <c r="C21" s="1"/>
      <c r="D21" s="51"/>
      <c r="E21" s="1"/>
      <c r="F21" s="1"/>
      <c r="G21" s="51" t="e">
        <v>#DIV/0!</v>
      </c>
      <c r="H21" s="35" t="e">
        <v>#DIV/0!</v>
      </c>
      <c r="I21" s="6" t="s">
        <v>89</v>
      </c>
      <c r="J21" t="s">
        <v>90</v>
      </c>
    </row>
    <row r="22" spans="1:10" x14ac:dyDescent="0.25">
      <c r="A22" s="1" t="s">
        <v>33</v>
      </c>
      <c r="B22" s="30" t="s">
        <v>13</v>
      </c>
      <c r="C22" s="34"/>
      <c r="D22" s="51"/>
      <c r="E22" s="1"/>
      <c r="F22" s="1"/>
      <c r="G22" s="51"/>
      <c r="H22" s="35"/>
      <c r="I22" s="6" t="s">
        <v>89</v>
      </c>
      <c r="J22" t="s">
        <v>90</v>
      </c>
    </row>
    <row r="23" spans="1:10" x14ac:dyDescent="0.25">
      <c r="A23" s="1" t="s">
        <v>34</v>
      </c>
      <c r="B23" s="30" t="s">
        <v>13</v>
      </c>
      <c r="C23" s="1"/>
      <c r="D23" s="51"/>
      <c r="E23" s="1"/>
      <c r="F23" s="1"/>
      <c r="G23" s="51" t="e">
        <v>#DIV/0!</v>
      </c>
      <c r="H23" s="35" t="e">
        <v>#DIV/0!</v>
      </c>
      <c r="I23" s="6" t="s">
        <v>89</v>
      </c>
      <c r="J23" t="s">
        <v>90</v>
      </c>
    </row>
    <row r="24" spans="1:10" x14ac:dyDescent="0.25">
      <c r="A24" s="1" t="s">
        <v>35</v>
      </c>
      <c r="B24" s="30" t="s">
        <v>13</v>
      </c>
      <c r="C24" s="1"/>
      <c r="D24" s="51"/>
      <c r="E24" s="1"/>
      <c r="F24" s="1"/>
      <c r="G24" s="51" t="e">
        <v>#DIV/0!</v>
      </c>
      <c r="H24" s="35" t="e">
        <v>#DIV/0!</v>
      </c>
      <c r="I24" s="6" t="s">
        <v>89</v>
      </c>
      <c r="J24" t="s">
        <v>90</v>
      </c>
    </row>
    <row r="25" spans="1:10" x14ac:dyDescent="0.25">
      <c r="A25" s="1" t="s">
        <v>36</v>
      </c>
      <c r="B25" s="30" t="s">
        <v>13</v>
      </c>
      <c r="C25" s="34"/>
      <c r="D25" s="51"/>
      <c r="E25" s="1"/>
      <c r="F25" s="1"/>
      <c r="G25" s="51"/>
      <c r="H25" s="35"/>
      <c r="I25" s="6" t="s">
        <v>89</v>
      </c>
      <c r="J25" t="s">
        <v>90</v>
      </c>
    </row>
    <row r="26" spans="1:10" x14ac:dyDescent="0.25">
      <c r="A26" s="1" t="s">
        <v>37</v>
      </c>
      <c r="B26" s="30" t="s">
        <v>13</v>
      </c>
      <c r="C26" s="1"/>
      <c r="D26" s="51"/>
      <c r="E26" s="1"/>
      <c r="F26" s="1"/>
      <c r="G26" s="51" t="e">
        <v>#DIV/0!</v>
      </c>
      <c r="H26" s="35" t="e">
        <v>#DIV/0!</v>
      </c>
      <c r="I26" s="6" t="s">
        <v>89</v>
      </c>
      <c r="J26" t="s">
        <v>90</v>
      </c>
    </row>
    <row r="27" spans="1:10" x14ac:dyDescent="0.25">
      <c r="A27" s="1" t="s">
        <v>38</v>
      </c>
      <c r="B27" s="30" t="s">
        <v>13</v>
      </c>
      <c r="C27" s="1"/>
      <c r="D27" s="51"/>
      <c r="E27" s="1"/>
      <c r="F27" s="1"/>
      <c r="G27" s="51" t="e">
        <v>#DIV/0!</v>
      </c>
      <c r="H27" s="35" t="e">
        <v>#DIV/0!</v>
      </c>
      <c r="I27" s="6" t="s">
        <v>89</v>
      </c>
      <c r="J27" t="s">
        <v>90</v>
      </c>
    </row>
    <row r="28" spans="1:10" x14ac:dyDescent="0.25">
      <c r="A28" s="4" t="s">
        <v>39</v>
      </c>
      <c r="B28" s="30" t="s">
        <v>13</v>
      </c>
      <c r="C28" s="45"/>
      <c r="D28" s="60"/>
      <c r="E28" s="46"/>
      <c r="F28" s="46"/>
      <c r="G28" s="60"/>
      <c r="H28" s="47"/>
      <c r="I28" s="6" t="s">
        <v>89</v>
      </c>
      <c r="J28" t="s">
        <v>90</v>
      </c>
    </row>
    <row r="29" spans="1:10" x14ac:dyDescent="0.25">
      <c r="A29" s="1" t="s">
        <v>12</v>
      </c>
      <c r="B29" s="30" t="s">
        <v>13</v>
      </c>
      <c r="C29" s="1">
        <v>75</v>
      </c>
      <c r="D29" s="51">
        <v>661.00961538461559</v>
      </c>
      <c r="E29" s="1">
        <v>687.45000000000016</v>
      </c>
      <c r="F29" s="51">
        <v>8.8134615384615405</v>
      </c>
      <c r="G29" s="51">
        <v>78</v>
      </c>
      <c r="H29" s="35">
        <v>0.04</v>
      </c>
      <c r="I29" s="6" t="s">
        <v>91</v>
      </c>
      <c r="J29" t="s">
        <v>90</v>
      </c>
    </row>
    <row r="30" spans="1:10" x14ac:dyDescent="0.25">
      <c r="A30" s="1" t="s">
        <v>14</v>
      </c>
      <c r="B30" s="30" t="s">
        <v>13</v>
      </c>
      <c r="C30" s="1">
        <v>85</v>
      </c>
      <c r="D30" s="51">
        <v>263.5</v>
      </c>
      <c r="E30" s="51">
        <v>263.5</v>
      </c>
      <c r="F30" s="51">
        <v>3.1</v>
      </c>
      <c r="G30" s="51">
        <v>85</v>
      </c>
      <c r="H30" s="35">
        <v>0</v>
      </c>
      <c r="I30" s="6" t="s">
        <v>91</v>
      </c>
      <c r="J30" t="s">
        <v>90</v>
      </c>
    </row>
    <row r="31" spans="1:10" x14ac:dyDescent="0.25">
      <c r="A31" s="1" t="s">
        <v>15</v>
      </c>
      <c r="B31" s="30" t="s">
        <v>13</v>
      </c>
      <c r="C31" s="34"/>
      <c r="D31" s="51"/>
      <c r="E31" s="1">
        <v>395.59999999999997</v>
      </c>
      <c r="F31" s="1"/>
      <c r="G31" s="51"/>
      <c r="H31" s="35"/>
      <c r="I31" s="6" t="s">
        <v>91</v>
      </c>
      <c r="J31" t="s">
        <v>90</v>
      </c>
    </row>
    <row r="32" spans="1:10" x14ac:dyDescent="0.25">
      <c r="A32" s="1" t="s">
        <v>16</v>
      </c>
      <c r="B32" s="30" t="s">
        <v>13</v>
      </c>
      <c r="C32" s="1">
        <v>130</v>
      </c>
      <c r="D32" s="51">
        <v>1173.6624185613612</v>
      </c>
      <c r="E32" s="1">
        <v>1102.8299999999997</v>
      </c>
      <c r="F32" s="51">
        <v>9.0281724504720096</v>
      </c>
      <c r="G32" s="51">
        <v>122.15429047795179</v>
      </c>
      <c r="H32" s="35">
        <v>-6.0351611708063156E-2</v>
      </c>
      <c r="I32" s="6" t="s">
        <v>91</v>
      </c>
      <c r="J32" t="s">
        <v>90</v>
      </c>
    </row>
    <row r="33" spans="1:10" x14ac:dyDescent="0.25">
      <c r="A33" s="1" t="s">
        <v>17</v>
      </c>
      <c r="B33" s="30" t="s">
        <v>13</v>
      </c>
      <c r="C33" s="1">
        <v>140</v>
      </c>
      <c r="D33" s="51">
        <v>2062.9815092453773</v>
      </c>
      <c r="E33" s="1">
        <v>1675.25</v>
      </c>
      <c r="F33" s="51">
        <v>14.735582208895552</v>
      </c>
      <c r="G33" s="51">
        <v>113.68739804448906</v>
      </c>
      <c r="H33" s="35">
        <v>-0.18794715682507815</v>
      </c>
      <c r="I33" s="6" t="s">
        <v>91</v>
      </c>
      <c r="J33" t="s">
        <v>90</v>
      </c>
    </row>
    <row r="34" spans="1:10" x14ac:dyDescent="0.25">
      <c r="A34" s="1" t="s">
        <v>18</v>
      </c>
      <c r="B34" s="30" t="s">
        <v>13</v>
      </c>
      <c r="C34" s="34"/>
      <c r="D34" s="51"/>
      <c r="E34" s="1">
        <v>781.94999999999993</v>
      </c>
      <c r="F34" s="1"/>
      <c r="G34" s="51"/>
      <c r="H34" s="35"/>
      <c r="I34" s="6" t="s">
        <v>91</v>
      </c>
      <c r="J34" t="s">
        <v>90</v>
      </c>
    </row>
    <row r="35" spans="1:10" x14ac:dyDescent="0.25">
      <c r="A35" s="1" t="s">
        <v>19</v>
      </c>
      <c r="B35" s="30" t="s">
        <v>13</v>
      </c>
      <c r="C35" s="1">
        <v>150</v>
      </c>
      <c r="D35" s="51">
        <v>13954.212494720048</v>
      </c>
      <c r="E35" s="1">
        <v>13690.05</v>
      </c>
      <c r="F35" s="51">
        <v>93.028083298133652</v>
      </c>
      <c r="G35" s="51">
        <v>147.16040054406508</v>
      </c>
      <c r="H35" s="35">
        <v>-1.8930663039566108E-2</v>
      </c>
      <c r="I35" s="6" t="s">
        <v>91</v>
      </c>
      <c r="J35" t="s">
        <v>90</v>
      </c>
    </row>
    <row r="36" spans="1:10" x14ac:dyDescent="0.25">
      <c r="A36" s="1" t="s">
        <v>20</v>
      </c>
      <c r="B36" s="30" t="s">
        <v>13</v>
      </c>
      <c r="C36" s="1">
        <v>150</v>
      </c>
      <c r="D36" s="51">
        <v>1841.2291666666667</v>
      </c>
      <c r="E36" s="51">
        <v>1876.4500000000003</v>
      </c>
      <c r="F36" s="51">
        <v>12.274861111111111</v>
      </c>
      <c r="G36" s="51">
        <v>152.86934679052717</v>
      </c>
      <c r="H36" s="35">
        <v>1.9128978603514497E-2</v>
      </c>
      <c r="I36" s="6" t="s">
        <v>91</v>
      </c>
      <c r="J36" t="s">
        <v>90</v>
      </c>
    </row>
    <row r="37" spans="1:10" x14ac:dyDescent="0.25">
      <c r="A37" s="1" t="s">
        <v>21</v>
      </c>
      <c r="B37" s="30" t="s">
        <v>13</v>
      </c>
      <c r="C37" s="34"/>
      <c r="D37" s="51"/>
      <c r="E37" s="1">
        <v>302.14999999999998</v>
      </c>
      <c r="F37" s="1"/>
      <c r="G37" s="51"/>
      <c r="H37" s="35"/>
      <c r="I37" s="6" t="s">
        <v>91</v>
      </c>
      <c r="J37" t="s">
        <v>90</v>
      </c>
    </row>
    <row r="38" spans="1:10" x14ac:dyDescent="0.25">
      <c r="A38" s="1" t="s">
        <v>22</v>
      </c>
      <c r="B38" s="30" t="s">
        <v>13</v>
      </c>
      <c r="C38" s="1">
        <v>150</v>
      </c>
      <c r="D38" s="51">
        <v>3262.8594619666042</v>
      </c>
      <c r="E38" s="1">
        <v>3280.8499999999995</v>
      </c>
      <c r="F38" s="51">
        <v>21.752396413110695</v>
      </c>
      <c r="G38" s="51">
        <v>150.82706004854489</v>
      </c>
      <c r="H38" s="35">
        <v>5.5137336569659589E-3</v>
      </c>
      <c r="I38" s="6" t="s">
        <v>91</v>
      </c>
      <c r="J38" t="s">
        <v>90</v>
      </c>
    </row>
    <row r="39" spans="1:10" x14ac:dyDescent="0.25">
      <c r="A39" s="1" t="s">
        <v>23</v>
      </c>
      <c r="B39" s="30" t="s">
        <v>13</v>
      </c>
      <c r="C39" s="1">
        <v>150</v>
      </c>
      <c r="D39" s="51">
        <v>5910.353002450981</v>
      </c>
      <c r="E39" s="1">
        <v>6325.7699999999995</v>
      </c>
      <c r="F39" s="51">
        <v>39.402353349673206</v>
      </c>
      <c r="G39" s="51">
        <v>160.54294889095664</v>
      </c>
      <c r="H39" s="35">
        <v>7.0286325939710917E-2</v>
      </c>
      <c r="I39" s="6" t="s">
        <v>91</v>
      </c>
      <c r="J39" t="s">
        <v>90</v>
      </c>
    </row>
    <row r="40" spans="1:10" x14ac:dyDescent="0.25">
      <c r="A40" s="1" t="s">
        <v>24</v>
      </c>
      <c r="B40" s="30" t="s">
        <v>13</v>
      </c>
      <c r="C40" s="34"/>
      <c r="D40" s="51"/>
      <c r="E40" s="1"/>
      <c r="F40" s="51"/>
      <c r="G40" s="51"/>
      <c r="H40" s="35"/>
      <c r="I40" s="6" t="s">
        <v>91</v>
      </c>
      <c r="J40" t="s">
        <v>90</v>
      </c>
    </row>
    <row r="41" spans="1:10" x14ac:dyDescent="0.25">
      <c r="A41" s="1" t="s">
        <v>25</v>
      </c>
      <c r="B41" s="30" t="s">
        <v>13</v>
      </c>
      <c r="C41" s="1">
        <v>150</v>
      </c>
      <c r="D41" s="51">
        <v>3224.3286617312629</v>
      </c>
      <c r="E41" s="1">
        <v>3250.0199999999995</v>
      </c>
      <c r="F41" s="51">
        <v>21.495524411541751</v>
      </c>
      <c r="G41" s="51">
        <v>151.1951947659831</v>
      </c>
      <c r="H41" s="35">
        <v>7.967965106554023E-3</v>
      </c>
      <c r="I41" s="6" t="s">
        <v>91</v>
      </c>
      <c r="J41" t="s">
        <v>90</v>
      </c>
    </row>
    <row r="42" spans="1:10" x14ac:dyDescent="0.25">
      <c r="A42" s="1" t="s">
        <v>26</v>
      </c>
      <c r="B42" s="30" t="s">
        <v>13</v>
      </c>
      <c r="C42" s="1">
        <v>150</v>
      </c>
      <c r="D42" s="51">
        <v>1781.3074172185432</v>
      </c>
      <c r="E42" s="1">
        <v>1772.83</v>
      </c>
      <c r="F42" s="51">
        <v>11.875382781456954</v>
      </c>
      <c r="G42" s="51">
        <v>149.28613524510718</v>
      </c>
      <c r="H42" s="35">
        <v>-4.7590983659521651E-3</v>
      </c>
      <c r="I42" s="6" t="s">
        <v>91</v>
      </c>
      <c r="J42" t="s">
        <v>90</v>
      </c>
    </row>
    <row r="43" spans="1:10" x14ac:dyDescent="0.25">
      <c r="A43" s="1" t="s">
        <v>27</v>
      </c>
      <c r="B43" s="30" t="s">
        <v>13</v>
      </c>
      <c r="C43" s="34"/>
      <c r="D43" s="51"/>
      <c r="E43" s="1"/>
      <c r="F43" s="1"/>
      <c r="G43" s="51"/>
      <c r="H43" s="35"/>
      <c r="I43" s="6" t="s">
        <v>91</v>
      </c>
      <c r="J43" t="s">
        <v>90</v>
      </c>
    </row>
    <row r="44" spans="1:10" x14ac:dyDescent="0.25">
      <c r="A44" s="1" t="s">
        <v>28</v>
      </c>
      <c r="B44" s="30" t="s">
        <v>13</v>
      </c>
      <c r="C44" s="1">
        <v>155</v>
      </c>
      <c r="D44" s="51">
        <v>364.27672413793107</v>
      </c>
      <c r="E44" s="1">
        <v>380.15</v>
      </c>
      <c r="F44" s="51">
        <v>2.3501724137931035</v>
      </c>
      <c r="G44" s="51">
        <v>161.75408994204386</v>
      </c>
      <c r="H44" s="35">
        <v>4.357477381963782E-2</v>
      </c>
      <c r="I44" s="6" t="s">
        <v>91</v>
      </c>
      <c r="J44" t="s">
        <v>90</v>
      </c>
    </row>
    <row r="45" spans="1:10" x14ac:dyDescent="0.25">
      <c r="A45" s="1" t="s">
        <v>29</v>
      </c>
      <c r="B45" s="30" t="s">
        <v>13</v>
      </c>
      <c r="C45" s="1">
        <v>165</v>
      </c>
      <c r="D45" s="51">
        <v>9127.2526026029464</v>
      </c>
      <c r="E45" s="1">
        <v>9815.5</v>
      </c>
      <c r="F45" s="51">
        <v>55.316682440017857</v>
      </c>
      <c r="G45" s="51">
        <v>177.44195000564881</v>
      </c>
      <c r="H45" s="35">
        <v>7.5405757609992768E-2</v>
      </c>
      <c r="I45" s="6" t="s">
        <v>91</v>
      </c>
      <c r="J45" t="s">
        <v>90</v>
      </c>
    </row>
    <row r="46" spans="1:10" x14ac:dyDescent="0.25">
      <c r="A46" s="1" t="s">
        <v>30</v>
      </c>
      <c r="B46" s="30" t="s">
        <v>13</v>
      </c>
      <c r="C46" s="34"/>
      <c r="D46" s="51"/>
      <c r="E46" s="1"/>
      <c r="F46" s="1"/>
      <c r="G46" s="51"/>
      <c r="H46" s="35"/>
      <c r="I46" s="6" t="s">
        <v>91</v>
      </c>
      <c r="J46" t="s">
        <v>90</v>
      </c>
    </row>
    <row r="47" spans="1:10" x14ac:dyDescent="0.25">
      <c r="A47" s="1" t="s">
        <v>31</v>
      </c>
      <c r="B47" s="30" t="s">
        <v>13</v>
      </c>
      <c r="C47" s="1"/>
      <c r="D47" s="51"/>
      <c r="E47" s="1"/>
      <c r="F47" s="1"/>
      <c r="G47" s="51" t="e">
        <v>#DIV/0!</v>
      </c>
      <c r="H47" s="35" t="e">
        <v>#DIV/0!</v>
      </c>
      <c r="I47" s="6" t="s">
        <v>91</v>
      </c>
      <c r="J47" t="s">
        <v>90</v>
      </c>
    </row>
    <row r="48" spans="1:10" x14ac:dyDescent="0.25">
      <c r="A48" s="1" t="s">
        <v>32</v>
      </c>
      <c r="B48" s="30" t="s">
        <v>13</v>
      </c>
      <c r="C48" s="1"/>
      <c r="D48" s="51"/>
      <c r="E48" s="1"/>
      <c r="F48" s="1"/>
      <c r="G48" s="51" t="e">
        <v>#DIV/0!</v>
      </c>
      <c r="H48" s="35" t="e">
        <v>#DIV/0!</v>
      </c>
      <c r="I48" s="6" t="s">
        <v>91</v>
      </c>
      <c r="J48" t="s">
        <v>90</v>
      </c>
    </row>
    <row r="49" spans="1:10" x14ac:dyDescent="0.25">
      <c r="A49" s="1" t="s">
        <v>33</v>
      </c>
      <c r="B49" s="30" t="s">
        <v>13</v>
      </c>
      <c r="C49" s="34"/>
      <c r="D49" s="51"/>
      <c r="E49" s="1"/>
      <c r="F49" s="1"/>
      <c r="G49" s="51"/>
      <c r="H49" s="35"/>
      <c r="I49" s="6" t="s">
        <v>91</v>
      </c>
      <c r="J49" t="s">
        <v>90</v>
      </c>
    </row>
    <row r="50" spans="1:10" x14ac:dyDescent="0.25">
      <c r="A50" s="1" t="s">
        <v>34</v>
      </c>
      <c r="B50" s="30" t="s">
        <v>13</v>
      </c>
      <c r="C50" s="1"/>
      <c r="D50" s="51"/>
      <c r="E50" s="1"/>
      <c r="F50" s="1"/>
      <c r="G50" s="51" t="e">
        <v>#DIV/0!</v>
      </c>
      <c r="H50" s="35" t="e">
        <v>#DIV/0!</v>
      </c>
      <c r="I50" s="6" t="s">
        <v>91</v>
      </c>
      <c r="J50" t="s">
        <v>90</v>
      </c>
    </row>
    <row r="51" spans="1:10" x14ac:dyDescent="0.25">
      <c r="A51" s="1" t="s">
        <v>35</v>
      </c>
      <c r="B51" s="30" t="s">
        <v>13</v>
      </c>
      <c r="C51" s="1"/>
      <c r="D51" s="51"/>
      <c r="E51" s="1"/>
      <c r="F51" s="1"/>
      <c r="G51" s="51" t="e">
        <v>#DIV/0!</v>
      </c>
      <c r="H51" s="35" t="e">
        <v>#DIV/0!</v>
      </c>
      <c r="I51" s="6" t="s">
        <v>91</v>
      </c>
      <c r="J51" t="s">
        <v>90</v>
      </c>
    </row>
    <row r="52" spans="1:10" x14ac:dyDescent="0.25">
      <c r="A52" s="1" t="s">
        <v>36</v>
      </c>
      <c r="B52" s="30" t="s">
        <v>13</v>
      </c>
      <c r="C52" s="34"/>
      <c r="D52" s="51"/>
      <c r="E52" s="1"/>
      <c r="F52" s="1"/>
      <c r="G52" s="51"/>
      <c r="H52" s="35"/>
      <c r="I52" s="6" t="s">
        <v>91</v>
      </c>
      <c r="J52" t="s">
        <v>90</v>
      </c>
    </row>
    <row r="53" spans="1:10" x14ac:dyDescent="0.25">
      <c r="A53" s="1" t="s">
        <v>37</v>
      </c>
      <c r="B53" s="30" t="s">
        <v>13</v>
      </c>
      <c r="C53" s="1">
        <v>160</v>
      </c>
      <c r="D53" s="51">
        <v>0</v>
      </c>
      <c r="E53" s="1"/>
      <c r="F53" s="1"/>
      <c r="G53" s="51" t="e">
        <v>#DIV/0!</v>
      </c>
      <c r="H53" s="35" t="e">
        <v>#DIV/0!</v>
      </c>
      <c r="I53" s="6" t="s">
        <v>91</v>
      </c>
      <c r="J53" t="s">
        <v>90</v>
      </c>
    </row>
    <row r="54" spans="1:10" x14ac:dyDescent="0.25">
      <c r="A54" s="1" t="s">
        <v>38</v>
      </c>
      <c r="B54" s="30" t="s">
        <v>13</v>
      </c>
      <c r="C54" s="1">
        <v>170</v>
      </c>
      <c r="D54" s="51">
        <v>1879.0666666666666</v>
      </c>
      <c r="E54" s="1">
        <v>1658</v>
      </c>
      <c r="F54" s="51">
        <v>11.053333333333333</v>
      </c>
      <c r="G54" s="51">
        <v>150</v>
      </c>
      <c r="H54" s="35">
        <v>-0.11764705882352941</v>
      </c>
      <c r="I54" s="6" t="s">
        <v>91</v>
      </c>
      <c r="J54" t="s">
        <v>90</v>
      </c>
    </row>
    <row r="55" spans="1:10" x14ac:dyDescent="0.25">
      <c r="A55" s="1" t="s">
        <v>39</v>
      </c>
      <c r="B55" s="30" t="s">
        <v>13</v>
      </c>
      <c r="C55" s="45"/>
      <c r="D55" s="60"/>
      <c r="E55" s="46"/>
      <c r="F55" s="46"/>
      <c r="G55" s="60"/>
      <c r="H55" s="47"/>
      <c r="I55" s="6" t="s">
        <v>91</v>
      </c>
      <c r="J55" t="s">
        <v>90</v>
      </c>
    </row>
    <row r="56" spans="1:10" x14ac:dyDescent="0.25">
      <c r="A56" s="1" t="s">
        <v>12</v>
      </c>
      <c r="B56" s="30" t="s">
        <v>13</v>
      </c>
      <c r="C56" s="1"/>
      <c r="D56" s="51"/>
      <c r="E56" s="1"/>
      <c r="F56" s="1"/>
      <c r="G56" s="51" t="e">
        <v>#DIV/0!</v>
      </c>
      <c r="H56" s="35" t="e">
        <v>#DIV/0!</v>
      </c>
      <c r="I56" s="6" t="s">
        <v>92</v>
      </c>
      <c r="J56" t="s">
        <v>90</v>
      </c>
    </row>
    <row r="57" spans="1:10" x14ac:dyDescent="0.25">
      <c r="A57" s="1" t="s">
        <v>14</v>
      </c>
      <c r="B57" s="30" t="s">
        <v>13</v>
      </c>
      <c r="C57" s="1"/>
      <c r="D57" s="51"/>
      <c r="E57" s="1"/>
      <c r="F57" s="1"/>
      <c r="G57" s="51" t="e">
        <v>#DIV/0!</v>
      </c>
      <c r="H57" s="35" t="e">
        <v>#DIV/0!</v>
      </c>
      <c r="I57" s="6" t="s">
        <v>92</v>
      </c>
      <c r="J57" t="s">
        <v>90</v>
      </c>
    </row>
    <row r="58" spans="1:10" x14ac:dyDescent="0.25">
      <c r="A58" s="1" t="s">
        <v>15</v>
      </c>
      <c r="B58" s="30" t="s">
        <v>13</v>
      </c>
      <c r="C58" s="34"/>
      <c r="D58" s="51"/>
      <c r="E58" s="1"/>
      <c r="F58" s="1"/>
      <c r="G58" s="51"/>
      <c r="H58" s="35"/>
      <c r="I58" s="6" t="s">
        <v>92</v>
      </c>
      <c r="J58" t="s">
        <v>90</v>
      </c>
    </row>
    <row r="59" spans="1:10" x14ac:dyDescent="0.25">
      <c r="A59" s="1" t="s">
        <v>16</v>
      </c>
      <c r="B59" s="30" t="s">
        <v>13</v>
      </c>
      <c r="C59" s="1">
        <v>170</v>
      </c>
      <c r="D59" s="51">
        <v>27534.345743719754</v>
      </c>
      <c r="E59" s="1">
        <v>28320.839999999989</v>
      </c>
      <c r="F59" s="51">
        <v>161.96673966893974</v>
      </c>
      <c r="G59" s="51">
        <v>174.85589978465845</v>
      </c>
      <c r="H59" s="35">
        <v>2.8564116380343809E-2</v>
      </c>
      <c r="I59" s="6" t="s">
        <v>92</v>
      </c>
      <c r="J59" t="s">
        <v>90</v>
      </c>
    </row>
    <row r="60" spans="1:10" x14ac:dyDescent="0.25">
      <c r="A60" s="1" t="s">
        <v>17</v>
      </c>
      <c r="B60" s="30" t="s">
        <v>13</v>
      </c>
      <c r="C60" s="1">
        <v>195</v>
      </c>
      <c r="D60" s="51">
        <v>38044.87417235499</v>
      </c>
      <c r="E60" s="1">
        <v>40049.380000000005</v>
      </c>
      <c r="F60" s="51">
        <v>195.10191883258969</v>
      </c>
      <c r="G60" s="51">
        <v>205.27414717209939</v>
      </c>
      <c r="H60" s="35">
        <v>5.2687934215894308E-2</v>
      </c>
      <c r="I60" s="6" t="s">
        <v>92</v>
      </c>
      <c r="J60" t="s">
        <v>90</v>
      </c>
    </row>
    <row r="61" spans="1:10" x14ac:dyDescent="0.25">
      <c r="A61" s="1" t="s">
        <v>18</v>
      </c>
      <c r="B61" s="30" t="s">
        <v>13</v>
      </c>
      <c r="C61" s="34"/>
      <c r="D61" s="51">
        <v>0</v>
      </c>
      <c r="E61" s="1"/>
      <c r="F61" s="1"/>
      <c r="G61" s="51"/>
      <c r="H61" s="35"/>
      <c r="I61" s="6" t="s">
        <v>92</v>
      </c>
      <c r="J61" t="s">
        <v>90</v>
      </c>
    </row>
    <row r="62" spans="1:10" x14ac:dyDescent="0.25">
      <c r="A62" s="1" t="s">
        <v>19</v>
      </c>
      <c r="B62" s="30" t="s">
        <v>13</v>
      </c>
      <c r="C62" s="1">
        <v>195</v>
      </c>
      <c r="D62" s="51">
        <v>709.95145631067965</v>
      </c>
      <c r="E62" s="1">
        <v>750</v>
      </c>
      <c r="F62" s="51">
        <v>3.6407766990291264</v>
      </c>
      <c r="G62" s="51">
        <v>206</v>
      </c>
      <c r="H62" s="35">
        <v>5.6410256410256411E-2</v>
      </c>
      <c r="I62" s="6" t="s">
        <v>92</v>
      </c>
      <c r="J62" t="s">
        <v>90</v>
      </c>
    </row>
    <row r="63" spans="1:10" x14ac:dyDescent="0.25">
      <c r="A63" s="1" t="s">
        <v>20</v>
      </c>
      <c r="B63" s="30" t="s">
        <v>13</v>
      </c>
      <c r="C63" s="1">
        <v>195</v>
      </c>
      <c r="D63" s="51">
        <v>11313.447564309312</v>
      </c>
      <c r="E63" s="1">
        <v>12508.599999999999</v>
      </c>
      <c r="F63" s="51">
        <v>58.017679816970833</v>
      </c>
      <c r="G63" s="51">
        <v>215.59979715598848</v>
      </c>
      <c r="H63" s="35">
        <v>0.10563998541532556</v>
      </c>
      <c r="I63" s="6" t="s">
        <v>92</v>
      </c>
      <c r="J63" t="s">
        <v>90</v>
      </c>
    </row>
    <row r="64" spans="1:10" x14ac:dyDescent="0.25">
      <c r="A64" s="1" t="s">
        <v>21</v>
      </c>
      <c r="B64" s="30" t="s">
        <v>13</v>
      </c>
      <c r="C64" s="34"/>
      <c r="D64" s="51"/>
      <c r="E64" s="1"/>
      <c r="F64" s="1"/>
      <c r="G64" s="51"/>
      <c r="H64" s="35"/>
      <c r="I64" s="6" t="s">
        <v>92</v>
      </c>
      <c r="J64" t="s">
        <v>90</v>
      </c>
    </row>
    <row r="65" spans="1:10" x14ac:dyDescent="0.25">
      <c r="A65" s="1" t="s">
        <v>22</v>
      </c>
      <c r="B65" s="30" t="s">
        <v>13</v>
      </c>
      <c r="C65" s="1"/>
      <c r="D65" s="51"/>
      <c r="E65" s="1"/>
      <c r="F65" s="1"/>
      <c r="G65" s="51" t="e">
        <v>#DIV/0!</v>
      </c>
      <c r="H65" s="35" t="e">
        <v>#DIV/0!</v>
      </c>
      <c r="I65" s="6" t="s">
        <v>92</v>
      </c>
      <c r="J65" t="s">
        <v>90</v>
      </c>
    </row>
    <row r="66" spans="1:10" x14ac:dyDescent="0.25">
      <c r="A66" s="1" t="s">
        <v>23</v>
      </c>
      <c r="B66" s="30" t="s">
        <v>13</v>
      </c>
      <c r="C66" s="1"/>
      <c r="D66" s="51"/>
      <c r="E66" s="1"/>
      <c r="F66" s="1"/>
      <c r="G66" s="51" t="e">
        <v>#DIV/0!</v>
      </c>
      <c r="H66" s="35" t="e">
        <v>#DIV/0!</v>
      </c>
      <c r="I66" s="6" t="s">
        <v>92</v>
      </c>
      <c r="J66" t="s">
        <v>90</v>
      </c>
    </row>
    <row r="67" spans="1:10" x14ac:dyDescent="0.25">
      <c r="A67" s="1" t="s">
        <v>24</v>
      </c>
      <c r="B67" s="30" t="s">
        <v>13</v>
      </c>
      <c r="C67" s="34"/>
      <c r="D67" s="51"/>
      <c r="E67" s="1"/>
      <c r="F67" s="1"/>
      <c r="G67" s="51"/>
      <c r="H67" s="35"/>
      <c r="I67" s="6" t="s">
        <v>92</v>
      </c>
      <c r="J67" t="s">
        <v>90</v>
      </c>
    </row>
    <row r="68" spans="1:10" x14ac:dyDescent="0.25">
      <c r="A68" s="1" t="s">
        <v>25</v>
      </c>
      <c r="B68" s="30" t="s">
        <v>13</v>
      </c>
      <c r="C68" s="1"/>
      <c r="D68" s="51"/>
      <c r="E68" s="1"/>
      <c r="F68" s="1"/>
      <c r="G68" s="51" t="e">
        <v>#DIV/0!</v>
      </c>
      <c r="H68" s="35" t="e">
        <v>#DIV/0!</v>
      </c>
      <c r="I68" s="6" t="s">
        <v>92</v>
      </c>
      <c r="J68" t="s">
        <v>90</v>
      </c>
    </row>
    <row r="69" spans="1:10" x14ac:dyDescent="0.25">
      <c r="A69" s="1" t="s">
        <v>26</v>
      </c>
      <c r="B69" s="30" t="s">
        <v>13</v>
      </c>
      <c r="C69" s="1"/>
      <c r="D69" s="51"/>
      <c r="E69" s="1"/>
      <c r="F69" s="1"/>
      <c r="G69" s="51" t="e">
        <v>#DIV/0!</v>
      </c>
      <c r="H69" s="35" t="e">
        <v>#DIV/0!</v>
      </c>
      <c r="I69" s="6" t="s">
        <v>92</v>
      </c>
      <c r="J69" t="s">
        <v>90</v>
      </c>
    </row>
    <row r="70" spans="1:10" x14ac:dyDescent="0.25">
      <c r="A70" s="1" t="s">
        <v>27</v>
      </c>
      <c r="B70" s="30" t="s">
        <v>13</v>
      </c>
      <c r="C70" s="34"/>
      <c r="D70" s="51"/>
      <c r="E70" s="1"/>
      <c r="F70" s="1"/>
      <c r="G70" s="51"/>
      <c r="H70" s="35"/>
      <c r="I70" s="6" t="s">
        <v>92</v>
      </c>
      <c r="J70" t="s">
        <v>90</v>
      </c>
    </row>
    <row r="71" spans="1:10" x14ac:dyDescent="0.25">
      <c r="A71" s="1" t="s">
        <v>28</v>
      </c>
      <c r="B71" s="30" t="s">
        <v>13</v>
      </c>
      <c r="C71" s="1"/>
      <c r="D71" s="51"/>
      <c r="E71" s="1"/>
      <c r="F71" s="1"/>
      <c r="G71" s="51" t="e">
        <v>#DIV/0!</v>
      </c>
      <c r="H71" s="35" t="e">
        <v>#DIV/0!</v>
      </c>
      <c r="I71" s="6" t="s">
        <v>92</v>
      </c>
      <c r="J71" t="s">
        <v>90</v>
      </c>
    </row>
    <row r="72" spans="1:10" x14ac:dyDescent="0.25">
      <c r="A72" s="1" t="s">
        <v>29</v>
      </c>
      <c r="B72" s="30" t="s">
        <v>13</v>
      </c>
      <c r="C72" s="1"/>
      <c r="D72" s="51"/>
      <c r="E72" s="1"/>
      <c r="F72" s="1"/>
      <c r="G72" s="51" t="e">
        <v>#DIV/0!</v>
      </c>
      <c r="H72" s="35" t="e">
        <v>#DIV/0!</v>
      </c>
      <c r="I72" s="6" t="s">
        <v>92</v>
      </c>
      <c r="J72" t="s">
        <v>90</v>
      </c>
    </row>
    <row r="73" spans="1:10" x14ac:dyDescent="0.25">
      <c r="A73" s="1" t="s">
        <v>30</v>
      </c>
      <c r="B73" s="30" t="s">
        <v>13</v>
      </c>
      <c r="C73" s="34"/>
      <c r="D73" s="51"/>
      <c r="E73" s="1"/>
      <c r="F73" s="1"/>
      <c r="G73" s="51"/>
      <c r="H73" s="35"/>
      <c r="I73" s="6" t="s">
        <v>92</v>
      </c>
      <c r="J73" t="s">
        <v>90</v>
      </c>
    </row>
    <row r="74" spans="1:10" x14ac:dyDescent="0.25">
      <c r="A74" s="1" t="s">
        <v>31</v>
      </c>
      <c r="B74" s="30" t="s">
        <v>13</v>
      </c>
      <c r="C74" s="34"/>
      <c r="D74" s="51"/>
      <c r="E74" s="1"/>
      <c r="F74" s="1"/>
      <c r="G74" s="51" t="e">
        <v>#DIV/0!</v>
      </c>
      <c r="H74" s="35" t="e">
        <v>#DIV/0!</v>
      </c>
      <c r="I74" s="6" t="s">
        <v>92</v>
      </c>
      <c r="J74" t="s">
        <v>90</v>
      </c>
    </row>
    <row r="75" spans="1:10" x14ac:dyDescent="0.25">
      <c r="A75" s="1" t="s">
        <v>32</v>
      </c>
      <c r="B75" s="30" t="s">
        <v>13</v>
      </c>
      <c r="C75" s="34"/>
      <c r="D75" s="51"/>
      <c r="E75" s="1"/>
      <c r="F75" s="1"/>
      <c r="G75" s="51" t="e">
        <v>#DIV/0!</v>
      </c>
      <c r="H75" s="35" t="e">
        <v>#DIV/0!</v>
      </c>
      <c r="I75" s="6" t="s">
        <v>92</v>
      </c>
      <c r="J75" t="s">
        <v>90</v>
      </c>
    </row>
    <row r="76" spans="1:10" x14ac:dyDescent="0.25">
      <c r="A76" s="1" t="s">
        <v>33</v>
      </c>
      <c r="B76" s="30" t="s">
        <v>13</v>
      </c>
      <c r="C76" s="34"/>
      <c r="D76" s="51"/>
      <c r="E76" s="1"/>
      <c r="F76" s="1"/>
      <c r="G76" s="51"/>
      <c r="H76" s="35"/>
      <c r="I76" s="6" t="s">
        <v>92</v>
      </c>
      <c r="J76" t="s">
        <v>90</v>
      </c>
    </row>
    <row r="77" spans="1:10" x14ac:dyDescent="0.25">
      <c r="A77" s="1" t="s">
        <v>34</v>
      </c>
      <c r="B77" s="30" t="s">
        <v>13</v>
      </c>
      <c r="C77" s="34"/>
      <c r="D77" s="51"/>
      <c r="E77" s="1"/>
      <c r="F77" s="1"/>
      <c r="G77" s="51"/>
      <c r="H77" s="35"/>
      <c r="I77" s="6" t="s">
        <v>92</v>
      </c>
      <c r="J77" t="s">
        <v>90</v>
      </c>
    </row>
    <row r="78" spans="1:10" x14ac:dyDescent="0.25">
      <c r="A78" s="1" t="s">
        <v>35</v>
      </c>
      <c r="B78" s="30" t="s">
        <v>13</v>
      </c>
      <c r="C78" s="34"/>
      <c r="D78" s="51"/>
      <c r="E78" s="1"/>
      <c r="F78" s="1"/>
      <c r="G78" s="51"/>
      <c r="H78" s="35"/>
      <c r="I78" s="6" t="s">
        <v>92</v>
      </c>
      <c r="J78" t="s">
        <v>90</v>
      </c>
    </row>
    <row r="79" spans="1:10" x14ac:dyDescent="0.25">
      <c r="A79" s="1" t="s">
        <v>36</v>
      </c>
      <c r="B79" s="30" t="s">
        <v>13</v>
      </c>
      <c r="C79" s="34"/>
      <c r="D79" s="51"/>
      <c r="E79" s="1"/>
      <c r="F79" s="1"/>
      <c r="G79" s="51"/>
      <c r="H79" s="35"/>
      <c r="I79" s="6" t="s">
        <v>92</v>
      </c>
      <c r="J79" t="s">
        <v>90</v>
      </c>
    </row>
    <row r="80" spans="1:10" x14ac:dyDescent="0.25">
      <c r="A80" s="1" t="s">
        <v>37</v>
      </c>
      <c r="B80" s="30" t="s">
        <v>13</v>
      </c>
      <c r="C80" s="34"/>
      <c r="D80" s="51">
        <v>0</v>
      </c>
      <c r="E80" s="1"/>
      <c r="F80" s="1"/>
      <c r="G80" s="51" t="e">
        <v>#DIV/0!</v>
      </c>
      <c r="H80" s="35" t="e">
        <v>#DIV/0!</v>
      </c>
      <c r="I80" s="6" t="s">
        <v>92</v>
      </c>
      <c r="J80" t="s">
        <v>90</v>
      </c>
    </row>
    <row r="81" spans="1:10" x14ac:dyDescent="0.25">
      <c r="A81" s="1" t="s">
        <v>38</v>
      </c>
      <c r="B81" s="30" t="s">
        <v>13</v>
      </c>
      <c r="C81" s="34"/>
      <c r="D81" s="51">
        <v>0</v>
      </c>
      <c r="E81" s="1"/>
      <c r="F81" s="1"/>
      <c r="G81" s="51" t="e">
        <v>#DIV/0!</v>
      </c>
      <c r="H81" s="35" t="e">
        <v>#DIV/0!</v>
      </c>
      <c r="I81" s="6" t="s">
        <v>92</v>
      </c>
      <c r="J81" t="s">
        <v>90</v>
      </c>
    </row>
    <row r="82" spans="1:10" x14ac:dyDescent="0.25">
      <c r="A82" s="1" t="s">
        <v>39</v>
      </c>
      <c r="B82" s="30" t="s">
        <v>13</v>
      </c>
      <c r="C82" s="45"/>
      <c r="D82" s="51">
        <v>0</v>
      </c>
      <c r="E82" s="46"/>
      <c r="F82" s="46"/>
      <c r="G82" s="60"/>
      <c r="H82" s="47"/>
      <c r="I82" s="6" t="s">
        <v>92</v>
      </c>
      <c r="J82" t="s">
        <v>90</v>
      </c>
    </row>
    <row r="83" spans="1:10" x14ac:dyDescent="0.25">
      <c r="A83" s="1" t="s">
        <v>12</v>
      </c>
      <c r="B83" s="30" t="s">
        <v>13</v>
      </c>
      <c r="C83" s="1"/>
      <c r="D83" s="51">
        <v>0</v>
      </c>
      <c r="E83" s="1"/>
      <c r="F83" s="1"/>
      <c r="G83" s="51" t="e">
        <v>#DIV/0!</v>
      </c>
      <c r="H83" s="35" t="e">
        <v>#DIV/0!</v>
      </c>
      <c r="I83" s="6" t="s">
        <v>93</v>
      </c>
      <c r="J83" t="s">
        <v>90</v>
      </c>
    </row>
    <row r="84" spans="1:10" x14ac:dyDescent="0.25">
      <c r="A84" s="1" t="s">
        <v>14</v>
      </c>
      <c r="B84" s="30" t="s">
        <v>13</v>
      </c>
      <c r="C84" s="32"/>
      <c r="D84" s="51">
        <v>0</v>
      </c>
      <c r="E84" s="1"/>
      <c r="F84" s="1"/>
      <c r="G84" s="51" t="e">
        <v>#DIV/0!</v>
      </c>
      <c r="H84" s="35" t="e">
        <v>#DIV/0!</v>
      </c>
      <c r="I84" s="6" t="s">
        <v>93</v>
      </c>
      <c r="J84" t="s">
        <v>90</v>
      </c>
    </row>
    <row r="85" spans="1:10" x14ac:dyDescent="0.25">
      <c r="A85" s="1" t="s">
        <v>15</v>
      </c>
      <c r="B85" s="30" t="s">
        <v>13</v>
      </c>
      <c r="C85" s="32"/>
      <c r="D85" s="51">
        <v>0</v>
      </c>
      <c r="E85" s="1"/>
      <c r="F85" s="1"/>
      <c r="G85" s="51" t="e">
        <v>#DIV/0!</v>
      </c>
      <c r="H85" s="35" t="e">
        <v>#DIV/0!</v>
      </c>
      <c r="I85" s="6" t="s">
        <v>93</v>
      </c>
      <c r="J85" t="s">
        <v>90</v>
      </c>
    </row>
    <row r="86" spans="1:10" x14ac:dyDescent="0.25">
      <c r="A86" s="1" t="s">
        <v>16</v>
      </c>
      <c r="B86" s="30" t="s">
        <v>13</v>
      </c>
      <c r="C86" s="32"/>
      <c r="D86" s="51">
        <v>0</v>
      </c>
      <c r="E86" s="1"/>
      <c r="F86" s="1"/>
      <c r="G86" s="51" t="e">
        <v>#DIV/0!</v>
      </c>
      <c r="H86" s="35" t="e">
        <v>#DIV/0!</v>
      </c>
      <c r="I86" s="6" t="s">
        <v>93</v>
      </c>
      <c r="J86" t="s">
        <v>90</v>
      </c>
    </row>
    <row r="87" spans="1:10" x14ac:dyDescent="0.25">
      <c r="A87" s="1" t="s">
        <v>17</v>
      </c>
      <c r="B87" s="30" t="s">
        <v>13</v>
      </c>
      <c r="C87" s="32">
        <v>140</v>
      </c>
      <c r="D87" s="51">
        <v>4686.1125869702719</v>
      </c>
      <c r="E87" s="1">
        <v>5136</v>
      </c>
      <c r="F87" s="51">
        <v>33.472232764073368</v>
      </c>
      <c r="G87" s="51">
        <v>153.44061557532561</v>
      </c>
      <c r="H87" s="35">
        <v>9.6004396966611491E-2</v>
      </c>
      <c r="I87" s="6" t="s">
        <v>93</v>
      </c>
      <c r="J87" t="s">
        <v>90</v>
      </c>
    </row>
    <row r="88" spans="1:10" x14ac:dyDescent="0.25">
      <c r="A88" s="1" t="s">
        <v>18</v>
      </c>
      <c r="B88" s="30" t="s">
        <v>13</v>
      </c>
      <c r="C88" s="32"/>
      <c r="D88" s="51">
        <v>0</v>
      </c>
      <c r="E88" s="1"/>
      <c r="F88" s="1"/>
      <c r="G88" s="51" t="e">
        <v>#DIV/0!</v>
      </c>
      <c r="H88" s="35" t="e">
        <v>#DIV/0!</v>
      </c>
      <c r="I88" s="6" t="s">
        <v>93</v>
      </c>
      <c r="J88" t="s">
        <v>90</v>
      </c>
    </row>
    <row r="89" spans="1:10" x14ac:dyDescent="0.25">
      <c r="A89" s="1" t="s">
        <v>19</v>
      </c>
      <c r="B89" s="30" t="s">
        <v>13</v>
      </c>
      <c r="C89" s="32"/>
      <c r="D89" s="51">
        <v>0</v>
      </c>
      <c r="E89" s="1"/>
      <c r="F89" s="1"/>
      <c r="G89" s="51" t="e">
        <v>#DIV/0!</v>
      </c>
      <c r="H89" s="35" t="e">
        <v>#DIV/0!</v>
      </c>
      <c r="I89" s="6" t="s">
        <v>93</v>
      </c>
      <c r="J89" t="s">
        <v>90</v>
      </c>
    </row>
    <row r="90" spans="1:10" x14ac:dyDescent="0.25">
      <c r="A90" s="1" t="s">
        <v>20</v>
      </c>
      <c r="B90" s="30" t="s">
        <v>13</v>
      </c>
      <c r="C90" s="32"/>
      <c r="D90" s="51">
        <v>0</v>
      </c>
      <c r="E90" s="1"/>
      <c r="F90" s="1"/>
      <c r="G90" s="51" t="e">
        <v>#DIV/0!</v>
      </c>
      <c r="H90" s="35" t="e">
        <v>#DIV/0!</v>
      </c>
      <c r="I90" s="6" t="s">
        <v>93</v>
      </c>
      <c r="J90" t="s">
        <v>90</v>
      </c>
    </row>
    <row r="91" spans="1:10" x14ac:dyDescent="0.25">
      <c r="A91" s="1" t="s">
        <v>21</v>
      </c>
      <c r="B91" s="30" t="s">
        <v>13</v>
      </c>
      <c r="C91" s="32"/>
      <c r="D91" s="51">
        <v>0</v>
      </c>
      <c r="E91" s="1"/>
      <c r="F91" s="1"/>
      <c r="G91" s="51" t="e">
        <v>#DIV/0!</v>
      </c>
      <c r="H91" s="35" t="e">
        <v>#DIV/0!</v>
      </c>
      <c r="I91" s="6" t="s">
        <v>93</v>
      </c>
      <c r="J91" t="s">
        <v>90</v>
      </c>
    </row>
    <row r="92" spans="1:10" x14ac:dyDescent="0.25">
      <c r="A92" s="1" t="s">
        <v>22</v>
      </c>
      <c r="B92" s="30" t="s">
        <v>13</v>
      </c>
      <c r="C92" s="32">
        <v>150</v>
      </c>
      <c r="D92" s="51">
        <v>298.61111111111109</v>
      </c>
      <c r="E92" s="1">
        <v>322.5</v>
      </c>
      <c r="F92" s="51">
        <v>1.9907407407407407</v>
      </c>
      <c r="G92" s="51">
        <v>162</v>
      </c>
      <c r="H92" s="35">
        <v>0.08</v>
      </c>
      <c r="I92" s="6" t="s">
        <v>93</v>
      </c>
      <c r="J92" t="s">
        <v>90</v>
      </c>
    </row>
    <row r="93" spans="1:10" x14ac:dyDescent="0.25">
      <c r="A93" s="1" t="s">
        <v>23</v>
      </c>
      <c r="B93" s="30" t="s">
        <v>13</v>
      </c>
      <c r="C93" s="32">
        <v>150</v>
      </c>
      <c r="D93" s="51">
        <v>5026.8420896584448</v>
      </c>
      <c r="E93" s="1">
        <v>5391.5</v>
      </c>
      <c r="F93" s="51">
        <v>33.512280597722963</v>
      </c>
      <c r="G93" s="51">
        <v>160.88132182702995</v>
      </c>
      <c r="H93" s="35">
        <v>7.2542145513532996E-2</v>
      </c>
      <c r="I93" s="6" t="s">
        <v>93</v>
      </c>
      <c r="J93" t="s">
        <v>90</v>
      </c>
    </row>
    <row r="94" spans="1:10" x14ac:dyDescent="0.25">
      <c r="A94" s="1" t="s">
        <v>24</v>
      </c>
      <c r="B94" s="30" t="s">
        <v>13</v>
      </c>
      <c r="C94" s="32"/>
      <c r="D94" s="51">
        <v>0</v>
      </c>
      <c r="E94" s="1"/>
      <c r="F94" s="1"/>
      <c r="G94" s="51" t="e">
        <v>#DIV/0!</v>
      </c>
      <c r="H94" s="35" t="e">
        <v>#DIV/0!</v>
      </c>
      <c r="I94" s="6" t="s">
        <v>93</v>
      </c>
      <c r="J94" t="s">
        <v>90</v>
      </c>
    </row>
    <row r="95" spans="1:10" x14ac:dyDescent="0.25">
      <c r="A95" s="1" t="s">
        <v>25</v>
      </c>
      <c r="B95" s="30" t="s">
        <v>13</v>
      </c>
      <c r="C95" s="32"/>
      <c r="D95" s="51">
        <v>0</v>
      </c>
      <c r="E95" s="1"/>
      <c r="F95" s="1"/>
      <c r="G95" s="51" t="e">
        <v>#DIV/0!</v>
      </c>
      <c r="H95" s="35" t="e">
        <v>#DIV/0!</v>
      </c>
      <c r="I95" s="6" t="s">
        <v>93</v>
      </c>
      <c r="J95" t="s">
        <v>90</v>
      </c>
    </row>
    <row r="96" spans="1:10" x14ac:dyDescent="0.25">
      <c r="A96" s="1" t="s">
        <v>26</v>
      </c>
      <c r="B96" s="30" t="s">
        <v>13</v>
      </c>
      <c r="C96" s="32">
        <v>150</v>
      </c>
      <c r="D96" s="51">
        <v>3595.4948646125117</v>
      </c>
      <c r="E96" s="1">
        <v>4247</v>
      </c>
      <c r="F96" s="51">
        <v>23.969965764083412</v>
      </c>
      <c r="G96" s="51">
        <v>177.18006115652042</v>
      </c>
      <c r="H96" s="35">
        <v>0.18120040771013615</v>
      </c>
      <c r="I96" s="6" t="s">
        <v>93</v>
      </c>
      <c r="J96" t="s">
        <v>90</v>
      </c>
    </row>
    <row r="97" spans="1:10" x14ac:dyDescent="0.25">
      <c r="A97" s="1" t="s">
        <v>27</v>
      </c>
      <c r="B97" s="30" t="s">
        <v>13</v>
      </c>
      <c r="C97" s="32"/>
      <c r="D97" s="51">
        <v>0</v>
      </c>
      <c r="E97" s="1"/>
      <c r="F97" s="1"/>
      <c r="G97" s="51" t="e">
        <v>#DIV/0!</v>
      </c>
      <c r="H97" s="35" t="e">
        <v>#DIV/0!</v>
      </c>
      <c r="I97" s="6" t="s">
        <v>93</v>
      </c>
      <c r="J97" t="s">
        <v>90</v>
      </c>
    </row>
    <row r="98" spans="1:10" x14ac:dyDescent="0.25">
      <c r="A98" s="1" t="s">
        <v>28</v>
      </c>
      <c r="B98" s="30" t="s">
        <v>13</v>
      </c>
      <c r="C98" s="32"/>
      <c r="D98" s="51">
        <v>0</v>
      </c>
      <c r="E98" s="1"/>
      <c r="F98" s="1"/>
      <c r="G98" s="51" t="e">
        <v>#DIV/0!</v>
      </c>
      <c r="H98" s="35" t="e">
        <v>#DIV/0!</v>
      </c>
      <c r="I98" s="6" t="s">
        <v>93</v>
      </c>
      <c r="J98" t="s">
        <v>90</v>
      </c>
    </row>
    <row r="99" spans="1:10" x14ac:dyDescent="0.25">
      <c r="A99" s="1" t="s">
        <v>29</v>
      </c>
      <c r="B99" s="30" t="s">
        <v>13</v>
      </c>
      <c r="C99" s="32"/>
      <c r="D99" s="51">
        <v>0</v>
      </c>
      <c r="E99" s="1"/>
      <c r="F99" s="1"/>
      <c r="G99" s="51" t="e">
        <v>#DIV/0!</v>
      </c>
      <c r="H99" s="35" t="e">
        <v>#DIV/0!</v>
      </c>
      <c r="I99" s="6" t="s">
        <v>93</v>
      </c>
      <c r="J99" t="s">
        <v>90</v>
      </c>
    </row>
    <row r="100" spans="1:10" x14ac:dyDescent="0.25">
      <c r="A100" s="1" t="s">
        <v>30</v>
      </c>
      <c r="B100" s="30" t="s">
        <v>13</v>
      </c>
      <c r="C100" s="32"/>
      <c r="D100" s="51">
        <v>0</v>
      </c>
      <c r="E100" s="1"/>
      <c r="F100" s="1"/>
      <c r="G100" s="51" t="e">
        <v>#DIV/0!</v>
      </c>
      <c r="H100" s="35" t="e">
        <v>#DIV/0!</v>
      </c>
      <c r="I100" s="6" t="s">
        <v>93</v>
      </c>
      <c r="J100" t="s">
        <v>90</v>
      </c>
    </row>
    <row r="101" spans="1:10" x14ac:dyDescent="0.25">
      <c r="A101" s="1" t="s">
        <v>31</v>
      </c>
      <c r="B101" s="30" t="s">
        <v>13</v>
      </c>
      <c r="C101" s="32"/>
      <c r="D101" s="51">
        <v>0</v>
      </c>
      <c r="E101" s="1"/>
      <c r="F101" s="1"/>
      <c r="G101" s="51" t="e">
        <v>#DIV/0!</v>
      </c>
      <c r="H101" s="35" t="e">
        <v>#DIV/0!</v>
      </c>
      <c r="I101" s="6" t="s">
        <v>93</v>
      </c>
      <c r="J101" t="s">
        <v>90</v>
      </c>
    </row>
    <row r="102" spans="1:10" x14ac:dyDescent="0.25">
      <c r="A102" s="1" t="s">
        <v>32</v>
      </c>
      <c r="B102" s="30" t="s">
        <v>13</v>
      </c>
      <c r="C102" s="32"/>
      <c r="D102" s="51">
        <v>0</v>
      </c>
      <c r="E102" s="1"/>
      <c r="F102" s="1"/>
      <c r="G102" s="51" t="e">
        <v>#DIV/0!</v>
      </c>
      <c r="H102" s="35" t="e">
        <v>#DIV/0!</v>
      </c>
      <c r="I102" s="6" t="s">
        <v>93</v>
      </c>
      <c r="J102" t="s">
        <v>90</v>
      </c>
    </row>
    <row r="103" spans="1:10" x14ac:dyDescent="0.25">
      <c r="A103" s="1" t="s">
        <v>33</v>
      </c>
      <c r="B103" s="30" t="s">
        <v>13</v>
      </c>
      <c r="C103" s="32"/>
      <c r="D103" s="51">
        <v>0</v>
      </c>
      <c r="E103" s="1"/>
      <c r="F103" s="1"/>
      <c r="G103" s="51" t="e">
        <v>#DIV/0!</v>
      </c>
      <c r="H103" s="35" t="e">
        <v>#DIV/0!</v>
      </c>
      <c r="I103" s="6" t="s">
        <v>93</v>
      </c>
      <c r="J103" t="s">
        <v>90</v>
      </c>
    </row>
    <row r="104" spans="1:10" x14ac:dyDescent="0.25">
      <c r="A104" s="1" t="s">
        <v>34</v>
      </c>
      <c r="B104" s="30" t="s">
        <v>13</v>
      </c>
      <c r="C104" s="32"/>
      <c r="D104" s="51">
        <v>0</v>
      </c>
      <c r="E104" s="1"/>
      <c r="F104" s="1"/>
      <c r="G104" s="51" t="e">
        <v>#DIV/0!</v>
      </c>
      <c r="H104" s="35" t="e">
        <v>#DIV/0!</v>
      </c>
      <c r="I104" s="6" t="s">
        <v>93</v>
      </c>
      <c r="J104" t="s">
        <v>90</v>
      </c>
    </row>
    <row r="105" spans="1:10" x14ac:dyDescent="0.25">
      <c r="A105" s="1" t="s">
        <v>35</v>
      </c>
      <c r="B105" s="30" t="s">
        <v>13</v>
      </c>
      <c r="C105" s="32"/>
      <c r="D105" s="51">
        <v>0</v>
      </c>
      <c r="E105" s="1"/>
      <c r="F105" s="1"/>
      <c r="G105" s="51" t="e">
        <v>#DIV/0!</v>
      </c>
      <c r="H105" s="35" t="e">
        <v>#DIV/0!</v>
      </c>
      <c r="I105" s="6" t="s">
        <v>93</v>
      </c>
      <c r="J105" t="s">
        <v>90</v>
      </c>
    </row>
    <row r="106" spans="1:10" x14ac:dyDescent="0.25">
      <c r="A106" s="1" t="s">
        <v>36</v>
      </c>
      <c r="B106" s="30" t="s">
        <v>13</v>
      </c>
      <c r="C106" s="32"/>
      <c r="D106" s="51">
        <v>0</v>
      </c>
      <c r="E106" s="1"/>
      <c r="F106" s="1"/>
      <c r="G106" s="51" t="e">
        <v>#DIV/0!</v>
      </c>
      <c r="H106" s="35" t="e">
        <v>#DIV/0!</v>
      </c>
      <c r="I106" s="6" t="s">
        <v>93</v>
      </c>
      <c r="J106" t="s">
        <v>90</v>
      </c>
    </row>
    <row r="107" spans="1:10" x14ac:dyDescent="0.25">
      <c r="A107" s="1" t="s">
        <v>37</v>
      </c>
      <c r="B107" s="30" t="s">
        <v>13</v>
      </c>
      <c r="C107" s="32"/>
      <c r="D107" s="51">
        <v>0</v>
      </c>
      <c r="E107" s="1"/>
      <c r="F107" s="1"/>
      <c r="G107" s="51" t="e">
        <v>#DIV/0!</v>
      </c>
      <c r="H107" s="35" t="e">
        <v>#DIV/0!</v>
      </c>
      <c r="I107" s="6" t="s">
        <v>93</v>
      </c>
      <c r="J107" t="s">
        <v>90</v>
      </c>
    </row>
    <row r="108" spans="1:10" x14ac:dyDescent="0.25">
      <c r="A108" s="1" t="s">
        <v>38</v>
      </c>
      <c r="B108" s="30" t="s">
        <v>13</v>
      </c>
      <c r="C108" s="32"/>
      <c r="D108" s="51">
        <v>0</v>
      </c>
      <c r="E108" s="1"/>
      <c r="F108" s="1"/>
      <c r="G108" s="51" t="e">
        <v>#DIV/0!</v>
      </c>
      <c r="H108" s="35" t="e">
        <v>#DIV/0!</v>
      </c>
      <c r="I108" s="6" t="s">
        <v>93</v>
      </c>
      <c r="J108" t="s">
        <v>90</v>
      </c>
    </row>
    <row r="109" spans="1:10" x14ac:dyDescent="0.25">
      <c r="A109" s="1" t="s">
        <v>39</v>
      </c>
      <c r="B109" s="30" t="s">
        <v>13</v>
      </c>
      <c r="C109" s="44"/>
      <c r="D109" s="51">
        <v>0</v>
      </c>
      <c r="E109" s="46"/>
      <c r="F109" s="46"/>
      <c r="G109" s="51" t="e">
        <v>#DIV/0!</v>
      </c>
      <c r="H109" s="35" t="e">
        <v>#DIV/0!</v>
      </c>
      <c r="I109" s="6" t="s">
        <v>93</v>
      </c>
      <c r="J109" t="s">
        <v>90</v>
      </c>
    </row>
  </sheetData>
  <autoFilter ref="A1:J109" xr:uid="{9D275738-584E-4BD1-9602-7F4BF70BCF1C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9180EC2A42A34E94F6A400BE715B96" ma:contentTypeVersion="18" ma:contentTypeDescription="Create a new document." ma:contentTypeScope="" ma:versionID="af5d29db1759d4872da02b1d98af6f46">
  <xsd:schema xmlns:xsd="http://www.w3.org/2001/XMLSchema" xmlns:xs="http://www.w3.org/2001/XMLSchema" xmlns:p="http://schemas.microsoft.com/office/2006/metadata/properties" xmlns:ns2="dc0df218-5f63-4b1b-aed8-36ec2fc7a699" xmlns:ns3="7922f4a4-deb7-445d-89c2-4a76bdf9d62e" targetNamespace="http://schemas.microsoft.com/office/2006/metadata/properties" ma:root="true" ma:fieldsID="5b60febf10e5aa5a1c812767628ccb60" ns2:_="" ns3:_="">
    <xsd:import namespace="dc0df218-5f63-4b1b-aed8-36ec2fc7a699"/>
    <xsd:import namespace="7922f4a4-deb7-445d-89c2-4a76bdf9d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df218-5f63-4b1b-aed8-36ec2fc7a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fd63b6-0953-417e-816c-db565c4807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2f4a4-deb7-445d-89c2-4a76bdf9d6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8f2f22-9f10-44d2-b4f5-7bb026fcd322}" ma:internalName="TaxCatchAll" ma:showField="CatchAllData" ma:web="7922f4a4-deb7-445d-89c2-4a76bdf9d6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0df218-5f63-4b1b-aed8-36ec2fc7a699">
      <Terms xmlns="http://schemas.microsoft.com/office/infopath/2007/PartnerControls"/>
    </lcf76f155ced4ddcb4097134ff3c332f>
    <TaxCatchAll xmlns="7922f4a4-deb7-445d-89c2-4a76bdf9d62e" xsi:nil="true"/>
  </documentManagement>
</p:properties>
</file>

<file path=customXml/itemProps1.xml><?xml version="1.0" encoding="utf-8"?>
<ds:datastoreItem xmlns:ds="http://schemas.openxmlformats.org/officeDocument/2006/customXml" ds:itemID="{B9886425-7128-404A-9C13-1119769A8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df218-5f63-4b1b-aed8-36ec2fc7a699"/>
    <ds:schemaRef ds:uri="7922f4a4-deb7-445d-89c2-4a76bdf9d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35420-1439-4D70-8E7C-D1EC209BB9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DA28A2-8D16-4880-98F0-78A1B73EEC26}">
  <ds:schemaRefs>
    <ds:schemaRef ds:uri="http://schemas.microsoft.com/office/2006/metadata/properties"/>
    <ds:schemaRef ds:uri="http://schemas.microsoft.com/office/infopath/2007/PartnerControls"/>
    <ds:schemaRef ds:uri="dc0df218-5f63-4b1b-aed8-36ec2fc7a699"/>
    <ds:schemaRef ds:uri="7922f4a4-deb7-445d-89c2-4a76bdf9d6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Sheet1</vt:lpstr>
      <vt:lpstr>Job Details</vt:lpstr>
      <vt:lpstr>september 30</vt:lpstr>
      <vt:lpstr>OUTPUT CHART</vt:lpstr>
      <vt:lpstr>RUNNING HOURS</vt:lpstr>
      <vt:lpstr>POWERBI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Suraj Dhanani</dc:creator>
  <cp:keywords/>
  <dc:description/>
  <cp:lastModifiedBy>Zanale Raquel</cp:lastModifiedBy>
  <cp:revision/>
  <dcterms:created xsi:type="dcterms:W3CDTF">2025-09-26T08:14:55Z</dcterms:created>
  <dcterms:modified xsi:type="dcterms:W3CDTF">2025-10-28T09:53:53Z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0x010100729180EC2A42A34E94F6A400BE715B96</vt:lpwstr>
  </property>
  <property fmtid="{D5CDD505-2E9C-101B-9397-08002B2CF9AE}" pid="3" name="MediaServiceImageTags">
    <vt:lpwstr/>
  </property>
</Properties>
</file>