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warriagam\Desktop\"/>
    </mc:Choice>
  </mc:AlternateContent>
  <xr:revisionPtr revIDLastSave="0" documentId="13_ncr:1_{644B2846-B4EA-4E60-937C-0E847CBA2A44}" xr6:coauthVersionLast="47" xr6:coauthVersionMax="47" xr10:uidLastSave="{00000000-0000-0000-0000-000000000000}"/>
  <bookViews>
    <workbookView xWindow="30" yWindow="0" windowWidth="20460" windowHeight="10770" firstSheet="2" activeTab="2" xr2:uid="{00000000-000D-0000-FFFF-FFFF00000000}"/>
  </bookViews>
  <sheets>
    <sheet name="PGO2022 PROPUESTO" sheetId="6" state="hidden" r:id="rId1"/>
    <sheet name="ANEXO DE OBRAS" sheetId="2" state="hidden" r:id="rId2"/>
    <sheet name="ANEXO DE OBRAS " sheetId="7" r:id="rId3"/>
    <sheet name="ANEXO 2" sheetId="3" state="hidden" r:id="rId4"/>
  </sheets>
  <externalReferences>
    <externalReference r:id="rId5"/>
    <externalReference r:id="rId6"/>
  </externalReference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0" i="7"/>
  <c r="H10" i="7"/>
  <c r="I5" i="7"/>
  <c r="I30" i="7"/>
  <c r="H5" i="7"/>
  <c r="H30" i="7"/>
  <c r="E10" i="7"/>
  <c r="E5" i="7"/>
  <c r="E30" i="7"/>
  <c r="J5" i="7"/>
  <c r="H33" i="7"/>
  <c r="I33" i="7"/>
  <c r="J33" i="7"/>
  <c r="K33" i="7"/>
  <c r="H34" i="7"/>
  <c r="I34" i="7"/>
  <c r="J34" i="7"/>
  <c r="K34" i="7"/>
  <c r="H35" i="7"/>
  <c r="I35" i="7"/>
  <c r="J35" i="7"/>
  <c r="K35" i="7"/>
  <c r="H36" i="7"/>
  <c r="I36" i="7"/>
  <c r="J36" i="7"/>
  <c r="K36" i="7"/>
  <c r="H37" i="7"/>
  <c r="I37" i="7"/>
  <c r="J37" i="7"/>
  <c r="K37" i="7"/>
  <c r="H38" i="7"/>
  <c r="I38" i="7"/>
  <c r="J38" i="7"/>
  <c r="K38" i="7"/>
  <c r="H39" i="7"/>
  <c r="I39" i="7"/>
  <c r="J39" i="7"/>
  <c r="K39" i="7"/>
  <c r="K40" i="7"/>
  <c r="J40" i="7"/>
  <c r="I40" i="7"/>
  <c r="H40" i="7"/>
  <c r="I22" i="6"/>
  <c r="L22" i="6"/>
  <c r="G9" i="6"/>
  <c r="W44" i="6"/>
  <c r="W47" i="6"/>
  <c r="W51" i="6"/>
  <c r="V44" i="6"/>
  <c r="V47" i="6"/>
  <c r="V51" i="6"/>
  <c r="X35" i="6"/>
  <c r="Y30" i="6"/>
  <c r="X21" i="6"/>
  <c r="G17" i="6"/>
  <c r="D17" i="6"/>
  <c r="V17" i="6"/>
  <c r="D5" i="7"/>
  <c r="F5" i="7"/>
  <c r="D10" i="7"/>
  <c r="V18" i="6"/>
  <c r="V20" i="6"/>
  <c r="F10" i="7"/>
  <c r="D9" i="6"/>
  <c r="F9" i="6"/>
  <c r="J9" i="6"/>
  <c r="K9" i="6"/>
  <c r="I9" i="6"/>
  <c r="D42" i="2"/>
  <c r="L9" i="6"/>
  <c r="F17" i="6"/>
  <c r="F18" i="6"/>
  <c r="D44" i="2"/>
  <c r="D40" i="2"/>
  <c r="G18" i="6"/>
  <c r="F14" i="6"/>
  <c r="F13" i="6"/>
  <c r="E23" i="2"/>
  <c r="D11" i="6"/>
  <c r="E34" i="2"/>
  <c r="D16" i="6"/>
  <c r="E31" i="2"/>
  <c r="E28" i="2"/>
  <c r="D15" i="6"/>
  <c r="F15" i="6"/>
  <c r="E26" i="2"/>
  <c r="D14" i="6"/>
  <c r="E20" i="2"/>
  <c r="E17" i="2"/>
  <c r="E16" i="2"/>
  <c r="E15" i="2"/>
  <c r="E11" i="2"/>
  <c r="E9" i="2"/>
  <c r="E8" i="2"/>
  <c r="E7" i="2"/>
  <c r="E5" i="2"/>
  <c r="E10" i="2"/>
  <c r="D10" i="6"/>
  <c r="F10" i="6"/>
  <c r="D5" i="6"/>
  <c r="F5" i="6"/>
  <c r="I18" i="6"/>
  <c r="I8" i="6"/>
  <c r="L8" i="6"/>
  <c r="R21" i="6"/>
  <c r="S21" i="6"/>
  <c r="R13" i="6"/>
  <c r="R12" i="6"/>
  <c r="F20" i="6"/>
  <c r="I21" i="6"/>
  <c r="I19" i="6"/>
  <c r="L19" i="6"/>
  <c r="I17" i="6"/>
  <c r="I13" i="6"/>
  <c r="L13" i="6"/>
  <c r="K12" i="6"/>
  <c r="K27" i="6"/>
  <c r="J12" i="6"/>
  <c r="J27" i="6"/>
  <c r="I12" i="6"/>
  <c r="F12" i="6"/>
  <c r="K7" i="6"/>
  <c r="J7" i="6"/>
  <c r="I7" i="6"/>
  <c r="K6" i="6"/>
  <c r="J6" i="6"/>
  <c r="I6" i="6"/>
  <c r="I27" i="6"/>
  <c r="L27" i="6"/>
  <c r="T8" i="6"/>
  <c r="I26" i="6"/>
  <c r="T6" i="6"/>
  <c r="V6" i="6"/>
  <c r="L21" i="6"/>
  <c r="T11" i="6"/>
  <c r="L18" i="6"/>
  <c r="L17" i="6"/>
  <c r="K26" i="6"/>
  <c r="K29" i="6"/>
  <c r="K23" i="6"/>
  <c r="J26" i="6"/>
  <c r="J29" i="6"/>
  <c r="J23" i="6"/>
  <c r="S12" i="6"/>
  <c r="L7" i="6"/>
  <c r="L6" i="6"/>
  <c r="L12" i="6"/>
  <c r="L26" i="6"/>
  <c r="D23" i="2"/>
  <c r="G11" i="6"/>
  <c r="D34" i="2"/>
  <c r="G16" i="6"/>
  <c r="I16" i="6"/>
  <c r="L16" i="6"/>
  <c r="I11" i="6"/>
  <c r="R11" i="6"/>
  <c r="L18" i="3"/>
  <c r="M18" i="3"/>
  <c r="L11" i="6"/>
  <c r="T7" i="6"/>
  <c r="D29" i="2"/>
  <c r="D27" i="2"/>
  <c r="D26" i="2"/>
  <c r="G14" i="6"/>
  <c r="I9" i="3"/>
  <c r="L20" i="3"/>
  <c r="J20" i="3"/>
  <c r="D28" i="2"/>
  <c r="G15" i="6"/>
  <c r="I14" i="6"/>
  <c r="R14" i="6"/>
  <c r="S14" i="6"/>
  <c r="M20" i="3"/>
  <c r="K5" i="7"/>
  <c r="L14" i="6"/>
  <c r="I15" i="6"/>
  <c r="L15" i="6"/>
  <c r="R15" i="6"/>
  <c r="D7" i="2"/>
  <c r="T9" i="6"/>
  <c r="L15" i="3"/>
  <c r="M15" i="3"/>
  <c r="D15" i="2"/>
  <c r="D6" i="2"/>
  <c r="H18" i="3"/>
  <c r="I18" i="3"/>
  <c r="D38" i="2"/>
  <c r="D11" i="2"/>
  <c r="D10" i="2"/>
  <c r="G10" i="6"/>
  <c r="R10" i="6"/>
  <c r="S10" i="6"/>
  <c r="L10" i="6"/>
  <c r="N18" i="3"/>
  <c r="I10" i="6"/>
  <c r="I40" i="3"/>
  <c r="E40" i="3"/>
  <c r="E39" i="3"/>
  <c r="H38" i="3"/>
  <c r="F38" i="3"/>
  <c r="I38" i="3"/>
  <c r="E38" i="3"/>
  <c r="I32" i="3"/>
  <c r="E32" i="3"/>
  <c r="I31" i="3"/>
  <c r="E31" i="3"/>
  <c r="H30" i="3"/>
  <c r="I30" i="3"/>
  <c r="E30" i="3"/>
  <c r="H29" i="3"/>
  <c r="I29" i="3"/>
  <c r="E29" i="3"/>
  <c r="I28" i="3"/>
  <c r="E28" i="3"/>
  <c r="H27" i="3"/>
  <c r="I27" i="3"/>
  <c r="E27" i="3"/>
  <c r="H26" i="3"/>
  <c r="F26" i="3"/>
  <c r="H24" i="3"/>
  <c r="F24" i="3"/>
  <c r="H23" i="3"/>
  <c r="F23" i="3"/>
  <c r="H22" i="3"/>
  <c r="F22" i="3"/>
  <c r="H21" i="3"/>
  <c r="F21" i="3"/>
  <c r="E17" i="3"/>
  <c r="I15" i="3"/>
  <c r="E15" i="3"/>
  <c r="J14" i="3"/>
  <c r="M14" i="3"/>
  <c r="I14" i="3"/>
  <c r="J12" i="3"/>
  <c r="L11" i="3"/>
  <c r="J11" i="3"/>
  <c r="H11" i="3"/>
  <c r="L10" i="3"/>
  <c r="L12" i="3"/>
  <c r="L13" i="3"/>
  <c r="M13" i="3"/>
  <c r="J10" i="3"/>
  <c r="I10" i="3"/>
  <c r="M8" i="3"/>
  <c r="M9" i="3"/>
  <c r="D8" i="2"/>
  <c r="I8" i="3"/>
  <c r="M7" i="3"/>
  <c r="H7" i="3"/>
  <c r="I7" i="3"/>
  <c r="E7" i="3"/>
  <c r="M6" i="3"/>
  <c r="I6" i="3"/>
  <c r="D48" i="2"/>
  <c r="I22" i="3"/>
  <c r="E22" i="3"/>
  <c r="I24" i="3"/>
  <c r="E24" i="3"/>
  <c r="G20" i="6"/>
  <c r="H12" i="3"/>
  <c r="H13" i="3"/>
  <c r="I13" i="3"/>
  <c r="E13" i="3"/>
  <c r="H20" i="3"/>
  <c r="I20" i="3"/>
  <c r="E20" i="3"/>
  <c r="M11" i="3"/>
  <c r="E8" i="3"/>
  <c r="I11" i="3"/>
  <c r="E14" i="3"/>
  <c r="E6" i="3"/>
  <c r="M10" i="3"/>
  <c r="I21" i="3"/>
  <c r="E21" i="3"/>
  <c r="I23" i="3"/>
  <c r="E23" i="3"/>
  <c r="I26" i="3"/>
  <c r="E26" i="3"/>
  <c r="M12" i="3"/>
  <c r="K10" i="7"/>
  <c r="I12" i="3"/>
  <c r="E10" i="3"/>
  <c r="D9" i="2"/>
  <c r="D5" i="2"/>
  <c r="G5" i="6"/>
  <c r="I20" i="6"/>
  <c r="R20" i="6"/>
  <c r="S15" i="6"/>
  <c r="E11" i="3"/>
  <c r="E12" i="3"/>
  <c r="E5" i="3"/>
  <c r="K30" i="7"/>
  <c r="R5" i="6"/>
  <c r="S5" i="6"/>
  <c r="G23" i="6"/>
  <c r="L5" i="6"/>
  <c r="I5" i="6"/>
  <c r="L20" i="6"/>
  <c r="L23" i="6"/>
  <c r="T10" i="6"/>
  <c r="T5" i="6"/>
  <c r="I23" i="6"/>
  <c r="I28" i="6"/>
  <c r="L28" i="6"/>
  <c r="L29" i="6"/>
  <c r="T12" i="6"/>
  <c r="I29" i="6"/>
  <c r="K36" i="6"/>
</calcChain>
</file>

<file path=xl/sharedStrings.xml><?xml version="1.0" encoding="utf-8"?>
<sst xmlns="http://schemas.openxmlformats.org/spreadsheetml/2006/main" count="403" uniqueCount="209">
  <si>
    <t>JUNTA MUNICIPAL DE AGUA POTABLE Y ALCANTARILLADO DE CELAYA, GTO.</t>
  </si>
  <si>
    <t>PROGRAMA GENERAL DE OBRAS 2022</t>
  </si>
  <si>
    <t xml:space="preserve">                                             PROPUESTA INICIAL</t>
  </si>
  <si>
    <t>NO</t>
  </si>
  <si>
    <t>OBSERVACIONES</t>
  </si>
  <si>
    <t>PROYECTO</t>
  </si>
  <si>
    <t>CANTIDAD</t>
  </si>
  <si>
    <t>UNIDAD</t>
  </si>
  <si>
    <t>HABITANTES BENEFICIADOS</t>
  </si>
  <si>
    <t>PPTO INDICE</t>
  </si>
  <si>
    <t>RECURSOS</t>
  </si>
  <si>
    <t>JUMAPA</t>
  </si>
  <si>
    <t>CONAGUA</t>
  </si>
  <si>
    <t>CEA</t>
  </si>
  <si>
    <t>TOTAL</t>
  </si>
  <si>
    <t>FECHA DE INICIO</t>
  </si>
  <si>
    <t>FECHA DE TERMINO</t>
  </si>
  <si>
    <t>JUSTIFICACIÓN</t>
  </si>
  <si>
    <t>m</t>
  </si>
  <si>
    <t>PROPIOS</t>
  </si>
  <si>
    <t>MARZO</t>
  </si>
  <si>
    <t>DICIEMBRE</t>
  </si>
  <si>
    <t>Mejorar el servicio (redes muy antiguas, mayor de 30 años) y la eficiencia de la redes, se debe de rehabilitar, con lo cual se incrementa el agua disponible, se reducen gastos de operación y se mejora el servicio</t>
  </si>
  <si>
    <t>AMPLIACION DE REDES DE AGUA Y DRENAJE</t>
  </si>
  <si>
    <t>JULIO</t>
  </si>
  <si>
    <t>REPOSICION DE POZO EN PREDIO DE JUMAPA UBICADO EN CALLE FUNDACION (no se cumple con el radio de 500 m que solicita la CONAGUA)</t>
  </si>
  <si>
    <t>EQUIPAMIENTO ELECTROMECANICO DE CARCAMOS</t>
  </si>
  <si>
    <t>AGOSTO</t>
  </si>
  <si>
    <t>SUSTITUCION DE REDES DE AGUA POTABLE Y TOMAS DOMICILIARIAS DEL SECTOR EMETERIA VALENCIA (SEGUNDA ETAPA DE TRES)</t>
  </si>
  <si>
    <t>PROAGUA</t>
  </si>
  <si>
    <t>SEPTIEMBRE</t>
  </si>
  <si>
    <t>SE REQUIERE GESTION DE RECURSOS</t>
  </si>
  <si>
    <t>SUSTITUCION DE REDES DE AGUA POTABLE Y TOMAS DOMICILIARIAS DEL SECTOR ALAMEDA (QUINTA ETAPA DE CINCO)</t>
  </si>
  <si>
    <t>CARCAMO, EQUIPAMIENTO Y LINEA DE CONDUCCIÓN DEL FRACC VILLA DE LOS ARCOS</t>
  </si>
  <si>
    <t>ABRIL</t>
  </si>
  <si>
    <t>Se requiere la construccion de  colectores para ampliar la cobertura del servicio de alcantarillado.</t>
  </si>
  <si>
    <t>OCTUBRE</t>
  </si>
  <si>
    <t>REMODELACIÓN DEL AREA
DE CORTES Y RECONEXIONES SEGUNDA ETAPA</t>
  </si>
  <si>
    <t>REMODELACION</t>
  </si>
  <si>
    <t>CARCAMO</t>
  </si>
  <si>
    <t>CONSTRUCCIÓN DE COLECTOR PLUVIAL  ARROYO CHE PRIMERA ETAPA</t>
  </si>
  <si>
    <t>Seguimiento a resolver la problemática de inundaiones en la Colonia Alameda</t>
  </si>
  <si>
    <t>JUNIO</t>
  </si>
  <si>
    <t>CEAG</t>
  </si>
  <si>
    <t>PRODI</t>
  </si>
  <si>
    <t>No.</t>
  </si>
  <si>
    <t>COSTO INDICE</t>
  </si>
  <si>
    <t>REHABILITACION DE REDES DE AGUA POTABLE Y DRENAJE</t>
  </si>
  <si>
    <t>REHABLITACIÓN DE LA RED DE DRENAJE SANITARIO DE LA CALLE RÍO LERMA TRAMO: DE LA CALLEJAVIER MINA A LA CALLE MUTUALISMO COLONIA LA SUIZA</t>
  </si>
  <si>
    <t>REHABILITACIÓN DE LA RED DE DRENAJE SANITARIO EN LA CALLE NARCIZO MENDOZA. TRAMO: DE ALVARO OBREGON A CALLE GUADALUPE.</t>
  </si>
  <si>
    <t>REHABILITACIÓN DE LA RED DE DRENAJE SANITARIO DE LA CALLE PINO SUAREZ, TRAMO: DE LA CALLE ANTONIO PLAZA A LA CALLE DIVISIÓN DEL NORTE COLONIA ELVERGEL.</t>
  </si>
  <si>
    <t>REHABILITACION DE LA RED DE DRENAJE SANITARIO EN LA CALLE ALVARO OBREGON. TRAMO: DE CALLE MARIANO JIMENEZ A CALLE 5 DE MAYO.</t>
  </si>
  <si>
    <t>REHABILITACION DE LA RED DE DRENAJE SANITARIO EN LA CALLE QUINTANA ROO. TRAMO: DE AV LAS FUENTES A FRANCISCO JUAREZ COLONIA CENTRO.</t>
  </si>
  <si>
    <t>REHABILITACION DE LA RED DE DRENAJE SANITARIO EN LA CALLE QUINTANA ROO. TRAMO: DE EMETERIA VALENCIA A LEANDRO VALLE ZONA CENTRO</t>
  </si>
  <si>
    <t>REHABILITACIÓN DE BOVEDA SAN JOSE DE GUANAJUATO SEGUNDA ETAPA</t>
  </si>
  <si>
    <t>AMPLIACION DE RED DE DRENAJE RIO GUAYALEJO</t>
  </si>
  <si>
    <t>LINEA DE CONDUCCIÓN DEL CÁRCAMO GOBERNADORES AL RIO LAJA</t>
  </si>
  <si>
    <t>EQUIPAMIENTO DEL CARCAMO 10 DE ABRIL</t>
  </si>
  <si>
    <t>REEQUIPAMIENTO DEL CARCAMO GOBERNADORES</t>
  </si>
  <si>
    <t>COLECTOR PLUVIAL IRRIGACION RIO LAJA TRAMO:CALLE VILLA UNION A CARCAMO</t>
  </si>
  <si>
    <t>COLECTOR VILLAS DEL GUERA TRAMO: FRACC VILLAS DEL GUERA A CARCAMO PUNTA NORTE</t>
  </si>
  <si>
    <t>REVESTIMIENTOS DE CANALES PLUVIALES</t>
  </si>
  <si>
    <t>FECHA: 08 DE JULIO DE 2021</t>
  </si>
  <si>
    <t>DRENAJE SANITARIO</t>
  </si>
  <si>
    <t>AGUA POTABLE</t>
  </si>
  <si>
    <t>LONGITUD</t>
  </si>
  <si>
    <t>DIAMETRO</t>
  </si>
  <si>
    <t>PRESUPUESTO</t>
  </si>
  <si>
    <t>REHABILITACIÓN DE LA RED DE AGUA POTABLE DE LA CALLE TENOCHTITLAN TRAMO: DE LA CALLE ARROYO CHE A LA CALLE LA PAZ Y REHABILITACIÓN DE LA RED DE DRENAJE SANITARIO DE LA CALLE TENOCHTITLAN TRAMO: DE LA CALLE ARROYO CHE A LA CALLE LA PAZ EN LA COL. ALAMEDA</t>
  </si>
  <si>
    <t>3"</t>
  </si>
  <si>
    <t>REHABILITACION DE LA RED DE AGUA POTABLE DE LA CALLE LUIS CORTAZAR, TRAMO: DEL B.L.V.D A CALLE SOSTENES ROCHA,  Y REHABILITACION DE LA RED DE DRENAJE SANITARIO DE LA CALLE LUIS CORTAZAR, TRAMO: DEL B.L.V.D A CALLE SOSTENES ROCHA ZONA CENTRO</t>
  </si>
  <si>
    <t>10" Y 3"</t>
  </si>
  <si>
    <t>$4,264.56 Y $1,624.8</t>
  </si>
  <si>
    <t>REHABILITACION DE LA RED DE AGUA POTABLE  EN LA CALLE LUIS CORTAZAR, TRAMO: DE CALLE JOSE MARIA MORELOS A BOULEVARD ADOLFO LOPEZ MATEOS Y DE LA CALLE LIBERTAD TRAMO: DE LA CALLE LUIS CORTAZAR A 100.00 METROS AL PONIENTE Y REHABILITACIÓN DE LA RED DE DRENAJE SANITARIO DE LA CALLE LUIS CORTAZAR TRAMO: DE LA CALLE JOSE MARIA MORELOS A BOULEVARD ADOLFO LOPEZ MATEOS Y DE LA CALLE LIBERTAD TRAMO: DE LA CALLE LUIS CORTAZAR A 100.00 METROS AL PONIENTE. EN LA ZONA CENTRO.</t>
  </si>
  <si>
    <t>REHABILITACIÓN DE LA RED DE DRENAJE SANITARIO EN LA CALLE PRIVADA ACAPULCO, TRAMO: DE CALLE ACAPULCO A FONDO DE LA PRIVADA. Y REHABILITACIÓN DE LA RED DE AGUA POTABLE EN LA CALLE ACAPULCO, TRAMO: DE CALLE DE CALLE ACAPULCO A FONDO DE LA PRIVADA. EN LA COLONIA BARRIO DE LA RESURRECCIÓN.</t>
  </si>
  <si>
    <t>REHABILITACIÓN DE LA RED DE AGUA POTABLE DE LA CALLE LIBORIO CRESPO, TRAMO: DE CALLE RAMOS MILLAN A CALLE LEANDRO VALLE. Y REHABILITACIÓN DE LA  LA RED DE DRENAJE SANITARIO DE LA CALLE LIBORIO CRESPO, TRAMO: DE CALLE RAMOS MILLAN A CALLE LEANDRO VALLE. EN LA COLONIA DEL VALLE.</t>
  </si>
  <si>
    <t>6" Y 3"</t>
  </si>
  <si>
    <t>REHABILITACIÓN DE LA RED DE AGUA POTABLE EN LA CALLE AMAPOLA. TRAMO: DE CALLE LIRIO AL FONDO. REHABILITACIÓN DE LA RED DE DRENAJE SANITARIO EN LA CALLE AMAPOLA. TRAMO: DE CALLE LIRIO AL FONDO COLONIA LAS FLORES.</t>
  </si>
  <si>
    <t>REHABILITACIÓN DE LA RED DE AGUA POTABLE EN LA CALLE TULIPAN. TRAMO: DE CALLE LIRIO A CALLE CLAVEL.Y  REHABILITACIÓN DE LA RED DE DRENAJE SANITARIO EN LA CALLE TULIPAN. TRAMO: DE CALLE LIRIO A CALLE CLAVEL.COLONIA LAS FLORES.</t>
  </si>
  <si>
    <t>4"</t>
  </si>
  <si>
    <t>424.7 Y 383.60</t>
  </si>
  <si>
    <t>25 Y 30</t>
  </si>
  <si>
    <t>$5,291.45 Y $ 5,614.05</t>
  </si>
  <si>
    <t>REHABILITACIÓN DE LA RED DRENAJE SANITARIO EN LA CALLE LEANDRO VALLE TRAMO: DE MARIANO JIMENEZ A  AZTECAS EN LA COL. CENTRO</t>
  </si>
  <si>
    <t>REHABILITACIÓN DE LA RED DE DRENAJE SANITARIO EN CALLE ALBINO GARCIA TRAMO: DE CALLE CUAHUTEMOC A CALLE ABASOLO EN LA ZONA CENTRO</t>
  </si>
  <si>
    <t>REHABILITACION DE BOVEDA CAMINO A SAN JOSE DE GUANAJUATO TRAMO 2</t>
  </si>
  <si>
    <t>REVESTIMIENTO DE CANAL LABRADORES 7A ETAPA. TRAMO: DE LA CALLE MARIANO REYES A LA CALLE LUIS NIETO, EN COLONIA SANTA RITA SUR.</t>
  </si>
  <si>
    <t>CANAL</t>
  </si>
  <si>
    <t>REVESTIMIENTO DE CANAL LABRADORES 8A ETAPA (HOMBO PONIENTE). TRAMO: DE LA  AV. MEXICO-JAPON A 100 M AL SUR. EN COLONIA SANTA RITA SUR.</t>
  </si>
  <si>
    <t>REVESTIMIENTO DE CANAL LABRADORES 9A ETAPA. TRAMO: DE ALCANTARILLA IRRIGACIÓN A VIAS DE FFCC, EN COLONIA CUAUHTEMOC.</t>
  </si>
  <si>
    <t>REVESTIMIENTO DE CANAL LABRADORES 10A ETAPA. TRAMO: DE COLONIA CUAUHTEMOC A EJE NOR-ORIENTE.</t>
  </si>
  <si>
    <t>CONSTRUCCIÓN DE ALCANTARILLA EN EL EJE NOR-PONIENTE</t>
  </si>
  <si>
    <t>CAJONES</t>
  </si>
  <si>
    <t>REVESTIMIENTO DE CANAL LABRADORES 11VA ETAPA. TRAMO: DE COLONIA ALCANTARILLA EJE NOR-ORINTE A RIO LAJA</t>
  </si>
  <si>
    <t>REHABILITACION DE DRENAJE SANITARIO EN LA CALLE JESUS GOMEZ DE LA CORTINA. TRAMO: DE CALLE MANUEL OROZCO IRIGOYEN A AV. 12 DE OCTUBRE. COLONIA NUEVO CELAYA.</t>
  </si>
  <si>
    <t>REHABILITACION DE LA RED DE DRENAJE SANITARIO EN LA CALLE VELAZQUEZ. TRAMO: DE CALLE AZUCENA A BOULEVARD ADOLFO LOPEZ MATEOS.</t>
  </si>
  <si>
    <t>REHABILITACION DE LA RED DE DRENAJE SANITARIO EN LA CALLE MELCHOR OCAMPO. TRAMO: DE ANTONIO RABAGO A RIO LERMA.</t>
  </si>
  <si>
    <t>REHABILITACION DE LA RED DE DRENAJE SANITARIO EN LA CALLE ALVARO OBREGON. TRAMO: DE CALLE 5 DE MAYO A CALLE LOS AZTECAS COLONIA CENTRO.</t>
  </si>
  <si>
    <t>REVESTIMIENTO DE CANALZACA DE LA VENTA. TRAMO DE DESCARGA EXISTENTE A LIMITE MUNICIPAL PONIENTE.</t>
  </si>
  <si>
    <t>AMPLIACIÓN DE LA RED DE DRENAJ EN LA EXHACIENDA DE TROJES. COMUNIDAD DE TROJES</t>
  </si>
  <si>
    <t>AMPLIACION DE LA RED DE DRENAJE SANITARIO DE LA CALLE RIO DE GUAYALEJO EN LA COL. PARAISO</t>
  </si>
  <si>
    <t>AMPLIACION DE LA RE.D DE AGUA TRATADA EN VARIOS PUNTOS DE LA CIUDAD</t>
  </si>
  <si>
    <t>AREA DE RESPONSABILIDAD</t>
  </si>
  <si>
    <t>PLAN ESTRATEGICO</t>
  </si>
  <si>
    <t>ACCION CLAVE</t>
  </si>
  <si>
    <t>REHABILITACIÓN DE REDES DE AGUA POTABLE</t>
  </si>
  <si>
    <t xml:space="preserve">REHABILITACIÓN DE REDES DE DRENAJE </t>
  </si>
  <si>
    <t>AMPLIACION DE REDES DE AGUA POTABLE</t>
  </si>
  <si>
    <t>REVESTIMIENTO DEL CANAL LABRADORES TRAMO: CARCAMO 30 A 100 METROS AL SUR</t>
  </si>
  <si>
    <t>REHABILITACION DE REDES DE DRENAJE</t>
  </si>
  <si>
    <t>REHABILITACION DE REDES DE AGUA POTABLE</t>
  </si>
  <si>
    <t>REHABLITACIÓN DE LA RED DE AGUA POTABLE DE LA CALLE RÍO LERMA TRAMO: DE LA CALLEJAVIER MINA A LA CALLE MUTUALISMO COLONIA LA SUIZA</t>
  </si>
  <si>
    <t>REHABILITACION DE LA RED DE AGUA POTABLE EN LA CALLE QUINTANA ROO. TRAMO: DE AV LAS FUENTES A FRANCISCO JUAREZ COLONIA CENTRO.</t>
  </si>
  <si>
    <t>REHABILITACION DE LA RED DE  AGUA POTABLE DE LA CALLE LUIS CORTAZAR TRAMO: CALLE MORELOS A BALM</t>
  </si>
  <si>
    <t>REHABILITACION DE LA RED DE  AGUA POTABLE DE LA PRIVADA ACAPULCO TRAMO: DE CALLE ACAPULCO A FONDO</t>
  </si>
  <si>
    <t>REHABILITACIÓN DE REDES DE DRENAJE SANITARIO EN LA CALLE VIRREY MARTINEZ ALMANZA. TRAMO: DE MUTUALISMO A JUSTO DE MENDOZA</t>
  </si>
  <si>
    <t>REHABILITACIÓN DE REDES DE  DRENAJE SANITARIO EN LA CALLE CUAHUTEMOC. TRAMO: ALBINO GARCIA A BOULEVARD ADOLFO LOPEZ MATEOS</t>
  </si>
  <si>
    <t>REHABILITACIÓN DE LA RED DE DRENAJE SANITARIO  EN CALLE ALBINO GARCIA. TRAMO: DE CALLE INSURGENTES A CALLE ABASOLO.</t>
  </si>
  <si>
    <t>REHABILITACION DE LA RED DE DRENAJE SANITARIO  DE LA CALLE LUIS CORTAZAR TRAMO: CALLE MORELOS A BALM</t>
  </si>
  <si>
    <t>REHABILITACION DE LA RED DE DRENAJE SANITARIO  DE LA PRIVADA ACAPULCO TRAMO: DE CALLE ACAPULCO A FONDO</t>
  </si>
  <si>
    <t>REHABILITACION DE LA RED DE DRENAJE SANITARIO DE LA CALLE PONCIANO AGUILAR TRAMO: CALLE QUINTANA ROO A PROL HIDALGO</t>
  </si>
  <si>
    <t>REHABLITACIÓN DE LA RED DE DRENAJE SANITARIO DE LA CALLE RÍO LERMA TRAMO: DE LA CALLE JAVIER MINA A LA CALLE MUTUALISMO COLONIA BARRIO DE SAN MIGUEL</t>
  </si>
  <si>
    <t xml:space="preserve">REHABILITACION DE LA RED DE AGUA POTABLE  EN LA CALLE LUIS CORTAZAR, TRAMO: DE CALLE JOSE MARIA MORELOS A BOULEVARD ADOLFO LOPEZ MATEOS </t>
  </si>
  <si>
    <t>AMPLIACION DE REDES DE  DRENAJE</t>
  </si>
  <si>
    <t xml:space="preserve">AMPLIACION DE REDES DE AGUA </t>
  </si>
  <si>
    <t>AMPLIACION DE LA RED DE DRENAJE SANITARIO DE LA CALLE NARANJALES, TRAMO: DE LA AVENIDA LAS TORRES A LA CALLE GUANABANA, COLONIA PRADOS DEL NARANJAL</t>
  </si>
  <si>
    <t>AMPLIACION DE LA RED DE AGUA POTABLE  DE LA CALLE NARANJALES, TRAMO: DE LA AVENIDA LAS TORRES A LA CALLE GUANABANA, COLONIA PRADOS DEL NARANJAL</t>
  </si>
  <si>
    <t>FECHA: 24 DE AGOSTO DE 2021</t>
  </si>
  <si>
    <t>375 DE 8" Y 300 DE 3"</t>
  </si>
  <si>
    <t>8" Y 3"</t>
  </si>
  <si>
    <t>AMPLIACION DE REDES DE DRENAJE</t>
  </si>
  <si>
    <t xml:space="preserve">INSTALACION DE TOMAS DOMICILIARIAS INDEPENDIENTES DE 1/2" DE DIAMETRO PARA DEPARTAMENTOS EN EDIFICIOS </t>
  </si>
  <si>
    <t>TOMAS</t>
  </si>
  <si>
    <t>A fin de proporcionar el servicio individual a cada toma.</t>
  </si>
  <si>
    <t xml:space="preserve">SUMINISTRO E INSTALACIÓN DE 2,500 MICROMEDIDORES VOLUMETRICOS CLASE C
</t>
  </si>
  <si>
    <t>PZA</t>
  </si>
  <si>
    <t>CARCAMO PLUVIAL Y LINEA DE CONDUCCION EN EL FRACCIONAMIENTO MISION DE LOS SANTOS</t>
  </si>
  <si>
    <t>EFICIENCIA OPERATIVA (FUNCIONAMIENTO DE LA INFRAESTRUCTURA)</t>
  </si>
  <si>
    <t>EFICIENCIA OPERATIVA (GESTION COMERCIAL)</t>
  </si>
  <si>
    <t>CONSTRUCCIÓN DE COLECTORES DE AGUAS NEGRAS O PLUVIALES</t>
  </si>
  <si>
    <t>REHABILITACIÓN DE COLECTORES DE AGUAS NEGRAS O PLUVIALES</t>
  </si>
  <si>
    <t>GARANTIZAR EL ABASTO DE LOS SERVICIOS (DISPONIBILIDAD DE LOS SERVICIOS)</t>
  </si>
  <si>
    <t>CALIDAD EN LA PRESTACIÓN DE SERVICIOS (ESTANDARIZACIÓN DE LOS PROCESOS)</t>
  </si>
  <si>
    <t>Rehabilitación de la Privada Hermosillo, Tramo: Calle Tuxtla Gutiérrez a Fondo</t>
  </si>
  <si>
    <t>Se requiere el equipamiento electromecanico del carcamo 10 de abril y el reequipamiento del carcamo Gobernadores</t>
  </si>
  <si>
    <t>Se requiere la rehabiliación de redes de drenaje para garantizar el funcionamiento adecuado ya que existen muchas redes antiguas con antigüedad mayor a 30 años en mal estado, azolvadas, sin tuberia en algunos casos.</t>
  </si>
  <si>
    <t>Se pretende incrementar la cobertura de agua potable , por lo que se requiere llevar los  servicios a quien no los tiene y por el crecimiento de la ciudad.</t>
  </si>
  <si>
    <t>Se pretende incrementar la cobertura de drenaje, por lo que se requiere llevar los  servicios a quien no los tiene y por el crecimiento de la ciudad.</t>
  </si>
  <si>
    <t>Reducir las pérdidas de agua potable y Mejorar el servicio en el sector Emeteria Valencia</t>
  </si>
  <si>
    <t>SUSTITUCION DE REDES DE AGUA POTABLE Y TOMAS DOMICILIARIAS DEL SECTOR RESURRECCION (SEGUNDA ETAPA)</t>
  </si>
  <si>
    <t>Reducir las pérdidas de agua potable y Mejorar el servicio en el sector Resurrección</t>
  </si>
  <si>
    <t>Se requiere la rehabilitación de  colectores para garantizar el servicio de alcantarillado.</t>
  </si>
  <si>
    <t>Se requiere dar solucion al problema de inundaciones del fracionamiento Misión de los Santos</t>
  </si>
  <si>
    <t>Se requiere dar solucion al problema de inundaciones del fracionamiento Villas de los Arcos</t>
  </si>
  <si>
    <t>SE REQUIEREN MICROMEDIDORES PARA SUSTITUIR MEDIDORES QUE YA REBASARON SU VIDA UTIL Y REALIZAR LA MEDICIÓN CORRECTA DE LOS VOLUMENES CONSUMIDOS POR LOS USUARIOS</t>
  </si>
  <si>
    <t>OK</t>
  </si>
  <si>
    <t>Se requiere realizar adecuaciones al área de cortes y reconexiones  para incorporar al personal para la entrega de recibos de JUMAPA.</t>
  </si>
  <si>
    <t>SISTEMA</t>
  </si>
  <si>
    <t>CONSTRUCCION DE CARCAMO DE BOMBEO</t>
  </si>
  <si>
    <t>CONSTRUCCION DE CARCAMO DE BOMBEO Y EQUIPAMIENTO ELECTROMECANICO</t>
  </si>
  <si>
    <t>LINEA DE CONDUCCIÓN DEL CÁRCAMO VILLA DE LOS ARCOS A LIBRAMIENTO SUR</t>
  </si>
  <si>
    <t>LINEA DE CONDUCCIÓN DEL CÁRCAMO A COLECTOR UBICADO EN AV MEXICO JAPON ESQ CON VIAS DEL FFCC</t>
  </si>
  <si>
    <t>Reducir las pérdidas de agua potable y Mejorar el servicio en el sector Alameda</t>
  </si>
  <si>
    <t>COLECTOR  PERAL TRAMO: DE LA CALLE PROL. JACARANDAS A LA CALLE MAMEY EN LA COLONIA DEL BOSQUE</t>
  </si>
  <si>
    <t>MONTO POR ACCION CLAVE</t>
  </si>
  <si>
    <t>MONTO POR AREA DE RESPONSABILIDAD</t>
  </si>
  <si>
    <t>SUSTITUCION DE REDES DE AGUA POTABLE Y TOMAS DOMICILIARIAS DEL SECTOR INSPECCION (PRIMERA ETAPA)</t>
  </si>
  <si>
    <t>Reducir las pérdidas de agua potable y Mejorar el servicio en el sector Inspección</t>
  </si>
  <si>
    <t>6.10</t>
  </si>
  <si>
    <t>PROPUESTA 1</t>
  </si>
  <si>
    <t>-</t>
  </si>
  <si>
    <t>FECHA: 27 DE AGOSTO DE 2021</t>
  </si>
  <si>
    <t>CONSTRUCCIÓN DE 2DA ETAPA DE COLECTOR  Y LINEA DE CONDUCCIÓN  DEL CARCAMO 10 DE ABRIL EN LA AV. TECNOLOGICO, TRAMO: CARCAMO 10 DE ABRIL A 248.00 METROS AL SUR Y DE AV. MEXICO-JAPON A 410.00 METROS AL NORTE</t>
  </si>
  <si>
    <t>m3</t>
  </si>
  <si>
    <t>km</t>
  </si>
  <si>
    <t>m3/toma</t>
  </si>
  <si>
    <t>AMPLIACION DE LINEA DE AGUA TRATADA EN DIFERENTES PUNTOS DE LA CIUDAD DE CELAYA</t>
  </si>
  <si>
    <t>M</t>
  </si>
  <si>
    <t>FECHA: 23 DE DICIEMBRE DE 2021</t>
  </si>
  <si>
    <t>PROGRAMA</t>
  </si>
  <si>
    <t>PROSANEAR</t>
  </si>
  <si>
    <t xml:space="preserve">     </t>
  </si>
  <si>
    <t>PRODDER</t>
  </si>
  <si>
    <t>ESTATAL</t>
  </si>
  <si>
    <t>MUNICIPAL</t>
  </si>
  <si>
    <t>ABIERTO</t>
  </si>
  <si>
    <t>1-</t>
  </si>
  <si>
    <t>TODOS LOS CAMPOS DEBERÁN SER ABIERTOS EXCEPTUANDO LOS TITULOS (EN LETRAS NEGRAS Y MAYUSCULAS)</t>
  </si>
  <si>
    <t>2-</t>
  </si>
  <si>
    <t>ESTE FORMATO COMPRENDE LAS  CELDAS Y TITULOS QUE CONFORMAN EL PGO  DE MANERA GENERAL, A CONTINUACIÓN SE ENLISTAN LOS PUNTOS A RESALTAR.</t>
  </si>
  <si>
    <t>3-</t>
  </si>
  <si>
    <t>4-</t>
  </si>
  <si>
    <t>PARA CADA CAMPO UN DESGLOCE DE 10 ACCIONES CORRESPONDIENTES A CADA NÚMERO DE TIPO DE PROYECTO ( COMO SE OBSERVAN; 1.1, 1.2, 1.3….. 1.10) Y LA OPCIÓN DE AÑADIR ACCIONES EN CASO DE QUE SE REQUIERA</t>
  </si>
  <si>
    <t xml:space="preserve">SE SOLICITAN 20 CAMPOS ENLISTADOS DEL 1 AL 20 (SE OBSERVAN SOMBREADOS EN GRIS), ASÍ MISMO, LA OPCION DE AÑADIR CAMPOS POR SI SE REQUIERE, </t>
  </si>
  <si>
    <t>EN LAS CELDAS GRISES PARA LOS CAMPOS DE HABITANTES BENEFICIADOS, COSTO INDICE, LONGITUD, JUMAPA, CONAGUA , CEA Y TOTAL SE MUESTRAN LAS FORMULAS QUE SE PIDEN CONTENGAN Y QUE VAN REFERENCIADAS PARA CADA CAMPO QUE SE AÑADA.</t>
  </si>
  <si>
    <t>5-</t>
  </si>
  <si>
    <t>LOS SIGUIENTES RESTANTES  COMO UNIDAD, PROGRAMA, FECHA DE INICIO Y FECHA DE TÉRMINO, JUSTIFICACIÓN, SERÁN ABIERTOS</t>
  </si>
  <si>
    <t>6-</t>
  </si>
  <si>
    <t>SI FUERA POSIBLE LA CREACIÓN DE UN CATALOGO PARA LA SECCIÓN DE UNIDAD E IR AGRREGANDO CONFORME SE REQUIERA, ESTA SERA COMPRENDIDA POR: M, M², M³, PZA, LOTE, POZO, CAJA ( Y LAS QUE SE VAYAN AÑADIENDO)</t>
  </si>
  <si>
    <t>7-</t>
  </si>
  <si>
    <t>PARA EL APARADO DE "PROGRAMA" UN CATALOGO CON LAS SIGUIENTES OPCIONES: PROAGUA, PROSANEAR, PRODI, PROPIOS, PRODDER, ESTATAL Y MUNICIPAL, ASI MISMO LA OPCION ABIERTA Y LAS QUE SE PUEDAN AÑADIR AL CATALOGO.</t>
  </si>
  <si>
    <t>8-</t>
  </si>
  <si>
    <t>DEBAJO DE LA TABLA UNA LÍNEA DE TOTALES ASI COMO SE MUESTRA Y SUS REFERENCIAS DE DATOS A SUMAR .</t>
  </si>
  <si>
    <t>9-</t>
  </si>
  <si>
    <t>PARA FINALIZAR, UN CUADRO DE CONCENTRACIÓN DE MONTOS, DE ACUERDO A LA PROCEDENCIA DEL RECURSO Y EL TIPO DE INSTITUCIÓN QUE LO APORTA. CON SU TOTAL CORRESPONDIENTE.</t>
  </si>
  <si>
    <t xml:space="preserve">NOTA. </t>
  </si>
  <si>
    <t xml:space="preserve">PARA LAS CELDAS QUE SE TRABAJEN TOTALES DE MONTOS O SUMATORIA DE DATOS, SE ENCUENTRAN LAS FORMULAS Y REFERENCIAS CORRESPONDENTES, SE MOSTRÓ DE ESTA MANERA, PARA QUE SE PUDIERA ENTENDER MEJOR. </t>
  </si>
  <si>
    <t xml:space="preserve">CUALQUIER DUDA O ACLARACIÓN QUE SE REQUIERA SOBRE LAS MISMAS, ESTAMOS PENDIENTES. </t>
  </si>
  <si>
    <t>B46:N57C58B46:R57B46:R58C58B46:R57B46:S58C58B46:R57B46:T59B46:S59B46:R59B46:Q59B46B46:O58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</si>
</sst>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_-;\-* #,##0.00_-;_-* &quot;-&quot;??_-;_-@"/>
    <numFmt numFmtId="165" formatCode="#,##0_ ;\-#,##0\ "/>
    <numFmt numFmtId="166" formatCode="_-&quot;$&quot;* #,##0.00_-;\-&quot;$&quot;* #,##0.00_-;_-&quot;$&quot;* &quot;-&quot;??_-;_-@"/>
    <numFmt numFmtId="167" formatCode="&quot;$&quot;#,###.00"/>
    <numFmt numFmtId="168" formatCode="&quot;$&quot;#,##0.00"/>
    <numFmt numFmtId="169" formatCode="0.000"/>
    <numFmt numFmtId="170" formatCode="_-&quot;$&quot;* #,##0.000_-;\-&quot;$&quot;* #,##0.000_-;_-&quot;$&quot;* &quot;-&quot;??_-;_-@"/>
  </numFmts>
  <fonts count="42" x14ac:knownFonts="1">
    <font>
      <sz val="11"/>
      <color theme="1"/>
      <name val="Arial"/>
    </font>
    <font>
      <sz val="10"/>
      <color theme="1"/>
      <name val="Arial Narrow"/>
      <family val="2"/>
    </font>
    <font>
      <sz val="11"/>
      <name val="Arial"/>
      <family val="2"/>
    </font>
    <font>
      <b/>
      <sz val="11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0"/>
      <color rgb="FFFF0000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18"/>
      <color theme="1"/>
      <name val="Arial Narrow"/>
      <family val="2"/>
    </font>
    <font>
      <b/>
      <sz val="11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sz val="11"/>
      <color theme="1"/>
      <name val="Arial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b/>
      <sz val="22"/>
      <color rgb="FF000000"/>
      <name val="Arial Black"/>
      <family val="2"/>
    </font>
    <font>
      <sz val="22"/>
      <color theme="1"/>
      <name val="Arial Black"/>
      <family val="2"/>
    </font>
    <font>
      <sz val="11"/>
      <color theme="1"/>
      <name val="Arial"/>
      <family val="2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b/>
      <sz val="16"/>
      <color rgb="FF0070C0"/>
      <name val="Arial"/>
      <family val="2"/>
    </font>
    <font>
      <sz val="16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Arial Narrow"/>
      <family val="2"/>
    </font>
    <font>
      <b/>
      <sz val="10"/>
      <color theme="1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D6E3BC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6E3BC"/>
      </patternFill>
    </fill>
  </fills>
  <borders count="4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6" fillId="0" borderId="0" applyFont="0" applyFill="0" applyBorder="0" applyAlignment="0" applyProtection="0"/>
    <xf numFmtId="0" fontId="19" fillId="0" borderId="6"/>
    <xf numFmtId="0" fontId="19" fillId="0" borderId="6"/>
    <xf numFmtId="0" fontId="19" fillId="0" borderId="6"/>
    <xf numFmtId="44" fontId="16" fillId="0" borderId="0" applyFont="0" applyFill="0" applyBorder="0" applyAlignment="0" applyProtection="0"/>
    <xf numFmtId="44" fontId="23" fillId="0" borderId="6" applyFont="0" applyFill="0" applyBorder="0" applyAlignment="0" applyProtection="0"/>
    <xf numFmtId="43" fontId="23" fillId="0" borderId="6" applyFont="0" applyFill="0" applyBorder="0" applyAlignment="0" applyProtection="0"/>
  </cellStyleXfs>
  <cellXfs count="37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1" fillId="0" borderId="5" xfId="0" applyNumberFormat="1" applyFont="1" applyBorder="1"/>
    <xf numFmtId="0" fontId="1" fillId="0" borderId="5" xfId="0" applyFont="1" applyBorder="1" applyAlignment="1">
      <alignment vertical="center" wrapText="1"/>
    </xf>
    <xf numFmtId="164" fontId="1" fillId="0" borderId="5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/>
    <xf numFmtId="0" fontId="1" fillId="0" borderId="5" xfId="0" applyFont="1" applyBorder="1"/>
    <xf numFmtId="2" fontId="1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166" fontId="7" fillId="0" borderId="0" xfId="0" applyNumberFormat="1" applyFont="1"/>
    <xf numFmtId="166" fontId="8" fillId="0" borderId="0" xfId="0" applyNumberFormat="1" applyFont="1"/>
    <xf numFmtId="166" fontId="1" fillId="0" borderId="0" xfId="0" applyNumberFormat="1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6" fontId="1" fillId="0" borderId="5" xfId="0" applyNumberFormat="1" applyFont="1" applyBorder="1"/>
    <xf numFmtId="166" fontId="1" fillId="0" borderId="11" xfId="0" applyNumberFormat="1" applyFont="1" applyBorder="1"/>
    <xf numFmtId="0" fontId="1" fillId="0" borderId="12" xfId="0" applyFont="1" applyBorder="1"/>
    <xf numFmtId="0" fontId="8" fillId="0" borderId="13" xfId="0" applyFont="1" applyBorder="1"/>
    <xf numFmtId="166" fontId="8" fillId="0" borderId="14" xfId="0" applyNumberFormat="1" applyFont="1" applyBorder="1"/>
    <xf numFmtId="0" fontId="9" fillId="0" borderId="0" xfId="0" applyFont="1"/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168" fontId="1" fillId="0" borderId="0" xfId="0" applyNumberFormat="1" applyFont="1"/>
    <xf numFmtId="0" fontId="8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7" fontId="12" fillId="0" borderId="5" xfId="0" applyNumberFormat="1" applyFont="1" applyBorder="1" applyAlignment="1">
      <alignment horizontal="center" vertical="center" wrapText="1"/>
    </xf>
    <xf numFmtId="167" fontId="12" fillId="0" borderId="0" xfId="0" applyNumberFormat="1" applyFont="1" applyAlignment="1">
      <alignment horizontal="center" vertical="center" wrapText="1"/>
    </xf>
    <xf numFmtId="168" fontId="13" fillId="0" borderId="17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166" fontId="5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8" fillId="2" borderId="20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/>
    </xf>
    <xf numFmtId="0" fontId="1" fillId="2" borderId="27" xfId="0" applyFont="1" applyFill="1" applyBorder="1"/>
    <xf numFmtId="0" fontId="8" fillId="2" borderId="28" xfId="0" applyFont="1" applyFill="1" applyBorder="1" applyAlignment="1">
      <alignment horizontal="center" vertical="center" wrapText="1"/>
    </xf>
    <xf numFmtId="167" fontId="11" fillId="2" borderId="29" xfId="0" applyNumberFormat="1" applyFont="1" applyFill="1" applyBorder="1" applyAlignment="1">
      <alignment horizontal="center" vertical="center" wrapText="1"/>
    </xf>
    <xf numFmtId="2" fontId="1" fillId="0" borderId="25" xfId="0" applyNumberFormat="1" applyFont="1" applyBorder="1"/>
    <xf numFmtId="0" fontId="1" fillId="0" borderId="26" xfId="0" applyFont="1" applyBorder="1"/>
    <xf numFmtId="167" fontId="12" fillId="0" borderId="17" xfId="0" applyNumberFormat="1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6" fillId="0" borderId="26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6" fillId="0" borderId="3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vertical="center"/>
    </xf>
    <xf numFmtId="168" fontId="6" fillId="0" borderId="26" xfId="0" applyNumberFormat="1" applyFont="1" applyBorder="1"/>
    <xf numFmtId="0" fontId="1" fillId="0" borderId="32" xfId="0" applyFont="1" applyBorder="1"/>
    <xf numFmtId="9" fontId="1" fillId="0" borderId="32" xfId="0" applyNumberFormat="1" applyFont="1" applyBorder="1"/>
    <xf numFmtId="0" fontId="1" fillId="0" borderId="33" xfId="0" applyFont="1" applyBorder="1" applyAlignment="1">
      <alignment vertical="center" wrapText="1"/>
    </xf>
    <xf numFmtId="168" fontId="13" fillId="0" borderId="34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3" borderId="35" xfId="0" applyFont="1" applyFill="1" applyBorder="1" applyAlignment="1">
      <alignment vertical="center" wrapText="1"/>
    </xf>
    <xf numFmtId="0" fontId="8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center" wrapText="1"/>
    </xf>
    <xf numFmtId="167" fontId="11" fillId="2" borderId="15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17" xfId="0" applyFont="1" applyBorder="1" applyAlignment="1">
      <alignment vertical="center" wrapText="1"/>
    </xf>
    <xf numFmtId="2" fontId="13" fillId="0" borderId="25" xfId="0" applyNumberFormat="1" applyFont="1" applyBorder="1" applyAlignment="1">
      <alignment horizontal="center" vertical="center"/>
    </xf>
    <xf numFmtId="0" fontId="1" fillId="0" borderId="25" xfId="0" applyFont="1" applyBorder="1"/>
    <xf numFmtId="44" fontId="1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167" fontId="11" fillId="2" borderId="6" xfId="0" applyNumberFormat="1" applyFont="1" applyFill="1" applyBorder="1" applyAlignment="1">
      <alignment horizontal="center" vertical="center" wrapText="1"/>
    </xf>
    <xf numFmtId="167" fontId="12" fillId="0" borderId="6" xfId="0" applyNumberFormat="1" applyFont="1" applyBorder="1" applyAlignment="1">
      <alignment horizontal="center" vertical="center" wrapText="1"/>
    </xf>
    <xf numFmtId="168" fontId="13" fillId="0" borderId="6" xfId="0" applyNumberFormat="1" applyFont="1" applyBorder="1" applyAlignment="1">
      <alignment horizontal="center" vertical="center"/>
    </xf>
    <xf numFmtId="43" fontId="1" fillId="0" borderId="0" xfId="0" applyNumberFormat="1" applyFont="1"/>
    <xf numFmtId="0" fontId="4" fillId="0" borderId="38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1" fontId="1" fillId="4" borderId="5" xfId="0" applyNumberFormat="1" applyFont="1" applyFill="1" applyBorder="1" applyAlignment="1">
      <alignment horizontal="center" vertical="center"/>
    </xf>
    <xf numFmtId="166" fontId="5" fillId="4" borderId="5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horizontal="center" vertical="center"/>
    </xf>
    <xf numFmtId="0" fontId="1" fillId="4" borderId="6" xfId="0" applyFont="1" applyFill="1" applyBorder="1"/>
    <xf numFmtId="0" fontId="0" fillId="5" borderId="0" xfId="0" applyFill="1"/>
    <xf numFmtId="9" fontId="6" fillId="4" borderId="5" xfId="0" applyNumberFormat="1" applyFont="1" applyFill="1" applyBorder="1"/>
    <xf numFmtId="1" fontId="5" fillId="4" borderId="5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43" fontId="13" fillId="0" borderId="6" xfId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8" fontId="6" fillId="0" borderId="26" xfId="0" applyNumberFormat="1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0" fontId="1" fillId="0" borderId="36" xfId="0" applyFont="1" applyBorder="1"/>
    <xf numFmtId="9" fontId="1" fillId="0" borderId="36" xfId="0" applyNumberFormat="1" applyFont="1" applyBorder="1"/>
    <xf numFmtId="0" fontId="15" fillId="0" borderId="35" xfId="0" applyFont="1" applyBorder="1" applyAlignment="1">
      <alignment vertical="center" wrapText="1"/>
    </xf>
    <xf numFmtId="168" fontId="15" fillId="0" borderId="0" xfId="0" applyNumberFormat="1" applyFont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 wrapText="1"/>
    </xf>
    <xf numFmtId="0" fontId="15" fillId="5" borderId="5" xfId="0" applyFont="1" applyFill="1" applyBorder="1" applyAlignment="1">
      <alignment vertical="center" wrapText="1"/>
    </xf>
    <xf numFmtId="2" fontId="13" fillId="0" borderId="6" xfId="0" applyNumberFormat="1" applyFont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4" fillId="0" borderId="37" xfId="0" applyFont="1" applyBorder="1" applyAlignment="1">
      <alignment vertical="center" wrapText="1"/>
    </xf>
    <xf numFmtId="43" fontId="25" fillId="0" borderId="37" xfId="1" applyFont="1" applyFill="1" applyBorder="1" applyAlignment="1">
      <alignment horizontal="center" vertical="center"/>
    </xf>
    <xf numFmtId="44" fontId="25" fillId="0" borderId="37" xfId="6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6" xfId="0" applyFont="1" applyBorder="1"/>
    <xf numFmtId="43" fontId="26" fillId="0" borderId="0" xfId="1" applyFont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169" fontId="4" fillId="0" borderId="5" xfId="0" applyNumberFormat="1" applyFont="1" applyBorder="1" applyAlignment="1">
      <alignment horizontal="center" vertical="center" wrapText="1"/>
    </xf>
    <xf numFmtId="169" fontId="0" fillId="0" borderId="0" xfId="0" applyNumberFormat="1"/>
    <xf numFmtId="169" fontId="1" fillId="0" borderId="0" xfId="0" applyNumberFormat="1" applyFont="1"/>
    <xf numFmtId="44" fontId="11" fillId="2" borderId="5" xfId="5" applyFont="1" applyFill="1" applyBorder="1" applyAlignment="1">
      <alignment horizontal="center" vertical="center" wrapText="1"/>
    </xf>
    <xf numFmtId="44" fontId="14" fillId="0" borderId="5" xfId="5" applyFont="1" applyFill="1" applyBorder="1" applyAlignment="1">
      <alignment horizontal="center" vertical="center" wrapText="1"/>
    </xf>
    <xf numFmtId="44" fontId="18" fillId="0" borderId="18" xfId="5" applyFont="1" applyBorder="1" applyAlignment="1">
      <alignment horizontal="center" vertical="center"/>
    </xf>
    <xf numFmtId="44" fontId="14" fillId="0" borderId="5" xfId="5" applyFont="1" applyBorder="1" applyAlignment="1">
      <alignment horizontal="center" vertical="center" wrapText="1"/>
    </xf>
    <xf numFmtId="44" fontId="19" fillId="5" borderId="5" xfId="5" applyFont="1" applyFill="1" applyBorder="1" applyAlignment="1">
      <alignment horizontal="center" vertical="center" wrapText="1"/>
    </xf>
    <xf numFmtId="44" fontId="17" fillId="0" borderId="18" xfId="5" applyFont="1" applyBorder="1" applyAlignment="1">
      <alignment horizontal="center" vertical="center"/>
    </xf>
    <xf numFmtId="44" fontId="18" fillId="5" borderId="18" xfId="5" applyFont="1" applyFill="1" applyBorder="1" applyAlignment="1">
      <alignment horizontal="center" vertical="center"/>
    </xf>
    <xf numFmtId="44" fontId="11" fillId="2" borderId="18" xfId="5" applyFont="1" applyFill="1" applyBorder="1" applyAlignment="1">
      <alignment horizontal="center" vertical="center" wrapText="1"/>
    </xf>
    <xf numFmtId="44" fontId="12" fillId="0" borderId="5" xfId="5" applyFont="1" applyBorder="1" applyAlignment="1">
      <alignment horizontal="center" vertical="center" wrapText="1"/>
    </xf>
    <xf numFmtId="170" fontId="1" fillId="0" borderId="0" xfId="0" applyNumberFormat="1" applyFont="1"/>
    <xf numFmtId="44" fontId="15" fillId="0" borderId="37" xfId="0" applyNumberFormat="1" applyFont="1" applyBorder="1" applyAlignment="1">
      <alignment horizontal="center" vertical="center"/>
    </xf>
    <xf numFmtId="44" fontId="12" fillId="0" borderId="5" xfId="5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vertical="center" wrapText="1"/>
    </xf>
    <xf numFmtId="166" fontId="5" fillId="4" borderId="27" xfId="0" applyNumberFormat="1" applyFont="1" applyFill="1" applyBorder="1" applyAlignment="1">
      <alignment vertical="center"/>
    </xf>
    <xf numFmtId="166" fontId="1" fillId="4" borderId="27" xfId="0" applyNumberFormat="1" applyFont="1" applyFill="1" applyBorder="1" applyAlignment="1">
      <alignment horizontal="center" vertical="center"/>
    </xf>
    <xf numFmtId="0" fontId="4" fillId="0" borderId="36" xfId="0" applyFont="1" applyBorder="1"/>
    <xf numFmtId="164" fontId="4" fillId="0" borderId="36" xfId="0" applyNumberFormat="1" applyFont="1" applyBorder="1"/>
    <xf numFmtId="166" fontId="7" fillId="0" borderId="36" xfId="0" applyNumberFormat="1" applyFont="1" applyBorder="1"/>
    <xf numFmtId="0" fontId="1" fillId="0" borderId="36" xfId="0" applyFont="1" applyBorder="1" applyAlignment="1">
      <alignment horizontal="left" vertical="center" wrapText="1"/>
    </xf>
    <xf numFmtId="43" fontId="15" fillId="0" borderId="37" xfId="1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justify" vertical="center" wrapText="1"/>
    </xf>
    <xf numFmtId="166" fontId="1" fillId="4" borderId="37" xfId="0" applyNumberFormat="1" applyFont="1" applyFill="1" applyBorder="1" applyAlignment="1">
      <alignment horizontal="center" vertical="center"/>
    </xf>
    <xf numFmtId="166" fontId="1" fillId="4" borderId="37" xfId="0" applyNumberFormat="1" applyFont="1" applyFill="1" applyBorder="1" applyAlignment="1">
      <alignment vertical="center"/>
    </xf>
    <xf numFmtId="0" fontId="1" fillId="0" borderId="18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1" fontId="15" fillId="0" borderId="37" xfId="7" applyNumberFormat="1" applyFont="1" applyFill="1" applyBorder="1" applyAlignment="1">
      <alignment horizontal="center" vertical="center"/>
    </xf>
    <xf numFmtId="43" fontId="15" fillId="0" borderId="37" xfId="7" applyFont="1" applyFill="1" applyBorder="1" applyAlignment="1">
      <alignment horizontal="center" vertical="center"/>
    </xf>
    <xf numFmtId="165" fontId="25" fillId="0" borderId="37" xfId="7" applyNumberFormat="1" applyFont="1" applyFill="1" applyBorder="1" applyAlignment="1">
      <alignment horizontal="center" vertical="center"/>
    </xf>
    <xf numFmtId="44" fontId="15" fillId="0" borderId="37" xfId="0" applyNumberFormat="1" applyFont="1" applyBorder="1" applyAlignment="1">
      <alignment vertical="center"/>
    </xf>
    <xf numFmtId="0" fontId="24" fillId="0" borderId="5" xfId="0" applyFont="1" applyBorder="1" applyAlignment="1">
      <alignment vertical="center" wrapText="1"/>
    </xf>
    <xf numFmtId="0" fontId="1" fillId="4" borderId="37" xfId="0" applyFont="1" applyFill="1" applyBorder="1" applyAlignment="1">
      <alignment vertical="center" wrapText="1"/>
    </xf>
    <xf numFmtId="0" fontId="1" fillId="4" borderId="27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27" xfId="0" applyNumberFormat="1" applyFont="1" applyFill="1" applyBorder="1" applyAlignment="1">
      <alignment horizontal="center" vertical="center"/>
    </xf>
    <xf numFmtId="164" fontId="5" fillId="4" borderId="37" xfId="0" applyNumberFormat="1" applyFont="1" applyFill="1" applyBorder="1" applyAlignment="1">
      <alignment horizontal="center" vertical="center"/>
    </xf>
    <xf numFmtId="164" fontId="15" fillId="4" borderId="27" xfId="0" applyNumberFormat="1" applyFont="1" applyFill="1" applyBorder="1" applyAlignment="1">
      <alignment horizontal="center" vertical="center"/>
    </xf>
    <xf numFmtId="43" fontId="25" fillId="0" borderId="5" xfId="1" applyFont="1" applyFill="1" applyBorder="1" applyAlignment="1">
      <alignment horizontal="center" vertical="center"/>
    </xf>
    <xf numFmtId="164" fontId="1" fillId="0" borderId="37" xfId="0" applyNumberFormat="1" applyFont="1" applyBorder="1" applyAlignment="1">
      <alignment horizontal="center" vertical="center"/>
    </xf>
    <xf numFmtId="165" fontId="1" fillId="4" borderId="37" xfId="0" applyNumberFormat="1" applyFont="1" applyFill="1" applyBorder="1" applyAlignment="1">
      <alignment horizontal="center" vertical="center"/>
    </xf>
    <xf numFmtId="165" fontId="5" fillId="4" borderId="27" xfId="0" applyNumberFormat="1" applyFont="1" applyFill="1" applyBorder="1" applyAlignment="1">
      <alignment horizontal="center" vertical="center"/>
    </xf>
    <xf numFmtId="165" fontId="15" fillId="0" borderId="5" xfId="1" applyNumberFormat="1" applyFont="1" applyFill="1" applyBorder="1" applyAlignment="1">
      <alignment horizontal="center" vertical="center"/>
    </xf>
    <xf numFmtId="166" fontId="5" fillId="4" borderId="37" xfId="0" applyNumberFormat="1" applyFont="1" applyFill="1" applyBorder="1" applyAlignment="1">
      <alignment vertical="center"/>
    </xf>
    <xf numFmtId="44" fontId="25" fillId="0" borderId="5" xfId="6" applyFont="1" applyFill="1" applyBorder="1" applyAlignment="1">
      <alignment vertical="center"/>
    </xf>
    <xf numFmtId="44" fontId="15" fillId="0" borderId="5" xfId="0" applyNumberFormat="1" applyFont="1" applyBorder="1" applyAlignment="1">
      <alignment horizontal="center" vertical="center"/>
    </xf>
    <xf numFmtId="44" fontId="15" fillId="0" borderId="5" xfId="0" applyNumberFormat="1" applyFont="1" applyBorder="1" applyAlignment="1">
      <alignment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wrapText="1"/>
    </xf>
    <xf numFmtId="0" fontId="15" fillId="0" borderId="37" xfId="0" applyFont="1" applyBorder="1" applyAlignment="1">
      <alignment horizontal="left" vertical="center" wrapText="1"/>
    </xf>
    <xf numFmtId="0" fontId="20" fillId="0" borderId="0" xfId="0" applyFont="1"/>
    <xf numFmtId="0" fontId="0" fillId="0" borderId="6" xfId="0" applyBorder="1"/>
    <xf numFmtId="167" fontId="5" fillId="4" borderId="37" xfId="0" applyNumberFormat="1" applyFont="1" applyFill="1" applyBorder="1" applyAlignment="1">
      <alignment vertical="center"/>
    </xf>
    <xf numFmtId="169" fontId="33" fillId="0" borderId="27" xfId="0" applyNumberFormat="1" applyFont="1" applyBorder="1" applyAlignment="1">
      <alignment horizontal="center" vertical="center" wrapText="1"/>
    </xf>
    <xf numFmtId="2" fontId="34" fillId="2" borderId="37" xfId="5" applyNumberFormat="1" applyFont="1" applyFill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2" fontId="14" fillId="8" borderId="5" xfId="0" applyNumberFormat="1" applyFont="1" applyFill="1" applyBorder="1" applyAlignment="1">
      <alignment horizontal="center" vertical="center" wrapText="1"/>
    </xf>
    <xf numFmtId="44" fontId="34" fillId="2" borderId="37" xfId="5" applyFont="1" applyFill="1" applyBorder="1" applyAlignment="1">
      <alignment horizontal="center" vertical="center" wrapText="1"/>
    </xf>
    <xf numFmtId="44" fontId="14" fillId="0" borderId="37" xfId="5" applyFont="1" applyBorder="1" applyAlignment="1">
      <alignment horizontal="center" vertical="center" wrapText="1"/>
    </xf>
    <xf numFmtId="44" fontId="14" fillId="0" borderId="37" xfId="5" applyFont="1" applyFill="1" applyBorder="1" applyAlignment="1">
      <alignment horizontal="center" vertical="center" wrapText="1"/>
    </xf>
    <xf numFmtId="169" fontId="15" fillId="0" borderId="0" xfId="0" applyNumberFormat="1" applyFont="1"/>
    <xf numFmtId="1" fontId="24" fillId="0" borderId="5" xfId="0" applyNumberFormat="1" applyFont="1" applyBorder="1" applyAlignment="1">
      <alignment horizontal="center" vertical="center"/>
    </xf>
    <xf numFmtId="165" fontId="24" fillId="0" borderId="5" xfId="0" applyNumberFormat="1" applyFont="1" applyBorder="1" applyAlignment="1">
      <alignment horizontal="center" vertical="center"/>
    </xf>
    <xf numFmtId="1" fontId="24" fillId="0" borderId="37" xfId="0" applyNumberFormat="1" applyFont="1" applyBorder="1" applyAlignment="1">
      <alignment horizontal="center" vertical="center"/>
    </xf>
    <xf numFmtId="1" fontId="24" fillId="4" borderId="5" xfId="0" applyNumberFormat="1" applyFont="1" applyFill="1" applyBorder="1" applyAlignment="1">
      <alignment horizontal="center" vertical="center"/>
    </xf>
    <xf numFmtId="1" fontId="24" fillId="0" borderId="37" xfId="1" applyNumberFormat="1" applyFont="1" applyFill="1" applyBorder="1" applyAlignment="1">
      <alignment horizontal="center" vertical="center"/>
    </xf>
    <xf numFmtId="165" fontId="24" fillId="0" borderId="37" xfId="1" applyNumberFormat="1" applyFont="1" applyFill="1" applyBorder="1" applyAlignment="1">
      <alignment horizontal="center" vertical="center"/>
    </xf>
    <xf numFmtId="165" fontId="24" fillId="0" borderId="37" xfId="0" applyNumberFormat="1" applyFont="1" applyBorder="1" applyAlignment="1">
      <alignment horizontal="center" vertical="center"/>
    </xf>
    <xf numFmtId="1" fontId="24" fillId="0" borderId="5" xfId="1" applyNumberFormat="1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vertical="center" wrapText="1"/>
    </xf>
    <xf numFmtId="43" fontId="25" fillId="0" borderId="37" xfId="7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horizontal="center" vertical="center" wrapText="1"/>
    </xf>
    <xf numFmtId="44" fontId="11" fillId="0" borderId="5" xfId="5" applyFont="1" applyFill="1" applyBorder="1" applyAlignment="1">
      <alignment horizontal="center" vertical="center" wrapText="1"/>
    </xf>
    <xf numFmtId="44" fontId="34" fillId="0" borderId="37" xfId="5" applyFont="1" applyFill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15" fillId="0" borderId="2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44" fontId="13" fillId="0" borderId="17" xfId="5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7" fontId="22" fillId="0" borderId="6" xfId="2" applyNumberFormat="1" applyFont="1" applyAlignment="1">
      <alignment vertical="center"/>
    </xf>
    <xf numFmtId="167" fontId="14" fillId="0" borderId="6" xfId="0" applyNumberFormat="1" applyFont="1" applyBorder="1" applyAlignment="1">
      <alignment horizontal="center" vertical="center" wrapText="1"/>
    </xf>
    <xf numFmtId="0" fontId="15" fillId="0" borderId="18" xfId="0" applyFont="1" applyBorder="1" applyAlignment="1">
      <alignment vertical="center" wrapText="1"/>
    </xf>
    <xf numFmtId="44" fontId="13" fillId="0" borderId="5" xfId="5" applyFont="1" applyFill="1" applyBorder="1" applyAlignment="1">
      <alignment horizontal="center" vertical="center"/>
    </xf>
    <xf numFmtId="0" fontId="21" fillId="0" borderId="5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44" fontId="18" fillId="0" borderId="5" xfId="5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vertical="center" wrapText="1"/>
    </xf>
    <xf numFmtId="0" fontId="1" fillId="0" borderId="18" xfId="0" applyFont="1" applyBorder="1"/>
    <xf numFmtId="0" fontId="15" fillId="0" borderId="5" xfId="0" applyFont="1" applyBorder="1" applyAlignment="1">
      <alignment horizontal="center" vertical="center" wrapText="1"/>
    </xf>
    <xf numFmtId="44" fontId="27" fillId="0" borderId="6" xfId="5" applyFont="1" applyFill="1" applyBorder="1"/>
    <xf numFmtId="44" fontId="27" fillId="7" borderId="6" xfId="5" applyFont="1" applyFill="1" applyBorder="1"/>
    <xf numFmtId="166" fontId="1" fillId="0" borderId="6" xfId="0" applyNumberFormat="1" applyFont="1" applyBorder="1"/>
    <xf numFmtId="0" fontId="20" fillId="0" borderId="6" xfId="0" applyFont="1" applyBorder="1"/>
    <xf numFmtId="170" fontId="1" fillId="0" borderId="6" xfId="0" applyNumberFormat="1" applyFont="1" applyBorder="1"/>
    <xf numFmtId="0" fontId="15" fillId="0" borderId="10" xfId="0" applyFont="1" applyBorder="1"/>
    <xf numFmtId="44" fontId="32" fillId="5" borderId="37" xfId="5" applyFont="1" applyFill="1" applyBorder="1" applyAlignment="1">
      <alignment horizontal="center" vertical="center"/>
    </xf>
    <xf numFmtId="166" fontId="37" fillId="0" borderId="37" xfId="0" applyNumberFormat="1" applyFont="1" applyBorder="1" applyAlignment="1">
      <alignment horizontal="center" vertical="center"/>
    </xf>
    <xf numFmtId="166" fontId="32" fillId="4" borderId="37" xfId="0" applyNumberFormat="1" applyFont="1" applyFill="1" applyBorder="1" applyAlignment="1">
      <alignment horizontal="center" vertical="center"/>
    </xf>
    <xf numFmtId="166" fontId="32" fillId="5" borderId="37" xfId="0" applyNumberFormat="1" applyFont="1" applyFill="1" applyBorder="1" applyAlignment="1">
      <alignment horizontal="center" vertical="center"/>
    </xf>
    <xf numFmtId="0" fontId="39" fillId="0" borderId="37" xfId="0" applyFont="1" applyBorder="1" applyAlignment="1">
      <alignment horizontal="center" wrapText="1"/>
    </xf>
    <xf numFmtId="0" fontId="38" fillId="0" borderId="37" xfId="0" applyFont="1" applyBorder="1" applyAlignment="1">
      <alignment horizontal="center" vertical="center" wrapText="1"/>
    </xf>
    <xf numFmtId="44" fontId="1" fillId="0" borderId="5" xfId="0" applyNumberFormat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/>
    </xf>
    <xf numFmtId="166" fontId="24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horizontal="center"/>
    </xf>
    <xf numFmtId="44" fontId="1" fillId="4" borderId="6" xfId="0" applyNumberFormat="1" applyFont="1" applyFill="1" applyBorder="1"/>
    <xf numFmtId="166" fontId="1" fillId="4" borderId="6" xfId="0" applyNumberFormat="1" applyFont="1" applyFill="1" applyBorder="1"/>
    <xf numFmtId="43" fontId="1" fillId="4" borderId="6" xfId="1" applyFont="1" applyFill="1" applyBorder="1"/>
    <xf numFmtId="43" fontId="1" fillId="4" borderId="6" xfId="0" applyNumberFormat="1" applyFont="1" applyFill="1" applyBorder="1"/>
    <xf numFmtId="43" fontId="1" fillId="0" borderId="0" xfId="1" applyFont="1"/>
    <xf numFmtId="1" fontId="1" fillId="0" borderId="0" xfId="0" applyNumberFormat="1" applyFont="1"/>
    <xf numFmtId="44" fontId="1" fillId="0" borderId="0" xfId="5" applyFont="1"/>
    <xf numFmtId="0" fontId="1" fillId="4" borderId="6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44" fontId="32" fillId="5" borderId="6" xfId="5" applyFont="1" applyFill="1" applyBorder="1" applyAlignment="1">
      <alignment horizontal="center" vertical="center"/>
    </xf>
    <xf numFmtId="166" fontId="37" fillId="0" borderId="6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 wrapText="1"/>
    </xf>
    <xf numFmtId="0" fontId="1" fillId="0" borderId="37" xfId="0" applyFont="1" applyBorder="1"/>
    <xf numFmtId="2" fontId="19" fillId="0" borderId="18" xfId="0" applyNumberFormat="1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168" fontId="13" fillId="0" borderId="37" xfId="0" applyNumberFormat="1" applyFont="1" applyBorder="1" applyAlignment="1">
      <alignment horizontal="center" vertical="center"/>
    </xf>
    <xf numFmtId="43" fontId="13" fillId="0" borderId="37" xfId="1" applyFont="1" applyBorder="1" applyAlignment="1">
      <alignment horizontal="center" vertical="center"/>
    </xf>
    <xf numFmtId="2" fontId="13" fillId="0" borderId="37" xfId="0" applyNumberFormat="1" applyFont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168" fontId="13" fillId="12" borderId="37" xfId="0" applyNumberFormat="1" applyFont="1" applyFill="1" applyBorder="1" applyAlignment="1">
      <alignment horizontal="center" vertical="center"/>
    </xf>
    <xf numFmtId="0" fontId="20" fillId="13" borderId="5" xfId="0" applyFont="1" applyFill="1" applyBorder="1" applyAlignment="1">
      <alignment horizontal="center" vertical="center" wrapText="1"/>
    </xf>
    <xf numFmtId="167" fontId="12" fillId="12" borderId="37" xfId="0" applyNumberFormat="1" applyFont="1" applyFill="1" applyBorder="1" applyAlignment="1">
      <alignment horizontal="center" vertical="center" wrapText="1"/>
    </xf>
    <xf numFmtId="167" fontId="11" fillId="12" borderId="37" xfId="0" applyNumberFormat="1" applyFont="1" applyFill="1" applyBorder="1" applyAlignment="1">
      <alignment horizontal="center" vertical="center" wrapText="1"/>
    </xf>
    <xf numFmtId="0" fontId="8" fillId="11" borderId="20" xfId="0" applyFont="1" applyFill="1" applyBorder="1" applyAlignment="1">
      <alignment horizontal="left" vertical="center" wrapText="1"/>
    </xf>
    <xf numFmtId="0" fontId="1" fillId="12" borderId="37" xfId="0" applyFont="1" applyFill="1" applyBorder="1"/>
    <xf numFmtId="2" fontId="34" fillId="11" borderId="43" xfId="5" applyNumberFormat="1" applyFont="1" applyFill="1" applyBorder="1" applyAlignment="1">
      <alignment horizontal="center" vertical="center" wrapText="1"/>
    </xf>
    <xf numFmtId="167" fontId="11" fillId="11" borderId="37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5" fontId="24" fillId="5" borderId="37" xfId="0" applyNumberFormat="1" applyFont="1" applyFill="1" applyBorder="1" applyAlignment="1">
      <alignment horizontal="center" vertical="center"/>
    </xf>
    <xf numFmtId="169" fontId="4" fillId="0" borderId="29" xfId="0" applyNumberFormat="1" applyFont="1" applyBorder="1" applyAlignment="1">
      <alignment horizontal="center" vertical="center" wrapText="1"/>
    </xf>
    <xf numFmtId="169" fontId="4" fillId="0" borderId="42" xfId="0" applyNumberFormat="1" applyFont="1" applyBorder="1" applyAlignment="1">
      <alignment horizontal="center" vertical="center" wrapText="1"/>
    </xf>
    <xf numFmtId="2" fontId="11" fillId="12" borderId="18" xfId="0" applyNumberFormat="1" applyFont="1" applyFill="1" applyBorder="1" applyAlignment="1">
      <alignment horizontal="center" vertical="center" wrapText="1"/>
    </xf>
    <xf numFmtId="44" fontId="11" fillId="11" borderId="42" xfId="5" applyFont="1" applyFill="1" applyBorder="1" applyAlignment="1">
      <alignment horizontal="center" vertical="center" wrapText="1"/>
    </xf>
    <xf numFmtId="44" fontId="18" fillId="0" borderId="33" xfId="5" applyFont="1" applyBorder="1" applyAlignment="1">
      <alignment horizontal="center" vertical="center"/>
    </xf>
    <xf numFmtId="44" fontId="14" fillId="0" borderId="42" xfId="5" applyFont="1" applyBorder="1" applyAlignment="1">
      <alignment horizontal="center" vertical="center" wrapText="1"/>
    </xf>
    <xf numFmtId="44" fontId="19" fillId="5" borderId="42" xfId="5" applyFont="1" applyFill="1" applyBorder="1" applyAlignment="1">
      <alignment horizontal="center" vertical="center" wrapText="1"/>
    </xf>
    <xf numFmtId="44" fontId="17" fillId="0" borderId="33" xfId="5" applyFont="1" applyBorder="1" applyAlignment="1">
      <alignment horizontal="center" vertical="center"/>
    </xf>
    <xf numFmtId="44" fontId="18" fillId="5" borderId="33" xfId="5" applyFont="1" applyFill="1" applyBorder="1" applyAlignment="1">
      <alignment horizontal="center" vertical="center"/>
    </xf>
    <xf numFmtId="44" fontId="11" fillId="11" borderId="33" xfId="5" applyFont="1" applyFill="1" applyBorder="1" applyAlignment="1">
      <alignment horizontal="center" vertical="center" wrapText="1"/>
    </xf>
    <xf numFmtId="169" fontId="0" fillId="0" borderId="6" xfId="0" applyNumberFormat="1" applyBorder="1"/>
    <xf numFmtId="169" fontId="1" fillId="0" borderId="6" xfId="0" applyNumberFormat="1" applyFont="1" applyBorder="1"/>
    <xf numFmtId="1" fontId="11" fillId="11" borderId="37" xfId="5" applyNumberFormat="1" applyFont="1" applyFill="1" applyBorder="1" applyAlignment="1">
      <alignment horizontal="center" vertical="center" wrapText="1"/>
    </xf>
    <xf numFmtId="1" fontId="11" fillId="12" borderId="37" xfId="0" applyNumberFormat="1" applyFont="1" applyFill="1" applyBorder="1" applyAlignment="1">
      <alignment horizontal="center" vertical="center" wrapText="1"/>
    </xf>
    <xf numFmtId="167" fontId="11" fillId="8" borderId="37" xfId="0" applyNumberFormat="1" applyFont="1" applyFill="1" applyBorder="1" applyAlignment="1">
      <alignment horizontal="center" vertical="center" wrapText="1"/>
    </xf>
    <xf numFmtId="0" fontId="8" fillId="12" borderId="37" xfId="0" applyFont="1" applyFill="1" applyBorder="1" applyAlignment="1">
      <alignment horizontal="center" vertical="center"/>
    </xf>
    <xf numFmtId="0" fontId="1" fillId="12" borderId="37" xfId="0" applyFont="1" applyFill="1" applyBorder="1" applyAlignment="1">
      <alignment horizontal="center" vertical="center"/>
    </xf>
    <xf numFmtId="168" fontId="41" fillId="12" borderId="37" xfId="0" applyNumberFormat="1" applyFont="1" applyFill="1" applyBorder="1" applyAlignment="1">
      <alignment horizontal="center" vertical="center"/>
    </xf>
    <xf numFmtId="44" fontId="1" fillId="0" borderId="37" xfId="0" applyNumberFormat="1" applyFont="1" applyBorder="1"/>
    <xf numFmtId="169" fontId="15" fillId="0" borderId="37" xfId="0" applyNumberFormat="1" applyFont="1" applyBorder="1"/>
    <xf numFmtId="0" fontId="20" fillId="0" borderId="6" xfId="0" applyFont="1" applyBorder="1" applyAlignment="1">
      <alignment horizontal="center" vertical="center" wrapText="1"/>
    </xf>
    <xf numFmtId="44" fontId="11" fillId="0" borderId="6" xfId="5" applyFont="1" applyFill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/>
    <xf numFmtId="0" fontId="1" fillId="0" borderId="33" xfId="0" applyFont="1" applyBorder="1" applyAlignment="1">
      <alignment horizontal="left" vertical="center" wrapText="1"/>
    </xf>
    <xf numFmtId="0" fontId="8" fillId="11" borderId="18" xfId="0" applyFont="1" applyFill="1" applyBorder="1" applyAlignment="1">
      <alignment horizontal="left" vertical="center" wrapText="1"/>
    </xf>
    <xf numFmtId="0" fontId="20" fillId="11" borderId="18" xfId="0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8" fillId="11" borderId="37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167" fontId="1" fillId="0" borderId="37" xfId="0" applyNumberFormat="1" applyFont="1" applyBorder="1" applyAlignment="1">
      <alignment horizontal="left" vertical="center" wrapText="1"/>
    </xf>
    <xf numFmtId="44" fontId="32" fillId="5" borderId="37" xfId="0" applyNumberFormat="1" applyFont="1" applyFill="1" applyBorder="1" applyAlignment="1">
      <alignment horizontal="center" vertical="center"/>
    </xf>
    <xf numFmtId="0" fontId="32" fillId="5" borderId="37" xfId="0" applyFont="1" applyFill="1" applyBorder="1" applyAlignment="1">
      <alignment horizontal="center" vertical="center"/>
    </xf>
    <xf numFmtId="166" fontId="32" fillId="5" borderId="37" xfId="0" applyNumberFormat="1" applyFont="1" applyFill="1" applyBorder="1" applyAlignment="1">
      <alignment horizontal="center" vertical="center"/>
    </xf>
    <xf numFmtId="166" fontId="37" fillId="4" borderId="37" xfId="0" applyNumberFormat="1" applyFont="1" applyFill="1" applyBorder="1" applyAlignment="1">
      <alignment horizontal="center" vertical="center"/>
    </xf>
    <xf numFmtId="0" fontId="38" fillId="0" borderId="37" xfId="0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9" fillId="0" borderId="0" xfId="0" applyFont="1" applyAlignment="1">
      <alignment horizontal="center"/>
    </xf>
    <xf numFmtId="0" fontId="28" fillId="0" borderId="0" xfId="0" applyFont="1"/>
    <xf numFmtId="0" fontId="35" fillId="0" borderId="1" xfId="0" applyFont="1" applyBorder="1" applyAlignment="1">
      <alignment horizontal="center"/>
    </xf>
    <xf numFmtId="0" fontId="36" fillId="0" borderId="1" xfId="0" applyFont="1" applyBorder="1"/>
    <xf numFmtId="44" fontId="32" fillId="0" borderId="39" xfId="0" applyNumberFormat="1" applyFont="1" applyBorder="1" applyAlignment="1">
      <alignment horizontal="center" vertical="center"/>
    </xf>
    <xf numFmtId="44" fontId="32" fillId="0" borderId="40" xfId="0" applyNumberFormat="1" applyFont="1" applyBorder="1" applyAlignment="1">
      <alignment horizontal="center" vertical="center"/>
    </xf>
    <xf numFmtId="44" fontId="32" fillId="0" borderId="41" xfId="0" applyNumberFormat="1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21" xfId="0" applyFont="1" applyBorder="1" applyAlignment="1">
      <alignment horizontal="right"/>
    </xf>
    <xf numFmtId="0" fontId="2" fillId="0" borderId="21" xfId="0" applyFont="1" applyBorder="1"/>
    <xf numFmtId="0" fontId="1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4" fillId="0" borderId="18" xfId="0" applyFont="1" applyBorder="1" applyAlignment="1">
      <alignment horizontal="center" vertical="center" wrapText="1"/>
    </xf>
    <xf numFmtId="165" fontId="40" fillId="5" borderId="37" xfId="0" applyNumberFormat="1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0" borderId="0" xfId="0" applyFont="1" applyFill="1"/>
    <xf numFmtId="0" fontId="20" fillId="0" borderId="6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left" vertical="center" wrapText="1"/>
    </xf>
    <xf numFmtId="1" fontId="11" fillId="0" borderId="6" xfId="0" applyNumberFormat="1" applyFont="1" applyFill="1" applyBorder="1" applyAlignment="1">
      <alignment horizontal="center" vertical="center" wrapText="1"/>
    </xf>
    <xf numFmtId="2" fontId="11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167" fontId="11" fillId="0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/>
    <xf numFmtId="167" fontId="12" fillId="0" borderId="6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6" xfId="0" applyFont="1" applyBorder="1" applyAlignment="1">
      <alignment horizontal="left"/>
    </xf>
    <xf numFmtId="0" fontId="1" fillId="0" borderId="0" xfId="0" applyFont="1" applyAlignment="1"/>
    <xf numFmtId="0" fontId="1" fillId="0" borderId="6" xfId="0" applyFont="1" applyBorder="1" applyAlignment="1"/>
    <xf numFmtId="169" fontId="1" fillId="0" borderId="6" xfId="0" applyNumberFormat="1" applyFont="1" applyBorder="1" applyAlignment="1"/>
    <xf numFmtId="169" fontId="15" fillId="0" borderId="0" xfId="0" applyNumberFormat="1" applyFont="1" applyAlignment="1"/>
    <xf numFmtId="0" fontId="0" fillId="0" borderId="0" xfId="0" applyAlignment="1"/>
    <xf numFmtId="167" fontId="11" fillId="11" borderId="42" xfId="5" applyNumberFormat="1" applyFont="1" applyFill="1" applyBorder="1" applyAlignment="1">
      <alignment horizontal="center" vertical="center" wrapText="1"/>
    </xf>
    <xf numFmtId="0" fontId="40" fillId="0" borderId="0" xfId="0" applyFont="1" applyAlignment="1"/>
    <xf numFmtId="0" fontId="40" fillId="0" borderId="6" xfId="0" applyFont="1" applyBorder="1" applyAlignment="1">
      <alignment horizontal="left" vertical="center"/>
    </xf>
    <xf numFmtId="0" fontId="40" fillId="0" borderId="6" xfId="0" applyFont="1" applyBorder="1" applyAlignment="1"/>
    <xf numFmtId="169" fontId="40" fillId="0" borderId="6" xfId="0" applyNumberFormat="1" applyFont="1" applyBorder="1" applyAlignment="1"/>
    <xf numFmtId="169" fontId="40" fillId="0" borderId="0" xfId="0" applyNumberFormat="1" applyFont="1" applyAlignment="1"/>
    <xf numFmtId="0" fontId="40" fillId="0" borderId="6" xfId="0" applyFont="1" applyBorder="1" applyAlignment="1">
      <alignment horizontal="left"/>
    </xf>
    <xf numFmtId="0" fontId="8" fillId="0" borderId="0" xfId="0" applyFont="1" applyAlignment="1"/>
    <xf numFmtId="0" fontId="6" fillId="0" borderId="0" xfId="0" applyFont="1" applyAlignment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/>
    <xf numFmtId="169" fontId="6" fillId="0" borderId="6" xfId="0" applyNumberFormat="1" applyFont="1" applyBorder="1" applyAlignment="1"/>
    <xf numFmtId="169" fontId="6" fillId="0" borderId="0" xfId="0" applyNumberFormat="1" applyFont="1" applyAlignment="1"/>
    <xf numFmtId="0" fontId="38" fillId="0" borderId="0" xfId="0" applyFont="1" applyAlignment="1"/>
    <xf numFmtId="0" fontId="8" fillId="0" borderId="6" xfId="0" applyFont="1" applyBorder="1" applyAlignment="1"/>
    <xf numFmtId="169" fontId="8" fillId="0" borderId="6" xfId="0" applyNumberFormat="1" applyFont="1" applyBorder="1" applyAlignment="1"/>
    <xf numFmtId="169" fontId="8" fillId="0" borderId="0" xfId="0" applyNumberFormat="1" applyFont="1" applyAlignment="1"/>
  </cellXfs>
  <cellStyles count="8">
    <cellStyle name="Millares" xfId="1" builtinId="3"/>
    <cellStyle name="Millares 4" xfId="7" xr:uid="{00000000-0005-0000-0000-000001000000}"/>
    <cellStyle name="Moneda" xfId="5" builtinId="4"/>
    <cellStyle name="Moneda 4" xfId="6" xr:uid="{00000000-0005-0000-0000-000003000000}"/>
    <cellStyle name="Normal" xfId="0" builtinId="0"/>
    <cellStyle name="Normal 2" xfId="3" xr:uid="{00000000-0005-0000-0000-000005000000}"/>
    <cellStyle name="Normal 2 2" xfId="4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0</xdr:row>
      <xdr:rowOff>142875</xdr:rowOff>
    </xdr:from>
    <xdr:ext cx="552450" cy="695325"/>
    <xdr:pic>
      <xdr:nvPicPr>
        <xdr:cNvPr id="2" name="image1.png" descr="L_JUM_AZ.BMP">
          <a:extLst>
            <a:ext uri="{FF2B5EF4-FFF2-40B4-BE49-F238E27FC236}">
              <a16:creationId xmlns:a16="http://schemas.microsoft.com/office/drawing/2014/main" id="{26427D50-F73A-4293-8F1B-8DBD6FFD54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775" y="142875"/>
          <a:ext cx="552450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0</xdr:row>
      <xdr:rowOff>142875</xdr:rowOff>
    </xdr:from>
    <xdr:ext cx="733425" cy="695325"/>
    <xdr:pic>
      <xdr:nvPicPr>
        <xdr:cNvPr id="3" name="image1.png" descr="L_JUM_AZ.BMP">
          <a:extLst>
            <a:ext uri="{FF2B5EF4-FFF2-40B4-BE49-F238E27FC236}">
              <a16:creationId xmlns:a16="http://schemas.microsoft.com/office/drawing/2014/main" id="{57360F23-40DB-4792-BE34-8CE251AD3F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775" y="142875"/>
          <a:ext cx="733425" cy="695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18636</xdr:colOff>
      <xdr:row>0</xdr:row>
      <xdr:rowOff>99391</xdr:rowOff>
    </xdr:from>
    <xdr:ext cx="555626" cy="535608"/>
    <xdr:pic>
      <xdr:nvPicPr>
        <xdr:cNvPr id="2" name="image1.png" descr="L_JUM_AZ.BMP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2" y="99391"/>
          <a:ext cx="555626" cy="535608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18636</xdr:colOff>
      <xdr:row>0</xdr:row>
      <xdr:rowOff>99391</xdr:rowOff>
    </xdr:from>
    <xdr:ext cx="555626" cy="535608"/>
    <xdr:pic>
      <xdr:nvPicPr>
        <xdr:cNvPr id="2" name="image1.png" descr="L_JUM_AZ.BMP">
          <a:extLst>
            <a:ext uri="{FF2B5EF4-FFF2-40B4-BE49-F238E27FC236}">
              <a16:creationId xmlns:a16="http://schemas.microsoft.com/office/drawing/2014/main" id="{67BA7765-10A7-4D8A-8A03-24AAC4D5B40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186" y="99391"/>
          <a:ext cx="555626" cy="535608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INGENIERIA%20Y%20PROYECTOS\PLANEACION\2021\PGO%202022\CNGMD_2021_M5_Agua%20potable%20y%20saneamiento%20prellenado%2011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stradac.JUMAPACELAYA/AppData/Local/Microsoft/Windows/INetCache/Content.Outlook/GTTA4N2Q/Copia%20de%20PGO%202022%20PROPUESTA%20INICIAL%20AGOSTO%20PROPUESTA%201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O2022 PROPUESTO"/>
      <sheetName val="ANEXO DE OBRAS"/>
      <sheetName val="ANEXO 2"/>
      <sheetName val="Hoja1"/>
    </sheetNames>
    <sheetDataSet>
      <sheetData sheetId="0"/>
      <sheetData sheetId="1"/>
      <sheetData sheetId="2">
        <row r="8">
          <cell r="F8">
            <v>310</v>
          </cell>
        </row>
        <row r="9">
          <cell r="F9">
            <v>210</v>
          </cell>
        </row>
        <row r="10">
          <cell r="F10">
            <v>180</v>
          </cell>
        </row>
        <row r="12">
          <cell r="F12">
            <v>170</v>
          </cell>
        </row>
        <row r="18">
          <cell r="F18">
            <v>300</v>
          </cell>
        </row>
        <row r="20">
          <cell r="F20">
            <v>370</v>
          </cell>
        </row>
        <row r="28">
          <cell r="F28">
            <v>400</v>
          </cell>
        </row>
        <row r="32">
          <cell r="F32">
            <v>373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O2020 PROPUESTO"/>
      <sheetName val="ANEXO DE OBRAS"/>
      <sheetName val="ANEXO 2"/>
    </sheetNames>
    <sheetDataSet>
      <sheetData sheetId="0" refreshError="1"/>
      <sheetData sheetId="1" refreshError="1"/>
      <sheetData sheetId="2">
        <row r="11">
          <cell r="I11">
            <v>691560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2" zoomScale="70" zoomScaleNormal="70" workbookViewId="0">
      <pane xSplit="9" ySplit="3" topLeftCell="J19" activePane="bottomRight" state="frozen"/>
      <selection activeCell="A2" sqref="A2"/>
      <selection pane="topRight" activeCell="J2" sqref="J2"/>
      <selection pane="bottomLeft" activeCell="A5" sqref="A5"/>
      <selection pane="bottomRight" activeCell="G20" sqref="G20"/>
    </sheetView>
  </sheetViews>
  <sheetFormatPr baseColWidth="10" defaultColWidth="12.625" defaultRowHeight="15" customHeight="1" x14ac:dyDescent="0.2"/>
  <cols>
    <col min="1" max="1" width="4.25" customWidth="1"/>
    <col min="2" max="2" width="13.125" hidden="1" customWidth="1"/>
    <col min="3" max="3" width="20.875" customWidth="1"/>
    <col min="4" max="4" width="12.375" customWidth="1"/>
    <col min="5" max="5" width="10.375" customWidth="1"/>
    <col min="6" max="6" width="11.125" customWidth="1"/>
    <col min="7" max="7" width="16.375" customWidth="1"/>
    <col min="8" max="8" width="12.125" customWidth="1"/>
    <col min="9" max="9" width="24.625" customWidth="1"/>
    <col min="10" max="10" width="16.375" customWidth="1"/>
    <col min="11" max="11" width="19.625" customWidth="1"/>
    <col min="12" max="12" width="18.25" customWidth="1"/>
    <col min="13" max="13" width="13" customWidth="1"/>
    <col min="14" max="14" width="15" customWidth="1"/>
    <col min="15" max="15" width="34.875" customWidth="1"/>
    <col min="16" max="16" width="19.5" customWidth="1"/>
    <col min="17" max="17" width="22.625" style="186" customWidth="1"/>
    <col min="18" max="18" width="16.875" style="186" customWidth="1"/>
    <col min="19" max="19" width="20.25" style="186" customWidth="1"/>
    <col min="20" max="20" width="18.625" customWidth="1"/>
    <col min="21" max="22" width="14.125" customWidth="1"/>
    <col min="23" max="26" width="10" customWidth="1"/>
  </cols>
  <sheetData>
    <row r="1" spans="1:26" ht="51.95" customHeight="1" x14ac:dyDescent="0.2">
      <c r="A1" s="316" t="s">
        <v>0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1"/>
      <c r="Q1" s="125"/>
      <c r="R1" s="125"/>
      <c r="S1" s="125"/>
      <c r="T1" s="1"/>
      <c r="U1" s="1"/>
      <c r="V1" s="1"/>
      <c r="W1" s="1"/>
      <c r="X1" s="1"/>
      <c r="Y1" s="1"/>
      <c r="Z1" s="1"/>
    </row>
    <row r="2" spans="1:26" ht="26.25" customHeight="1" x14ac:dyDescent="0.3">
      <c r="A2" s="318" t="s">
        <v>1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1"/>
      <c r="Q2" s="125"/>
      <c r="R2" s="125"/>
      <c r="S2" s="125"/>
      <c r="T2" s="1"/>
      <c r="U2" s="1"/>
      <c r="V2" s="1"/>
      <c r="W2" s="1"/>
      <c r="X2" s="1"/>
      <c r="Y2" s="1"/>
      <c r="Z2" s="1"/>
    </row>
    <row r="3" spans="1:26" ht="27" customHeight="1" thickBot="1" x14ac:dyDescent="0.35">
      <c r="A3" s="1"/>
      <c r="B3" s="1"/>
      <c r="C3" s="1"/>
      <c r="D3" s="1"/>
      <c r="E3" s="320" t="s">
        <v>2</v>
      </c>
      <c r="F3" s="321"/>
      <c r="G3" s="321"/>
      <c r="H3" s="321"/>
      <c r="I3" s="321"/>
      <c r="J3" s="321"/>
      <c r="K3" s="321"/>
      <c r="L3" s="321"/>
      <c r="M3" s="2"/>
      <c r="N3" s="2"/>
      <c r="O3" s="123" t="s">
        <v>171</v>
      </c>
      <c r="P3" s="315" t="s">
        <v>103</v>
      </c>
      <c r="Q3" s="315"/>
      <c r="R3" s="315"/>
      <c r="S3" s="315"/>
      <c r="T3" s="1"/>
      <c r="U3" s="1"/>
      <c r="V3" s="1"/>
      <c r="W3" s="1"/>
      <c r="X3" s="1"/>
      <c r="Y3" s="1"/>
      <c r="Z3" s="1"/>
    </row>
    <row r="4" spans="1:26" ht="57.95" customHeight="1" x14ac:dyDescent="0.25">
      <c r="A4" s="3" t="s">
        <v>3</v>
      </c>
      <c r="B4" s="3" t="s">
        <v>4</v>
      </c>
      <c r="C4" s="3" t="s">
        <v>5</v>
      </c>
      <c r="D4" s="4" t="s">
        <v>6</v>
      </c>
      <c r="E4" s="4" t="s">
        <v>7</v>
      </c>
      <c r="F4" s="4" t="s">
        <v>8</v>
      </c>
      <c r="G4" s="5" t="s">
        <v>9</v>
      </c>
      <c r="H4" s="5" t="s">
        <v>10</v>
      </c>
      <c r="I4" s="4" t="s">
        <v>11</v>
      </c>
      <c r="J4" s="4" t="s">
        <v>12</v>
      </c>
      <c r="K4" s="4" t="s">
        <v>13</v>
      </c>
      <c r="L4" s="6" t="s">
        <v>14</v>
      </c>
      <c r="M4" s="6" t="s">
        <v>15</v>
      </c>
      <c r="N4" s="6" t="s">
        <v>16</v>
      </c>
      <c r="O4" s="90" t="s">
        <v>17</v>
      </c>
      <c r="P4" s="238" t="s">
        <v>102</v>
      </c>
      <c r="Q4" s="238" t="s">
        <v>104</v>
      </c>
      <c r="R4" s="239" t="s">
        <v>164</v>
      </c>
      <c r="S4" s="239" t="s">
        <v>165</v>
      </c>
      <c r="T4" s="1"/>
      <c r="U4" s="1"/>
      <c r="V4" s="1"/>
      <c r="W4" s="1"/>
      <c r="X4" s="1"/>
      <c r="Y4" s="1"/>
      <c r="Z4" s="1"/>
    </row>
    <row r="5" spans="1:26" ht="72.75" customHeight="1" x14ac:dyDescent="0.2">
      <c r="A5" s="37">
        <v>1</v>
      </c>
      <c r="B5" s="9"/>
      <c r="C5" s="10" t="s">
        <v>105</v>
      </c>
      <c r="D5" s="196">
        <f>'ANEXO DE OBRAS'!E5</f>
        <v>1050.5</v>
      </c>
      <c r="E5" s="11" t="s">
        <v>18</v>
      </c>
      <c r="F5" s="197">
        <f>0.252*D5</f>
        <v>264.726</v>
      </c>
      <c r="G5" s="12">
        <f>'ANEXO DE OBRAS'!D5</f>
        <v>4308048.34</v>
      </c>
      <c r="H5" s="12" t="s">
        <v>19</v>
      </c>
      <c r="I5" s="94">
        <f>G5</f>
        <v>4308048.34</v>
      </c>
      <c r="J5" s="13"/>
      <c r="K5" s="13"/>
      <c r="L5" s="13">
        <f>+G5</f>
        <v>4308048.34</v>
      </c>
      <c r="M5" s="13" t="s">
        <v>20</v>
      </c>
      <c r="N5" s="13" t="s">
        <v>21</v>
      </c>
      <c r="O5" s="157" t="s">
        <v>22</v>
      </c>
      <c r="P5" s="127" t="s">
        <v>137</v>
      </c>
      <c r="Q5" s="128">
        <v>1</v>
      </c>
      <c r="R5" s="322">
        <f>G5+G6+G7+G8+G9</f>
        <v>35913532.329999998</v>
      </c>
      <c r="S5" s="322">
        <f>R5</f>
        <v>35913532.329999998</v>
      </c>
      <c r="T5" s="84">
        <f>I5+I10</f>
        <v>25664736.68</v>
      </c>
      <c r="U5" s="1"/>
      <c r="V5" s="1"/>
      <c r="W5" s="1"/>
      <c r="X5" s="1"/>
      <c r="Y5" s="1"/>
      <c r="Z5" s="1"/>
    </row>
    <row r="6" spans="1:26" ht="72.75" customHeight="1" x14ac:dyDescent="0.2">
      <c r="A6" s="37">
        <v>2</v>
      </c>
      <c r="B6" s="97"/>
      <c r="C6" s="91" t="s">
        <v>28</v>
      </c>
      <c r="D6" s="199">
        <v>5500</v>
      </c>
      <c r="E6" s="99" t="s">
        <v>18</v>
      </c>
      <c r="F6" s="100">
        <v>3500</v>
      </c>
      <c r="G6" s="93">
        <v>7500000</v>
      </c>
      <c r="H6" s="93" t="s">
        <v>29</v>
      </c>
      <c r="I6" s="94">
        <f>G6*0.3</f>
        <v>2250000</v>
      </c>
      <c r="J6" s="94">
        <f>G6*0.4</f>
        <v>3000000</v>
      </c>
      <c r="K6" s="94">
        <f>G6*0.3</f>
        <v>2250000</v>
      </c>
      <c r="L6" s="94">
        <f>SUM(I6:K6)</f>
        <v>7500000</v>
      </c>
      <c r="M6" s="94" t="s">
        <v>30</v>
      </c>
      <c r="N6" s="94" t="s">
        <v>21</v>
      </c>
      <c r="O6" s="158" t="s">
        <v>148</v>
      </c>
      <c r="P6" s="127" t="s">
        <v>137</v>
      </c>
      <c r="Q6" s="128">
        <v>1</v>
      </c>
      <c r="R6" s="323"/>
      <c r="S6" s="323"/>
      <c r="T6" s="84">
        <f>I6+I7+I8+I9</f>
        <v>21105483.990000002</v>
      </c>
      <c r="U6" s="251">
        <v>10500000</v>
      </c>
      <c r="V6" s="84">
        <f>T6+U6</f>
        <v>31605483.990000002</v>
      </c>
      <c r="W6" s="1"/>
      <c r="X6" s="1"/>
      <c r="Y6" s="1"/>
      <c r="Z6" s="1"/>
    </row>
    <row r="7" spans="1:26" ht="73.5" customHeight="1" x14ac:dyDescent="0.2">
      <c r="A7" s="37">
        <v>3</v>
      </c>
      <c r="B7" s="91" t="s">
        <v>31</v>
      </c>
      <c r="C7" s="91" t="s">
        <v>32</v>
      </c>
      <c r="D7" s="199">
        <v>5000</v>
      </c>
      <c r="E7" s="99" t="s">
        <v>18</v>
      </c>
      <c r="F7" s="100">
        <v>2510</v>
      </c>
      <c r="G7" s="93">
        <v>7500000</v>
      </c>
      <c r="H7" s="93" t="s">
        <v>29</v>
      </c>
      <c r="I7" s="94">
        <f>G7*0.3</f>
        <v>2250000</v>
      </c>
      <c r="J7" s="94">
        <f>G7*0.4</f>
        <v>3000000</v>
      </c>
      <c r="K7" s="94">
        <f>G7*0.3</f>
        <v>2250000</v>
      </c>
      <c r="L7" s="94">
        <f>SUM(I7:K7)</f>
        <v>7500000</v>
      </c>
      <c r="M7" s="94" t="s">
        <v>30</v>
      </c>
      <c r="N7" s="94" t="s">
        <v>21</v>
      </c>
      <c r="O7" s="158" t="s">
        <v>162</v>
      </c>
      <c r="P7" s="127" t="s">
        <v>137</v>
      </c>
      <c r="Q7" s="128">
        <v>1</v>
      </c>
      <c r="R7" s="323"/>
      <c r="S7" s="323"/>
      <c r="T7" s="84">
        <f>I11+I16+I17</f>
        <v>20000000</v>
      </c>
      <c r="U7" s="1"/>
      <c r="V7" s="1"/>
      <c r="W7" s="1"/>
      <c r="X7" s="1"/>
      <c r="Y7" s="1"/>
      <c r="Z7" s="1"/>
    </row>
    <row r="8" spans="1:26" ht="70.5" customHeight="1" x14ac:dyDescent="0.2">
      <c r="A8" s="37">
        <v>4</v>
      </c>
      <c r="B8" s="10"/>
      <c r="C8" s="167" t="s">
        <v>149</v>
      </c>
      <c r="D8" s="203">
        <v>5000</v>
      </c>
      <c r="E8" s="173" t="s">
        <v>18</v>
      </c>
      <c r="F8" s="177">
        <v>3297</v>
      </c>
      <c r="G8" s="179">
        <v>8858125.9000000004</v>
      </c>
      <c r="H8" s="179" t="s">
        <v>19</v>
      </c>
      <c r="I8" s="94">
        <f>G8</f>
        <v>8858125.9000000004</v>
      </c>
      <c r="J8" s="181"/>
      <c r="K8" s="180"/>
      <c r="L8" s="180">
        <f>SUM(I8:K8)</f>
        <v>8858125.9000000004</v>
      </c>
      <c r="M8" s="240" t="s">
        <v>20</v>
      </c>
      <c r="N8" s="180" t="s">
        <v>30</v>
      </c>
      <c r="O8" s="158" t="s">
        <v>150</v>
      </c>
      <c r="P8" s="127" t="s">
        <v>137</v>
      </c>
      <c r="Q8" s="128">
        <v>1</v>
      </c>
      <c r="R8" s="323"/>
      <c r="S8" s="323"/>
      <c r="T8" s="84">
        <f>I12+I13</f>
        <v>1900000</v>
      </c>
      <c r="U8" s="1"/>
      <c r="V8" s="1"/>
      <c r="W8" s="1"/>
      <c r="X8" s="1"/>
      <c r="Y8" s="1"/>
      <c r="Z8" s="1"/>
    </row>
    <row r="9" spans="1:26" ht="70.5" customHeight="1" x14ac:dyDescent="0.2">
      <c r="A9" s="37">
        <v>5</v>
      </c>
      <c r="B9" s="10"/>
      <c r="C9" s="10" t="s">
        <v>166</v>
      </c>
      <c r="D9" s="203">
        <f>G9/1560</f>
        <v>4966.2551858974357</v>
      </c>
      <c r="E9" s="173" t="s">
        <v>18</v>
      </c>
      <c r="F9" s="177">
        <f>0.64*D9</f>
        <v>3178.4033189743591</v>
      </c>
      <c r="G9" s="179">
        <f>2339253.09+5408105</f>
        <v>7747358.0899999999</v>
      </c>
      <c r="H9" s="12" t="s">
        <v>19</v>
      </c>
      <c r="I9" s="94">
        <f>G9</f>
        <v>7747358.0899999999</v>
      </c>
      <c r="J9" s="181">
        <f>F9+F8+F7+F6</f>
        <v>12485.403318974359</v>
      </c>
      <c r="K9" s="180">
        <f>J9/4</f>
        <v>3121.3508297435897</v>
      </c>
      <c r="L9" s="180">
        <f>SUM(I9:K9)</f>
        <v>7762964.8441487178</v>
      </c>
      <c r="M9" s="240" t="s">
        <v>20</v>
      </c>
      <c r="N9" s="180" t="s">
        <v>30</v>
      </c>
      <c r="O9" s="157" t="s">
        <v>167</v>
      </c>
      <c r="P9" s="127" t="s">
        <v>137</v>
      </c>
      <c r="Q9" s="128">
        <v>1</v>
      </c>
      <c r="R9" s="324"/>
      <c r="S9" s="324"/>
      <c r="T9" s="84">
        <f>I14+I15</f>
        <v>6284183.9500000002</v>
      </c>
      <c r="U9" s="1"/>
      <c r="V9" s="1"/>
      <c r="W9" s="1"/>
      <c r="X9" s="1"/>
      <c r="Y9" s="1"/>
      <c r="Z9" s="1"/>
    </row>
    <row r="10" spans="1:26" s="96" customFormat="1" ht="92.25" customHeight="1" x14ac:dyDescent="0.2">
      <c r="A10" s="37">
        <v>6</v>
      </c>
      <c r="B10" s="9"/>
      <c r="C10" s="10" t="s">
        <v>106</v>
      </c>
      <c r="D10" s="196">
        <f>'ANEXO DE OBRAS'!E10</f>
        <v>3859.4</v>
      </c>
      <c r="E10" s="11" t="s">
        <v>18</v>
      </c>
      <c r="F10" s="197">
        <f>(D10/10)*4</f>
        <v>1543.76</v>
      </c>
      <c r="G10" s="12">
        <f>'ANEXO DE OBRAS'!D10</f>
        <v>21356688.34</v>
      </c>
      <c r="H10" s="12" t="s">
        <v>19</v>
      </c>
      <c r="I10" s="94">
        <f>G10</f>
        <v>21356688.34</v>
      </c>
      <c r="J10" s="13"/>
      <c r="K10" s="13"/>
      <c r="L10" s="13">
        <f>+G10</f>
        <v>21356688.34</v>
      </c>
      <c r="M10" s="13" t="s">
        <v>20</v>
      </c>
      <c r="N10" s="13" t="s">
        <v>21</v>
      </c>
      <c r="O10" s="158" t="s">
        <v>145</v>
      </c>
      <c r="P10" s="127" t="s">
        <v>137</v>
      </c>
      <c r="Q10" s="128">
        <v>2</v>
      </c>
      <c r="R10" s="236">
        <f t="shared" ref="R10:R14" si="0">G10</f>
        <v>21356688.34</v>
      </c>
      <c r="S10" s="322">
        <f>R10+R11</f>
        <v>24856688.34</v>
      </c>
      <c r="T10" s="245">
        <f>I18+I19+I20</f>
        <v>20459259.380000003</v>
      </c>
      <c r="U10" s="95"/>
      <c r="V10" s="95"/>
      <c r="W10" s="95"/>
      <c r="X10" s="95"/>
      <c r="Y10" s="95"/>
      <c r="Z10" s="95"/>
    </row>
    <row r="11" spans="1:26" s="96" customFormat="1" ht="99" customHeight="1" x14ac:dyDescent="0.2">
      <c r="A11" s="37">
        <v>7</v>
      </c>
      <c r="B11" s="9"/>
      <c r="C11" s="164" t="s">
        <v>140</v>
      </c>
      <c r="D11" s="92">
        <f>'ANEXO DE OBRAS'!E23</f>
        <v>350</v>
      </c>
      <c r="E11" s="99" t="s">
        <v>18</v>
      </c>
      <c r="F11" s="100">
        <v>2000</v>
      </c>
      <c r="G11" s="93">
        <f>'ANEXO DE OBRAS'!D23</f>
        <v>3500000</v>
      </c>
      <c r="H11" s="93" t="s">
        <v>19</v>
      </c>
      <c r="I11" s="94">
        <f>G11</f>
        <v>3500000</v>
      </c>
      <c r="J11" s="103"/>
      <c r="K11" s="94"/>
      <c r="L11" s="94">
        <f t="shared" ref="L11:L21" si="1">SUM(I11:K11)</f>
        <v>3500000</v>
      </c>
      <c r="M11" s="94" t="s">
        <v>34</v>
      </c>
      <c r="N11" s="94" t="s">
        <v>21</v>
      </c>
      <c r="O11" s="158" t="s">
        <v>151</v>
      </c>
      <c r="P11" s="127" t="s">
        <v>137</v>
      </c>
      <c r="Q11" s="128">
        <v>3</v>
      </c>
      <c r="R11" s="237">
        <f t="shared" si="0"/>
        <v>3500000</v>
      </c>
      <c r="S11" s="325"/>
      <c r="T11" s="246">
        <f>I21</f>
        <v>1500000</v>
      </c>
      <c r="U11" s="95"/>
      <c r="V11" s="95"/>
      <c r="W11" s="95"/>
      <c r="X11" s="95"/>
      <c r="Y11" s="95"/>
      <c r="Z11" s="95"/>
    </row>
    <row r="12" spans="1:26" s="96" customFormat="1" ht="91.5" customHeight="1" x14ac:dyDescent="0.2">
      <c r="A12" s="37">
        <v>8</v>
      </c>
      <c r="B12" s="10"/>
      <c r="C12" s="164" t="s">
        <v>134</v>
      </c>
      <c r="D12" s="160">
        <v>2500</v>
      </c>
      <c r="E12" s="161" t="s">
        <v>135</v>
      </c>
      <c r="F12" s="162">
        <f>D12*5</f>
        <v>12500</v>
      </c>
      <c r="G12" s="153">
        <v>3000000</v>
      </c>
      <c r="H12" s="122" t="s">
        <v>44</v>
      </c>
      <c r="I12" s="94">
        <f>G12*0.3</f>
        <v>900000</v>
      </c>
      <c r="J12" s="163">
        <f>G12*0.4</f>
        <v>1200000</v>
      </c>
      <c r="K12" s="144">
        <f>0.3*G12</f>
        <v>900000</v>
      </c>
      <c r="L12" s="144">
        <f t="shared" si="1"/>
        <v>3000000</v>
      </c>
      <c r="M12" s="144" t="s">
        <v>24</v>
      </c>
      <c r="N12" s="144" t="s">
        <v>21</v>
      </c>
      <c r="O12" s="182" t="s">
        <v>154</v>
      </c>
      <c r="P12" s="127" t="s">
        <v>138</v>
      </c>
      <c r="Q12" s="128">
        <v>4</v>
      </c>
      <c r="R12" s="237">
        <f t="shared" si="0"/>
        <v>3000000</v>
      </c>
      <c r="S12" s="311">
        <f>R12+R13</f>
        <v>4000000</v>
      </c>
      <c r="T12" s="245">
        <f>SUM(T5:T11)</f>
        <v>96913664</v>
      </c>
      <c r="U12" s="95"/>
      <c r="V12" s="95"/>
      <c r="W12" s="95"/>
      <c r="X12" s="95"/>
      <c r="Y12" s="95"/>
      <c r="Z12" s="95"/>
    </row>
    <row r="13" spans="1:26" s="96" customFormat="1" ht="91.5" customHeight="1" x14ac:dyDescent="0.2">
      <c r="A13" s="37">
        <v>9</v>
      </c>
      <c r="B13" s="91"/>
      <c r="C13" s="120" t="s">
        <v>131</v>
      </c>
      <c r="D13" s="200">
        <v>400</v>
      </c>
      <c r="E13" s="121" t="s">
        <v>132</v>
      </c>
      <c r="F13" s="201">
        <f>D13*5</f>
        <v>2000</v>
      </c>
      <c r="G13" s="93">
        <v>1000000</v>
      </c>
      <c r="H13" s="93" t="s">
        <v>19</v>
      </c>
      <c r="I13" s="94">
        <f t="shared" ref="I13:I21" si="2">G13</f>
        <v>1000000</v>
      </c>
      <c r="J13" s="94"/>
      <c r="K13" s="94"/>
      <c r="L13" s="94">
        <f t="shared" si="1"/>
        <v>1000000</v>
      </c>
      <c r="M13" s="94" t="s">
        <v>27</v>
      </c>
      <c r="N13" s="94" t="s">
        <v>21</v>
      </c>
      <c r="O13" s="154" t="s">
        <v>133</v>
      </c>
      <c r="P13" s="127" t="s">
        <v>138</v>
      </c>
      <c r="Q13" s="128">
        <v>5</v>
      </c>
      <c r="R13" s="237">
        <f t="shared" si="0"/>
        <v>1000000</v>
      </c>
      <c r="S13" s="312"/>
      <c r="T13" s="95"/>
      <c r="U13" s="95"/>
      <c r="V13" s="95"/>
      <c r="W13" s="95"/>
      <c r="X13" s="95"/>
      <c r="Y13" s="95"/>
      <c r="Z13" s="95"/>
    </row>
    <row r="14" spans="1:26" s="96" customFormat="1" ht="91.5" customHeight="1" x14ac:dyDescent="0.2">
      <c r="A14" s="37">
        <v>10</v>
      </c>
      <c r="B14" s="9"/>
      <c r="C14" s="168" t="s">
        <v>107</v>
      </c>
      <c r="D14" s="198">
        <f>'ANEXO DE OBRAS'!E26</f>
        <v>150</v>
      </c>
      <c r="E14" s="174" t="s">
        <v>18</v>
      </c>
      <c r="F14" s="202">
        <f>34*5</f>
        <v>170</v>
      </c>
      <c r="G14" s="12">
        <f>'ANEXO DE OBRAS'!D26</f>
        <v>116724.99999999999</v>
      </c>
      <c r="H14" s="12" t="s">
        <v>19</v>
      </c>
      <c r="I14" s="94">
        <f t="shared" si="2"/>
        <v>116724.99999999999</v>
      </c>
      <c r="J14" s="13"/>
      <c r="K14" s="13"/>
      <c r="L14" s="13">
        <f t="shared" si="1"/>
        <v>116724.99999999999</v>
      </c>
      <c r="M14" s="13" t="s">
        <v>20</v>
      </c>
      <c r="N14" s="13" t="s">
        <v>21</v>
      </c>
      <c r="O14" s="184" t="s">
        <v>146</v>
      </c>
      <c r="P14" s="129" t="s">
        <v>141</v>
      </c>
      <c r="Q14" s="128">
        <v>2</v>
      </c>
      <c r="R14" s="237">
        <f t="shared" si="0"/>
        <v>116724.99999999999</v>
      </c>
      <c r="S14" s="236">
        <f>R14</f>
        <v>116724.99999999999</v>
      </c>
      <c r="T14" s="95"/>
      <c r="U14" s="95"/>
      <c r="V14" s="95"/>
      <c r="W14" s="95"/>
      <c r="X14" s="95"/>
      <c r="Y14" s="95"/>
      <c r="Z14" s="95"/>
    </row>
    <row r="15" spans="1:26" s="96" customFormat="1" ht="78" customHeight="1" x14ac:dyDescent="0.2">
      <c r="A15" s="37">
        <v>11</v>
      </c>
      <c r="B15" s="91"/>
      <c r="C15" s="10" t="s">
        <v>130</v>
      </c>
      <c r="D15" s="196">
        <f>'ANEXO DE OBRAS'!E28</f>
        <v>2379.33</v>
      </c>
      <c r="E15" s="11" t="s">
        <v>18</v>
      </c>
      <c r="F15" s="197">
        <f>D15*1.15</f>
        <v>2736.2294999999999</v>
      </c>
      <c r="G15" s="12">
        <f>'ANEXO DE OBRAS'!D28</f>
        <v>6167458.9500000002</v>
      </c>
      <c r="H15" s="12" t="s">
        <v>19</v>
      </c>
      <c r="I15" s="94">
        <f t="shared" si="2"/>
        <v>6167458.9500000002</v>
      </c>
      <c r="J15" s="13"/>
      <c r="K15" s="13"/>
      <c r="L15" s="13">
        <f t="shared" si="1"/>
        <v>6167458.9500000002</v>
      </c>
      <c r="M15" s="13" t="s">
        <v>20</v>
      </c>
      <c r="N15" s="13" t="s">
        <v>21</v>
      </c>
      <c r="O15" s="159" t="s">
        <v>147</v>
      </c>
      <c r="P15" s="129" t="s">
        <v>141</v>
      </c>
      <c r="Q15" s="128">
        <v>7</v>
      </c>
      <c r="R15" s="313">
        <f>G15+G16+G17+G18+G19</f>
        <v>33961430.850000001</v>
      </c>
      <c r="S15" s="314">
        <f>R15+R20</f>
        <v>43126718.329999998</v>
      </c>
      <c r="T15" s="101"/>
      <c r="U15" s="102"/>
      <c r="V15" s="95"/>
      <c r="W15" s="95"/>
      <c r="X15" s="95"/>
      <c r="Y15" s="95"/>
      <c r="Z15" s="95"/>
    </row>
    <row r="16" spans="1:26" s="96" customFormat="1" ht="78" customHeight="1" x14ac:dyDescent="0.2">
      <c r="A16" s="37">
        <v>12</v>
      </c>
      <c r="B16" s="91"/>
      <c r="C16" s="120" t="s">
        <v>139</v>
      </c>
      <c r="D16" s="199">
        <f>'ANEXO DE OBRAS'!E34</f>
        <v>1430</v>
      </c>
      <c r="E16" s="99" t="s">
        <v>18</v>
      </c>
      <c r="F16" s="100">
        <v>8000</v>
      </c>
      <c r="G16" s="12">
        <f>'ANEXO DE OBRAS'!D34</f>
        <v>11500000</v>
      </c>
      <c r="H16" s="93" t="s">
        <v>19</v>
      </c>
      <c r="I16" s="94">
        <f t="shared" si="2"/>
        <v>11500000</v>
      </c>
      <c r="J16" s="103"/>
      <c r="K16" s="94"/>
      <c r="L16" s="94">
        <f t="shared" si="1"/>
        <v>11500000</v>
      </c>
      <c r="M16" s="94" t="s">
        <v>34</v>
      </c>
      <c r="N16" s="94" t="s">
        <v>21</v>
      </c>
      <c r="O16" s="157" t="s">
        <v>35</v>
      </c>
      <c r="P16" s="129" t="s">
        <v>141</v>
      </c>
      <c r="Q16" s="128">
        <v>7</v>
      </c>
      <c r="R16" s="313"/>
      <c r="S16" s="314"/>
      <c r="T16" s="101"/>
      <c r="U16" s="102"/>
      <c r="V16" s="95"/>
      <c r="W16" s="95"/>
      <c r="X16" s="95"/>
      <c r="Y16" s="95"/>
      <c r="Z16" s="95"/>
    </row>
    <row r="17" spans="1:26" s="96" customFormat="1" ht="72" customHeight="1" x14ac:dyDescent="0.2">
      <c r="A17" s="37">
        <v>13</v>
      </c>
      <c r="B17" s="91"/>
      <c r="C17" s="91" t="s">
        <v>40</v>
      </c>
      <c r="D17" s="199">
        <f>G17/8000</f>
        <v>625</v>
      </c>
      <c r="E17" s="99" t="s">
        <v>18</v>
      </c>
      <c r="F17" s="197">
        <f>1695*5</f>
        <v>8475</v>
      </c>
      <c r="G17" s="12">
        <f>5000000</f>
        <v>5000000</v>
      </c>
      <c r="H17" s="93" t="s">
        <v>19</v>
      </c>
      <c r="I17" s="94">
        <f t="shared" si="2"/>
        <v>5000000</v>
      </c>
      <c r="J17" s="103"/>
      <c r="K17" s="94"/>
      <c r="L17" s="94">
        <f t="shared" si="1"/>
        <v>5000000</v>
      </c>
      <c r="M17" s="94" t="s">
        <v>34</v>
      </c>
      <c r="N17" s="94" t="s">
        <v>30</v>
      </c>
      <c r="O17" s="157" t="s">
        <v>41</v>
      </c>
      <c r="P17" s="129" t="s">
        <v>141</v>
      </c>
      <c r="Q17" s="128">
        <v>7</v>
      </c>
      <c r="R17" s="313"/>
      <c r="S17" s="314"/>
      <c r="T17" s="101"/>
      <c r="U17" s="102"/>
      <c r="V17" s="95">
        <f>8000000-591895</f>
        <v>7408105</v>
      </c>
      <c r="W17" s="95"/>
      <c r="X17" s="95"/>
      <c r="Y17" s="95"/>
      <c r="Z17" s="95"/>
    </row>
    <row r="18" spans="1:26" s="96" customFormat="1" ht="72" customHeight="1" x14ac:dyDescent="0.2">
      <c r="A18" s="37">
        <v>14</v>
      </c>
      <c r="B18" s="91"/>
      <c r="C18" s="204" t="s">
        <v>33</v>
      </c>
      <c r="D18" s="92">
        <v>1</v>
      </c>
      <c r="E18" s="205" t="s">
        <v>157</v>
      </c>
      <c r="F18" s="242">
        <f>2105*5</f>
        <v>10525</v>
      </c>
      <c r="G18" s="243">
        <f>'ANEXO DE OBRAS'!D40</f>
        <v>9293971.9000000004</v>
      </c>
      <c r="H18" s="93" t="s">
        <v>19</v>
      </c>
      <c r="I18" s="94">
        <f t="shared" si="2"/>
        <v>9293971.9000000004</v>
      </c>
      <c r="J18" s="94"/>
      <c r="K18" s="94"/>
      <c r="L18" s="94">
        <f t="shared" si="1"/>
        <v>9293971.9000000004</v>
      </c>
      <c r="M18" s="94" t="s">
        <v>27</v>
      </c>
      <c r="N18" s="94" t="s">
        <v>21</v>
      </c>
      <c r="O18" s="158" t="s">
        <v>153</v>
      </c>
      <c r="P18" s="129" t="s">
        <v>141</v>
      </c>
      <c r="Q18" s="128">
        <v>7</v>
      </c>
      <c r="R18" s="313"/>
      <c r="S18" s="314"/>
      <c r="T18" s="101"/>
      <c r="U18" s="102"/>
      <c r="V18" s="245">
        <f>V17-G17</f>
        <v>2408105</v>
      </c>
      <c r="W18" s="95"/>
      <c r="X18" s="95"/>
      <c r="Y18" s="95"/>
      <c r="Z18" s="95"/>
    </row>
    <row r="19" spans="1:26" s="96" customFormat="1" ht="72" customHeight="1" x14ac:dyDescent="0.2">
      <c r="A19" s="37">
        <v>15</v>
      </c>
      <c r="B19" s="91"/>
      <c r="C19" s="104" t="s">
        <v>136</v>
      </c>
      <c r="D19" s="98">
        <v>1</v>
      </c>
      <c r="E19" s="205" t="s">
        <v>157</v>
      </c>
      <c r="F19" s="100">
        <v>2000</v>
      </c>
      <c r="G19" s="93">
        <v>2000000</v>
      </c>
      <c r="H19" s="93" t="s">
        <v>19</v>
      </c>
      <c r="I19" s="94">
        <f t="shared" si="2"/>
        <v>2000000</v>
      </c>
      <c r="J19" s="103"/>
      <c r="K19" s="94"/>
      <c r="L19" s="94">
        <f t="shared" si="1"/>
        <v>2000000</v>
      </c>
      <c r="M19" s="94" t="s">
        <v>42</v>
      </c>
      <c r="N19" s="94" t="s">
        <v>30</v>
      </c>
      <c r="O19" s="158" t="s">
        <v>152</v>
      </c>
      <c r="P19" s="129" t="s">
        <v>141</v>
      </c>
      <c r="Q19" s="128">
        <v>7</v>
      </c>
      <c r="R19" s="313"/>
      <c r="S19" s="314"/>
      <c r="T19" s="101"/>
      <c r="U19" s="102"/>
      <c r="V19" s="247">
        <v>3000000</v>
      </c>
      <c r="W19" s="95"/>
      <c r="X19" s="247">
        <v>1000000</v>
      </c>
      <c r="Y19" s="95" t="s">
        <v>173</v>
      </c>
      <c r="Z19" s="95"/>
    </row>
    <row r="20" spans="1:26" s="96" customFormat="1" ht="72" customHeight="1" x14ac:dyDescent="0.2">
      <c r="A20" s="37">
        <v>16</v>
      </c>
      <c r="B20" s="91" t="s">
        <v>25</v>
      </c>
      <c r="C20" s="166" t="s">
        <v>26</v>
      </c>
      <c r="D20" s="170">
        <v>2</v>
      </c>
      <c r="E20" s="172" t="s">
        <v>39</v>
      </c>
      <c r="F20" s="176">
        <f>D20*6000</f>
        <v>12000</v>
      </c>
      <c r="G20" s="147">
        <f>'ANEXO DE OBRAS'!D48</f>
        <v>9165287.4800000004</v>
      </c>
      <c r="H20" s="147" t="s">
        <v>19</v>
      </c>
      <c r="I20" s="94">
        <f t="shared" si="2"/>
        <v>9165287.4800000004</v>
      </c>
      <c r="J20" s="148"/>
      <c r="K20" s="148"/>
      <c r="L20" s="148">
        <f t="shared" si="1"/>
        <v>9165287.4800000004</v>
      </c>
      <c r="M20" s="148" t="s">
        <v>27</v>
      </c>
      <c r="N20" s="148" t="s">
        <v>21</v>
      </c>
      <c r="O20" s="183" t="s">
        <v>144</v>
      </c>
      <c r="P20" s="129" t="s">
        <v>141</v>
      </c>
      <c r="Q20" s="128">
        <v>9</v>
      </c>
      <c r="R20" s="234">
        <f t="shared" ref="R20:R21" si="3">G20</f>
        <v>9165287.4800000004</v>
      </c>
      <c r="S20" s="314"/>
      <c r="T20" s="101"/>
      <c r="U20" s="102"/>
      <c r="V20" s="245">
        <f>V18+V19</f>
        <v>5408105</v>
      </c>
      <c r="W20" s="95">
        <v>5408105</v>
      </c>
      <c r="X20" s="95">
        <v>312</v>
      </c>
      <c r="Y20" s="95" t="s">
        <v>173</v>
      </c>
      <c r="Z20" s="95">
        <v>1</v>
      </c>
    </row>
    <row r="21" spans="1:26" s="96" customFormat="1" ht="72" customHeight="1" x14ac:dyDescent="0.2">
      <c r="A21" s="37">
        <v>17</v>
      </c>
      <c r="B21" s="146"/>
      <c r="C21" s="165" t="s">
        <v>37</v>
      </c>
      <c r="D21" s="169">
        <v>1</v>
      </c>
      <c r="E21" s="171" t="s">
        <v>38</v>
      </c>
      <c r="F21" s="175">
        <v>60</v>
      </c>
      <c r="G21" s="187">
        <v>1500000</v>
      </c>
      <c r="H21" s="178" t="s">
        <v>19</v>
      </c>
      <c r="I21" s="94">
        <f t="shared" si="2"/>
        <v>1500000</v>
      </c>
      <c r="J21" s="156"/>
      <c r="K21" s="155"/>
      <c r="L21" s="155">
        <f t="shared" si="1"/>
        <v>1500000</v>
      </c>
      <c r="M21" s="155" t="s">
        <v>34</v>
      </c>
      <c r="N21" s="155" t="s">
        <v>36</v>
      </c>
      <c r="O21" s="154" t="s">
        <v>156</v>
      </c>
      <c r="P21" s="129" t="s">
        <v>142</v>
      </c>
      <c r="Q21" s="128">
        <v>8</v>
      </c>
      <c r="R21" s="234">
        <f t="shared" si="3"/>
        <v>1500000</v>
      </c>
      <c r="S21" s="235">
        <f>R21</f>
        <v>1500000</v>
      </c>
      <c r="T21" s="123"/>
      <c r="U21" s="124"/>
      <c r="V21" s="95"/>
      <c r="W21" s="95"/>
      <c r="X21" s="248">
        <f>X19/X20</f>
        <v>3205.1282051282051</v>
      </c>
      <c r="Y21" s="95" t="s">
        <v>174</v>
      </c>
      <c r="Z21" s="95"/>
    </row>
    <row r="22" spans="1:26" s="96" customFormat="1" ht="72" customHeight="1" x14ac:dyDescent="0.2">
      <c r="A22" s="37"/>
      <c r="B22" s="146"/>
      <c r="C22" s="252" t="s">
        <v>176</v>
      </c>
      <c r="D22" s="169">
        <v>1</v>
      </c>
      <c r="E22" s="171" t="s">
        <v>177</v>
      </c>
      <c r="F22" s="175">
        <v>60</v>
      </c>
      <c r="G22" s="187">
        <v>2000000</v>
      </c>
      <c r="H22" s="178" t="s">
        <v>19</v>
      </c>
      <c r="I22" s="94">
        <f t="shared" ref="I22" si="4">G22</f>
        <v>2000000</v>
      </c>
      <c r="J22" s="156"/>
      <c r="K22" s="155"/>
      <c r="L22" s="155">
        <f t="shared" ref="L22" si="5">SUM(I22:K22)</f>
        <v>2000000</v>
      </c>
      <c r="M22" s="155" t="s">
        <v>34</v>
      </c>
      <c r="N22" s="155" t="s">
        <v>36</v>
      </c>
      <c r="O22" s="154" t="s">
        <v>156</v>
      </c>
      <c r="P22" s="253"/>
      <c r="Q22" s="254"/>
      <c r="R22" s="255"/>
      <c r="S22" s="256"/>
      <c r="T22" s="123"/>
      <c r="U22" s="124"/>
      <c r="V22" s="95"/>
      <c r="W22" s="95"/>
      <c r="X22" s="248"/>
      <c r="Y22" s="95"/>
      <c r="Z22" s="95"/>
    </row>
    <row r="23" spans="1:26" ht="12.75" customHeight="1" x14ac:dyDescent="0.25">
      <c r="A23" s="14"/>
      <c r="B23" s="10"/>
      <c r="C23" s="149" t="s">
        <v>14</v>
      </c>
      <c r="D23" s="150"/>
      <c r="E23" s="150"/>
      <c r="F23" s="150"/>
      <c r="G23" s="151">
        <f>SUM(G5:G22)</f>
        <v>111513664.00000001</v>
      </c>
      <c r="H23" s="110"/>
      <c r="I23" s="151">
        <f>SUM(I5:I22)</f>
        <v>98913664.000000015</v>
      </c>
      <c r="J23" s="151">
        <f>SUM(J5:J21)</f>
        <v>7212485.4033189742</v>
      </c>
      <c r="K23" s="151">
        <f>SUM(K5:K21)</f>
        <v>5403121.3508297438</v>
      </c>
      <c r="L23" s="151">
        <f>SUM(L5:L21)</f>
        <v>109529270.75414874</v>
      </c>
      <c r="M23" s="151"/>
      <c r="N23" s="151"/>
      <c r="O23" s="152"/>
      <c r="P23" s="1"/>
      <c r="Q23" s="125"/>
      <c r="R23" s="125"/>
      <c r="S23" s="125"/>
      <c r="T23" s="1"/>
      <c r="U23" s="1"/>
      <c r="V23" s="1"/>
      <c r="W23" s="1"/>
      <c r="X23" s="1"/>
      <c r="Y23" s="1"/>
      <c r="Z23" s="1"/>
    </row>
    <row r="24" spans="1:26" ht="12.75" customHeight="1" thickBot="1" x14ac:dyDescent="0.3">
      <c r="A24" s="16"/>
      <c r="B24" s="1"/>
      <c r="C24" s="1"/>
      <c r="D24" s="17"/>
      <c r="E24" s="17"/>
      <c r="F24" s="17"/>
      <c r="G24" s="18"/>
      <c r="H24" s="1"/>
      <c r="I24" s="19"/>
      <c r="J24" s="20"/>
      <c r="K24" s="20"/>
      <c r="L24" s="20"/>
      <c r="M24" s="20"/>
      <c r="N24" s="20"/>
      <c r="O24" s="1"/>
      <c r="P24" s="1"/>
      <c r="Q24" s="125"/>
      <c r="R24" s="125"/>
      <c r="S24" s="125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21"/>
      <c r="E25" s="21"/>
      <c r="F25" s="21"/>
      <c r="G25" s="21"/>
      <c r="H25" s="22" t="s">
        <v>10</v>
      </c>
      <c r="I25" s="23" t="s">
        <v>11</v>
      </c>
      <c r="J25" s="23" t="s">
        <v>12</v>
      </c>
      <c r="K25" s="23" t="s">
        <v>43</v>
      </c>
      <c r="L25" s="24" t="s">
        <v>14</v>
      </c>
      <c r="M25" s="25"/>
      <c r="N25" s="25"/>
      <c r="O25" s="1"/>
      <c r="P25" s="1"/>
      <c r="Q25" s="125"/>
      <c r="R25" s="125"/>
      <c r="S25" s="125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233" t="s">
        <v>29</v>
      </c>
      <c r="I26" s="26">
        <f>SUMIFS(I4:I20,H4:H20,"=PROAGUA")</f>
        <v>4500000</v>
      </c>
      <c r="J26" s="26">
        <f>SUMIFS(J5:J16,H5:H16,"=PROAGUA")</f>
        <v>6000000</v>
      </c>
      <c r="K26" s="26">
        <f>SUMIFS(K5:K16,H5:H16,"=PROAGUA")</f>
        <v>4500000</v>
      </c>
      <c r="L26" s="27">
        <f>SUM(I26:K26)</f>
        <v>15000000</v>
      </c>
      <c r="M26" s="21"/>
      <c r="N26" s="21"/>
      <c r="O26" s="84"/>
      <c r="P26" s="1"/>
      <c r="Q26" s="125"/>
      <c r="R26" s="125"/>
      <c r="S26" s="125"/>
      <c r="T26" s="1"/>
      <c r="U26" s="1"/>
      <c r="V26" s="1"/>
      <c r="W26" s="1"/>
      <c r="X26" s="249">
        <v>140000</v>
      </c>
      <c r="Y26" s="1">
        <v>0.88</v>
      </c>
      <c r="Z26" s="1" t="s">
        <v>175</v>
      </c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28" t="s">
        <v>44</v>
      </c>
      <c r="I27" s="26">
        <f>SUMIFS(I5:I21,H5:H21,"=PRODI")</f>
        <v>900000</v>
      </c>
      <c r="J27" s="26">
        <f>SUMIFS(J5:J21,H5:H21,"=PRODI")</f>
        <v>1200000</v>
      </c>
      <c r="K27" s="26">
        <f>SUMIFS(K5:K16,H5:H16,"=PRODI")</f>
        <v>900000</v>
      </c>
      <c r="L27" s="27">
        <f>SUM(I27:K27)</f>
        <v>3000000</v>
      </c>
      <c r="M27" s="21"/>
      <c r="N27" s="21"/>
      <c r="O27" s="1"/>
      <c r="P27" s="1"/>
      <c r="Q27" s="125"/>
      <c r="R27" s="125"/>
      <c r="S27" s="125"/>
      <c r="T27" s="1"/>
      <c r="U27" s="1"/>
      <c r="V27" s="1"/>
      <c r="W27" s="1"/>
      <c r="X27" s="1"/>
      <c r="Y27" s="1"/>
      <c r="Z27" s="1"/>
    </row>
    <row r="28" spans="1:26" ht="12.75" customHeight="1" thickBot="1" x14ac:dyDescent="0.25">
      <c r="A28" s="1"/>
      <c r="B28" s="1"/>
      <c r="C28" s="1"/>
      <c r="D28" s="1"/>
      <c r="E28" s="1"/>
      <c r="F28" s="21"/>
      <c r="G28" s="1"/>
      <c r="H28" s="28" t="s">
        <v>19</v>
      </c>
      <c r="I28" s="26">
        <f>I23-I26-I27</f>
        <v>93513664.000000015</v>
      </c>
      <c r="J28" s="244" t="s">
        <v>170</v>
      </c>
      <c r="K28" s="244" t="s">
        <v>170</v>
      </c>
      <c r="L28" s="27">
        <f>SUM(I28:K28)</f>
        <v>93513664.000000015</v>
      </c>
      <c r="M28" s="21"/>
      <c r="N28" s="21"/>
      <c r="O28" s="89"/>
      <c r="P28" s="1"/>
      <c r="Q28" s="125"/>
      <c r="R28" s="125"/>
      <c r="S28" s="125"/>
      <c r="T28" s="1"/>
      <c r="U28" s="1"/>
      <c r="V28" s="1"/>
      <c r="W28" s="1"/>
      <c r="X28" s="1"/>
      <c r="Y28" s="1">
        <v>365</v>
      </c>
      <c r="Z28" s="1"/>
    </row>
    <row r="29" spans="1:26" ht="12.75" customHeight="1" thickBot="1" x14ac:dyDescent="0.25">
      <c r="A29" s="1"/>
      <c r="B29" s="1"/>
      <c r="C29" s="1"/>
      <c r="D29" s="1"/>
      <c r="E29" s="1"/>
      <c r="F29" s="1"/>
      <c r="G29" s="1"/>
      <c r="H29" s="29" t="s">
        <v>14</v>
      </c>
      <c r="I29" s="30">
        <f>SUM(I26:I28)</f>
        <v>98913664.000000015</v>
      </c>
      <c r="J29" s="30">
        <f>SUM(J26:J28)</f>
        <v>7200000</v>
      </c>
      <c r="K29" s="30">
        <f>SUM(K26:K28)</f>
        <v>5400000</v>
      </c>
      <c r="L29" s="30">
        <f>SUM(L26:L28)</f>
        <v>111513664.00000001</v>
      </c>
      <c r="M29" s="20"/>
      <c r="N29" s="20"/>
      <c r="O29" s="1"/>
      <c r="P29" s="1"/>
      <c r="Q29" s="125"/>
      <c r="R29" s="125"/>
      <c r="S29" s="125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25"/>
      <c r="R30" s="125"/>
      <c r="S30" s="125"/>
      <c r="T30" s="1"/>
      <c r="U30" s="1"/>
      <c r="V30" s="1"/>
      <c r="W30" s="1"/>
      <c r="X30" s="1"/>
      <c r="Y30" s="89">
        <f>Y28*Y26*X26</f>
        <v>44968000</v>
      </c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20"/>
      <c r="J31" s="1"/>
      <c r="K31" s="1"/>
      <c r="L31" s="1"/>
      <c r="M31" s="1"/>
      <c r="N31" s="1"/>
      <c r="O31" s="1"/>
      <c r="P31" s="1"/>
      <c r="Q31" s="125"/>
      <c r="R31" s="125"/>
      <c r="S31" s="125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26"/>
      <c r="J32" s="126"/>
      <c r="K32" s="126" t="s">
        <v>169</v>
      </c>
      <c r="L32" s="1"/>
      <c r="M32" s="1"/>
      <c r="N32" s="1"/>
      <c r="O32" s="1"/>
      <c r="P32" s="1"/>
      <c r="Q32" s="125"/>
      <c r="R32" s="125"/>
      <c r="S32" s="125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228"/>
      <c r="J33" s="228"/>
      <c r="K33" s="229">
        <v>93913664</v>
      </c>
      <c r="L33" s="1"/>
      <c r="M33" s="1"/>
      <c r="N33" s="1"/>
      <c r="O33" s="1"/>
      <c r="P33" s="1"/>
      <c r="Q33" s="125"/>
      <c r="R33" s="125"/>
      <c r="S33" s="125"/>
      <c r="T33" s="1"/>
      <c r="U33" s="1"/>
      <c r="V33" s="1"/>
      <c r="W33" s="1"/>
      <c r="X33" s="1">
        <v>12</v>
      </c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21"/>
      <c r="H34" s="1"/>
      <c r="I34" s="230"/>
      <c r="J34" s="125"/>
      <c r="K34" s="231" t="s">
        <v>155</v>
      </c>
      <c r="L34" s="1"/>
      <c r="M34" s="1"/>
      <c r="N34" s="1"/>
      <c r="O34" s="1"/>
      <c r="P34" s="1"/>
      <c r="Q34" s="125"/>
      <c r="R34" s="125"/>
      <c r="S34" s="125"/>
      <c r="T34" s="1"/>
      <c r="U34" s="1"/>
      <c r="V34" s="1"/>
      <c r="W34" s="1"/>
      <c r="X34" s="1">
        <v>12</v>
      </c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232"/>
      <c r="J35" s="125"/>
      <c r="K35" s="232"/>
      <c r="L35" s="1"/>
      <c r="M35" s="1"/>
      <c r="N35" s="1"/>
      <c r="O35" s="89"/>
      <c r="P35" s="1"/>
      <c r="Q35" s="125"/>
      <c r="R35" s="125"/>
      <c r="S35" s="125"/>
      <c r="T35" s="1"/>
      <c r="U35" s="1"/>
      <c r="V35" s="1"/>
      <c r="W35" s="1"/>
      <c r="X35" s="1">
        <f>X33*X34</f>
        <v>144</v>
      </c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21"/>
      <c r="H36" s="1"/>
      <c r="I36" s="21"/>
      <c r="J36" s="1"/>
      <c r="K36" s="84">
        <f>I23-K33</f>
        <v>5000000.0000000149</v>
      </c>
      <c r="L36" s="1"/>
      <c r="M36" s="1"/>
      <c r="N36" s="1"/>
      <c r="O36" s="1"/>
      <c r="P36" s="1"/>
      <c r="Q36" s="125"/>
      <c r="R36" s="125"/>
      <c r="S36" s="125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43"/>
      <c r="L37" s="1"/>
      <c r="M37" s="1"/>
      <c r="N37" s="1"/>
      <c r="O37" s="1"/>
      <c r="P37" s="1"/>
      <c r="Q37" s="125"/>
      <c r="R37" s="125"/>
      <c r="S37" s="125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84"/>
      <c r="K38" s="1">
        <v>591895</v>
      </c>
      <c r="L38" s="1"/>
      <c r="M38" s="1"/>
      <c r="N38" s="1"/>
      <c r="O38" s="1"/>
      <c r="P38" s="1"/>
      <c r="Q38" s="125"/>
      <c r="R38" s="125"/>
      <c r="S38" s="125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25"/>
      <c r="R39" s="125"/>
      <c r="S39" s="125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84"/>
      <c r="K40" s="84"/>
      <c r="L40" s="1"/>
      <c r="M40" s="1"/>
      <c r="N40" s="1"/>
      <c r="O40" s="84"/>
      <c r="P40" s="1"/>
      <c r="Q40" s="125"/>
      <c r="R40" s="125"/>
      <c r="S40" s="125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25"/>
      <c r="R41" s="125"/>
      <c r="S41" s="125"/>
      <c r="T41" s="1"/>
      <c r="U41" s="1"/>
      <c r="V41" s="249">
        <v>41000000</v>
      </c>
      <c r="W41" s="249">
        <v>41000000</v>
      </c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J42" s="1"/>
      <c r="K42" s="228"/>
      <c r="L42" s="1"/>
      <c r="M42" s="1"/>
      <c r="N42" s="1"/>
      <c r="O42" s="1"/>
      <c r="P42" s="1"/>
      <c r="Q42" s="125"/>
      <c r="R42" s="125"/>
      <c r="S42" s="125"/>
      <c r="T42" s="1"/>
      <c r="U42" s="1"/>
      <c r="V42" s="249">
        <v>21000000</v>
      </c>
      <c r="W42" s="249">
        <v>21000000</v>
      </c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85"/>
      <c r="L43" s="1"/>
      <c r="M43" s="1"/>
      <c r="N43" s="1"/>
      <c r="O43" s="1"/>
      <c r="P43" s="1"/>
      <c r="Q43" s="125"/>
      <c r="R43" s="125"/>
      <c r="S43" s="125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25"/>
      <c r="R44" s="125"/>
      <c r="S44" s="125"/>
      <c r="T44" s="1"/>
      <c r="U44" s="1"/>
      <c r="V44" s="89">
        <f>V41-V42</f>
        <v>20000000</v>
      </c>
      <c r="W44" s="89">
        <f>W41-W42</f>
        <v>20000000</v>
      </c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25"/>
      <c r="R45" s="125"/>
      <c r="S45" s="125"/>
      <c r="T45" s="1"/>
      <c r="U45" s="1"/>
      <c r="V45" s="1">
        <v>1400</v>
      </c>
      <c r="W45" s="249">
        <v>140000</v>
      </c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25"/>
      <c r="R46" s="125"/>
      <c r="S46" s="125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25"/>
      <c r="R47" s="125"/>
      <c r="S47" s="125"/>
      <c r="T47" s="1"/>
      <c r="U47" s="1"/>
      <c r="V47" s="89">
        <f>V44/V45</f>
        <v>14285.714285714286</v>
      </c>
      <c r="W47" s="89">
        <f>W44/W45</f>
        <v>142.85714285714286</v>
      </c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25"/>
      <c r="R48" s="125"/>
      <c r="S48" s="125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25"/>
      <c r="R49" s="125"/>
      <c r="S49" s="125"/>
      <c r="T49" s="1"/>
      <c r="U49" s="1"/>
      <c r="V49" s="249">
        <v>200000</v>
      </c>
      <c r="W49" s="249">
        <v>200000</v>
      </c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25"/>
      <c r="R50" s="125"/>
      <c r="S50" s="125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25"/>
      <c r="R51" s="125"/>
      <c r="S51" s="125"/>
      <c r="T51" s="1"/>
      <c r="U51" s="1"/>
      <c r="V51" s="250">
        <f>V49/V47</f>
        <v>14</v>
      </c>
      <c r="W51" s="250">
        <f>W49/W47</f>
        <v>1400</v>
      </c>
      <c r="X51" s="1"/>
      <c r="Y51" s="1"/>
      <c r="Z51" s="1"/>
    </row>
    <row r="52" spans="1:26" ht="12.75" customHeight="1" x14ac:dyDescent="0.35">
      <c r="A52" s="1"/>
      <c r="B52" s="1"/>
      <c r="C52" s="1"/>
      <c r="D52" s="1"/>
      <c r="E52" s="3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25"/>
      <c r="R52" s="125"/>
      <c r="S52" s="125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25"/>
      <c r="R53" s="125"/>
      <c r="S53" s="125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25"/>
      <c r="R54" s="125"/>
      <c r="S54" s="125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25"/>
      <c r="R55" s="125"/>
      <c r="S55" s="125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25"/>
      <c r="R56" s="125"/>
      <c r="S56" s="125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25"/>
      <c r="R57" s="125"/>
      <c r="S57" s="125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25"/>
      <c r="R58" s="125"/>
      <c r="S58" s="125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25"/>
      <c r="R59" s="125"/>
      <c r="S59" s="125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25"/>
      <c r="R60" s="125"/>
      <c r="S60" s="125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25"/>
      <c r="R61" s="125"/>
      <c r="S61" s="125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25"/>
      <c r="R62" s="125"/>
      <c r="S62" s="125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25"/>
      <c r="R63" s="125"/>
      <c r="S63" s="125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25"/>
      <c r="R64" s="125"/>
      <c r="S64" s="125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25"/>
      <c r="R65" s="125"/>
      <c r="S65" s="125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25"/>
      <c r="R66" s="125"/>
      <c r="S66" s="125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25"/>
      <c r="R67" s="125"/>
      <c r="S67" s="125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25"/>
      <c r="R68" s="125"/>
      <c r="S68" s="125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25"/>
      <c r="R69" s="125"/>
      <c r="S69" s="125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25"/>
      <c r="R70" s="125"/>
      <c r="S70" s="125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25"/>
      <c r="R71" s="125"/>
      <c r="S71" s="125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25"/>
      <c r="R72" s="125"/>
      <c r="S72" s="125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25"/>
      <c r="R73" s="125"/>
      <c r="S73" s="125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25"/>
      <c r="R74" s="125"/>
      <c r="S74" s="125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25"/>
      <c r="R75" s="125"/>
      <c r="S75" s="125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25"/>
      <c r="R76" s="125"/>
      <c r="S76" s="125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25"/>
      <c r="R77" s="125"/>
      <c r="S77" s="125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25"/>
      <c r="R78" s="125"/>
      <c r="S78" s="125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25"/>
      <c r="R79" s="125"/>
      <c r="S79" s="125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25"/>
      <c r="R80" s="125"/>
      <c r="S80" s="125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25"/>
      <c r="R81" s="125"/>
      <c r="S81" s="125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25"/>
      <c r="R82" s="125"/>
      <c r="S82" s="125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25"/>
      <c r="R83" s="125"/>
      <c r="S83" s="125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25"/>
      <c r="R84" s="125"/>
      <c r="S84" s="125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25"/>
      <c r="R85" s="125"/>
      <c r="S85" s="125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25"/>
      <c r="R86" s="125"/>
      <c r="S86" s="125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25"/>
      <c r="R87" s="125"/>
      <c r="S87" s="125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25"/>
      <c r="R88" s="125"/>
      <c r="S88" s="125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25"/>
      <c r="R89" s="125"/>
      <c r="S89" s="125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25"/>
      <c r="R90" s="125"/>
      <c r="S90" s="125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25"/>
      <c r="R91" s="125"/>
      <c r="S91" s="125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25"/>
      <c r="R92" s="125"/>
      <c r="S92" s="125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25"/>
      <c r="R93" s="125"/>
      <c r="S93" s="125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25"/>
      <c r="R94" s="125"/>
      <c r="S94" s="125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25"/>
      <c r="R95" s="125"/>
      <c r="S95" s="125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25"/>
      <c r="R96" s="125"/>
      <c r="S96" s="125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25"/>
      <c r="R97" s="125"/>
      <c r="S97" s="125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25"/>
      <c r="R98" s="125"/>
      <c r="S98" s="125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25"/>
      <c r="R99" s="125"/>
      <c r="S99" s="125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25"/>
      <c r="R100" s="125"/>
      <c r="S100" s="125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25"/>
      <c r="R101" s="125"/>
      <c r="S101" s="125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25"/>
      <c r="R102" s="125"/>
      <c r="S102" s="125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25"/>
      <c r="R103" s="125"/>
      <c r="S103" s="125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25"/>
      <c r="R104" s="125"/>
      <c r="S104" s="125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25"/>
      <c r="R105" s="125"/>
      <c r="S105" s="125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25"/>
      <c r="R106" s="125"/>
      <c r="S106" s="125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25"/>
      <c r="R107" s="125"/>
      <c r="S107" s="125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25"/>
      <c r="R108" s="125"/>
      <c r="S108" s="125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25"/>
      <c r="R109" s="125"/>
      <c r="S109" s="125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25"/>
      <c r="R110" s="125"/>
      <c r="S110" s="125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25"/>
      <c r="R111" s="125"/>
      <c r="S111" s="125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25"/>
      <c r="R112" s="125"/>
      <c r="S112" s="125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25"/>
      <c r="R113" s="125"/>
      <c r="S113" s="125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25"/>
      <c r="R114" s="125"/>
      <c r="S114" s="125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25"/>
      <c r="R115" s="125"/>
      <c r="S115" s="125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25"/>
      <c r="R116" s="125"/>
      <c r="S116" s="125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25"/>
      <c r="R117" s="125"/>
      <c r="S117" s="125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25"/>
      <c r="R118" s="125"/>
      <c r="S118" s="125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25"/>
      <c r="R119" s="125"/>
      <c r="S119" s="125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25"/>
      <c r="R120" s="125"/>
      <c r="S120" s="125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25"/>
      <c r="R121" s="125"/>
      <c r="S121" s="125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25"/>
      <c r="R122" s="125"/>
      <c r="S122" s="125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25"/>
      <c r="R123" s="125"/>
      <c r="S123" s="125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25"/>
      <c r="R124" s="125"/>
      <c r="S124" s="125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25"/>
      <c r="R125" s="125"/>
      <c r="S125" s="125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25"/>
      <c r="R126" s="125"/>
      <c r="S126" s="125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25"/>
      <c r="R127" s="125"/>
      <c r="S127" s="125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25"/>
      <c r="R128" s="125"/>
      <c r="S128" s="125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25"/>
      <c r="R129" s="125"/>
      <c r="S129" s="125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25"/>
      <c r="R130" s="125"/>
      <c r="S130" s="125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25"/>
      <c r="R131" s="125"/>
      <c r="S131" s="125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25"/>
      <c r="R132" s="125"/>
      <c r="S132" s="125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25"/>
      <c r="R133" s="125"/>
      <c r="S133" s="125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25"/>
      <c r="R134" s="125"/>
      <c r="S134" s="125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25"/>
      <c r="R135" s="125"/>
      <c r="S135" s="125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25"/>
      <c r="R136" s="125"/>
      <c r="S136" s="125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25"/>
      <c r="R137" s="125"/>
      <c r="S137" s="125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25"/>
      <c r="R138" s="125"/>
      <c r="S138" s="125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25"/>
      <c r="R139" s="125"/>
      <c r="S139" s="125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25"/>
      <c r="R140" s="125"/>
      <c r="S140" s="125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25"/>
      <c r="R141" s="125"/>
      <c r="S141" s="125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25"/>
      <c r="R142" s="125"/>
      <c r="S142" s="125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25"/>
      <c r="R143" s="125"/>
      <c r="S143" s="125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25"/>
      <c r="R144" s="125"/>
      <c r="S144" s="125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25"/>
      <c r="R145" s="125"/>
      <c r="S145" s="125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25"/>
      <c r="R146" s="125"/>
      <c r="S146" s="125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25"/>
      <c r="R147" s="125"/>
      <c r="S147" s="125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25"/>
      <c r="R148" s="125"/>
      <c r="S148" s="125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25"/>
      <c r="R149" s="125"/>
      <c r="S149" s="125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25"/>
      <c r="R150" s="125"/>
      <c r="S150" s="125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25"/>
      <c r="R151" s="125"/>
      <c r="S151" s="125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25"/>
      <c r="R152" s="125"/>
      <c r="S152" s="125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25"/>
      <c r="R153" s="125"/>
      <c r="S153" s="125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25"/>
      <c r="R154" s="125"/>
      <c r="S154" s="125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25"/>
      <c r="R155" s="125"/>
      <c r="S155" s="125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25"/>
      <c r="R156" s="125"/>
      <c r="S156" s="125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25"/>
      <c r="R157" s="125"/>
      <c r="S157" s="125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25"/>
      <c r="R158" s="125"/>
      <c r="S158" s="125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25"/>
      <c r="R159" s="125"/>
      <c r="S159" s="125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25"/>
      <c r="R160" s="125"/>
      <c r="S160" s="125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25"/>
      <c r="R161" s="125"/>
      <c r="S161" s="125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25"/>
      <c r="R162" s="125"/>
      <c r="S162" s="125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25"/>
      <c r="R163" s="125"/>
      <c r="S163" s="125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25"/>
      <c r="R164" s="125"/>
      <c r="S164" s="125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25"/>
      <c r="R165" s="125"/>
      <c r="S165" s="125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25"/>
      <c r="R166" s="125"/>
      <c r="S166" s="125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25"/>
      <c r="R167" s="125"/>
      <c r="S167" s="125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25"/>
      <c r="R168" s="125"/>
      <c r="S168" s="125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25"/>
      <c r="R169" s="125"/>
      <c r="S169" s="125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25"/>
      <c r="R170" s="125"/>
      <c r="S170" s="125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25"/>
      <c r="R171" s="125"/>
      <c r="S171" s="125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25"/>
      <c r="R172" s="125"/>
      <c r="S172" s="125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25"/>
      <c r="R173" s="125"/>
      <c r="S173" s="125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25"/>
      <c r="R174" s="125"/>
      <c r="S174" s="125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25"/>
      <c r="R175" s="125"/>
      <c r="S175" s="125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25"/>
      <c r="R176" s="125"/>
      <c r="S176" s="125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25"/>
      <c r="R177" s="125"/>
      <c r="S177" s="125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25"/>
      <c r="R178" s="125"/>
      <c r="S178" s="125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25"/>
      <c r="R179" s="125"/>
      <c r="S179" s="125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25"/>
      <c r="R180" s="125"/>
      <c r="S180" s="125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25"/>
      <c r="R181" s="125"/>
      <c r="S181" s="125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25"/>
      <c r="R182" s="125"/>
      <c r="S182" s="125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25"/>
      <c r="R183" s="125"/>
      <c r="S183" s="125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25"/>
      <c r="R184" s="125"/>
      <c r="S184" s="125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25"/>
      <c r="R185" s="125"/>
      <c r="S185" s="125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25"/>
      <c r="R186" s="125"/>
      <c r="S186" s="125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25"/>
      <c r="R187" s="125"/>
      <c r="S187" s="125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25"/>
      <c r="R188" s="125"/>
      <c r="S188" s="125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25"/>
      <c r="R189" s="125"/>
      <c r="S189" s="125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25"/>
      <c r="R190" s="125"/>
      <c r="S190" s="125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25"/>
      <c r="R191" s="125"/>
      <c r="S191" s="125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25"/>
      <c r="R192" s="125"/>
      <c r="S192" s="125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25"/>
      <c r="R193" s="125"/>
      <c r="S193" s="125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25"/>
      <c r="R194" s="125"/>
      <c r="S194" s="125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25"/>
      <c r="R195" s="125"/>
      <c r="S195" s="125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25"/>
      <c r="R196" s="125"/>
      <c r="S196" s="125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25"/>
      <c r="R197" s="125"/>
      <c r="S197" s="125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25"/>
      <c r="R198" s="125"/>
      <c r="S198" s="125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25"/>
      <c r="R199" s="125"/>
      <c r="S199" s="125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25"/>
      <c r="R200" s="125"/>
      <c r="S200" s="125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25"/>
      <c r="R201" s="125"/>
      <c r="S201" s="125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25"/>
      <c r="R202" s="125"/>
      <c r="S202" s="125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25"/>
      <c r="R203" s="125"/>
      <c r="S203" s="125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25"/>
      <c r="R204" s="125"/>
      <c r="S204" s="125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25"/>
      <c r="R205" s="125"/>
      <c r="S205" s="125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25"/>
      <c r="R206" s="125"/>
      <c r="S206" s="125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25"/>
      <c r="R207" s="125"/>
      <c r="S207" s="125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25"/>
      <c r="R208" s="125"/>
      <c r="S208" s="125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25"/>
      <c r="R209" s="125"/>
      <c r="S209" s="125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25"/>
      <c r="R210" s="125"/>
      <c r="S210" s="125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25"/>
      <c r="R211" s="125"/>
      <c r="S211" s="125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25"/>
      <c r="R212" s="125"/>
      <c r="S212" s="125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25"/>
      <c r="R213" s="125"/>
      <c r="S213" s="125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25"/>
      <c r="R214" s="125"/>
      <c r="S214" s="125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25"/>
      <c r="R215" s="125"/>
      <c r="S215" s="125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25"/>
      <c r="R216" s="125"/>
      <c r="S216" s="125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25"/>
      <c r="R217" s="125"/>
      <c r="S217" s="125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25"/>
      <c r="R218" s="125"/>
      <c r="S218" s="125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25"/>
      <c r="R219" s="125"/>
      <c r="S219" s="125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25"/>
      <c r="R220" s="125"/>
      <c r="S220" s="125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25"/>
      <c r="R221" s="125"/>
      <c r="S221" s="125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25"/>
      <c r="R222" s="125"/>
      <c r="S222" s="125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25"/>
      <c r="R223" s="125"/>
      <c r="S223" s="125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25"/>
      <c r="R224" s="125"/>
      <c r="S224" s="125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25"/>
      <c r="R225" s="125"/>
      <c r="S225" s="125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25"/>
      <c r="R226" s="125"/>
      <c r="S226" s="125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25"/>
      <c r="R227" s="125"/>
      <c r="S227" s="125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25"/>
      <c r="R228" s="125"/>
      <c r="S228" s="125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25"/>
      <c r="R229" s="125"/>
      <c r="S229" s="125"/>
      <c r="T229" s="1"/>
      <c r="U229" s="1"/>
      <c r="V229" s="1"/>
      <c r="W229" s="1"/>
      <c r="X229" s="1"/>
      <c r="Y229" s="1"/>
      <c r="Z229" s="1"/>
    </row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ortState xmlns:xlrd2="http://schemas.microsoft.com/office/spreadsheetml/2017/richdata2" ref="C5:Q21">
    <sortCondition ref="P5:P21"/>
    <sortCondition ref="Q5:Q21"/>
  </sortState>
  <mergeCells count="10">
    <mergeCell ref="S12:S13"/>
    <mergeCell ref="R15:R19"/>
    <mergeCell ref="S15:S20"/>
    <mergeCell ref="P3:S3"/>
    <mergeCell ref="A1:O1"/>
    <mergeCell ref="A2:O2"/>
    <mergeCell ref="E3:L3"/>
    <mergeCell ref="R5:R9"/>
    <mergeCell ref="S5:S9"/>
    <mergeCell ref="S10:S11"/>
  </mergeCells>
  <pageMargins left="0.11811023622047245" right="0.11811023622047245" top="0.15748031496062992" bottom="0.15748031496062992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3"/>
  <sheetViews>
    <sheetView topLeftCell="A28" zoomScaleNormal="100" workbookViewId="0">
      <selection activeCell="D36" sqref="D36"/>
    </sheetView>
  </sheetViews>
  <sheetFormatPr baseColWidth="10" defaultColWidth="12.625" defaultRowHeight="15" customHeight="1" x14ac:dyDescent="0.2"/>
  <cols>
    <col min="1" max="1" width="2.75" customWidth="1"/>
    <col min="2" max="2" width="7.125" customWidth="1"/>
    <col min="3" max="3" width="59.875" customWidth="1"/>
    <col min="4" max="5" width="20.625" style="132" customWidth="1"/>
    <col min="6" max="6" width="20.625" customWidth="1"/>
    <col min="7" max="7" width="31.25" customWidth="1"/>
    <col min="8" max="8" width="19.5" customWidth="1"/>
    <col min="9" max="9" width="14.625" customWidth="1"/>
    <col min="10" max="10" width="10.25" customWidth="1"/>
    <col min="11" max="11" width="2" customWidth="1"/>
    <col min="12" max="13" width="10" customWidth="1"/>
    <col min="14" max="14" width="11.75" customWidth="1"/>
    <col min="15" max="28" width="10" customWidth="1"/>
  </cols>
  <sheetData>
    <row r="1" spans="1:28" ht="12.75" customHeight="1" x14ac:dyDescent="0.3">
      <c r="A1" s="1"/>
      <c r="B1" s="326" t="s">
        <v>0</v>
      </c>
      <c r="C1" s="327"/>
      <c r="D1" s="327"/>
      <c r="E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.25" customHeight="1" x14ac:dyDescent="0.3">
      <c r="A2" s="1"/>
      <c r="B2" s="326" t="s">
        <v>1</v>
      </c>
      <c r="C2" s="327"/>
      <c r="D2" s="327"/>
      <c r="E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0.25" customHeight="1" x14ac:dyDescent="0.2">
      <c r="A3" s="1"/>
      <c r="B3" s="328" t="s">
        <v>127</v>
      </c>
      <c r="C3" s="327"/>
      <c r="D3" s="327"/>
      <c r="E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customHeight="1" x14ac:dyDescent="0.2">
      <c r="B4" s="32" t="s">
        <v>45</v>
      </c>
      <c r="C4" s="33" t="s">
        <v>5</v>
      </c>
      <c r="D4" s="131" t="s">
        <v>46</v>
      </c>
      <c r="E4" s="188" t="s">
        <v>65</v>
      </c>
      <c r="F4" s="85"/>
      <c r="G4" s="85"/>
      <c r="H4" s="7"/>
      <c r="I4" s="8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4.75" customHeight="1" x14ac:dyDescent="0.2">
      <c r="B5" s="223">
        <v>1</v>
      </c>
      <c r="C5" s="34" t="s">
        <v>110</v>
      </c>
      <c r="D5" s="134">
        <f>SUM(D6:D9)</f>
        <v>4308048.34</v>
      </c>
      <c r="E5" s="189">
        <f>SUM(E6:E9)</f>
        <v>1050.5</v>
      </c>
      <c r="F5" s="86"/>
      <c r="G5" s="86"/>
      <c r="H5" s="21"/>
      <c r="I5" s="3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45" customHeight="1" x14ac:dyDescent="0.2">
      <c r="A6" s="36"/>
      <c r="B6" s="37">
        <v>1.1000000000000001</v>
      </c>
      <c r="C6" s="109" t="s">
        <v>111</v>
      </c>
      <c r="D6" s="135">
        <f>+'ANEXO 2'!M18</f>
        <v>2086650.0000000002</v>
      </c>
      <c r="E6" s="190">
        <v>290.5</v>
      </c>
      <c r="F6" s="87"/>
      <c r="G6" s="87"/>
      <c r="H6" s="21"/>
      <c r="I6" s="3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51.75" customHeight="1" x14ac:dyDescent="0.2">
      <c r="A7" s="15"/>
      <c r="B7" s="37">
        <v>1.2</v>
      </c>
      <c r="C7" s="109" t="s">
        <v>112</v>
      </c>
      <c r="D7" s="136">
        <f>+'ANEXO 2'!M20</f>
        <v>694268.74</v>
      </c>
      <c r="E7" s="190">
        <f>'[1]ANEXO 2'!F20</f>
        <v>370</v>
      </c>
      <c r="F7" s="88"/>
      <c r="G7" s="88"/>
      <c r="H7" s="87"/>
      <c r="I7" s="3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45.75" customHeight="1" x14ac:dyDescent="0.2">
      <c r="A8" s="15"/>
      <c r="B8" s="37">
        <v>1.3</v>
      </c>
      <c r="C8" s="109" t="s">
        <v>113</v>
      </c>
      <c r="D8" s="136">
        <f>+'ANEXO 2'!M9</f>
        <v>1234665.6000000001</v>
      </c>
      <c r="E8" s="190">
        <f>'[1]ANEXO 2'!F9</f>
        <v>210</v>
      </c>
      <c r="F8" s="88"/>
      <c r="G8" s="88"/>
      <c r="H8" s="87"/>
      <c r="I8" s="3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5.25" customHeight="1" x14ac:dyDescent="0.2">
      <c r="A9" s="15"/>
      <c r="B9" s="37">
        <v>1.4</v>
      </c>
      <c r="C9" s="109" t="s">
        <v>114</v>
      </c>
      <c r="D9" s="136">
        <f>+'ANEXO 2'!M10</f>
        <v>292464</v>
      </c>
      <c r="E9" s="190">
        <f>'[1]ANEXO 2'!F10</f>
        <v>180</v>
      </c>
      <c r="F9" s="105"/>
      <c r="G9" s="88"/>
      <c r="H9" s="87"/>
      <c r="I9" s="3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9" customHeight="1" x14ac:dyDescent="0.2">
      <c r="B10" s="223">
        <v>6</v>
      </c>
      <c r="C10" s="34" t="s">
        <v>109</v>
      </c>
      <c r="D10" s="134">
        <f>SUM(D11:D22)</f>
        <v>21356688.34</v>
      </c>
      <c r="E10" s="191">
        <f>SUM(E11:E22)</f>
        <v>3859.4</v>
      </c>
      <c r="F10" s="88"/>
      <c r="G10" s="88"/>
      <c r="H10" s="41"/>
      <c r="I10" s="1"/>
      <c r="J10" s="1"/>
      <c r="K10" s="1"/>
      <c r="L10" s="1"/>
      <c r="M10" s="1"/>
      <c r="N10" s="1"/>
      <c r="O10" s="3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9" customHeight="1" x14ac:dyDescent="0.2">
      <c r="A11" s="36"/>
      <c r="B11" s="37">
        <v>6.1</v>
      </c>
      <c r="C11" s="109" t="s">
        <v>48</v>
      </c>
      <c r="D11" s="137">
        <f>+'ANEXO 2'!I18</f>
        <v>1587435</v>
      </c>
      <c r="E11" s="190">
        <f>'[1]ANEXO 2'!F18</f>
        <v>300</v>
      </c>
      <c r="F11" s="88"/>
      <c r="G11" s="88"/>
      <c r="H11" s="41"/>
      <c r="I11" s="1"/>
      <c r="J11" s="1"/>
      <c r="K11" s="1"/>
      <c r="L11" s="1"/>
      <c r="M11" s="1"/>
      <c r="N11" s="1"/>
      <c r="O11" s="3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9" customHeight="1" x14ac:dyDescent="0.2">
      <c r="A12" s="36"/>
      <c r="B12" s="37">
        <v>6.2</v>
      </c>
      <c r="C12" s="109" t="s">
        <v>115</v>
      </c>
      <c r="D12" s="138">
        <v>1500000</v>
      </c>
      <c r="E12" s="190">
        <v>185.4</v>
      </c>
      <c r="F12" s="117"/>
      <c r="G12" s="88"/>
      <c r="H12" s="41"/>
      <c r="I12" s="1"/>
      <c r="J12" s="1"/>
      <c r="K12" s="1"/>
      <c r="L12" s="1"/>
      <c r="M12" s="1"/>
      <c r="N12" s="1"/>
      <c r="O12" s="3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39" customHeight="1" x14ac:dyDescent="0.2">
      <c r="A13" s="36"/>
      <c r="B13" s="37">
        <v>6.3</v>
      </c>
      <c r="C13" s="109" t="s">
        <v>116</v>
      </c>
      <c r="D13" s="139">
        <v>3309595</v>
      </c>
      <c r="E13" s="190">
        <v>505</v>
      </c>
      <c r="F13" s="117"/>
      <c r="G13" s="88"/>
      <c r="H13" s="41"/>
      <c r="I13" s="1"/>
      <c r="J13" s="1"/>
      <c r="K13" s="1"/>
      <c r="L13" s="1"/>
      <c r="M13" s="1"/>
      <c r="N13" s="1"/>
      <c r="O13" s="3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9" customHeight="1" x14ac:dyDescent="0.2">
      <c r="A14" s="36"/>
      <c r="B14" s="37">
        <v>6.4</v>
      </c>
      <c r="C14" s="109" t="s">
        <v>117</v>
      </c>
      <c r="D14" s="139">
        <v>4141718.7</v>
      </c>
      <c r="E14" s="190">
        <v>630</v>
      </c>
      <c r="F14" s="88"/>
      <c r="G14" s="88"/>
      <c r="H14" s="41"/>
      <c r="I14" s="1"/>
      <c r="J14" s="1"/>
      <c r="K14" s="1"/>
      <c r="L14" s="1"/>
      <c r="M14" s="1"/>
      <c r="N14" s="1"/>
      <c r="O14" s="3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39" customHeight="1" x14ac:dyDescent="0.2">
      <c r="A15" s="36"/>
      <c r="B15" s="37">
        <v>6.5</v>
      </c>
      <c r="C15" s="109" t="s">
        <v>49</v>
      </c>
      <c r="D15" s="139">
        <f>'[2]ANEXO 2'!I11*1.05</f>
        <v>726138</v>
      </c>
      <c r="E15" s="190">
        <f>'[1]ANEXO 2'!F12</f>
        <v>170</v>
      </c>
      <c r="F15" s="88"/>
      <c r="G15" s="88"/>
      <c r="H15" s="41"/>
      <c r="I15" s="1"/>
      <c r="J15" s="1"/>
      <c r="K15" s="1"/>
      <c r="L15" s="1"/>
      <c r="M15" s="1"/>
      <c r="N15" s="1"/>
      <c r="O15" s="3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9" customHeight="1" x14ac:dyDescent="0.2">
      <c r="A16" s="36"/>
      <c r="B16" s="37">
        <v>6.6</v>
      </c>
      <c r="C16" s="109" t="s">
        <v>51</v>
      </c>
      <c r="D16" s="136">
        <v>1952716</v>
      </c>
      <c r="E16" s="190">
        <f>'[1]ANEXO 2'!F28</f>
        <v>400</v>
      </c>
      <c r="F16" s="105"/>
      <c r="G16" s="58"/>
      <c r="H16" s="41"/>
      <c r="I16" s="1"/>
      <c r="J16" s="1"/>
      <c r="K16" s="1"/>
      <c r="L16" s="1"/>
      <c r="M16" s="1"/>
      <c r="N16" s="1"/>
      <c r="O16" s="3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39" customHeight="1" x14ac:dyDescent="0.2">
      <c r="A17" s="36"/>
      <c r="B17" s="37">
        <v>6.7</v>
      </c>
      <c r="C17" s="109" t="s">
        <v>52</v>
      </c>
      <c r="D17" s="136">
        <v>1517364</v>
      </c>
      <c r="E17" s="190">
        <f>'[1]ANEXO 2'!F32</f>
        <v>373</v>
      </c>
      <c r="F17" s="88"/>
      <c r="G17" s="88"/>
      <c r="H17" s="41"/>
      <c r="I17" s="1"/>
      <c r="J17" s="1"/>
      <c r="K17" s="1"/>
      <c r="L17" s="1"/>
      <c r="M17" s="1"/>
      <c r="N17" s="1"/>
      <c r="O17" s="3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39" customHeight="1" x14ac:dyDescent="0.2">
      <c r="A18" s="36"/>
      <c r="B18" s="37">
        <v>6.8</v>
      </c>
      <c r="C18" s="109" t="s">
        <v>53</v>
      </c>
      <c r="D18" s="136">
        <v>1950000</v>
      </c>
      <c r="E18" s="190">
        <v>361</v>
      </c>
      <c r="F18" s="88"/>
      <c r="G18" s="88"/>
      <c r="H18" s="41"/>
      <c r="I18" s="1"/>
      <c r="J18" s="1"/>
      <c r="K18" s="1"/>
      <c r="L18" s="1"/>
      <c r="M18" s="1"/>
      <c r="N18" s="1"/>
      <c r="O18" s="3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39" customHeight="1" x14ac:dyDescent="0.2">
      <c r="A19" s="36"/>
      <c r="B19" s="37">
        <v>6.9</v>
      </c>
      <c r="C19" s="109" t="s">
        <v>118</v>
      </c>
      <c r="D19" s="136">
        <v>2500000</v>
      </c>
      <c r="E19" s="190">
        <v>410</v>
      </c>
      <c r="F19" s="88"/>
      <c r="G19" s="88"/>
      <c r="H19" s="41"/>
      <c r="I19" s="1"/>
      <c r="J19" s="1"/>
      <c r="K19" s="1"/>
      <c r="L19" s="1"/>
      <c r="M19" s="1"/>
      <c r="N19" s="1"/>
      <c r="O19" s="3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39" customHeight="1" x14ac:dyDescent="0.2">
      <c r="A20" s="36"/>
      <c r="B20" s="241" t="s">
        <v>168</v>
      </c>
      <c r="C20" s="109" t="s">
        <v>119</v>
      </c>
      <c r="D20" s="136">
        <v>962526.6</v>
      </c>
      <c r="E20" s="190">
        <f>'[1]ANEXO 2'!F10</f>
        <v>180</v>
      </c>
      <c r="F20" s="88"/>
      <c r="G20" s="88"/>
      <c r="H20" s="41"/>
      <c r="I20" s="1"/>
      <c r="J20" s="1"/>
      <c r="K20" s="1"/>
      <c r="L20" s="1"/>
      <c r="M20" s="1"/>
      <c r="N20" s="1"/>
      <c r="O20" s="3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39" customHeight="1" x14ac:dyDescent="0.2">
      <c r="A21" s="36"/>
      <c r="B21" s="37">
        <v>6.11</v>
      </c>
      <c r="C21" s="109" t="s">
        <v>120</v>
      </c>
      <c r="D21" s="140">
        <v>859195.04</v>
      </c>
      <c r="E21" s="190">
        <v>175</v>
      </c>
      <c r="F21" s="105"/>
      <c r="G21" s="58"/>
      <c r="H21" s="41"/>
      <c r="I21" s="1"/>
      <c r="J21" s="1"/>
      <c r="K21" s="1"/>
      <c r="L21" s="1"/>
      <c r="M21" s="1"/>
      <c r="N21" s="1"/>
      <c r="O21" s="3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39" customHeight="1" x14ac:dyDescent="0.2">
      <c r="A22" s="36"/>
      <c r="B22" s="37">
        <v>6.12</v>
      </c>
      <c r="C22" s="109" t="s">
        <v>143</v>
      </c>
      <c r="D22" s="140">
        <v>350000</v>
      </c>
      <c r="E22" s="190">
        <v>170</v>
      </c>
      <c r="F22" s="105"/>
      <c r="G22" s="58"/>
      <c r="H22" s="41"/>
      <c r="I22" s="1"/>
      <c r="J22" s="1"/>
      <c r="K22" s="1"/>
      <c r="L22" s="1"/>
      <c r="M22" s="1"/>
      <c r="N22" s="1"/>
      <c r="O22" s="3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50.1" customHeight="1" x14ac:dyDescent="0.2">
      <c r="A23" s="36"/>
      <c r="B23" s="224">
        <v>7</v>
      </c>
      <c r="C23" s="118" t="s">
        <v>140</v>
      </c>
      <c r="D23" s="134">
        <f>SUM(D24:D25)</f>
        <v>3500000</v>
      </c>
      <c r="E23" s="191">
        <f>SUM(E24:E25)</f>
        <v>350</v>
      </c>
      <c r="F23" s="87"/>
      <c r="G23" s="87"/>
      <c r="H23" s="215"/>
      <c r="I23" s="42"/>
      <c r="J23" s="42"/>
      <c r="K23" s="43"/>
      <c r="L23" s="42"/>
      <c r="M23" s="4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50.1" customHeight="1" x14ac:dyDescent="0.2">
      <c r="A24" s="15"/>
      <c r="B24" s="227">
        <v>7.1</v>
      </c>
      <c r="C24" s="212" t="s">
        <v>163</v>
      </c>
      <c r="D24" s="145">
        <v>2000000</v>
      </c>
      <c r="E24" s="190">
        <v>250</v>
      </c>
      <c r="F24" s="87"/>
      <c r="G24" s="87"/>
      <c r="H24" s="1"/>
      <c r="I24" s="42"/>
      <c r="J24" s="42"/>
      <c r="K24" s="43"/>
      <c r="L24" s="42"/>
      <c r="M24" s="4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50.1" customHeight="1" x14ac:dyDescent="0.2">
      <c r="A25" s="211"/>
      <c r="B25" s="37">
        <v>7.2</v>
      </c>
      <c r="C25" s="213" t="s">
        <v>54</v>
      </c>
      <c r="D25" s="214">
        <v>1500000</v>
      </c>
      <c r="E25" s="190">
        <v>100</v>
      </c>
      <c r="F25" s="87"/>
      <c r="G25" s="87"/>
      <c r="H25" s="215"/>
      <c r="I25" s="42"/>
      <c r="J25" s="42"/>
      <c r="K25" s="43"/>
      <c r="L25" s="42"/>
      <c r="M25" s="4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39" customHeight="1" x14ac:dyDescent="0.2">
      <c r="B26" s="223">
        <v>10</v>
      </c>
      <c r="C26" s="118" t="s">
        <v>124</v>
      </c>
      <c r="D26" s="141">
        <f>SUM(D27)</f>
        <v>116724.99999999999</v>
      </c>
      <c r="E26" s="191">
        <f>E27</f>
        <v>150</v>
      </c>
      <c r="F26" s="210"/>
      <c r="G26" s="210"/>
      <c r="H26" s="41"/>
      <c r="I26" s="1"/>
      <c r="J26" s="1"/>
      <c r="K26" s="1"/>
      <c r="L26" s="1"/>
      <c r="M26" s="1"/>
      <c r="N26" s="1"/>
      <c r="O26" s="3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39" customHeight="1" x14ac:dyDescent="0.2">
      <c r="A27" s="36"/>
      <c r="B27" s="37">
        <v>10.1</v>
      </c>
      <c r="C27" s="218" t="s">
        <v>126</v>
      </c>
      <c r="D27" s="222">
        <f>101500*1.15</f>
        <v>116724.99999999999</v>
      </c>
      <c r="E27" s="190">
        <v>150</v>
      </c>
      <c r="F27" s="210"/>
      <c r="G27" s="210"/>
      <c r="H27" s="41"/>
      <c r="I27" s="1"/>
      <c r="J27" s="1"/>
      <c r="K27" s="1"/>
      <c r="L27" s="1"/>
      <c r="M27" s="1"/>
      <c r="N27" s="1"/>
      <c r="O27" s="3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39" customHeight="1" x14ac:dyDescent="0.2">
      <c r="A28" s="36"/>
      <c r="B28" s="223">
        <v>11</v>
      </c>
      <c r="C28" s="118" t="s">
        <v>123</v>
      </c>
      <c r="D28" s="141">
        <f>SUM(D29:D32)</f>
        <v>6167458.9500000002</v>
      </c>
      <c r="E28" s="191">
        <f>SUM(E29:E32)</f>
        <v>2379.33</v>
      </c>
      <c r="F28" s="210"/>
      <c r="G28" s="210"/>
      <c r="H28" s="41"/>
      <c r="I28" s="1"/>
      <c r="J28" s="1"/>
      <c r="K28" s="1"/>
      <c r="L28" s="1"/>
      <c r="M28" s="1"/>
      <c r="N28" s="1"/>
      <c r="O28" s="3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39" customHeight="1" x14ac:dyDescent="0.2">
      <c r="A29" s="36"/>
      <c r="B29" s="37">
        <v>11.1</v>
      </c>
      <c r="C29" s="218" t="s">
        <v>125</v>
      </c>
      <c r="D29" s="219">
        <f>232573*1.15</f>
        <v>267458.94999999995</v>
      </c>
      <c r="E29" s="190">
        <v>150</v>
      </c>
      <c r="F29" s="88"/>
      <c r="G29" s="88"/>
      <c r="H29" s="41"/>
      <c r="I29" s="1"/>
      <c r="J29" s="1"/>
      <c r="K29" s="1"/>
      <c r="L29" s="1"/>
      <c r="M29" s="1"/>
      <c r="N29" s="1"/>
      <c r="O29" s="1"/>
      <c r="P29" s="35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1" hidden="1" customHeight="1" x14ac:dyDescent="0.2">
      <c r="A30" s="36"/>
      <c r="C30" s="220" t="s">
        <v>55</v>
      </c>
      <c r="E30" s="190">
        <v>427.1</v>
      </c>
      <c r="F30" s="219">
        <v>1000000</v>
      </c>
      <c r="G30" s="88"/>
      <c r="H30" s="4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46.5" customHeight="1" x14ac:dyDescent="0.2">
      <c r="A31" s="36"/>
      <c r="B31" s="37">
        <v>11.2</v>
      </c>
      <c r="C31" s="213" t="s">
        <v>172</v>
      </c>
      <c r="D31" s="219">
        <v>3900000</v>
      </c>
      <c r="E31" s="190">
        <f>682.23+1000</f>
        <v>1682.23</v>
      </c>
      <c r="F31" s="88"/>
      <c r="G31" s="88"/>
      <c r="H31" s="216"/>
      <c r="I31" s="1"/>
      <c r="J31" s="1"/>
      <c r="K31" s="1"/>
      <c r="L31" s="21"/>
      <c r="M31" s="1"/>
      <c r="N31" s="3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7" customHeight="1" x14ac:dyDescent="0.2">
      <c r="A32" s="36"/>
      <c r="B32" s="37">
        <v>11.3</v>
      </c>
      <c r="C32" s="221" t="s">
        <v>56</v>
      </c>
      <c r="D32" s="219">
        <v>2000000</v>
      </c>
      <c r="E32" s="190">
        <v>120</v>
      </c>
      <c r="F32" s="88"/>
      <c r="G32" s="88"/>
      <c r="H32" s="41"/>
      <c r="I32" s="1"/>
      <c r="J32" s="1"/>
      <c r="K32" s="1"/>
      <c r="L32" s="21"/>
      <c r="M32" s="1"/>
      <c r="N32" s="3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2">
      <c r="A33" s="36"/>
      <c r="B33" s="37"/>
      <c r="C33" s="207"/>
      <c r="D33" s="208"/>
      <c r="E33" s="209"/>
      <c r="F33" s="210"/>
      <c r="G33" s="210"/>
      <c r="H33" s="39"/>
      <c r="I33" s="42"/>
      <c r="J33" s="42"/>
      <c r="K33" s="43"/>
      <c r="L33" s="42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30" customHeight="1" x14ac:dyDescent="0.2">
      <c r="A34" s="36"/>
      <c r="B34" s="223">
        <v>12</v>
      </c>
      <c r="C34" s="118" t="s">
        <v>139</v>
      </c>
      <c r="D34" s="134">
        <f>SUM(D35:D36)</f>
        <v>11500000</v>
      </c>
      <c r="E34" s="191">
        <f>SUM(E35:E36)</f>
        <v>1430</v>
      </c>
      <c r="F34" s="210"/>
      <c r="G34" s="210"/>
      <c r="H34" s="215"/>
      <c r="I34" s="42"/>
      <c r="J34" s="42"/>
      <c r="K34" s="43"/>
      <c r="L34" s="42"/>
      <c r="M34" s="4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30.75" customHeight="1" x14ac:dyDescent="0.2">
      <c r="A35" s="36"/>
      <c r="B35" s="37">
        <v>12.1</v>
      </c>
      <c r="C35" s="130" t="s">
        <v>59</v>
      </c>
      <c r="D35" s="145">
        <v>8500000</v>
      </c>
      <c r="E35" s="190">
        <v>600</v>
      </c>
      <c r="F35" s="217"/>
      <c r="G35" s="217"/>
      <c r="H35" s="215"/>
      <c r="I35" s="42"/>
      <c r="J35" s="42"/>
      <c r="K35" s="43"/>
      <c r="L35" s="42"/>
      <c r="M35" s="4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30.75" customHeight="1" x14ac:dyDescent="0.2">
      <c r="A36" s="36"/>
      <c r="B36" s="37">
        <v>12.2</v>
      </c>
      <c r="C36" s="130" t="s">
        <v>60</v>
      </c>
      <c r="D36" s="145">
        <v>3000000</v>
      </c>
      <c r="E36" s="190">
        <v>830</v>
      </c>
      <c r="F36" s="87"/>
      <c r="G36" s="87"/>
      <c r="H36" s="215"/>
      <c r="I36" s="42"/>
      <c r="J36" s="42"/>
      <c r="K36" s="43"/>
      <c r="L36" s="42"/>
      <c r="M36" s="4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8" spans="1:28" ht="37.5" hidden="1" customHeight="1" x14ac:dyDescent="0.2">
      <c r="A38" s="36"/>
      <c r="B38" s="223">
        <v>13</v>
      </c>
      <c r="C38" s="45" t="s">
        <v>61</v>
      </c>
      <c r="D38" s="134">
        <f>SUM(D39:D39)</f>
        <v>2500000</v>
      </c>
      <c r="E38" s="192"/>
      <c r="F38" s="210"/>
      <c r="G38" s="210"/>
      <c r="H38" s="215"/>
      <c r="I38" s="42"/>
      <c r="J38" s="42"/>
      <c r="K38" s="43"/>
      <c r="L38" s="42"/>
      <c r="M38" s="4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26.45" hidden="1" customHeight="1" x14ac:dyDescent="0.2">
      <c r="A39" s="15"/>
      <c r="B39" s="37">
        <v>13.1</v>
      </c>
      <c r="C39" s="71" t="s">
        <v>108</v>
      </c>
      <c r="D39" s="145">
        <v>2500000</v>
      </c>
      <c r="E39" s="190">
        <v>100</v>
      </c>
      <c r="F39" s="87"/>
      <c r="G39" s="87"/>
      <c r="H39" s="215"/>
      <c r="I39" s="42"/>
      <c r="J39" s="42"/>
      <c r="K39" s="43"/>
      <c r="L39" s="42"/>
      <c r="M39" s="4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29.1" customHeight="1" x14ac:dyDescent="0.2">
      <c r="A40" s="211"/>
      <c r="B40" s="224">
        <v>14</v>
      </c>
      <c r="C40" s="206" t="s">
        <v>33</v>
      </c>
      <c r="D40" s="134">
        <f>SUM(D41:D42)</f>
        <v>9293971.9000000004</v>
      </c>
      <c r="E40" s="195"/>
      <c r="F40" s="87"/>
      <c r="G40" s="87"/>
      <c r="H40" s="215"/>
      <c r="I40" s="42"/>
      <c r="J40" s="42"/>
      <c r="K40" s="43"/>
      <c r="L40" s="42"/>
      <c r="M40" s="4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2">
      <c r="A41" s="211"/>
      <c r="B41" s="37">
        <v>14.1</v>
      </c>
      <c r="C41" s="212" t="s">
        <v>159</v>
      </c>
      <c r="D41" s="145">
        <v>3000000</v>
      </c>
      <c r="E41" s="190"/>
      <c r="F41" s="87"/>
      <c r="G41" s="87"/>
      <c r="H41" s="215"/>
      <c r="I41" s="42"/>
      <c r="J41" s="42"/>
      <c r="K41" s="43"/>
      <c r="L41" s="42"/>
      <c r="M41" s="4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2">
      <c r="A42" s="211"/>
      <c r="B42" s="37">
        <v>14.2</v>
      </c>
      <c r="C42" s="225" t="s">
        <v>160</v>
      </c>
      <c r="D42" s="145">
        <f>7000000-706028.1</f>
        <v>6293971.9000000004</v>
      </c>
      <c r="E42" s="190">
        <v>650</v>
      </c>
      <c r="F42" s="87"/>
      <c r="G42" s="87"/>
      <c r="H42" s="215"/>
      <c r="I42" s="42"/>
      <c r="J42" s="42"/>
      <c r="K42" s="43"/>
      <c r="L42" s="42"/>
      <c r="M42" s="4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2">
      <c r="A43" s="1"/>
      <c r="B43" s="1"/>
      <c r="C43" s="1"/>
      <c r="D43" s="133"/>
      <c r="E43" s="19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27.6" customHeight="1" x14ac:dyDescent="0.2">
      <c r="A44" s="1"/>
      <c r="B44" s="224">
        <v>15</v>
      </c>
      <c r="C44" s="206" t="s">
        <v>136</v>
      </c>
      <c r="D44" s="134">
        <f>SUM(D45:D46)</f>
        <v>2000000</v>
      </c>
      <c r="E44" s="19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26.1" customHeight="1" x14ac:dyDescent="0.2">
      <c r="A45" s="1"/>
      <c r="B45" s="37">
        <v>15.1</v>
      </c>
      <c r="C45" s="212" t="s">
        <v>158</v>
      </c>
      <c r="D45" s="145">
        <v>500000</v>
      </c>
      <c r="E45" s="19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2">
      <c r="A46" s="1"/>
      <c r="B46" s="37">
        <v>15.2</v>
      </c>
      <c r="C46" s="225" t="s">
        <v>161</v>
      </c>
      <c r="D46" s="145">
        <v>1500000</v>
      </c>
      <c r="E46" s="190">
        <v>320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2">
      <c r="A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38.450000000000003" customHeight="1" x14ac:dyDescent="0.2">
      <c r="A48" s="1"/>
      <c r="B48" s="224">
        <v>16</v>
      </c>
      <c r="C48" s="118" t="s">
        <v>26</v>
      </c>
      <c r="D48" s="134">
        <f>SUM(D49:D50)</f>
        <v>9165287.4800000004</v>
      </c>
      <c r="E48" s="19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24" customHeight="1" x14ac:dyDescent="0.2">
      <c r="A49" s="1"/>
      <c r="B49" s="37">
        <v>16.100000000000001</v>
      </c>
      <c r="C49" s="226" t="s">
        <v>57</v>
      </c>
      <c r="D49" s="142">
        <v>5856400</v>
      </c>
      <c r="E49" s="19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36.6" customHeight="1" x14ac:dyDescent="0.2">
      <c r="A50" s="1"/>
      <c r="B50" s="37">
        <v>16.2</v>
      </c>
      <c r="C50" s="130" t="s">
        <v>58</v>
      </c>
      <c r="D50" s="145">
        <v>3308887.48</v>
      </c>
      <c r="E50" s="19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36.6" customHeight="1" x14ac:dyDescent="0.2">
      <c r="A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36.6" customHeight="1" x14ac:dyDescent="0.2">
      <c r="A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36.6" customHeight="1" x14ac:dyDescent="0.2">
      <c r="A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2">
      <c r="A54" s="1"/>
      <c r="B54" s="1"/>
      <c r="C54" s="1"/>
      <c r="D54" s="133"/>
      <c r="E54" s="19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2">
      <c r="A55" s="1"/>
      <c r="B55" s="1"/>
      <c r="C55" s="1"/>
      <c r="D55" s="133"/>
      <c r="E55" s="195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2">
      <c r="A56" s="1"/>
      <c r="B56" s="1"/>
      <c r="C56" s="1"/>
      <c r="D56" s="133"/>
      <c r="E56" s="19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2">
      <c r="A57" s="1"/>
      <c r="B57" s="1"/>
      <c r="C57" s="1"/>
      <c r="D57" s="133"/>
      <c r="E57" s="19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2">
      <c r="A58" s="1"/>
      <c r="B58" s="1"/>
      <c r="C58" s="1"/>
      <c r="D58" s="133"/>
      <c r="E58" s="19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2">
      <c r="A59" s="1"/>
      <c r="B59" s="1"/>
      <c r="C59" s="1"/>
      <c r="D59" s="133"/>
      <c r="E59" s="19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2">
      <c r="A60" s="1"/>
      <c r="B60" s="1"/>
      <c r="C60" s="1"/>
      <c r="D60" s="133"/>
      <c r="E60" s="19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2">
      <c r="A61" s="1"/>
      <c r="B61" s="1"/>
      <c r="C61" s="1"/>
      <c r="D61" s="133"/>
      <c r="E61" s="19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2">
      <c r="A62" s="1"/>
      <c r="B62" s="1"/>
      <c r="C62" s="1"/>
      <c r="D62" s="133"/>
      <c r="E62" s="19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2">
      <c r="A63" s="1"/>
      <c r="B63" s="1"/>
      <c r="C63" s="1"/>
      <c r="D63" s="133"/>
      <c r="E63" s="19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2">
      <c r="A64" s="1"/>
      <c r="B64" s="1"/>
      <c r="C64" s="1"/>
      <c r="D64" s="133"/>
      <c r="E64" s="19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2">
      <c r="A65" s="1"/>
      <c r="B65" s="1"/>
      <c r="C65" s="1"/>
      <c r="D65" s="133"/>
      <c r="E65" s="19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2">
      <c r="A66" s="1"/>
      <c r="B66" s="1"/>
      <c r="C66" s="1"/>
      <c r="D66" s="133"/>
      <c r="E66" s="19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2">
      <c r="A67" s="1"/>
      <c r="B67" s="1"/>
      <c r="C67" s="1"/>
      <c r="D67" s="133"/>
      <c r="E67" s="19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2">
      <c r="A68" s="1"/>
      <c r="B68" s="1"/>
      <c r="C68" s="1"/>
      <c r="D68" s="133"/>
      <c r="E68" s="19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2">
      <c r="A69" s="1"/>
      <c r="B69" s="1"/>
      <c r="C69" s="1"/>
      <c r="D69" s="133"/>
      <c r="E69" s="195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2">
      <c r="A70" s="1"/>
      <c r="B70" s="1"/>
      <c r="C70" s="1"/>
      <c r="D70" s="133"/>
      <c r="E70" s="195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2">
      <c r="A71" s="1"/>
      <c r="B71" s="1"/>
      <c r="C71" s="1"/>
      <c r="D71" s="133"/>
      <c r="E71" s="195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2">
      <c r="A72" s="1"/>
      <c r="B72" s="1"/>
      <c r="C72" s="1"/>
      <c r="D72" s="133"/>
      <c r="E72" s="195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2">
      <c r="A73" s="1"/>
      <c r="B73" s="1"/>
      <c r="C73" s="1"/>
      <c r="D73" s="133"/>
      <c r="E73" s="195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2">
      <c r="A74" s="1"/>
      <c r="B74" s="1"/>
      <c r="C74" s="1"/>
      <c r="D74" s="133"/>
      <c r="E74" s="19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2">
      <c r="A75" s="1"/>
      <c r="B75" s="1"/>
      <c r="C75" s="1"/>
      <c r="D75" s="133"/>
      <c r="E75" s="19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2">
      <c r="A76" s="1"/>
      <c r="B76" s="1"/>
      <c r="C76" s="1"/>
      <c r="D76" s="133"/>
      <c r="E76" s="19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2">
      <c r="A77" s="1"/>
      <c r="B77" s="1"/>
      <c r="C77" s="1"/>
      <c r="D77" s="133"/>
      <c r="E77" s="19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2">
      <c r="A78" s="1"/>
      <c r="B78" s="1"/>
      <c r="C78" s="1"/>
      <c r="D78" s="133"/>
      <c r="E78" s="19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2">
      <c r="A79" s="1"/>
      <c r="B79" s="1"/>
      <c r="C79" s="1"/>
      <c r="D79" s="133"/>
      <c r="E79" s="19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2">
      <c r="A80" s="1"/>
      <c r="B80" s="1"/>
      <c r="C80" s="1"/>
      <c r="D80" s="133"/>
      <c r="E80" s="19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2">
      <c r="A81" s="1"/>
      <c r="B81" s="1"/>
      <c r="C81" s="1"/>
      <c r="D81" s="133"/>
      <c r="E81" s="19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2">
      <c r="A82" s="1"/>
      <c r="B82" s="1"/>
      <c r="C82" s="1"/>
      <c r="D82" s="133"/>
      <c r="E82" s="19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2">
      <c r="A83" s="1"/>
      <c r="B83" s="1"/>
      <c r="C83" s="1"/>
      <c r="D83" s="133"/>
      <c r="E83" s="19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2">
      <c r="A84" s="1"/>
      <c r="B84" s="1"/>
      <c r="C84" s="1"/>
      <c r="D84" s="133"/>
      <c r="E84" s="19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2">
      <c r="A85" s="1"/>
      <c r="B85" s="1"/>
      <c r="C85" s="1"/>
      <c r="D85" s="133"/>
      <c r="E85" s="195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2">
      <c r="A86" s="1"/>
      <c r="B86" s="1"/>
      <c r="C86" s="1"/>
      <c r="D86" s="133"/>
      <c r="E86" s="19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2">
      <c r="A87" s="1"/>
      <c r="B87" s="1"/>
      <c r="C87" s="1"/>
      <c r="D87" s="133"/>
      <c r="E87" s="19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2">
      <c r="A88" s="1"/>
      <c r="B88" s="1"/>
      <c r="C88" s="1"/>
      <c r="D88" s="133"/>
      <c r="E88" s="19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2">
      <c r="A89" s="1"/>
      <c r="B89" s="1"/>
      <c r="C89" s="1"/>
      <c r="D89" s="133"/>
      <c r="E89" s="19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2">
      <c r="A90" s="1"/>
      <c r="B90" s="1"/>
      <c r="C90" s="1"/>
      <c r="D90" s="133"/>
      <c r="E90" s="19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2">
      <c r="A91" s="1"/>
      <c r="B91" s="1"/>
      <c r="C91" s="1"/>
      <c r="D91" s="133"/>
      <c r="E91" s="19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2">
      <c r="A92" s="1"/>
      <c r="B92" s="1"/>
      <c r="C92" s="1"/>
      <c r="D92" s="133"/>
      <c r="E92" s="19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2">
      <c r="A93" s="1"/>
      <c r="B93" s="1"/>
      <c r="C93" s="1"/>
      <c r="D93" s="133"/>
      <c r="E93" s="19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2">
      <c r="A94" s="1"/>
      <c r="B94" s="1"/>
      <c r="C94" s="1"/>
      <c r="D94" s="133"/>
      <c r="E94" s="19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2">
      <c r="A95" s="1"/>
      <c r="B95" s="1"/>
      <c r="C95" s="1"/>
      <c r="D95" s="133"/>
      <c r="E95" s="19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2">
      <c r="A96" s="1"/>
      <c r="B96" s="1"/>
      <c r="C96" s="1"/>
      <c r="D96" s="133"/>
      <c r="E96" s="19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2">
      <c r="A97" s="1"/>
      <c r="B97" s="1"/>
      <c r="C97" s="1"/>
      <c r="D97" s="133"/>
      <c r="E97" s="19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2">
      <c r="A98" s="1"/>
      <c r="B98" s="1"/>
      <c r="C98" s="1"/>
      <c r="D98" s="133"/>
      <c r="E98" s="19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2">
      <c r="A99" s="1"/>
      <c r="B99" s="1"/>
      <c r="C99" s="1"/>
      <c r="D99" s="133"/>
      <c r="E99" s="19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2">
      <c r="A100" s="1"/>
      <c r="B100" s="1"/>
      <c r="C100" s="1"/>
      <c r="D100" s="133"/>
      <c r="E100" s="19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2">
      <c r="A101" s="1"/>
      <c r="B101" s="1"/>
      <c r="C101" s="1"/>
      <c r="D101" s="133"/>
      <c r="E101" s="19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2">
      <c r="A102" s="1"/>
      <c r="B102" s="1"/>
      <c r="C102" s="1"/>
      <c r="D102" s="133"/>
      <c r="E102" s="19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2">
      <c r="A103" s="1"/>
      <c r="B103" s="1"/>
      <c r="C103" s="1"/>
      <c r="D103" s="133"/>
      <c r="E103" s="19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2">
      <c r="A104" s="1"/>
      <c r="B104" s="1"/>
      <c r="C104" s="1"/>
      <c r="D104" s="133"/>
      <c r="E104" s="19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2">
      <c r="A105" s="1"/>
      <c r="B105" s="1"/>
      <c r="C105" s="1"/>
      <c r="D105" s="133"/>
      <c r="E105" s="19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2">
      <c r="A106" s="1"/>
      <c r="B106" s="1"/>
      <c r="C106" s="1"/>
      <c r="D106" s="133"/>
      <c r="E106" s="19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2">
      <c r="A107" s="1"/>
      <c r="B107" s="1"/>
      <c r="C107" s="1"/>
      <c r="D107" s="133"/>
      <c r="E107" s="19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2">
      <c r="A108" s="1"/>
      <c r="B108" s="1"/>
      <c r="C108" s="1"/>
      <c r="D108" s="133"/>
      <c r="E108" s="19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2">
      <c r="A109" s="1"/>
      <c r="B109" s="1"/>
      <c r="C109" s="1"/>
      <c r="D109" s="133"/>
      <c r="E109" s="19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2">
      <c r="A110" s="1"/>
      <c r="B110" s="1"/>
      <c r="C110" s="1"/>
      <c r="D110" s="133"/>
      <c r="E110" s="19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2">
      <c r="A111" s="1"/>
      <c r="B111" s="1"/>
      <c r="C111" s="1"/>
      <c r="D111" s="133"/>
      <c r="E111" s="19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2">
      <c r="A112" s="1"/>
      <c r="B112" s="1"/>
      <c r="C112" s="1"/>
      <c r="D112" s="133"/>
      <c r="E112" s="19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2">
      <c r="A113" s="1"/>
      <c r="B113" s="1"/>
      <c r="C113" s="1"/>
      <c r="D113" s="133"/>
      <c r="E113" s="19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2">
      <c r="A114" s="1"/>
      <c r="B114" s="1"/>
      <c r="C114" s="1"/>
      <c r="D114" s="133"/>
      <c r="E114" s="19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">
      <c r="A115" s="1"/>
      <c r="B115" s="1"/>
      <c r="C115" s="1"/>
      <c r="D115" s="133"/>
      <c r="E115" s="19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">
      <c r="A116" s="1"/>
      <c r="B116" s="1"/>
      <c r="C116" s="1"/>
      <c r="D116" s="133"/>
      <c r="E116" s="19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">
      <c r="A117" s="1"/>
      <c r="B117" s="1"/>
      <c r="C117" s="1"/>
      <c r="D117" s="133"/>
      <c r="E117" s="19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">
      <c r="A118" s="1"/>
      <c r="B118" s="1"/>
      <c r="C118" s="1"/>
      <c r="D118" s="133"/>
      <c r="E118" s="19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">
      <c r="A119" s="1"/>
      <c r="B119" s="1"/>
      <c r="C119" s="1"/>
      <c r="D119" s="133"/>
      <c r="E119" s="19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">
      <c r="A120" s="1"/>
      <c r="B120" s="1"/>
      <c r="C120" s="1"/>
      <c r="D120" s="133"/>
      <c r="E120" s="19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">
      <c r="A121" s="1"/>
      <c r="B121" s="1"/>
      <c r="C121" s="1"/>
      <c r="D121" s="133"/>
      <c r="E121" s="19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">
      <c r="A122" s="1"/>
      <c r="B122" s="1"/>
      <c r="C122" s="1"/>
      <c r="D122" s="133"/>
      <c r="E122" s="19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">
      <c r="A123" s="1"/>
      <c r="B123" s="1"/>
      <c r="C123" s="1"/>
      <c r="D123" s="133"/>
      <c r="E123" s="19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">
      <c r="A124" s="1"/>
      <c r="B124" s="1"/>
      <c r="C124" s="1"/>
      <c r="D124" s="133"/>
      <c r="E124" s="19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"/>
      <c r="D125" s="133"/>
      <c r="E125" s="19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"/>
      <c r="D126" s="133"/>
      <c r="E126" s="19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"/>
      <c r="D127" s="133"/>
      <c r="E127" s="19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"/>
      <c r="D128" s="133"/>
      <c r="E128" s="19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"/>
      <c r="D129" s="133"/>
      <c r="E129" s="19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"/>
      <c r="D130" s="133"/>
      <c r="E130" s="19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"/>
      <c r="D131" s="133"/>
      <c r="E131" s="19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"/>
      <c r="D132" s="133"/>
      <c r="E132" s="19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"/>
      <c r="D133" s="133"/>
      <c r="E133" s="19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"/>
      <c r="D134" s="133"/>
      <c r="E134" s="19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"/>
      <c r="D135" s="133"/>
      <c r="E135" s="19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"/>
      <c r="D136" s="133"/>
      <c r="E136" s="19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"/>
      <c r="D137" s="133"/>
      <c r="E137" s="19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"/>
      <c r="D138" s="133"/>
      <c r="E138" s="19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"/>
      <c r="D139" s="133"/>
      <c r="E139" s="19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"/>
      <c r="D140" s="133"/>
      <c r="E140" s="19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"/>
      <c r="D141" s="133"/>
      <c r="E141" s="19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"/>
      <c r="D142" s="133"/>
      <c r="E142" s="19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"/>
      <c r="D143" s="133"/>
      <c r="E143" s="19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"/>
      <c r="D144" s="133"/>
      <c r="E144" s="19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"/>
      <c r="D145" s="133"/>
      <c r="E145" s="19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"/>
      <c r="D146" s="133"/>
      <c r="E146" s="19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"/>
      <c r="D147" s="133"/>
      <c r="E147" s="19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"/>
      <c r="D148" s="133"/>
      <c r="E148" s="19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"/>
      <c r="D149" s="133"/>
      <c r="E149" s="19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"/>
      <c r="D150" s="133"/>
      <c r="E150" s="19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"/>
      <c r="D151" s="133"/>
      <c r="E151" s="19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"/>
      <c r="D152" s="133"/>
      <c r="E152" s="19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"/>
      <c r="D153" s="133"/>
      <c r="E153" s="19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"/>
      <c r="D154" s="133"/>
      <c r="E154" s="19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"/>
      <c r="D155" s="133"/>
      <c r="E155" s="19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"/>
      <c r="D156" s="133"/>
      <c r="E156" s="19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"/>
      <c r="D157" s="133"/>
      <c r="E157" s="19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"/>
      <c r="D158" s="133"/>
      <c r="E158" s="19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"/>
      <c r="D159" s="133"/>
      <c r="E159" s="19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"/>
      <c r="D160" s="133"/>
      <c r="E160" s="19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"/>
      <c r="D161" s="133"/>
      <c r="E161" s="19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"/>
      <c r="D162" s="133"/>
      <c r="E162" s="19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"/>
      <c r="D163" s="133"/>
      <c r="E163" s="19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"/>
      <c r="D164" s="133"/>
      <c r="E164" s="19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"/>
      <c r="D165" s="133"/>
      <c r="E165" s="19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"/>
      <c r="D166" s="133"/>
      <c r="E166" s="19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"/>
      <c r="D167" s="133"/>
      <c r="E167" s="19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"/>
      <c r="D168" s="133"/>
      <c r="E168" s="19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"/>
      <c r="D169" s="133"/>
      <c r="E169" s="19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"/>
      <c r="D170" s="133"/>
      <c r="E170" s="19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"/>
      <c r="D171" s="133"/>
      <c r="E171" s="19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"/>
      <c r="D172" s="133"/>
      <c r="E172" s="19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"/>
      <c r="D173" s="133"/>
      <c r="E173" s="19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"/>
      <c r="D174" s="133"/>
      <c r="E174" s="19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"/>
      <c r="D175" s="133"/>
      <c r="E175" s="19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"/>
      <c r="D176" s="133"/>
      <c r="E176" s="19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"/>
      <c r="D177" s="133"/>
      <c r="E177" s="19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"/>
      <c r="D178" s="133"/>
      <c r="E178" s="19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"/>
      <c r="D179" s="133"/>
      <c r="E179" s="19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"/>
      <c r="D180" s="133"/>
      <c r="E180" s="19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"/>
      <c r="D181" s="133"/>
      <c r="E181" s="19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"/>
      <c r="D182" s="133"/>
      <c r="E182" s="19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"/>
      <c r="D183" s="133"/>
      <c r="E183" s="19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"/>
      <c r="D184" s="133"/>
      <c r="E184" s="19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"/>
      <c r="D185" s="133"/>
      <c r="E185" s="19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"/>
      <c r="D186" s="133"/>
      <c r="E186" s="19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"/>
      <c r="D187" s="133"/>
      <c r="E187" s="19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"/>
      <c r="D188" s="133"/>
      <c r="E188" s="19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"/>
      <c r="D189" s="133"/>
      <c r="E189" s="19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"/>
      <c r="D190" s="133"/>
      <c r="E190" s="19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"/>
      <c r="D191" s="133"/>
      <c r="E191" s="19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"/>
      <c r="D192" s="133"/>
      <c r="E192" s="19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"/>
      <c r="D193" s="133"/>
      <c r="E193" s="19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"/>
      <c r="D194" s="133"/>
      <c r="E194" s="19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"/>
      <c r="D195" s="133"/>
      <c r="E195" s="19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"/>
      <c r="D196" s="133"/>
      <c r="E196" s="19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"/>
      <c r="D197" s="133"/>
      <c r="E197" s="19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"/>
      <c r="D198" s="133"/>
      <c r="E198" s="19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"/>
      <c r="D199" s="133"/>
      <c r="E199" s="19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"/>
      <c r="D200" s="133"/>
      <c r="E200" s="19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"/>
      <c r="D201" s="133"/>
      <c r="E201" s="19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"/>
      <c r="D202" s="133"/>
      <c r="E202" s="19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"/>
      <c r="D203" s="133"/>
      <c r="E203" s="19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"/>
      <c r="D204" s="133"/>
      <c r="E204" s="19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"/>
      <c r="D205" s="133"/>
      <c r="E205" s="19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"/>
      <c r="D206" s="133"/>
      <c r="E206" s="19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"/>
      <c r="D207" s="133"/>
      <c r="E207" s="19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"/>
      <c r="D208" s="133"/>
      <c r="E208" s="19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"/>
      <c r="D209" s="133"/>
      <c r="E209" s="19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"/>
      <c r="D210" s="133"/>
      <c r="E210" s="19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"/>
      <c r="D211" s="133"/>
      <c r="E211" s="19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"/>
      <c r="D212" s="133"/>
      <c r="E212" s="19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"/>
      <c r="D213" s="133"/>
      <c r="E213" s="19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"/>
      <c r="D214" s="133"/>
      <c r="E214" s="19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"/>
      <c r="D215" s="133"/>
      <c r="E215" s="19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"/>
      <c r="D216" s="133"/>
      <c r="E216" s="19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"/>
      <c r="D217" s="133"/>
      <c r="E217" s="19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"/>
      <c r="D218" s="133"/>
      <c r="E218" s="19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"/>
      <c r="D219" s="133"/>
      <c r="E219" s="19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"/>
      <c r="D220" s="133"/>
      <c r="E220" s="19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"/>
      <c r="D221" s="133"/>
      <c r="E221" s="19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"/>
      <c r="D222" s="133"/>
      <c r="E222" s="19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"/>
      <c r="D223" s="133"/>
      <c r="E223" s="19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"/>
      <c r="D224" s="133"/>
      <c r="E224" s="19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"/>
      <c r="D225" s="133"/>
      <c r="E225" s="19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"/>
      <c r="D226" s="133"/>
      <c r="E226" s="19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"/>
      <c r="D227" s="133"/>
      <c r="E227" s="19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"/>
      <c r="D228" s="133"/>
      <c r="E228" s="19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"/>
      <c r="D229" s="133"/>
      <c r="E229" s="19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"/>
      <c r="D230" s="133"/>
      <c r="E230" s="19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"/>
      <c r="D231" s="133"/>
      <c r="E231" s="19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"/>
      <c r="D232" s="133"/>
      <c r="E232" s="19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"/>
      <c r="D233" s="133"/>
      <c r="E233" s="19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"/>
      <c r="D234" s="133"/>
      <c r="E234" s="19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"/>
      <c r="D235" s="133"/>
      <c r="E235" s="19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"/>
      <c r="D236" s="133"/>
      <c r="E236" s="19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"/>
      <c r="D237" s="133"/>
      <c r="E237" s="19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"/>
      <c r="D238" s="133"/>
      <c r="E238" s="19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"/>
      <c r="D239" s="133"/>
      <c r="E239" s="19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3">
    <mergeCell ref="B1:D1"/>
    <mergeCell ref="B2:D2"/>
    <mergeCell ref="B3:D3"/>
  </mergeCells>
  <pageMargins left="0.51181102362204722" right="0.11811023622047245" top="0.15748031496062992" bottom="0.15748031496062992" header="0" footer="0"/>
  <pageSetup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51"/>
  <sheetViews>
    <sheetView tabSelected="1" topLeftCell="A6" zoomScale="70" zoomScaleNormal="70" workbookViewId="0">
      <selection activeCell="C46" sqref="C46"/>
    </sheetView>
  </sheetViews>
  <sheetFormatPr baseColWidth="10" defaultColWidth="12.625" defaultRowHeight="15" customHeight="1" x14ac:dyDescent="0.2"/>
  <cols>
    <col min="1" max="1" width="2.75" customWidth="1"/>
    <col min="2" max="2" width="7.125" customWidth="1"/>
    <col min="3" max="3" width="59.875" style="309" customWidth="1"/>
    <col min="4" max="4" width="16.75" style="186" customWidth="1"/>
    <col min="5" max="5" width="18" style="286" customWidth="1"/>
    <col min="6" max="6" width="13" style="132" customWidth="1"/>
    <col min="7" max="7" width="12" customWidth="1"/>
    <col min="8" max="8" width="16.625" customWidth="1"/>
    <col min="9" max="9" width="16.25" customWidth="1"/>
    <col min="10" max="10" width="17.75" customWidth="1"/>
    <col min="11" max="11" width="22" customWidth="1"/>
    <col min="12" max="12" width="14.5" customWidth="1"/>
    <col min="13" max="13" width="15" customWidth="1"/>
    <col min="14" max="14" width="14.625" customWidth="1"/>
    <col min="15" max="15" width="36.875" customWidth="1"/>
    <col min="16" max="16" width="2" customWidth="1"/>
    <col min="17" max="18" width="10" customWidth="1"/>
    <col min="19" max="19" width="11.75" customWidth="1"/>
    <col min="20" max="33" width="10" customWidth="1"/>
  </cols>
  <sheetData>
    <row r="1" spans="1:33" ht="12.75" customHeight="1" x14ac:dyDescent="0.3">
      <c r="A1" s="1"/>
      <c r="B1" s="326" t="s">
        <v>0</v>
      </c>
      <c r="C1" s="327"/>
      <c r="D1" s="327"/>
      <c r="E1" s="327"/>
      <c r="F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6.25" customHeight="1" x14ac:dyDescent="0.3">
      <c r="A2" s="1"/>
      <c r="B2" s="326" t="s">
        <v>1</v>
      </c>
      <c r="C2" s="327"/>
      <c r="D2" s="327"/>
      <c r="E2" s="327"/>
      <c r="F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0.25" customHeight="1" x14ac:dyDescent="0.2">
      <c r="A3" s="1"/>
      <c r="B3" s="328" t="s">
        <v>178</v>
      </c>
      <c r="C3" s="327"/>
      <c r="D3" s="327"/>
      <c r="E3" s="327"/>
      <c r="F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8.5" customHeight="1" x14ac:dyDescent="0.2">
      <c r="B4" s="32" t="s">
        <v>45</v>
      </c>
      <c r="C4" s="334" t="s">
        <v>5</v>
      </c>
      <c r="D4" s="260" t="s">
        <v>8</v>
      </c>
      <c r="E4" s="277" t="s">
        <v>46</v>
      </c>
      <c r="F4" s="276" t="s">
        <v>65</v>
      </c>
      <c r="G4" s="276" t="s">
        <v>7</v>
      </c>
      <c r="H4" s="276" t="s">
        <v>11</v>
      </c>
      <c r="I4" s="276" t="s">
        <v>12</v>
      </c>
      <c r="J4" s="276" t="s">
        <v>13</v>
      </c>
      <c r="K4" s="276" t="s">
        <v>14</v>
      </c>
      <c r="L4" s="260" t="s">
        <v>179</v>
      </c>
      <c r="M4" s="260" t="s">
        <v>15</v>
      </c>
      <c r="N4" s="260" t="s">
        <v>16</v>
      </c>
      <c r="O4" s="260" t="s">
        <v>17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24.75" customHeight="1" x14ac:dyDescent="0.2">
      <c r="B5" s="265">
        <v>1</v>
      </c>
      <c r="C5" s="336" t="s">
        <v>185</v>
      </c>
      <c r="D5" s="288">
        <f>SUM(D6:D9)</f>
        <v>0</v>
      </c>
      <c r="E5" s="279">
        <f>SUM(E6:E9)</f>
        <v>0</v>
      </c>
      <c r="F5" s="272">
        <f>SUM(F6:F9)</f>
        <v>0</v>
      </c>
      <c r="G5" s="336" t="s">
        <v>185</v>
      </c>
      <c r="H5" s="279">
        <f>SUM(H6:H9)</f>
        <v>0</v>
      </c>
      <c r="I5" s="279">
        <f>SUM(I6:I9)</f>
        <v>0</v>
      </c>
      <c r="J5" s="279">
        <f>SUM(J6:J9)</f>
        <v>0</v>
      </c>
      <c r="K5" s="273">
        <f>H5+I5+J5</f>
        <v>0</v>
      </c>
      <c r="L5" s="273"/>
      <c r="M5" s="273"/>
      <c r="N5" s="273"/>
      <c r="O5" s="27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" customHeight="1" x14ac:dyDescent="0.2">
      <c r="A6" s="36"/>
      <c r="B6" s="37">
        <v>1.1000000000000001</v>
      </c>
      <c r="C6" s="335" t="s">
        <v>185</v>
      </c>
      <c r="D6" s="335" t="s">
        <v>185</v>
      </c>
      <c r="E6" s="335" t="s">
        <v>185</v>
      </c>
      <c r="F6" s="335" t="s">
        <v>185</v>
      </c>
      <c r="G6" s="335" t="s">
        <v>185</v>
      </c>
      <c r="H6" s="335" t="s">
        <v>185</v>
      </c>
      <c r="I6" s="335" t="s">
        <v>185</v>
      </c>
      <c r="J6" s="335" t="s">
        <v>185</v>
      </c>
      <c r="K6" s="335" t="s">
        <v>185</v>
      </c>
      <c r="L6" s="335" t="s">
        <v>185</v>
      </c>
      <c r="M6" s="335" t="s">
        <v>185</v>
      </c>
      <c r="N6" s="335" t="s">
        <v>185</v>
      </c>
      <c r="O6" s="335" t="s">
        <v>185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51.75" customHeight="1" x14ac:dyDescent="0.2">
      <c r="A7" s="15"/>
      <c r="B7" s="37">
        <v>1.2</v>
      </c>
      <c r="C7" s="335" t="s">
        <v>185</v>
      </c>
      <c r="D7" s="335" t="s">
        <v>185</v>
      </c>
      <c r="E7" s="335" t="s">
        <v>185</v>
      </c>
      <c r="F7" s="335" t="s">
        <v>185</v>
      </c>
      <c r="G7" s="335" t="s">
        <v>185</v>
      </c>
      <c r="H7" s="335" t="s">
        <v>185</v>
      </c>
      <c r="I7" s="335" t="s">
        <v>185</v>
      </c>
      <c r="J7" s="335" t="s">
        <v>185</v>
      </c>
      <c r="K7" s="335" t="s">
        <v>185</v>
      </c>
      <c r="L7" s="335" t="s">
        <v>185</v>
      </c>
      <c r="M7" s="335" t="s">
        <v>185</v>
      </c>
      <c r="N7" s="335" t="s">
        <v>185</v>
      </c>
      <c r="O7" s="335" t="s">
        <v>185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75" customHeight="1" x14ac:dyDescent="0.2">
      <c r="A8" s="15"/>
      <c r="B8" s="37">
        <v>1.3</v>
      </c>
      <c r="C8" s="335" t="s">
        <v>185</v>
      </c>
      <c r="D8" s="335" t="s">
        <v>185</v>
      </c>
      <c r="E8" s="335" t="s">
        <v>185</v>
      </c>
      <c r="F8" s="335" t="s">
        <v>185</v>
      </c>
      <c r="G8" s="335" t="s">
        <v>185</v>
      </c>
      <c r="H8" s="335" t="s">
        <v>185</v>
      </c>
      <c r="I8" s="335" t="s">
        <v>185</v>
      </c>
      <c r="J8" s="335" t="s">
        <v>185</v>
      </c>
      <c r="K8" s="335" t="s">
        <v>185</v>
      </c>
      <c r="L8" s="335" t="s">
        <v>185</v>
      </c>
      <c r="M8" s="335" t="s">
        <v>185</v>
      </c>
      <c r="N8" s="335" t="s">
        <v>185</v>
      </c>
      <c r="O8" s="335" t="s">
        <v>185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35.25" customHeight="1" x14ac:dyDescent="0.2">
      <c r="A9" s="15"/>
      <c r="B9" s="37">
        <v>1.4</v>
      </c>
      <c r="C9" s="335" t="s">
        <v>185</v>
      </c>
      <c r="D9" s="335" t="s">
        <v>185</v>
      </c>
      <c r="E9" s="335" t="s">
        <v>185</v>
      </c>
      <c r="F9" s="335" t="s">
        <v>185</v>
      </c>
      <c r="G9" s="335" t="s">
        <v>185</v>
      </c>
      <c r="H9" s="335" t="s">
        <v>185</v>
      </c>
      <c r="I9" s="335" t="s">
        <v>185</v>
      </c>
      <c r="J9" s="335" t="s">
        <v>185</v>
      </c>
      <c r="K9" s="335" t="s">
        <v>185</v>
      </c>
      <c r="L9" s="335" t="s">
        <v>185</v>
      </c>
      <c r="M9" s="335" t="s">
        <v>185</v>
      </c>
      <c r="N9" s="335" t="s">
        <v>185</v>
      </c>
      <c r="O9" s="335" t="s">
        <v>185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39" customHeight="1" x14ac:dyDescent="0.2">
      <c r="B10" s="265">
        <v>2</v>
      </c>
      <c r="C10" s="336" t="s">
        <v>185</v>
      </c>
      <c r="D10" s="288">
        <f>SUM(D11:D20)</f>
        <v>0</v>
      </c>
      <c r="E10" s="279">
        <f>SUM(E11:E20)</f>
        <v>0</v>
      </c>
      <c r="F10" s="278">
        <f>SUM(F11:F20)</f>
        <v>0</v>
      </c>
      <c r="G10" s="293" t="s">
        <v>177</v>
      </c>
      <c r="H10" s="353">
        <f>SUM(H11:H20)</f>
        <v>0</v>
      </c>
      <c r="I10" s="353">
        <f t="shared" ref="I10:J10" si="0">SUM(I11:I20)</f>
        <v>0</v>
      </c>
      <c r="J10" s="353">
        <f t="shared" si="0"/>
        <v>0</v>
      </c>
      <c r="K10" s="273">
        <f t="shared" ref="K10:K30" si="1">H10+I10+J10</f>
        <v>0</v>
      </c>
      <c r="L10" s="266"/>
      <c r="M10" s="266"/>
      <c r="N10" s="266"/>
      <c r="O10" s="266"/>
      <c r="P10" s="1"/>
      <c r="Q10" s="1"/>
      <c r="R10" s="1"/>
      <c r="S10" s="1"/>
      <c r="T10" s="35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39" customHeight="1" x14ac:dyDescent="0.2">
      <c r="A11" s="36"/>
      <c r="B11" s="37">
        <v>2.1</v>
      </c>
      <c r="C11" s="303"/>
      <c r="D11" s="275"/>
      <c r="E11" s="281"/>
      <c r="F11" s="257"/>
      <c r="G11" s="261"/>
      <c r="H11" s="261"/>
      <c r="I11" s="262"/>
      <c r="J11" s="262"/>
      <c r="K11" s="261"/>
      <c r="L11" s="261"/>
      <c r="M11" s="310"/>
      <c r="N11" s="258"/>
      <c r="O11" s="258"/>
      <c r="P11" s="1"/>
      <c r="Q11" s="1"/>
      <c r="R11" s="1"/>
      <c r="S11" s="1"/>
      <c r="T11" s="3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39" customHeight="1" x14ac:dyDescent="0.2">
      <c r="A12" s="36"/>
      <c r="B12" s="37">
        <v>2.2000000000000002</v>
      </c>
      <c r="C12" s="303"/>
      <c r="D12" s="275"/>
      <c r="E12" s="282"/>
      <c r="F12" s="257"/>
      <c r="G12" s="261"/>
      <c r="H12" s="261"/>
      <c r="I12" s="264"/>
      <c r="J12" s="264"/>
      <c r="K12" s="261"/>
      <c r="L12" s="261"/>
      <c r="M12" s="310"/>
      <c r="N12" s="258"/>
      <c r="O12" s="258"/>
      <c r="P12" s="1"/>
      <c r="Q12" s="1"/>
      <c r="R12" s="1"/>
      <c r="S12" s="1"/>
      <c r="T12" s="3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39" customHeight="1" x14ac:dyDescent="0.2">
      <c r="A13" s="36"/>
      <c r="B13" s="37">
        <v>2.2999999999999998</v>
      </c>
      <c r="C13" s="303"/>
      <c r="D13" s="275"/>
      <c r="E13" s="283"/>
      <c r="F13" s="257"/>
      <c r="G13" s="261"/>
      <c r="H13" s="261"/>
      <c r="I13" s="264"/>
      <c r="J13" s="264"/>
      <c r="K13" s="261"/>
      <c r="L13" s="261"/>
      <c r="M13" s="310"/>
      <c r="N13" s="258"/>
      <c r="O13" s="258"/>
      <c r="P13" s="1"/>
      <c r="Q13" s="1"/>
      <c r="R13" s="1"/>
      <c r="S13" s="1"/>
      <c r="T13" s="3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39" customHeight="1" x14ac:dyDescent="0.2">
      <c r="A14" s="36"/>
      <c r="B14" s="37">
        <v>2.4</v>
      </c>
      <c r="C14" s="303"/>
      <c r="D14" s="275"/>
      <c r="E14" s="283"/>
      <c r="F14" s="257"/>
      <c r="G14" s="261"/>
      <c r="H14" s="261"/>
      <c r="I14" s="262"/>
      <c r="J14" s="262"/>
      <c r="K14" s="261"/>
      <c r="L14" s="261"/>
      <c r="M14" s="310"/>
      <c r="N14" s="258"/>
      <c r="O14" s="258"/>
      <c r="P14" s="1"/>
      <c r="Q14" s="1"/>
      <c r="R14" s="1"/>
      <c r="S14" s="1"/>
      <c r="T14" s="3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39" customHeight="1" x14ac:dyDescent="0.2">
      <c r="A15" s="36"/>
      <c r="B15" s="37">
        <v>2.5</v>
      </c>
      <c r="C15" s="303"/>
      <c r="D15" s="275"/>
      <c r="E15" s="283"/>
      <c r="F15" s="257"/>
      <c r="G15" s="261"/>
      <c r="H15" s="261"/>
      <c r="I15" s="262"/>
      <c r="J15" s="262"/>
      <c r="K15" s="261"/>
      <c r="L15" s="261"/>
      <c r="M15" s="310"/>
      <c r="N15" s="258"/>
      <c r="O15" s="258"/>
      <c r="P15" s="1"/>
      <c r="Q15" s="1"/>
      <c r="R15" s="1"/>
      <c r="S15" s="1"/>
      <c r="T15" s="3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39" customHeight="1" x14ac:dyDescent="0.2">
      <c r="A16" s="36"/>
      <c r="B16" s="37">
        <v>2.6</v>
      </c>
      <c r="C16" s="303"/>
      <c r="D16" s="275"/>
      <c r="E16" s="280"/>
      <c r="F16" s="257"/>
      <c r="G16" s="261"/>
      <c r="H16" s="261"/>
      <c r="I16" s="263"/>
      <c r="J16" s="263"/>
      <c r="K16" s="261"/>
      <c r="L16" s="261"/>
      <c r="M16" s="310"/>
      <c r="N16" s="258"/>
      <c r="O16" s="258"/>
      <c r="P16" s="1"/>
      <c r="Q16" s="1"/>
      <c r="R16" s="1"/>
      <c r="S16" s="1"/>
      <c r="T16" s="3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9" customHeight="1" x14ac:dyDescent="0.2">
      <c r="A17" s="36"/>
      <c r="B17" s="37">
        <v>2.7</v>
      </c>
      <c r="C17" s="303"/>
      <c r="D17" s="275"/>
      <c r="E17" s="280"/>
      <c r="F17" s="257"/>
      <c r="G17" s="261"/>
      <c r="H17" s="261"/>
      <c r="I17" s="262"/>
      <c r="J17" s="262"/>
      <c r="K17" s="261"/>
      <c r="L17" s="261"/>
      <c r="M17" s="310"/>
      <c r="N17" s="258"/>
      <c r="O17" s="258"/>
      <c r="P17" s="1"/>
      <c r="Q17" s="1"/>
      <c r="R17" s="1"/>
      <c r="S17" s="1"/>
      <c r="T17" s="35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39" customHeight="1" x14ac:dyDescent="0.2">
      <c r="A18" s="36"/>
      <c r="B18" s="37">
        <v>2.8</v>
      </c>
      <c r="C18" s="303"/>
      <c r="D18" s="275"/>
      <c r="E18" s="280"/>
      <c r="F18" s="257"/>
      <c r="G18" s="261"/>
      <c r="H18" s="261"/>
      <c r="I18" s="262"/>
      <c r="J18" s="262"/>
      <c r="K18" s="261"/>
      <c r="L18" s="261"/>
      <c r="M18" s="310"/>
      <c r="N18" s="258"/>
      <c r="O18" s="258"/>
      <c r="P18" s="1"/>
      <c r="Q18" s="1"/>
      <c r="R18" s="1"/>
      <c r="S18" s="1"/>
      <c r="T18" s="35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55.5" customHeight="1" x14ac:dyDescent="0.2">
      <c r="A19" s="36"/>
      <c r="B19" s="37">
        <v>2.9</v>
      </c>
      <c r="C19" s="303"/>
      <c r="D19" s="275"/>
      <c r="E19" s="280"/>
      <c r="F19" s="259"/>
      <c r="G19" s="261"/>
      <c r="H19" s="261"/>
      <c r="I19" s="262"/>
      <c r="J19" s="262"/>
      <c r="K19" s="261"/>
      <c r="L19" s="261"/>
      <c r="M19" s="310"/>
      <c r="N19" s="258"/>
      <c r="O19" s="258"/>
      <c r="P19" s="1"/>
      <c r="Q19" s="1"/>
      <c r="R19" s="1"/>
      <c r="S19" s="1"/>
      <c r="T19" s="35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39" customHeight="1" x14ac:dyDescent="0.2">
      <c r="A20" s="36"/>
      <c r="B20" s="274">
        <v>2.1</v>
      </c>
      <c r="C20" s="303"/>
      <c r="D20" s="275"/>
      <c r="E20" s="284"/>
      <c r="F20" s="257"/>
      <c r="G20" s="261"/>
      <c r="H20" s="261"/>
      <c r="I20" s="262"/>
      <c r="J20" s="262"/>
      <c r="K20" s="261"/>
      <c r="L20" s="261"/>
      <c r="M20" s="310"/>
      <c r="N20" s="258"/>
      <c r="O20" s="258"/>
      <c r="P20" s="1"/>
      <c r="Q20" s="1"/>
      <c r="R20" s="1"/>
      <c r="S20" s="1"/>
      <c r="T20" s="35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50.1" customHeight="1" x14ac:dyDescent="0.2">
      <c r="A21" s="36"/>
      <c r="B21" s="267">
        <v>3</v>
      </c>
      <c r="C21" s="304"/>
      <c r="D21" s="289"/>
      <c r="E21" s="279"/>
      <c r="F21" s="278"/>
      <c r="G21" s="269"/>
      <c r="H21" s="273"/>
      <c r="I21" s="268"/>
      <c r="J21" s="268"/>
      <c r="K21" s="273"/>
      <c r="L21" s="268"/>
      <c r="M21" s="268"/>
      <c r="N21" s="268"/>
      <c r="O21" s="268"/>
      <c r="P21" s="43"/>
      <c r="Q21" s="42"/>
      <c r="R21" s="4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9" customHeight="1" x14ac:dyDescent="0.2">
      <c r="B22" s="265">
        <v>4</v>
      </c>
      <c r="C22" s="304"/>
      <c r="D22" s="289"/>
      <c r="E22" s="285"/>
      <c r="F22" s="278"/>
      <c r="G22" s="269"/>
      <c r="H22" s="273"/>
      <c r="I22" s="269"/>
      <c r="J22" s="269"/>
      <c r="K22" s="273"/>
      <c r="L22" s="269"/>
      <c r="M22" s="269"/>
      <c r="N22" s="269"/>
      <c r="O22" s="269"/>
      <c r="P22" s="1"/>
      <c r="Q22" s="1"/>
      <c r="R22" s="1"/>
      <c r="S22" s="1"/>
      <c r="T22" s="35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9" customHeight="1" x14ac:dyDescent="0.2">
      <c r="A23" s="36"/>
      <c r="B23" s="265">
        <v>5</v>
      </c>
      <c r="C23" s="304"/>
      <c r="D23" s="289"/>
      <c r="E23" s="285"/>
      <c r="F23" s="278"/>
      <c r="G23" s="269"/>
      <c r="H23" s="273"/>
      <c r="I23" s="269"/>
      <c r="J23" s="269"/>
      <c r="K23" s="273"/>
      <c r="L23" s="269"/>
      <c r="M23" s="269"/>
      <c r="N23" s="269"/>
      <c r="O23" s="269"/>
      <c r="P23" s="1"/>
      <c r="Q23" s="1"/>
      <c r="R23" s="1"/>
      <c r="S23" s="1"/>
      <c r="T23" s="35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29.1" customHeight="1" x14ac:dyDescent="0.2">
      <c r="A24" s="211"/>
      <c r="B24" s="267">
        <v>7</v>
      </c>
      <c r="C24" s="270"/>
      <c r="D24" s="289"/>
      <c r="E24" s="279"/>
      <c r="F24" s="278"/>
      <c r="G24" s="269"/>
      <c r="H24" s="290"/>
      <c r="I24" s="268"/>
      <c r="J24" s="268"/>
      <c r="K24" s="273"/>
      <c r="L24" s="268"/>
      <c r="M24" s="268"/>
      <c r="N24" s="268"/>
      <c r="O24" s="268"/>
      <c r="P24" s="43"/>
      <c r="Q24" s="42"/>
      <c r="R24" s="4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8.450000000000003" customHeight="1" x14ac:dyDescent="0.2">
      <c r="A25" s="1"/>
      <c r="B25" s="267">
        <v>8</v>
      </c>
      <c r="C25" s="305"/>
      <c r="D25" s="289"/>
      <c r="E25" s="279"/>
      <c r="F25" s="278"/>
      <c r="G25" s="269"/>
      <c r="H25" s="290"/>
      <c r="I25" s="271"/>
      <c r="J25" s="271"/>
      <c r="K25" s="273"/>
      <c r="L25" s="271"/>
      <c r="M25" s="271"/>
      <c r="N25" s="271"/>
      <c r="O25" s="27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8.450000000000003" customHeight="1" x14ac:dyDescent="0.2">
      <c r="A26" s="1"/>
      <c r="B26" s="267">
        <v>9</v>
      </c>
      <c r="C26" s="305"/>
      <c r="D26" s="289"/>
      <c r="E26" s="279"/>
      <c r="F26" s="278"/>
      <c r="G26" s="291"/>
      <c r="H26" s="290"/>
      <c r="I26" s="271"/>
      <c r="J26" s="271"/>
      <c r="K26" s="273"/>
      <c r="L26" s="292"/>
      <c r="M26" s="271"/>
      <c r="N26" s="271"/>
      <c r="O26" s="27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8.450000000000003" customHeight="1" x14ac:dyDescent="0.2">
      <c r="A27" s="1"/>
      <c r="B27" s="267">
        <v>10</v>
      </c>
      <c r="C27" s="304"/>
      <c r="D27" s="289"/>
      <c r="E27" s="279"/>
      <c r="F27" s="278"/>
      <c r="G27" s="291"/>
      <c r="H27" s="290"/>
      <c r="I27" s="271"/>
      <c r="J27" s="271"/>
      <c r="K27" s="273"/>
      <c r="L27" s="292"/>
      <c r="M27" s="271"/>
      <c r="N27" s="271"/>
      <c r="O27" s="27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346" customFormat="1" ht="38.450000000000003" customHeight="1" x14ac:dyDescent="0.2">
      <c r="A28" s="337"/>
      <c r="B28" s="338"/>
      <c r="C28" s="339"/>
      <c r="D28" s="340"/>
      <c r="E28" s="297"/>
      <c r="F28" s="341"/>
      <c r="G28" s="342"/>
      <c r="H28" s="343"/>
      <c r="I28" s="344"/>
      <c r="J28" s="344"/>
      <c r="K28" s="343"/>
      <c r="L28" s="345"/>
      <c r="M28" s="344"/>
      <c r="N28" s="344"/>
      <c r="O28" s="344"/>
      <c r="P28" s="337"/>
      <c r="Q28" s="337"/>
      <c r="R28" s="337"/>
      <c r="S28" s="337"/>
      <c r="T28" s="337"/>
      <c r="U28" s="337"/>
      <c r="V28" s="337"/>
      <c r="W28" s="337"/>
      <c r="X28" s="337"/>
      <c r="Y28" s="337"/>
      <c r="Z28" s="337"/>
      <c r="AA28" s="337"/>
      <c r="AB28" s="337"/>
      <c r="AC28" s="337"/>
      <c r="AD28" s="337"/>
      <c r="AE28" s="337"/>
      <c r="AF28" s="337"/>
      <c r="AG28" s="337"/>
    </row>
    <row r="29" spans="1:33" ht="9" customHeight="1" x14ac:dyDescent="0.2">
      <c r="A29" s="1"/>
      <c r="B29" s="296"/>
      <c r="C29" s="306"/>
      <c r="D29" s="299"/>
      <c r="E29" s="297"/>
      <c r="F29" s="298"/>
      <c r="G29" s="300"/>
      <c r="H29" s="210"/>
      <c r="I29" s="125"/>
      <c r="J29" s="125"/>
      <c r="K29" s="210"/>
      <c r="L29" s="30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2.75" customHeight="1" x14ac:dyDescent="0.2">
      <c r="A30" s="1"/>
      <c r="B30" s="258"/>
      <c r="C30" s="307" t="s">
        <v>14</v>
      </c>
      <c r="D30" s="258"/>
      <c r="E30" s="294">
        <f>+E25+E24+E26+E27+E23+E22+E21+E10+E5</f>
        <v>0</v>
      </c>
      <c r="F30" s="295"/>
      <c r="G30" s="258"/>
      <c r="H30" s="294">
        <f>+H25+H24+H26+H27+H23+H22+H21+H10+H5</f>
        <v>0</v>
      </c>
      <c r="I30" s="294">
        <f>+I25+I24+I26+I27+I23+I22+I21+I10+I5</f>
        <v>0</v>
      </c>
      <c r="J30" s="258"/>
      <c r="K30" s="273">
        <f t="shared" si="1"/>
        <v>0</v>
      </c>
      <c r="L30" s="25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2.75" customHeight="1" thickBot="1" x14ac:dyDescent="0.25">
      <c r="A31" s="1"/>
      <c r="B31" s="1"/>
      <c r="C31" s="308"/>
      <c r="D31" s="125"/>
      <c r="E31" s="287"/>
      <c r="F31" s="19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x14ac:dyDescent="0.2">
      <c r="A32" s="1"/>
      <c r="B32" s="1"/>
      <c r="C32" s="308"/>
      <c r="D32" s="125"/>
      <c r="E32" s="287"/>
      <c r="F32" s="195"/>
      <c r="G32" s="22" t="s">
        <v>10</v>
      </c>
      <c r="H32" s="23" t="s">
        <v>11</v>
      </c>
      <c r="I32" s="23" t="s">
        <v>12</v>
      </c>
      <c r="J32" s="23" t="s">
        <v>43</v>
      </c>
      <c r="K32" s="24" t="s">
        <v>14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2.75" customHeight="1" x14ac:dyDescent="0.2">
      <c r="A33" s="1"/>
      <c r="B33" s="1"/>
      <c r="C33" s="308" t="s">
        <v>181</v>
      </c>
      <c r="D33" s="125"/>
      <c r="E33" s="287"/>
      <c r="F33" s="195"/>
      <c r="G33" s="302" t="s">
        <v>29</v>
      </c>
      <c r="H33" s="26">
        <f>SUMIFS(H4:H27,L4:L27,"=PROAGUA")</f>
        <v>0</v>
      </c>
      <c r="I33" s="26">
        <f>SUMIFS(I4:I27,L4:L27,"=PROAGUA")</f>
        <v>0</v>
      </c>
      <c r="J33" s="26">
        <f>SUMIFS(J4:J27,L4:L27,"=PROAGUA")</f>
        <v>0</v>
      </c>
      <c r="K33" s="27">
        <f>SUM(H33:J33)</f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2.75" customHeight="1" x14ac:dyDescent="0.2">
      <c r="A34" s="1"/>
      <c r="B34" s="1"/>
      <c r="C34" s="308"/>
      <c r="D34" s="125"/>
      <c r="E34" s="287"/>
      <c r="F34" s="195"/>
      <c r="G34" s="28" t="s">
        <v>180</v>
      </c>
      <c r="H34" s="26">
        <f>SUMIFS(H4:H27,L4:L27,"=PROSANEAR")</f>
        <v>0</v>
      </c>
      <c r="I34" s="26">
        <f>SUMIFS(I4:I27,L4:L27,"=PROSANEAR")</f>
        <v>0</v>
      </c>
      <c r="J34" s="26">
        <f>SUMIFS(J4:J27,L4:L27,"=PROSANEAR")</f>
        <v>0</v>
      </c>
      <c r="K34" s="27">
        <f>SUM(H34:J34)</f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2.75" customHeight="1" x14ac:dyDescent="0.2">
      <c r="A35" s="1"/>
      <c r="B35" s="1"/>
      <c r="C35" s="308"/>
      <c r="D35" s="125"/>
      <c r="E35" s="287"/>
      <c r="F35" s="195"/>
      <c r="G35" s="28" t="s">
        <v>44</v>
      </c>
      <c r="H35" s="26">
        <f>SUMIFS(H4:H27,L4:L27,"=PRODI")</f>
        <v>0</v>
      </c>
      <c r="I35" s="26">
        <f>SUMIFS(I4:I27,L4:L27,"=PRODI")</f>
        <v>0</v>
      </c>
      <c r="J35" s="26">
        <f>SUMIFS(J4:J27,L4:L27,"=PRODI")</f>
        <v>0</v>
      </c>
      <c r="K35" s="27">
        <f>SUM(H35:J35)</f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2.75" customHeight="1" x14ac:dyDescent="0.2">
      <c r="A36" s="1"/>
      <c r="B36" s="1"/>
      <c r="C36" s="308"/>
      <c r="D36" s="125"/>
      <c r="E36" s="287"/>
      <c r="F36" s="195"/>
      <c r="G36" s="28" t="s">
        <v>19</v>
      </c>
      <c r="H36" s="26">
        <f>SUMIFS(H4:H27,L4:L27,"=PROPIOS")</f>
        <v>0</v>
      </c>
      <c r="I36" s="26">
        <f>SUMIFS(I4:I27,L4:L27,"=PROPIOS")</f>
        <v>0</v>
      </c>
      <c r="J36" s="26">
        <f>SUMIFS(J4:J27,L4:L27,"=PROPIOS")</f>
        <v>0</v>
      </c>
      <c r="K36" s="27">
        <f t="shared" ref="K36:K39" si="2">SUM(H36:J36)</f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2.75" customHeight="1" x14ac:dyDescent="0.2">
      <c r="A37" s="1"/>
      <c r="B37" s="1"/>
      <c r="C37" s="308"/>
      <c r="D37" s="125"/>
      <c r="E37" s="287"/>
      <c r="F37" s="195"/>
      <c r="G37" s="28" t="s">
        <v>182</v>
      </c>
      <c r="H37" s="26">
        <f>SUMIFS(H4:H27,L4:L27,"=PRODDER")</f>
        <v>0</v>
      </c>
      <c r="I37" s="26">
        <f>SUMIFS(I4:I27,L4:L27,"=PRODDER")</f>
        <v>0</v>
      </c>
      <c r="J37" s="26">
        <f>SUMIFS(J4:J27,L4:L27,"=PRODDER")</f>
        <v>0</v>
      </c>
      <c r="K37" s="27">
        <f t="shared" si="2"/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2.75" customHeight="1" x14ac:dyDescent="0.2">
      <c r="A38" s="1"/>
      <c r="B38" s="1"/>
      <c r="C38" s="308"/>
      <c r="D38" s="125"/>
      <c r="E38" s="287"/>
      <c r="F38" s="195"/>
      <c r="G38" s="28" t="s">
        <v>183</v>
      </c>
      <c r="H38" s="26">
        <f>SUMIFS(H4:H27,L4:L27,"=ESTATAL")</f>
        <v>0</v>
      </c>
      <c r="I38" s="26">
        <f>SUMIFS(I4:I27,L4:L27,"=ESTATAL")</f>
        <v>0</v>
      </c>
      <c r="J38" s="26">
        <f>SUMIFS(J4:J27,L4:L27,"=ESTATAL")</f>
        <v>0</v>
      </c>
      <c r="K38" s="27">
        <f t="shared" si="2"/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2.75" customHeight="1" thickBot="1" x14ac:dyDescent="0.25">
      <c r="A39" s="1"/>
      <c r="B39" s="1"/>
      <c r="C39" s="308"/>
      <c r="D39" s="125"/>
      <c r="E39" s="287"/>
      <c r="F39" s="195"/>
      <c r="G39" s="28" t="s">
        <v>184</v>
      </c>
      <c r="H39" s="26">
        <f>SUMIFS(H4:H27,L4:L27,"=MUNICIPAL")</f>
        <v>0</v>
      </c>
      <c r="I39" s="26">
        <f>SUMIFS(I4:I27,L4:L27,"=MUNICIPAL")</f>
        <v>0</v>
      </c>
      <c r="J39" s="26">
        <f>SUMIFS(J4:J27,L4:L27,"=MUNICIPAL")</f>
        <v>0</v>
      </c>
      <c r="K39" s="27">
        <f t="shared" si="2"/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" customHeight="1" thickBot="1" x14ac:dyDescent="0.25">
      <c r="A40" s="1"/>
      <c r="B40" s="1"/>
      <c r="C40" s="308"/>
      <c r="D40" s="125"/>
      <c r="E40" s="287"/>
      <c r="F40" s="195"/>
      <c r="G40" s="29" t="s">
        <v>14</v>
      </c>
      <c r="H40" s="30">
        <f>SUM(H33:H39)</f>
        <v>0</v>
      </c>
      <c r="I40" s="30">
        <f>SUM(I33:I39)</f>
        <v>0</v>
      </c>
      <c r="J40" s="30">
        <f>SUM(J33:J39)</f>
        <v>0</v>
      </c>
      <c r="K40" s="30">
        <f>SUM(K33:K39)</f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2.75" customHeight="1" x14ac:dyDescent="0.2">
      <c r="A41" s="1"/>
      <c r="B41" s="1"/>
      <c r="C41" s="308"/>
      <c r="D41" s="125"/>
      <c r="E41" s="287"/>
      <c r="F41" s="19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0.5" customHeight="1" x14ac:dyDescent="0.2">
      <c r="A42" s="1"/>
      <c r="B42" s="1"/>
      <c r="C42" s="308"/>
      <c r="D42" s="125"/>
      <c r="E42" s="287"/>
      <c r="F42" s="19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2.75" customHeight="1" x14ac:dyDescent="0.2">
      <c r="A43" s="1"/>
      <c r="B43" s="1"/>
      <c r="C43" s="308"/>
      <c r="D43" s="125"/>
      <c r="E43" s="287"/>
      <c r="F43" s="19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x14ac:dyDescent="0.2">
      <c r="A44" s="1"/>
      <c r="B44" s="1"/>
      <c r="C44" s="308"/>
      <c r="D44" s="125"/>
      <c r="E44" s="287"/>
      <c r="F44" s="19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2.75" customHeight="1" x14ac:dyDescent="0.2">
      <c r="A45" s="1"/>
      <c r="B45" s="1"/>
      <c r="C45" s="308"/>
      <c r="D45" s="125"/>
      <c r="E45" s="287"/>
      <c r="F45" s="19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s="352" customFormat="1" ht="28.5" customHeight="1" x14ac:dyDescent="0.2">
      <c r="A46" s="348"/>
      <c r="B46" s="354" t="s">
        <v>208</v>
      </c>
      <c r="C46" s="355" t="s">
        <v>189</v>
      </c>
      <c r="D46" s="356"/>
      <c r="E46" s="357"/>
      <c r="F46" s="358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</row>
    <row r="47" spans="1:33" s="352" customFormat="1" ht="12.75" customHeight="1" x14ac:dyDescent="0.2">
      <c r="A47" s="348"/>
      <c r="B47" s="354" t="s">
        <v>186</v>
      </c>
      <c r="C47" s="359" t="s">
        <v>187</v>
      </c>
      <c r="D47" s="356"/>
      <c r="E47" s="357"/>
      <c r="F47" s="358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48"/>
      <c r="T47" s="348"/>
      <c r="U47" s="348"/>
      <c r="V47" s="348"/>
      <c r="W47" s="348"/>
      <c r="X47" s="348"/>
      <c r="Y47" s="348"/>
      <c r="Z47" s="348"/>
      <c r="AA47" s="348"/>
      <c r="AB47" s="348"/>
      <c r="AC47" s="348"/>
      <c r="AD47" s="348"/>
      <c r="AE47" s="348"/>
      <c r="AF47" s="348"/>
      <c r="AG47" s="348"/>
    </row>
    <row r="48" spans="1:33" s="352" customFormat="1" ht="12.75" customHeight="1" x14ac:dyDescent="0.2">
      <c r="A48" s="348"/>
      <c r="B48" s="354" t="s">
        <v>188</v>
      </c>
      <c r="C48" s="359" t="s">
        <v>193</v>
      </c>
      <c r="D48" s="356"/>
      <c r="E48" s="357"/>
      <c r="F48" s="358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48"/>
      <c r="T48" s="348"/>
      <c r="U48" s="348"/>
      <c r="V48" s="348"/>
      <c r="W48" s="348"/>
      <c r="X48" s="348"/>
      <c r="Y48" s="348"/>
      <c r="Z48" s="348"/>
      <c r="AA48" s="348"/>
      <c r="AB48" s="348"/>
      <c r="AC48" s="348"/>
      <c r="AD48" s="348"/>
      <c r="AE48" s="348"/>
      <c r="AF48" s="348"/>
      <c r="AG48" s="348"/>
    </row>
    <row r="49" spans="1:33" s="352" customFormat="1" ht="12.75" customHeight="1" x14ac:dyDescent="0.2">
      <c r="A49" s="348"/>
      <c r="B49" s="354" t="s">
        <v>190</v>
      </c>
      <c r="C49" s="359" t="s">
        <v>192</v>
      </c>
      <c r="D49" s="356"/>
      <c r="E49" s="357"/>
      <c r="F49" s="358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48"/>
      <c r="T49" s="348"/>
      <c r="U49" s="348"/>
      <c r="V49" s="348"/>
      <c r="W49" s="348"/>
      <c r="X49" s="348"/>
      <c r="Y49" s="348"/>
      <c r="Z49" s="348"/>
      <c r="AA49" s="348"/>
      <c r="AB49" s="348"/>
      <c r="AC49" s="348"/>
      <c r="AD49" s="348"/>
      <c r="AE49" s="348"/>
      <c r="AF49" s="348"/>
      <c r="AG49" s="348"/>
    </row>
    <row r="50" spans="1:33" s="352" customFormat="1" ht="12.75" customHeight="1" x14ac:dyDescent="0.2">
      <c r="A50" s="348"/>
      <c r="B50" s="354" t="s">
        <v>191</v>
      </c>
      <c r="C50" s="359" t="s">
        <v>194</v>
      </c>
      <c r="D50" s="356"/>
      <c r="E50" s="357"/>
      <c r="F50" s="358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48"/>
      <c r="T50" s="348"/>
      <c r="U50" s="348"/>
      <c r="V50" s="348"/>
      <c r="W50" s="348"/>
      <c r="X50" s="348"/>
      <c r="Y50" s="348"/>
      <c r="Z50" s="348"/>
      <c r="AA50" s="348"/>
      <c r="AB50" s="348"/>
      <c r="AC50" s="348"/>
      <c r="AD50" s="348"/>
      <c r="AE50" s="348"/>
      <c r="AF50" s="348"/>
      <c r="AG50" s="348"/>
    </row>
    <row r="51" spans="1:33" s="352" customFormat="1" ht="12.75" customHeight="1" x14ac:dyDescent="0.2">
      <c r="A51" s="348"/>
      <c r="B51" s="354" t="s">
        <v>195</v>
      </c>
      <c r="C51" s="359" t="s">
        <v>196</v>
      </c>
      <c r="D51" s="356"/>
      <c r="E51" s="357"/>
      <c r="F51" s="358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48"/>
      <c r="T51" s="348"/>
      <c r="U51" s="348"/>
      <c r="V51" s="348"/>
      <c r="W51" s="348"/>
      <c r="X51" s="348"/>
      <c r="Y51" s="348"/>
      <c r="Z51" s="348"/>
      <c r="AA51" s="348"/>
      <c r="AB51" s="348"/>
      <c r="AC51" s="348"/>
      <c r="AD51" s="348"/>
      <c r="AE51" s="348"/>
      <c r="AF51" s="348"/>
      <c r="AG51" s="348"/>
    </row>
    <row r="52" spans="1:33" s="352" customFormat="1" ht="12.75" customHeight="1" x14ac:dyDescent="0.2">
      <c r="A52" s="348"/>
      <c r="B52" s="354" t="s">
        <v>197</v>
      </c>
      <c r="C52" s="359" t="s">
        <v>198</v>
      </c>
      <c r="D52" s="356"/>
      <c r="E52" s="357"/>
      <c r="F52" s="358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48"/>
      <c r="T52" s="348"/>
      <c r="U52" s="348"/>
      <c r="V52" s="348"/>
      <c r="W52" s="348"/>
      <c r="X52" s="348"/>
      <c r="Y52" s="348"/>
      <c r="Z52" s="348"/>
      <c r="AA52" s="348"/>
      <c r="AB52" s="348"/>
      <c r="AC52" s="348"/>
      <c r="AD52" s="348"/>
      <c r="AE52" s="348"/>
      <c r="AF52" s="348"/>
      <c r="AG52" s="348"/>
    </row>
    <row r="53" spans="1:33" s="352" customFormat="1" ht="12.75" customHeight="1" x14ac:dyDescent="0.2">
      <c r="A53" s="348"/>
      <c r="B53" s="354" t="s">
        <v>199</v>
      </c>
      <c r="C53" s="359" t="s">
        <v>200</v>
      </c>
      <c r="D53" s="356"/>
      <c r="E53" s="357"/>
      <c r="F53" s="358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48"/>
      <c r="T53" s="348"/>
      <c r="U53" s="348"/>
      <c r="V53" s="348"/>
      <c r="W53" s="348"/>
      <c r="X53" s="348"/>
      <c r="Y53" s="348"/>
      <c r="Z53" s="348"/>
      <c r="AA53" s="348"/>
      <c r="AB53" s="348"/>
      <c r="AC53" s="348"/>
      <c r="AD53" s="348"/>
      <c r="AE53" s="348"/>
      <c r="AF53" s="348"/>
      <c r="AG53" s="348"/>
    </row>
    <row r="54" spans="1:33" s="352" customFormat="1" ht="12.75" customHeight="1" x14ac:dyDescent="0.2">
      <c r="A54" s="348"/>
      <c r="B54" s="354" t="s">
        <v>201</v>
      </c>
      <c r="C54" s="359" t="s">
        <v>202</v>
      </c>
      <c r="D54" s="356"/>
      <c r="E54" s="357"/>
      <c r="F54" s="358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48"/>
      <c r="T54" s="348"/>
      <c r="U54" s="348"/>
      <c r="V54" s="348"/>
      <c r="W54" s="348"/>
      <c r="X54" s="348"/>
      <c r="Y54" s="348"/>
      <c r="Z54" s="348"/>
      <c r="AA54" s="348"/>
      <c r="AB54" s="348"/>
      <c r="AC54" s="348"/>
      <c r="AD54" s="348"/>
      <c r="AE54" s="348"/>
      <c r="AF54" s="348"/>
      <c r="AG54" s="348"/>
    </row>
    <row r="55" spans="1:33" s="352" customFormat="1" ht="12.75" customHeight="1" x14ac:dyDescent="0.2">
      <c r="A55" s="348"/>
      <c r="B55" s="354" t="s">
        <v>203</v>
      </c>
      <c r="C55" s="359" t="s">
        <v>204</v>
      </c>
      <c r="D55" s="356"/>
      <c r="E55" s="357"/>
      <c r="F55" s="358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48"/>
      <c r="T55" s="348"/>
      <c r="U55" s="348"/>
      <c r="V55" s="348"/>
      <c r="W55" s="348"/>
      <c r="X55" s="348"/>
      <c r="Y55" s="348"/>
      <c r="Z55" s="348"/>
      <c r="AA55" s="348"/>
      <c r="AB55" s="348"/>
      <c r="AC55" s="348"/>
      <c r="AD55" s="348"/>
      <c r="AE55" s="348"/>
      <c r="AF55" s="348"/>
      <c r="AG55" s="348"/>
    </row>
    <row r="56" spans="1:33" s="352" customFormat="1" ht="12.75" customHeight="1" x14ac:dyDescent="0.2">
      <c r="A56" s="348"/>
      <c r="B56" s="354"/>
      <c r="C56" s="359"/>
      <c r="D56" s="356"/>
      <c r="E56" s="357"/>
      <c r="F56" s="358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48"/>
      <c r="T56" s="348"/>
      <c r="U56" s="348"/>
      <c r="V56" s="348"/>
      <c r="W56" s="348"/>
      <c r="X56" s="348"/>
      <c r="Y56" s="348"/>
      <c r="Z56" s="348"/>
      <c r="AA56" s="348"/>
      <c r="AB56" s="348"/>
      <c r="AC56" s="348"/>
      <c r="AD56" s="348"/>
      <c r="AE56" s="348"/>
      <c r="AF56" s="348"/>
      <c r="AG56" s="348"/>
    </row>
    <row r="57" spans="1:33" s="366" customFormat="1" ht="12.75" customHeight="1" x14ac:dyDescent="0.25">
      <c r="A57" s="360"/>
      <c r="B57" s="361" t="s">
        <v>205</v>
      </c>
      <c r="C57" s="362" t="s">
        <v>206</v>
      </c>
      <c r="D57" s="363"/>
      <c r="E57" s="364"/>
      <c r="F57" s="365"/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361"/>
      <c r="R57" s="361"/>
      <c r="S57" s="360"/>
      <c r="T57" s="360"/>
      <c r="U57" s="360"/>
      <c r="V57" s="360"/>
      <c r="W57" s="360"/>
      <c r="X57" s="360"/>
      <c r="Y57" s="360"/>
      <c r="Z57" s="360"/>
      <c r="AA57" s="360"/>
      <c r="AB57" s="360"/>
      <c r="AC57" s="360"/>
      <c r="AD57" s="360"/>
      <c r="AE57" s="360"/>
      <c r="AF57" s="360"/>
      <c r="AG57" s="360"/>
    </row>
    <row r="58" spans="1:33" s="366" customFormat="1" ht="12.75" customHeight="1" x14ac:dyDescent="0.25">
      <c r="A58" s="360"/>
      <c r="B58" s="360"/>
      <c r="C58" s="362" t="s">
        <v>207</v>
      </c>
      <c r="D58" s="367"/>
      <c r="E58" s="368"/>
      <c r="F58" s="369"/>
      <c r="G58" s="360"/>
      <c r="H58" s="360"/>
      <c r="I58" s="360"/>
      <c r="J58" s="360"/>
      <c r="K58" s="360"/>
      <c r="L58" s="360"/>
      <c r="M58" s="360"/>
      <c r="N58" s="360"/>
      <c r="O58" s="360"/>
      <c r="P58" s="360"/>
      <c r="Q58" s="360"/>
      <c r="R58" s="360"/>
      <c r="S58" s="360"/>
      <c r="T58" s="360"/>
      <c r="U58" s="360"/>
      <c r="V58" s="360"/>
      <c r="W58" s="360"/>
      <c r="X58" s="360"/>
      <c r="Y58" s="360"/>
      <c r="Z58" s="360"/>
      <c r="AA58" s="360"/>
      <c r="AB58" s="360"/>
      <c r="AC58" s="360"/>
      <c r="AD58" s="360"/>
      <c r="AE58" s="360"/>
      <c r="AF58" s="360"/>
      <c r="AG58" s="360"/>
    </row>
    <row r="59" spans="1:33" s="352" customFormat="1" ht="12.75" customHeight="1" x14ac:dyDescent="0.2">
      <c r="A59" s="348"/>
      <c r="B59" s="348"/>
      <c r="C59" s="347"/>
      <c r="D59" s="349"/>
      <c r="E59" s="350"/>
      <c r="F59" s="351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48"/>
      <c r="AB59" s="348"/>
      <c r="AC59" s="348"/>
      <c r="AD59" s="348"/>
      <c r="AE59" s="348"/>
      <c r="AF59" s="348"/>
      <c r="AG59" s="348"/>
    </row>
    <row r="60" spans="1:33" s="352" customFormat="1" ht="12.75" customHeight="1" x14ac:dyDescent="0.2">
      <c r="A60" s="348"/>
      <c r="B60" s="348"/>
      <c r="C60" s="347"/>
      <c r="D60" s="349"/>
      <c r="E60" s="350"/>
      <c r="F60" s="351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48"/>
      <c r="AB60" s="348"/>
      <c r="AC60" s="348"/>
      <c r="AD60" s="348"/>
      <c r="AE60" s="348"/>
      <c r="AF60" s="348"/>
      <c r="AG60" s="348"/>
    </row>
    <row r="61" spans="1:33" s="352" customFormat="1" ht="12.75" customHeight="1" x14ac:dyDescent="0.2">
      <c r="A61" s="348"/>
      <c r="B61" s="348"/>
      <c r="C61" s="347"/>
      <c r="D61" s="349"/>
      <c r="E61" s="350"/>
      <c r="F61" s="351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48"/>
      <c r="AB61" s="348"/>
      <c r="AC61" s="348"/>
      <c r="AD61" s="348"/>
      <c r="AE61" s="348"/>
      <c r="AF61" s="348"/>
      <c r="AG61" s="348"/>
    </row>
    <row r="62" spans="1:33" s="352" customFormat="1" ht="12.75" customHeight="1" x14ac:dyDescent="0.2">
      <c r="A62" s="348"/>
      <c r="B62" s="348"/>
      <c r="C62" s="347"/>
      <c r="D62" s="349"/>
      <c r="E62" s="350"/>
      <c r="F62" s="351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48"/>
      <c r="AB62" s="348"/>
      <c r="AC62" s="348"/>
      <c r="AD62" s="348"/>
      <c r="AE62" s="348"/>
      <c r="AF62" s="348"/>
      <c r="AG62" s="348"/>
    </row>
    <row r="63" spans="1:33" ht="12.75" customHeight="1" x14ac:dyDescent="0.2">
      <c r="A63" s="1"/>
      <c r="B63" s="1"/>
      <c r="C63" s="308"/>
      <c r="D63" s="125"/>
      <c r="E63" s="287"/>
      <c r="F63" s="19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">
      <c r="A64" s="1"/>
      <c r="B64" s="1"/>
      <c r="C64" s="308"/>
      <c r="D64" s="125"/>
      <c r="E64" s="287"/>
      <c r="F64" s="19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">
      <c r="A65" s="1"/>
      <c r="B65" s="1"/>
      <c r="C65" s="308"/>
      <c r="D65" s="125"/>
      <c r="E65" s="287"/>
      <c r="F65" s="19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">
      <c r="A66" s="1"/>
      <c r="B66" s="1"/>
      <c r="C66" s="308"/>
      <c r="D66" s="125"/>
      <c r="E66" s="287"/>
      <c r="F66" s="19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">
      <c r="A67" s="1"/>
      <c r="B67" s="1"/>
      <c r="C67" s="308"/>
      <c r="D67" s="125"/>
      <c r="E67" s="287"/>
      <c r="F67" s="19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">
      <c r="A68" s="1"/>
      <c r="B68" s="1"/>
      <c r="C68" s="308"/>
      <c r="D68" s="125"/>
      <c r="E68" s="287"/>
      <c r="F68" s="19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">
      <c r="A69" s="1"/>
      <c r="B69" s="1"/>
      <c r="C69" s="308"/>
      <c r="D69" s="125"/>
      <c r="E69" s="287"/>
      <c r="F69" s="19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">
      <c r="A70" s="1"/>
      <c r="B70" s="1"/>
      <c r="C70" s="308"/>
      <c r="D70" s="125"/>
      <c r="E70" s="287"/>
      <c r="F70" s="19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">
      <c r="A71" s="1"/>
      <c r="B71" s="1"/>
      <c r="C71" s="308"/>
      <c r="D71" s="125"/>
      <c r="E71" s="287"/>
      <c r="F71" s="19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">
      <c r="A72" s="1"/>
      <c r="B72" s="1"/>
      <c r="C72" s="308"/>
      <c r="D72" s="125"/>
      <c r="E72" s="287"/>
      <c r="F72" s="19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">
      <c r="A73" s="1"/>
      <c r="B73" s="1"/>
      <c r="C73" s="308"/>
      <c r="D73" s="125"/>
      <c r="E73" s="287"/>
      <c r="F73" s="19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">
      <c r="A74" s="1"/>
      <c r="B74" s="1"/>
      <c r="C74" s="308"/>
      <c r="D74" s="125"/>
      <c r="E74" s="287"/>
      <c r="F74" s="19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">
      <c r="A75" s="1"/>
      <c r="B75" s="1"/>
      <c r="C75" s="308"/>
      <c r="D75" s="125"/>
      <c r="E75" s="287"/>
      <c r="F75" s="19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">
      <c r="A76" s="1"/>
      <c r="B76" s="1"/>
      <c r="C76" s="308"/>
      <c r="D76" s="125"/>
      <c r="E76" s="287"/>
      <c r="F76" s="19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">
      <c r="A77" s="1"/>
      <c r="B77" s="1"/>
      <c r="C77" s="308"/>
      <c r="D77" s="125"/>
      <c r="E77" s="287"/>
      <c r="F77" s="19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">
      <c r="A78" s="1"/>
      <c r="B78" s="1"/>
      <c r="C78" s="308"/>
      <c r="D78" s="125"/>
      <c r="E78" s="287"/>
      <c r="F78" s="19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">
      <c r="A79" s="1"/>
      <c r="B79" s="1"/>
      <c r="C79" s="308"/>
      <c r="D79" s="125"/>
      <c r="E79" s="287"/>
      <c r="F79" s="19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">
      <c r="A80" s="1"/>
      <c r="B80" s="1"/>
      <c r="C80" s="308"/>
      <c r="D80" s="125"/>
      <c r="E80" s="287"/>
      <c r="F80" s="19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">
      <c r="A81" s="1"/>
      <c r="B81" s="1"/>
      <c r="C81" s="308"/>
      <c r="D81" s="125"/>
      <c r="E81" s="287"/>
      <c r="F81" s="19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">
      <c r="A82" s="1"/>
      <c r="B82" s="1"/>
      <c r="C82" s="308"/>
      <c r="D82" s="125"/>
      <c r="E82" s="287"/>
      <c r="F82" s="19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">
      <c r="A83" s="1"/>
      <c r="B83" s="1"/>
      <c r="C83" s="308"/>
      <c r="D83" s="125"/>
      <c r="E83" s="287"/>
      <c r="F83" s="19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">
      <c r="A84" s="1"/>
      <c r="B84" s="1"/>
      <c r="C84" s="308"/>
      <c r="D84" s="125"/>
      <c r="E84" s="287"/>
      <c r="F84" s="19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">
      <c r="A85" s="1"/>
      <c r="B85" s="1"/>
      <c r="C85" s="308"/>
      <c r="D85" s="125"/>
      <c r="E85" s="287"/>
      <c r="F85" s="19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">
      <c r="A86" s="1"/>
      <c r="B86" s="1"/>
      <c r="C86" s="308"/>
      <c r="D86" s="125"/>
      <c r="E86" s="287"/>
      <c r="F86" s="19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">
      <c r="A87" s="1"/>
      <c r="B87" s="1"/>
      <c r="C87" s="308"/>
      <c r="D87" s="125"/>
      <c r="E87" s="287"/>
      <c r="F87" s="19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">
      <c r="A88" s="1"/>
      <c r="B88" s="1"/>
      <c r="C88" s="308"/>
      <c r="D88" s="125"/>
      <c r="E88" s="287"/>
      <c r="F88" s="19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">
      <c r="A89" s="1"/>
      <c r="B89" s="1"/>
      <c r="C89" s="308"/>
      <c r="D89" s="125"/>
      <c r="E89" s="287"/>
      <c r="F89" s="19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">
      <c r="A90" s="1"/>
      <c r="B90" s="1"/>
      <c r="C90" s="308"/>
      <c r="D90" s="125"/>
      <c r="E90" s="287"/>
      <c r="F90" s="19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">
      <c r="A91" s="1"/>
      <c r="B91" s="1"/>
      <c r="C91" s="308"/>
      <c r="D91" s="125"/>
      <c r="E91" s="287"/>
      <c r="F91" s="19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">
      <c r="A92" s="1"/>
      <c r="B92" s="1"/>
      <c r="C92" s="308"/>
      <c r="D92" s="125"/>
      <c r="E92" s="287"/>
      <c r="F92" s="19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">
      <c r="A93" s="1"/>
      <c r="B93" s="1"/>
      <c r="C93" s="308"/>
      <c r="D93" s="125"/>
      <c r="E93" s="287"/>
      <c r="F93" s="19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">
      <c r="A94" s="1"/>
      <c r="B94" s="1"/>
      <c r="C94" s="308"/>
      <c r="D94" s="125"/>
      <c r="E94" s="287"/>
      <c r="F94" s="19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">
      <c r="A95" s="1"/>
      <c r="B95" s="1"/>
      <c r="C95" s="308"/>
      <c r="D95" s="125"/>
      <c r="E95" s="287"/>
      <c r="F95" s="19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">
      <c r="A96" s="1"/>
      <c r="B96" s="1"/>
      <c r="C96" s="308"/>
      <c r="D96" s="125"/>
      <c r="E96" s="287"/>
      <c r="F96" s="19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">
      <c r="A97" s="1"/>
      <c r="B97" s="1"/>
      <c r="C97" s="308"/>
      <c r="D97" s="125"/>
      <c r="E97" s="287"/>
      <c r="F97" s="19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">
      <c r="A98" s="1"/>
      <c r="B98" s="1"/>
      <c r="C98" s="308"/>
      <c r="D98" s="125"/>
      <c r="E98" s="287"/>
      <c r="F98" s="19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">
      <c r="A99" s="1"/>
      <c r="B99" s="1"/>
      <c r="C99" s="308"/>
      <c r="D99" s="125"/>
      <c r="E99" s="287"/>
      <c r="F99" s="19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">
      <c r="A100" s="1"/>
      <c r="B100" s="1"/>
      <c r="C100" s="308"/>
      <c r="D100" s="125"/>
      <c r="E100" s="287"/>
      <c r="F100" s="19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">
      <c r="A101" s="1"/>
      <c r="B101" s="1"/>
      <c r="C101" s="308"/>
      <c r="D101" s="125"/>
      <c r="E101" s="287"/>
      <c r="F101" s="19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">
      <c r="A102" s="1"/>
      <c r="B102" s="1"/>
      <c r="C102" s="308"/>
      <c r="D102" s="125"/>
      <c r="E102" s="287"/>
      <c r="F102" s="19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2.75" customHeight="1" x14ac:dyDescent="0.2">
      <c r="A103" s="1"/>
      <c r="B103" s="1"/>
      <c r="C103" s="308"/>
      <c r="D103" s="125"/>
      <c r="E103" s="287"/>
      <c r="F103" s="19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2.75" customHeight="1" x14ac:dyDescent="0.2">
      <c r="A104" s="1"/>
      <c r="B104" s="1"/>
      <c r="C104" s="308"/>
      <c r="D104" s="125"/>
      <c r="E104" s="287"/>
      <c r="F104" s="19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2.75" customHeight="1" x14ac:dyDescent="0.2">
      <c r="A105" s="1"/>
      <c r="B105" s="1"/>
      <c r="C105" s="308"/>
      <c r="D105" s="125"/>
      <c r="E105" s="287"/>
      <c r="F105" s="19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2.75" customHeight="1" x14ac:dyDescent="0.2">
      <c r="A106" s="1"/>
      <c r="B106" s="1"/>
      <c r="C106" s="308"/>
      <c r="D106" s="125"/>
      <c r="E106" s="287"/>
      <c r="F106" s="19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2.75" customHeight="1" x14ac:dyDescent="0.2">
      <c r="A107" s="1"/>
      <c r="B107" s="1"/>
      <c r="C107" s="308"/>
      <c r="D107" s="125"/>
      <c r="E107" s="287"/>
      <c r="F107" s="19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2.75" customHeight="1" x14ac:dyDescent="0.2">
      <c r="A108" s="1"/>
      <c r="B108" s="1"/>
      <c r="C108" s="308"/>
      <c r="D108" s="125"/>
      <c r="E108" s="287"/>
      <c r="F108" s="19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2.75" customHeight="1" x14ac:dyDescent="0.2">
      <c r="A109" s="1"/>
      <c r="B109" s="1"/>
      <c r="C109" s="308"/>
      <c r="D109" s="125"/>
      <c r="E109" s="287"/>
      <c r="F109" s="19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2.75" customHeight="1" x14ac:dyDescent="0.2">
      <c r="A110" s="1"/>
      <c r="B110" s="1"/>
      <c r="C110" s="308"/>
      <c r="D110" s="125"/>
      <c r="E110" s="287"/>
      <c r="F110" s="19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2.75" customHeight="1" x14ac:dyDescent="0.2">
      <c r="A111" s="1"/>
      <c r="B111" s="1"/>
      <c r="C111" s="308"/>
      <c r="D111" s="125"/>
      <c r="E111" s="287"/>
      <c r="F111" s="19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2.75" customHeight="1" x14ac:dyDescent="0.2">
      <c r="A112" s="1"/>
      <c r="B112" s="1"/>
      <c r="C112" s="308"/>
      <c r="D112" s="125"/>
      <c r="E112" s="287"/>
      <c r="F112" s="19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2.75" customHeight="1" x14ac:dyDescent="0.2">
      <c r="A113" s="1"/>
      <c r="B113" s="1"/>
      <c r="C113" s="308"/>
      <c r="D113" s="125"/>
      <c r="E113" s="287"/>
      <c r="F113" s="19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2.75" customHeight="1" x14ac:dyDescent="0.2">
      <c r="A114" s="1"/>
      <c r="B114" s="1"/>
      <c r="C114" s="308"/>
      <c r="D114" s="125"/>
      <c r="E114" s="287"/>
      <c r="F114" s="19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2.75" customHeight="1" x14ac:dyDescent="0.2">
      <c r="A115" s="1"/>
      <c r="B115" s="1"/>
      <c r="C115" s="308"/>
      <c r="D115" s="125"/>
      <c r="E115" s="287"/>
      <c r="F115" s="19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2.75" customHeight="1" x14ac:dyDescent="0.2">
      <c r="A116" s="1"/>
      <c r="B116" s="1"/>
      <c r="C116" s="308"/>
      <c r="D116" s="125"/>
      <c r="E116" s="287"/>
      <c r="F116" s="19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2.75" customHeight="1" x14ac:dyDescent="0.2">
      <c r="A117" s="1"/>
      <c r="B117" s="1"/>
      <c r="C117" s="308"/>
      <c r="D117" s="125"/>
      <c r="E117" s="287"/>
      <c r="F117" s="19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2.75" customHeight="1" x14ac:dyDescent="0.2">
      <c r="A118" s="1"/>
      <c r="B118" s="1"/>
      <c r="C118" s="308"/>
      <c r="D118" s="125"/>
      <c r="E118" s="287"/>
      <c r="F118" s="19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2.75" customHeight="1" x14ac:dyDescent="0.2">
      <c r="A119" s="1"/>
      <c r="B119" s="1"/>
      <c r="C119" s="308"/>
      <c r="D119" s="125"/>
      <c r="E119" s="287"/>
      <c r="F119" s="19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2.75" customHeight="1" x14ac:dyDescent="0.2">
      <c r="A120" s="1"/>
      <c r="B120" s="1"/>
      <c r="C120" s="308"/>
      <c r="D120" s="125"/>
      <c r="E120" s="287"/>
      <c r="F120" s="19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2.75" customHeight="1" x14ac:dyDescent="0.2">
      <c r="A121" s="1"/>
      <c r="B121" s="1"/>
      <c r="C121" s="308"/>
      <c r="D121" s="125"/>
      <c r="E121" s="287"/>
      <c r="F121" s="19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2.75" customHeight="1" x14ac:dyDescent="0.2">
      <c r="A122" s="1"/>
      <c r="B122" s="1"/>
      <c r="C122" s="308"/>
      <c r="D122" s="125"/>
      <c r="E122" s="287"/>
      <c r="F122" s="19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2.75" customHeight="1" x14ac:dyDescent="0.2">
      <c r="A123" s="1"/>
      <c r="B123" s="1"/>
      <c r="C123" s="308"/>
      <c r="D123" s="125"/>
      <c r="E123" s="287"/>
      <c r="F123" s="19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2.75" customHeight="1" x14ac:dyDescent="0.2">
      <c r="A124" s="1"/>
      <c r="B124" s="1"/>
      <c r="C124" s="308"/>
      <c r="D124" s="125"/>
      <c r="E124" s="287"/>
      <c r="F124" s="19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2.75" customHeight="1" x14ac:dyDescent="0.2">
      <c r="A125" s="1"/>
      <c r="B125" s="1"/>
      <c r="C125" s="308"/>
      <c r="D125" s="125"/>
      <c r="E125" s="287"/>
      <c r="F125" s="19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2.75" customHeight="1" x14ac:dyDescent="0.2">
      <c r="A126" s="1"/>
      <c r="B126" s="1"/>
      <c r="C126" s="308"/>
      <c r="D126" s="125"/>
      <c r="E126" s="287"/>
      <c r="F126" s="19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2.75" customHeight="1" x14ac:dyDescent="0.2">
      <c r="A127" s="1"/>
      <c r="B127" s="1"/>
      <c r="C127" s="308"/>
      <c r="D127" s="125"/>
      <c r="E127" s="287"/>
      <c r="F127" s="19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2.75" customHeight="1" x14ac:dyDescent="0.2">
      <c r="A128" s="1"/>
      <c r="B128" s="1"/>
      <c r="C128" s="308"/>
      <c r="D128" s="125"/>
      <c r="E128" s="287"/>
      <c r="F128" s="19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2.75" customHeight="1" x14ac:dyDescent="0.2">
      <c r="A129" s="1"/>
      <c r="B129" s="1"/>
      <c r="C129" s="308"/>
      <c r="D129" s="125"/>
      <c r="E129" s="287"/>
      <c r="F129" s="19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2.75" customHeight="1" x14ac:dyDescent="0.2">
      <c r="A130" s="1"/>
      <c r="B130" s="1"/>
      <c r="C130" s="308"/>
      <c r="D130" s="125"/>
      <c r="E130" s="287"/>
      <c r="F130" s="19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 x14ac:dyDescent="0.2">
      <c r="A131" s="1"/>
      <c r="B131" s="1"/>
      <c r="C131" s="308"/>
      <c r="D131" s="125"/>
      <c r="E131" s="287"/>
      <c r="F131" s="19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 x14ac:dyDescent="0.2">
      <c r="A132" s="1"/>
      <c r="B132" s="1"/>
      <c r="C132" s="308"/>
      <c r="D132" s="125"/>
      <c r="E132" s="287"/>
      <c r="F132" s="19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 x14ac:dyDescent="0.2">
      <c r="A133" s="1"/>
      <c r="B133" s="1"/>
      <c r="C133" s="308"/>
      <c r="D133" s="125"/>
      <c r="E133" s="287"/>
      <c r="F133" s="19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 x14ac:dyDescent="0.2">
      <c r="A134" s="1"/>
      <c r="B134" s="1"/>
      <c r="C134" s="308"/>
      <c r="D134" s="125"/>
      <c r="E134" s="287"/>
      <c r="F134" s="19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 x14ac:dyDescent="0.2">
      <c r="A135" s="1"/>
      <c r="B135" s="1"/>
      <c r="C135" s="308"/>
      <c r="D135" s="125"/>
      <c r="E135" s="287"/>
      <c r="F135" s="19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 x14ac:dyDescent="0.2">
      <c r="A136" s="1"/>
      <c r="B136" s="1"/>
      <c r="C136" s="308"/>
      <c r="D136" s="125"/>
      <c r="E136" s="287"/>
      <c r="F136" s="19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 x14ac:dyDescent="0.2">
      <c r="A137" s="1"/>
      <c r="B137" s="1"/>
      <c r="C137" s="308"/>
      <c r="D137" s="125"/>
      <c r="E137" s="287"/>
      <c r="F137" s="19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 x14ac:dyDescent="0.2">
      <c r="A138" s="1"/>
      <c r="B138" s="1"/>
      <c r="C138" s="308"/>
      <c r="D138" s="125"/>
      <c r="E138" s="287"/>
      <c r="F138" s="19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 x14ac:dyDescent="0.2">
      <c r="A139" s="1"/>
      <c r="B139" s="1"/>
      <c r="C139" s="308"/>
      <c r="D139" s="125"/>
      <c r="E139" s="287"/>
      <c r="F139" s="19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 x14ac:dyDescent="0.2">
      <c r="A140" s="1"/>
      <c r="B140" s="1"/>
      <c r="C140" s="308"/>
      <c r="D140" s="125"/>
      <c r="E140" s="287"/>
      <c r="F140" s="19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 x14ac:dyDescent="0.2">
      <c r="A141" s="1"/>
      <c r="B141" s="1"/>
      <c r="C141" s="308"/>
      <c r="D141" s="125"/>
      <c r="E141" s="287"/>
      <c r="F141" s="19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 x14ac:dyDescent="0.2">
      <c r="A142" s="1"/>
      <c r="B142" s="1"/>
      <c r="C142" s="308"/>
      <c r="D142" s="125"/>
      <c r="E142" s="287"/>
      <c r="F142" s="19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 x14ac:dyDescent="0.2">
      <c r="A143" s="1"/>
      <c r="B143" s="1"/>
      <c r="C143" s="308"/>
      <c r="D143" s="125"/>
      <c r="E143" s="287"/>
      <c r="F143" s="19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 x14ac:dyDescent="0.2">
      <c r="A144" s="1"/>
      <c r="B144" s="1"/>
      <c r="C144" s="308"/>
      <c r="D144" s="125"/>
      <c r="E144" s="287"/>
      <c r="F144" s="19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 x14ac:dyDescent="0.2">
      <c r="A145" s="1"/>
      <c r="B145" s="1"/>
      <c r="C145" s="308"/>
      <c r="D145" s="125"/>
      <c r="E145" s="287"/>
      <c r="F145" s="19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 x14ac:dyDescent="0.2">
      <c r="A146" s="1"/>
      <c r="B146" s="1"/>
      <c r="C146" s="308"/>
      <c r="D146" s="125"/>
      <c r="E146" s="287"/>
      <c r="F146" s="19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 x14ac:dyDescent="0.2">
      <c r="A147" s="1"/>
      <c r="B147" s="1"/>
      <c r="C147" s="308"/>
      <c r="D147" s="125"/>
      <c r="E147" s="287"/>
      <c r="F147" s="19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 x14ac:dyDescent="0.2">
      <c r="A148" s="1"/>
      <c r="B148" s="1"/>
      <c r="C148" s="308"/>
      <c r="D148" s="125"/>
      <c r="E148" s="287"/>
      <c r="F148" s="19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 x14ac:dyDescent="0.2">
      <c r="A149" s="1"/>
      <c r="B149" s="1"/>
      <c r="C149" s="308"/>
      <c r="D149" s="125"/>
      <c r="E149" s="287"/>
      <c r="F149" s="19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 x14ac:dyDescent="0.2">
      <c r="A150" s="1"/>
      <c r="B150" s="1"/>
      <c r="C150" s="308"/>
      <c r="D150" s="125"/>
      <c r="E150" s="287"/>
      <c r="F150" s="19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 x14ac:dyDescent="0.2">
      <c r="A151" s="1"/>
      <c r="B151" s="1"/>
      <c r="C151" s="308"/>
      <c r="D151" s="125"/>
      <c r="E151" s="287"/>
      <c r="F151" s="19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 x14ac:dyDescent="0.2">
      <c r="A152" s="1"/>
      <c r="B152" s="1"/>
      <c r="C152" s="308"/>
      <c r="D152" s="125"/>
      <c r="E152" s="287"/>
      <c r="F152" s="19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 x14ac:dyDescent="0.2">
      <c r="A153" s="1"/>
      <c r="B153" s="1"/>
      <c r="C153" s="308"/>
      <c r="D153" s="125"/>
      <c r="E153" s="287"/>
      <c r="F153" s="19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 x14ac:dyDescent="0.2">
      <c r="A154" s="1"/>
      <c r="B154" s="1"/>
      <c r="C154" s="308"/>
      <c r="D154" s="125"/>
      <c r="E154" s="287"/>
      <c r="F154" s="19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 x14ac:dyDescent="0.2">
      <c r="A155" s="1"/>
      <c r="B155" s="1"/>
      <c r="C155" s="308"/>
      <c r="D155" s="125"/>
      <c r="E155" s="287"/>
      <c r="F155" s="19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 x14ac:dyDescent="0.2">
      <c r="A156" s="1"/>
      <c r="B156" s="1"/>
      <c r="C156" s="308"/>
      <c r="D156" s="125"/>
      <c r="E156" s="287"/>
      <c r="F156" s="19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 x14ac:dyDescent="0.2">
      <c r="A157" s="1"/>
      <c r="B157" s="1"/>
      <c r="C157" s="308"/>
      <c r="D157" s="125"/>
      <c r="E157" s="287"/>
      <c r="F157" s="19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 x14ac:dyDescent="0.2">
      <c r="A158" s="1"/>
      <c r="B158" s="1"/>
      <c r="C158" s="308"/>
      <c r="D158" s="125"/>
      <c r="E158" s="287"/>
      <c r="F158" s="19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 x14ac:dyDescent="0.2">
      <c r="A159" s="1"/>
      <c r="B159" s="1"/>
      <c r="C159" s="308"/>
      <c r="D159" s="125"/>
      <c r="E159" s="287"/>
      <c r="F159" s="19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 x14ac:dyDescent="0.2">
      <c r="A160" s="1"/>
      <c r="B160" s="1"/>
      <c r="C160" s="308"/>
      <c r="D160" s="125"/>
      <c r="E160" s="287"/>
      <c r="F160" s="19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 x14ac:dyDescent="0.2">
      <c r="A161" s="1"/>
      <c r="B161" s="1"/>
      <c r="C161" s="308"/>
      <c r="D161" s="125"/>
      <c r="E161" s="287"/>
      <c r="F161" s="19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 x14ac:dyDescent="0.2">
      <c r="A162" s="1"/>
      <c r="B162" s="1"/>
      <c r="C162" s="308"/>
      <c r="D162" s="125"/>
      <c r="E162" s="287"/>
      <c r="F162" s="19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 x14ac:dyDescent="0.2">
      <c r="A163" s="1"/>
      <c r="B163" s="1"/>
      <c r="C163" s="308"/>
      <c r="D163" s="125"/>
      <c r="E163" s="287"/>
      <c r="F163" s="19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 x14ac:dyDescent="0.2">
      <c r="A164" s="1"/>
      <c r="B164" s="1"/>
      <c r="C164" s="308"/>
      <c r="D164" s="125"/>
      <c r="E164" s="287"/>
      <c r="F164" s="19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 x14ac:dyDescent="0.2">
      <c r="A165" s="1"/>
      <c r="B165" s="1"/>
      <c r="C165" s="308"/>
      <c r="D165" s="125"/>
      <c r="E165" s="287"/>
      <c r="F165" s="19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 x14ac:dyDescent="0.2">
      <c r="A166" s="1"/>
      <c r="B166" s="1"/>
      <c r="C166" s="308"/>
      <c r="D166" s="125"/>
      <c r="E166" s="287"/>
      <c r="F166" s="19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 x14ac:dyDescent="0.2">
      <c r="A167" s="1"/>
      <c r="B167" s="1"/>
      <c r="C167" s="308"/>
      <c r="D167" s="125"/>
      <c r="E167" s="287"/>
      <c r="F167" s="19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 x14ac:dyDescent="0.2">
      <c r="A168" s="1"/>
      <c r="B168" s="1"/>
      <c r="C168" s="308"/>
      <c r="D168" s="125"/>
      <c r="E168" s="287"/>
      <c r="F168" s="19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 x14ac:dyDescent="0.2">
      <c r="A169" s="1"/>
      <c r="B169" s="1"/>
      <c r="C169" s="308"/>
      <c r="D169" s="125"/>
      <c r="E169" s="287"/>
      <c r="F169" s="19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 x14ac:dyDescent="0.2">
      <c r="A170" s="1"/>
      <c r="B170" s="1"/>
      <c r="C170" s="308"/>
      <c r="D170" s="125"/>
      <c r="E170" s="287"/>
      <c r="F170" s="19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 x14ac:dyDescent="0.2">
      <c r="A171" s="1"/>
      <c r="B171" s="1"/>
      <c r="C171" s="308"/>
      <c r="D171" s="125"/>
      <c r="E171" s="287"/>
      <c r="F171" s="19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 x14ac:dyDescent="0.2">
      <c r="A172" s="1"/>
      <c r="B172" s="1"/>
      <c r="C172" s="308"/>
      <c r="D172" s="125"/>
      <c r="E172" s="287"/>
      <c r="F172" s="19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 x14ac:dyDescent="0.2">
      <c r="A173" s="1"/>
      <c r="B173" s="1"/>
      <c r="C173" s="308"/>
      <c r="D173" s="125"/>
      <c r="E173" s="287"/>
      <c r="F173" s="19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 x14ac:dyDescent="0.2">
      <c r="A174" s="1"/>
      <c r="B174" s="1"/>
      <c r="C174" s="308"/>
      <c r="D174" s="125"/>
      <c r="E174" s="287"/>
      <c r="F174" s="19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 x14ac:dyDescent="0.2">
      <c r="A175" s="1"/>
      <c r="B175" s="1"/>
      <c r="C175" s="308"/>
      <c r="D175" s="125"/>
      <c r="E175" s="287"/>
      <c r="F175" s="19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 x14ac:dyDescent="0.2">
      <c r="A176" s="1"/>
      <c r="B176" s="1"/>
      <c r="C176" s="308"/>
      <c r="D176" s="125"/>
      <c r="E176" s="287"/>
      <c r="F176" s="19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 x14ac:dyDescent="0.2">
      <c r="A177" s="1"/>
      <c r="B177" s="1"/>
      <c r="C177" s="308"/>
      <c r="D177" s="125"/>
      <c r="E177" s="287"/>
      <c r="F177" s="19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 x14ac:dyDescent="0.2">
      <c r="A178" s="1"/>
      <c r="B178" s="1"/>
      <c r="C178" s="308"/>
      <c r="D178" s="125"/>
      <c r="E178" s="287"/>
      <c r="F178" s="19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 x14ac:dyDescent="0.2">
      <c r="A179" s="1"/>
      <c r="B179" s="1"/>
      <c r="C179" s="308"/>
      <c r="D179" s="125"/>
      <c r="E179" s="287"/>
      <c r="F179" s="19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 x14ac:dyDescent="0.2">
      <c r="A180" s="1"/>
      <c r="B180" s="1"/>
      <c r="C180" s="308"/>
      <c r="D180" s="125"/>
      <c r="E180" s="287"/>
      <c r="F180" s="19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 x14ac:dyDescent="0.2">
      <c r="A181" s="1"/>
      <c r="B181" s="1"/>
      <c r="C181" s="308"/>
      <c r="D181" s="125"/>
      <c r="E181" s="287"/>
      <c r="F181" s="19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 x14ac:dyDescent="0.2">
      <c r="A182" s="1"/>
      <c r="B182" s="1"/>
      <c r="C182" s="308"/>
      <c r="D182" s="125"/>
      <c r="E182" s="287"/>
      <c r="F182" s="19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 x14ac:dyDescent="0.2">
      <c r="A183" s="1"/>
      <c r="B183" s="1"/>
      <c r="C183" s="308"/>
      <c r="D183" s="125"/>
      <c r="E183" s="287"/>
      <c r="F183" s="19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 x14ac:dyDescent="0.2">
      <c r="A184" s="1"/>
      <c r="B184" s="1"/>
      <c r="C184" s="308"/>
      <c r="D184" s="125"/>
      <c r="E184" s="287"/>
      <c r="F184" s="19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 x14ac:dyDescent="0.2">
      <c r="A185" s="1"/>
      <c r="B185" s="1"/>
      <c r="C185" s="308"/>
      <c r="D185" s="125"/>
      <c r="E185" s="287"/>
      <c r="F185" s="19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 x14ac:dyDescent="0.2">
      <c r="A186" s="1"/>
      <c r="B186" s="1"/>
      <c r="C186" s="308"/>
      <c r="D186" s="125"/>
      <c r="E186" s="287"/>
      <c r="F186" s="19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 x14ac:dyDescent="0.2">
      <c r="A187" s="1"/>
      <c r="B187" s="1"/>
      <c r="C187" s="308"/>
      <c r="D187" s="125"/>
      <c r="E187" s="287"/>
      <c r="F187" s="19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 x14ac:dyDescent="0.2">
      <c r="A188" s="1"/>
      <c r="B188" s="1"/>
      <c r="C188" s="308"/>
      <c r="D188" s="125"/>
      <c r="E188" s="287"/>
      <c r="F188" s="19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 x14ac:dyDescent="0.2">
      <c r="A189" s="1"/>
      <c r="B189" s="1"/>
      <c r="C189" s="308"/>
      <c r="D189" s="125"/>
      <c r="E189" s="287"/>
      <c r="F189" s="19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 x14ac:dyDescent="0.2">
      <c r="A190" s="1"/>
      <c r="B190" s="1"/>
      <c r="C190" s="308"/>
      <c r="D190" s="125"/>
      <c r="E190" s="287"/>
      <c r="F190" s="19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 x14ac:dyDescent="0.2">
      <c r="A191" s="1"/>
      <c r="B191" s="1"/>
      <c r="C191" s="308"/>
      <c r="D191" s="125"/>
      <c r="E191" s="287"/>
      <c r="F191" s="19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 x14ac:dyDescent="0.2">
      <c r="A192" s="1"/>
      <c r="B192" s="1"/>
      <c r="C192" s="308"/>
      <c r="D192" s="125"/>
      <c r="E192" s="287"/>
      <c r="F192" s="19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 x14ac:dyDescent="0.2">
      <c r="A193" s="1"/>
      <c r="B193" s="1"/>
      <c r="C193" s="308"/>
      <c r="D193" s="125"/>
      <c r="E193" s="287"/>
      <c r="F193" s="19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 x14ac:dyDescent="0.2">
      <c r="A194" s="1"/>
      <c r="B194" s="1"/>
      <c r="C194" s="308"/>
      <c r="D194" s="125"/>
      <c r="E194" s="287"/>
      <c r="F194" s="19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 x14ac:dyDescent="0.2">
      <c r="A195" s="1"/>
      <c r="B195" s="1"/>
      <c r="C195" s="308"/>
      <c r="D195" s="125"/>
      <c r="E195" s="287"/>
      <c r="F195" s="19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 x14ac:dyDescent="0.2">
      <c r="A196" s="1"/>
      <c r="B196" s="1"/>
      <c r="C196" s="308"/>
      <c r="D196" s="125"/>
      <c r="E196" s="287"/>
      <c r="F196" s="19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 x14ac:dyDescent="0.2">
      <c r="A197" s="1"/>
      <c r="B197" s="1"/>
      <c r="C197" s="308"/>
      <c r="D197" s="125"/>
      <c r="E197" s="287"/>
      <c r="F197" s="19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/>
    <row r="199" spans="1:33" ht="15.75" customHeight="1" x14ac:dyDescent="0.2"/>
    <row r="200" spans="1:33" ht="15.75" customHeight="1" x14ac:dyDescent="0.2"/>
    <row r="201" spans="1:33" ht="15.75" customHeight="1" x14ac:dyDescent="0.2"/>
    <row r="202" spans="1:33" ht="15.75" customHeight="1" x14ac:dyDescent="0.2"/>
    <row r="203" spans="1:33" ht="15.75" customHeight="1" x14ac:dyDescent="0.2"/>
    <row r="204" spans="1:33" ht="15.75" customHeight="1" x14ac:dyDescent="0.2"/>
    <row r="205" spans="1:33" ht="15.75" customHeight="1" x14ac:dyDescent="0.2"/>
    <row r="206" spans="1:33" ht="15.75" customHeight="1" x14ac:dyDescent="0.2"/>
    <row r="207" spans="1:33" ht="15.75" customHeight="1" x14ac:dyDescent="0.2"/>
    <row r="208" spans="1:3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</sheetData>
  <mergeCells count="3">
    <mergeCell ref="B1:E1"/>
    <mergeCell ref="B2:E2"/>
    <mergeCell ref="B3:E3"/>
  </mergeCells>
  <pageMargins left="0.51181102362204722" right="0.11811023622047245" top="0.15748031496062992" bottom="0.15748031496062992" header="0" footer="0"/>
  <pageSetup scale="5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workbookViewId="0">
      <selection activeCell="D8" sqref="D8"/>
    </sheetView>
  </sheetViews>
  <sheetFormatPr baseColWidth="10" defaultColWidth="12.625" defaultRowHeight="15" customHeight="1" x14ac:dyDescent="0.2"/>
  <cols>
    <col min="1" max="2" width="2.75" customWidth="1"/>
    <col min="3" max="3" width="13.125" hidden="1" customWidth="1"/>
    <col min="4" max="4" width="48.5" customWidth="1"/>
    <col min="5" max="5" width="22.875" customWidth="1"/>
    <col min="6" max="6" width="15" customWidth="1"/>
    <col min="7" max="7" width="12.375" customWidth="1"/>
    <col min="8" max="8" width="12.75" customWidth="1"/>
    <col min="9" max="9" width="19.125" customWidth="1"/>
    <col min="10" max="10" width="10.625" customWidth="1"/>
    <col min="11" max="11" width="10" customWidth="1"/>
    <col min="12" max="12" width="11.5" customWidth="1"/>
    <col min="13" max="13" width="14.125" customWidth="1"/>
    <col min="14" max="26" width="10" customWidth="1"/>
  </cols>
  <sheetData>
    <row r="1" spans="1:26" ht="12.75" customHeight="1" x14ac:dyDescent="0.3">
      <c r="A1" s="1"/>
      <c r="B1" s="326" t="s">
        <v>0</v>
      </c>
      <c r="C1" s="327"/>
      <c r="D1" s="327"/>
      <c r="E1" s="3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 x14ac:dyDescent="0.3">
      <c r="A2" s="1"/>
      <c r="B2" s="326" t="s">
        <v>1</v>
      </c>
      <c r="C2" s="327"/>
      <c r="D2" s="327"/>
      <c r="E2" s="32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2">
      <c r="A3" s="1"/>
      <c r="B3" s="329" t="s">
        <v>62</v>
      </c>
      <c r="C3" s="330"/>
      <c r="D3" s="330"/>
      <c r="E3" s="330"/>
      <c r="F3" s="331" t="s">
        <v>63</v>
      </c>
      <c r="G3" s="332"/>
      <c r="H3" s="332"/>
      <c r="I3" s="333"/>
      <c r="J3" s="331" t="s">
        <v>64</v>
      </c>
      <c r="K3" s="332"/>
      <c r="L3" s="332"/>
      <c r="M3" s="33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32" t="s">
        <v>45</v>
      </c>
      <c r="B4" s="33"/>
      <c r="C4" s="33"/>
      <c r="D4" s="33" t="s">
        <v>5</v>
      </c>
      <c r="E4" s="46" t="s">
        <v>46</v>
      </c>
      <c r="F4" s="47" t="s">
        <v>65</v>
      </c>
      <c r="G4" s="42" t="s">
        <v>66</v>
      </c>
      <c r="H4" s="42" t="s">
        <v>46</v>
      </c>
      <c r="I4" s="48" t="s">
        <v>67</v>
      </c>
      <c r="J4" s="47" t="s">
        <v>65</v>
      </c>
      <c r="K4" s="42" t="s">
        <v>66</v>
      </c>
      <c r="L4" s="42" t="s">
        <v>46</v>
      </c>
      <c r="M4" s="48" t="s">
        <v>67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2">
      <c r="A5" s="49">
        <v>1</v>
      </c>
      <c r="B5" s="50"/>
      <c r="C5" s="50"/>
      <c r="D5" s="51" t="s">
        <v>47</v>
      </c>
      <c r="E5" s="52">
        <f>SUM(E6:E38)</f>
        <v>63930506.818088241</v>
      </c>
      <c r="F5" s="53"/>
      <c r="G5" s="1"/>
      <c r="H5" s="1"/>
      <c r="I5" s="54"/>
      <c r="J5" s="53"/>
      <c r="K5" s="1"/>
      <c r="L5" s="1"/>
      <c r="M5" s="5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2.45" customHeight="1" x14ac:dyDescent="0.2">
      <c r="A6" s="36"/>
      <c r="B6" s="37">
        <v>1</v>
      </c>
      <c r="C6" s="15"/>
      <c r="D6" s="115" t="s">
        <v>68</v>
      </c>
      <c r="E6" s="55">
        <f t="shared" ref="E6:E15" si="0">+I6+M6</f>
        <v>1987450</v>
      </c>
      <c r="F6" s="56">
        <v>250</v>
      </c>
      <c r="G6" s="57">
        <v>45</v>
      </c>
      <c r="H6" s="58">
        <v>6325</v>
      </c>
      <c r="I6" s="59">
        <f t="shared" ref="I6:I14" si="1">+F6*H6</f>
        <v>1581250</v>
      </c>
      <c r="J6" s="56">
        <v>250</v>
      </c>
      <c r="K6" s="57" t="s">
        <v>69</v>
      </c>
      <c r="L6" s="58">
        <v>1624.8</v>
      </c>
      <c r="M6" s="59">
        <f>+J6*L6</f>
        <v>406200</v>
      </c>
      <c r="N6" s="4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8.75" customHeight="1" x14ac:dyDescent="0.2">
      <c r="A7" s="36"/>
      <c r="B7" s="37">
        <v>2</v>
      </c>
      <c r="C7" s="15"/>
      <c r="D7" s="115" t="s">
        <v>70</v>
      </c>
      <c r="E7" s="55">
        <f t="shared" si="0"/>
        <v>2253709.7999999998</v>
      </c>
      <c r="F7" s="56">
        <v>180</v>
      </c>
      <c r="G7" s="57">
        <v>45</v>
      </c>
      <c r="H7" s="58">
        <f>+H6*1.05</f>
        <v>6641.25</v>
      </c>
      <c r="I7" s="59">
        <f t="shared" si="1"/>
        <v>1195425</v>
      </c>
      <c r="J7" s="56">
        <v>180</v>
      </c>
      <c r="K7" s="57" t="s">
        <v>71</v>
      </c>
      <c r="L7" s="60" t="s">
        <v>72</v>
      </c>
      <c r="M7" s="59">
        <f>+(J7*4254.56)+(J7*1624.8)</f>
        <v>1058284.8</v>
      </c>
      <c r="N7" s="4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07.25" customHeight="1" thickBot="1" x14ac:dyDescent="0.25">
      <c r="A8" s="36"/>
      <c r="B8" s="37">
        <v>3</v>
      </c>
      <c r="C8" s="15"/>
      <c r="D8" s="115" t="s">
        <v>73</v>
      </c>
      <c r="E8" s="55">
        <f t="shared" si="0"/>
        <v>3462951.1</v>
      </c>
      <c r="F8" s="61">
        <v>310</v>
      </c>
      <c r="G8" s="62">
        <v>25</v>
      </c>
      <c r="H8" s="63">
        <v>5291.45</v>
      </c>
      <c r="I8" s="64">
        <f t="shared" si="1"/>
        <v>1640349.5</v>
      </c>
      <c r="J8" s="61">
        <v>310</v>
      </c>
      <c r="K8" s="57" t="s">
        <v>71</v>
      </c>
      <c r="L8" s="63">
        <v>5889.36</v>
      </c>
      <c r="M8" s="64">
        <f>+(M7/J7)*J8</f>
        <v>1822601.6</v>
      </c>
      <c r="N8" s="4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7.25" customHeight="1" thickBot="1" x14ac:dyDescent="0.25">
      <c r="A9" s="36"/>
      <c r="B9" s="37"/>
      <c r="C9" s="15"/>
      <c r="D9" s="116" t="s">
        <v>122</v>
      </c>
      <c r="E9" s="114"/>
      <c r="F9" s="61">
        <v>210</v>
      </c>
      <c r="G9" s="62">
        <v>25</v>
      </c>
      <c r="H9" s="63">
        <v>5291.45</v>
      </c>
      <c r="I9" s="64">
        <f t="shared" ref="I9" si="2">+F9*H9</f>
        <v>1111204.5</v>
      </c>
      <c r="J9" s="61">
        <v>210</v>
      </c>
      <c r="K9" s="57" t="s">
        <v>71</v>
      </c>
      <c r="L9" s="63">
        <v>5889.36</v>
      </c>
      <c r="M9" s="64">
        <f>+(M8/J8)*J9</f>
        <v>1234665.6000000001</v>
      </c>
      <c r="N9" s="4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3.5" customHeight="1" thickBot="1" x14ac:dyDescent="0.25">
      <c r="A10" s="36"/>
      <c r="B10" s="37">
        <v>4</v>
      </c>
      <c r="C10" s="15"/>
      <c r="D10" s="115" t="s">
        <v>74</v>
      </c>
      <c r="E10" s="55">
        <f t="shared" si="0"/>
        <v>1024704</v>
      </c>
      <c r="F10" s="56">
        <v>180</v>
      </c>
      <c r="G10" s="57">
        <v>25</v>
      </c>
      <c r="H10" s="58">
        <v>4068</v>
      </c>
      <c r="I10" s="64">
        <f t="shared" si="1"/>
        <v>732240</v>
      </c>
      <c r="J10" s="65">
        <f t="shared" ref="J10:J12" si="3">+F10</f>
        <v>180</v>
      </c>
      <c r="K10" s="57" t="s">
        <v>69</v>
      </c>
      <c r="L10" s="58">
        <f>+L6</f>
        <v>1624.8</v>
      </c>
      <c r="M10" s="59">
        <f t="shared" ref="M10:M14" si="4">+J10*L10</f>
        <v>292464</v>
      </c>
      <c r="N10" s="4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5.75" customHeight="1" x14ac:dyDescent="0.2">
      <c r="A11" s="36"/>
      <c r="B11" s="37">
        <v>5</v>
      </c>
      <c r="C11" s="15"/>
      <c r="D11" s="116" t="s">
        <v>75</v>
      </c>
      <c r="E11" s="55">
        <f t="shared" si="0"/>
        <v>2055588.5999999999</v>
      </c>
      <c r="F11" s="56">
        <v>260</v>
      </c>
      <c r="G11" s="57">
        <v>25</v>
      </c>
      <c r="H11" s="58">
        <f t="shared" ref="H11:H13" si="5">+H10</f>
        <v>4068</v>
      </c>
      <c r="I11" s="64">
        <f t="shared" si="1"/>
        <v>1057680</v>
      </c>
      <c r="J11" s="65">
        <f t="shared" si="3"/>
        <v>260</v>
      </c>
      <c r="K11" s="57" t="s">
        <v>76</v>
      </c>
      <c r="L11" s="58">
        <f>1279.37+2558.74</f>
        <v>3838.1099999999997</v>
      </c>
      <c r="M11" s="59">
        <f t="shared" si="4"/>
        <v>997908.59999999986</v>
      </c>
      <c r="N11" s="4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3.25" customHeight="1" x14ac:dyDescent="0.2">
      <c r="A12" s="36"/>
      <c r="B12" s="37">
        <v>6</v>
      </c>
      <c r="C12" s="15"/>
      <c r="D12" s="115" t="s">
        <v>49</v>
      </c>
      <c r="E12" s="55">
        <f t="shared" si="0"/>
        <v>967776</v>
      </c>
      <c r="F12" s="56">
        <v>170</v>
      </c>
      <c r="G12" s="57">
        <v>25</v>
      </c>
      <c r="H12" s="58">
        <f t="shared" si="5"/>
        <v>4068</v>
      </c>
      <c r="I12" s="66">
        <f t="shared" si="1"/>
        <v>691560</v>
      </c>
      <c r="J12" s="65">
        <f t="shared" si="3"/>
        <v>170</v>
      </c>
      <c r="K12" s="57" t="s">
        <v>69</v>
      </c>
      <c r="L12" s="58">
        <f>+L10</f>
        <v>1624.8</v>
      </c>
      <c r="M12" s="59">
        <f t="shared" si="4"/>
        <v>276216</v>
      </c>
      <c r="N12" s="4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3.25" customHeight="1" x14ac:dyDescent="0.2">
      <c r="A13" s="36"/>
      <c r="B13" s="37">
        <v>7</v>
      </c>
      <c r="C13" s="15"/>
      <c r="D13" s="116" t="s">
        <v>77</v>
      </c>
      <c r="E13" s="55">
        <f t="shared" si="0"/>
        <v>284640</v>
      </c>
      <c r="F13" s="56">
        <v>50</v>
      </c>
      <c r="G13" s="57">
        <v>25</v>
      </c>
      <c r="H13" s="58">
        <f t="shared" si="5"/>
        <v>4068</v>
      </c>
      <c r="I13" s="66">
        <f t="shared" si="1"/>
        <v>203400</v>
      </c>
      <c r="J13" s="65">
        <v>50</v>
      </c>
      <c r="K13" s="57" t="s">
        <v>69</v>
      </c>
      <c r="L13" s="58">
        <f>+L12</f>
        <v>1624.8</v>
      </c>
      <c r="M13" s="59">
        <f t="shared" si="4"/>
        <v>81240</v>
      </c>
      <c r="N13" s="4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3.25" customHeight="1" x14ac:dyDescent="0.2">
      <c r="A14" s="36"/>
      <c r="B14" s="37">
        <v>8</v>
      </c>
      <c r="C14" s="15"/>
      <c r="D14" s="116" t="s">
        <v>78</v>
      </c>
      <c r="E14" s="55">
        <f t="shared" si="0"/>
        <v>724637.1</v>
      </c>
      <c r="F14" s="56">
        <v>110</v>
      </c>
      <c r="G14" s="57">
        <v>30</v>
      </c>
      <c r="H14" s="58">
        <v>4881.79</v>
      </c>
      <c r="I14" s="66">
        <f t="shared" si="1"/>
        <v>536996.9</v>
      </c>
      <c r="J14" s="65">
        <f>+F14</f>
        <v>110</v>
      </c>
      <c r="K14" s="57" t="s">
        <v>79</v>
      </c>
      <c r="L14" s="58">
        <v>1705.82</v>
      </c>
      <c r="M14" s="59">
        <f t="shared" si="4"/>
        <v>187640.19999999998</v>
      </c>
      <c r="N14" s="4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8.25" x14ac:dyDescent="0.2">
      <c r="A15" s="36"/>
      <c r="B15" s="37">
        <v>9</v>
      </c>
      <c r="C15" s="15"/>
      <c r="D15" s="115" t="s">
        <v>50</v>
      </c>
      <c r="E15" s="55">
        <f t="shared" si="0"/>
        <v>6070406.2449999992</v>
      </c>
      <c r="F15" s="56" t="s">
        <v>80</v>
      </c>
      <c r="G15" s="57" t="s">
        <v>81</v>
      </c>
      <c r="H15" s="60" t="s">
        <v>82</v>
      </c>
      <c r="I15" s="67">
        <f>+(424.7*5291.45)+(383.6*5614.05)</f>
        <v>4400828.3949999996</v>
      </c>
      <c r="J15" s="106">
        <v>435</v>
      </c>
      <c r="K15" s="57" t="s">
        <v>76</v>
      </c>
      <c r="L15" s="58">
        <f>1279.37+2558.74</f>
        <v>3838.1099999999997</v>
      </c>
      <c r="M15" s="59">
        <f t="shared" ref="M15" si="6">+J15*L15</f>
        <v>1669577.8499999999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8.25" x14ac:dyDescent="0.2">
      <c r="A16" s="15"/>
      <c r="B16" s="37">
        <v>10</v>
      </c>
      <c r="C16" s="9"/>
      <c r="D16" s="115" t="s">
        <v>83</v>
      </c>
      <c r="E16" s="40">
        <v>3466000.0870000003</v>
      </c>
      <c r="F16" s="53"/>
      <c r="G16" s="1"/>
      <c r="H16" s="58"/>
      <c r="I16" s="67"/>
      <c r="J16" s="1"/>
      <c r="K16" s="1"/>
      <c r="L16" s="35"/>
      <c r="M16" s="6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1.1" customHeight="1" x14ac:dyDescent="0.2">
      <c r="A17" s="15"/>
      <c r="B17" s="37">
        <v>11</v>
      </c>
      <c r="C17" s="9"/>
      <c r="D17" s="10" t="s">
        <v>84</v>
      </c>
      <c r="E17" s="40">
        <f>4385937.86-524633.71+3090.75+49679.4</f>
        <v>3914074.3000000003</v>
      </c>
      <c r="F17" s="53"/>
      <c r="G17" s="1"/>
      <c r="H17" s="58"/>
      <c r="I17" s="67"/>
      <c r="J17" s="1"/>
      <c r="K17" s="1"/>
      <c r="L17" s="35"/>
      <c r="M17" s="6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7.1" customHeight="1" x14ac:dyDescent="0.2">
      <c r="A18" s="69"/>
      <c r="B18" s="37">
        <v>12</v>
      </c>
      <c r="C18" s="70"/>
      <c r="D18" s="109" t="s">
        <v>121</v>
      </c>
      <c r="E18" s="72">
        <v>3423194.36</v>
      </c>
      <c r="F18" s="56">
        <v>300</v>
      </c>
      <c r="G18" s="57">
        <v>30</v>
      </c>
      <c r="H18" s="58">
        <f>+H8</f>
        <v>5291.45</v>
      </c>
      <c r="I18" s="66">
        <f t="shared" ref="I18:I20" si="7">+F18*H18</f>
        <v>1587435</v>
      </c>
      <c r="J18" s="119" t="s">
        <v>128</v>
      </c>
      <c r="K18" s="107" t="s">
        <v>129</v>
      </c>
      <c r="L18" s="58">
        <f>+(4264.56*375)+(1624.8*300)</f>
        <v>2086650.0000000002</v>
      </c>
      <c r="M18" s="108">
        <f>+L18</f>
        <v>2086650.0000000002</v>
      </c>
      <c r="N18" s="35">
        <f>+I18+M18</f>
        <v>3674085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" customHeight="1" x14ac:dyDescent="0.2">
      <c r="A19" s="69"/>
      <c r="B19" s="37">
        <v>13</v>
      </c>
      <c r="C19" s="70"/>
      <c r="D19" s="71" t="s">
        <v>85</v>
      </c>
      <c r="E19" s="40">
        <v>2000000</v>
      </c>
      <c r="F19" s="53"/>
      <c r="G19" s="1"/>
      <c r="H19" s="58"/>
      <c r="I19" s="67"/>
      <c r="J19" s="1"/>
      <c r="K19" s="1"/>
      <c r="L19" s="35"/>
      <c r="M19" s="6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" customHeight="1" x14ac:dyDescent="0.2">
      <c r="A20" s="110"/>
      <c r="B20" s="37"/>
      <c r="C20" s="111"/>
      <c r="D20" s="112" t="s">
        <v>112</v>
      </c>
      <c r="E20" s="72">
        <f>+I20+M20</f>
        <v>2199428.7400000002</v>
      </c>
      <c r="F20" s="56">
        <v>370</v>
      </c>
      <c r="G20" s="57">
        <v>30</v>
      </c>
      <c r="H20" s="58">
        <f>+H11</f>
        <v>4068</v>
      </c>
      <c r="I20" s="66">
        <f t="shared" si="7"/>
        <v>1505160</v>
      </c>
      <c r="J20" s="65">
        <f>+F20</f>
        <v>370</v>
      </c>
      <c r="K20" s="57" t="s">
        <v>79</v>
      </c>
      <c r="L20" s="113">
        <f>1705.82*1.1</f>
        <v>1876.402</v>
      </c>
      <c r="M20" s="59">
        <f t="shared" ref="M20" si="8">+J20*L20</f>
        <v>694268.74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69"/>
      <c r="B21" s="37">
        <v>14</v>
      </c>
      <c r="C21" s="70"/>
      <c r="D21" s="73" t="s">
        <v>86</v>
      </c>
      <c r="E21" s="72">
        <f t="shared" ref="E21:E24" si="9">+I21</f>
        <v>470345.19000000006</v>
      </c>
      <c r="F21" s="56">
        <f t="shared" ref="F21:F22" si="10">+(100*3.8)</f>
        <v>380</v>
      </c>
      <c r="G21" s="57" t="s">
        <v>87</v>
      </c>
      <c r="H21" s="58">
        <f t="shared" ref="H21:H24" si="11">1178.81*1.05</f>
        <v>1237.7505000000001</v>
      </c>
      <c r="I21" s="67">
        <f t="shared" ref="I21:I24" si="12">+F21*H21</f>
        <v>470345.19000000006</v>
      </c>
      <c r="J21" s="1"/>
      <c r="K21" s="1"/>
      <c r="L21" s="35"/>
      <c r="M21" s="6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69"/>
      <c r="B22" s="37">
        <v>15</v>
      </c>
      <c r="C22" s="70"/>
      <c r="D22" s="73" t="s">
        <v>88</v>
      </c>
      <c r="E22" s="72">
        <f t="shared" si="9"/>
        <v>470345.19000000006</v>
      </c>
      <c r="F22" s="56">
        <f t="shared" si="10"/>
        <v>380</v>
      </c>
      <c r="G22" s="57" t="s">
        <v>87</v>
      </c>
      <c r="H22" s="58">
        <f t="shared" si="11"/>
        <v>1237.7505000000001</v>
      </c>
      <c r="I22" s="67">
        <f t="shared" si="12"/>
        <v>470345.19000000006</v>
      </c>
      <c r="J22" s="1"/>
      <c r="K22" s="1"/>
      <c r="L22" s="35"/>
      <c r="M22" s="6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69"/>
      <c r="B23" s="37">
        <v>16</v>
      </c>
      <c r="C23" s="70"/>
      <c r="D23" s="73" t="s">
        <v>89</v>
      </c>
      <c r="E23" s="72">
        <f t="shared" si="9"/>
        <v>1787311.7220000001</v>
      </c>
      <c r="F23" s="56">
        <f>380*3.8</f>
        <v>1444</v>
      </c>
      <c r="G23" s="57" t="s">
        <v>87</v>
      </c>
      <c r="H23" s="58">
        <f t="shared" si="11"/>
        <v>1237.7505000000001</v>
      </c>
      <c r="I23" s="67">
        <f t="shared" si="12"/>
        <v>1787311.7220000001</v>
      </c>
      <c r="J23" s="1"/>
      <c r="K23" s="1"/>
      <c r="L23" s="1"/>
      <c r="M23" s="5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69"/>
      <c r="B24" s="37">
        <v>17</v>
      </c>
      <c r="C24" s="70"/>
      <c r="D24" s="73" t="s">
        <v>90</v>
      </c>
      <c r="E24" s="72">
        <f t="shared" si="9"/>
        <v>5032693.5330000008</v>
      </c>
      <c r="F24" s="56">
        <f>1070*3.8</f>
        <v>4066</v>
      </c>
      <c r="G24" s="57" t="s">
        <v>87</v>
      </c>
      <c r="H24" s="58">
        <f t="shared" si="11"/>
        <v>1237.7505000000001</v>
      </c>
      <c r="I24" s="67">
        <f t="shared" si="12"/>
        <v>5032693.5330000008</v>
      </c>
      <c r="J24" s="1"/>
      <c r="K24" s="1"/>
      <c r="L24" s="1"/>
      <c r="M24" s="5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69"/>
      <c r="B25" s="37">
        <v>18</v>
      </c>
      <c r="C25" s="70"/>
      <c r="D25" s="73" t="s">
        <v>91</v>
      </c>
      <c r="E25" s="72">
        <v>2600000</v>
      </c>
      <c r="F25" s="56">
        <v>43</v>
      </c>
      <c r="G25" s="57" t="s">
        <v>92</v>
      </c>
      <c r="H25" s="58"/>
      <c r="I25" s="67"/>
      <c r="J25" s="1"/>
      <c r="K25" s="1"/>
      <c r="L25" s="1"/>
      <c r="M25" s="5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69"/>
      <c r="B26" s="37">
        <v>19</v>
      </c>
      <c r="C26" s="70"/>
      <c r="D26" s="73" t="s">
        <v>93</v>
      </c>
      <c r="E26" s="72">
        <f t="shared" ref="E26:E32" si="13">+I26</f>
        <v>2022484.3170000003</v>
      </c>
      <c r="F26" s="56">
        <f>430*3.8</f>
        <v>1634</v>
      </c>
      <c r="G26" s="57" t="s">
        <v>87</v>
      </c>
      <c r="H26" s="58">
        <f>1178.81*1.05</f>
        <v>1237.7505000000001</v>
      </c>
      <c r="I26" s="67">
        <f>+F26*H26</f>
        <v>2022484.3170000003</v>
      </c>
      <c r="J26" s="1"/>
      <c r="K26" s="1"/>
      <c r="L26" s="1"/>
      <c r="M26" s="5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69"/>
      <c r="B27" s="37">
        <v>20</v>
      </c>
      <c r="C27" s="70"/>
      <c r="D27" s="73" t="s">
        <v>94</v>
      </c>
      <c r="E27" s="72">
        <f t="shared" si="13"/>
        <v>1374152.8191176471</v>
      </c>
      <c r="F27" s="56">
        <v>210</v>
      </c>
      <c r="G27" s="57">
        <v>61</v>
      </c>
      <c r="H27" s="58">
        <f>+(444963.77/68)</f>
        <v>6543.5848529411769</v>
      </c>
      <c r="I27" s="67">
        <f>+H27*F27</f>
        <v>1374152.8191176471</v>
      </c>
      <c r="J27" s="1"/>
      <c r="K27" s="1"/>
      <c r="L27" s="1"/>
      <c r="M27" s="5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69"/>
      <c r="B28" s="37">
        <v>21</v>
      </c>
      <c r="C28" s="70"/>
      <c r="D28" s="73" t="s">
        <v>51</v>
      </c>
      <c r="E28" s="72">
        <f t="shared" si="13"/>
        <v>1952716</v>
      </c>
      <c r="F28" s="56">
        <v>400</v>
      </c>
      <c r="G28" s="57">
        <v>30</v>
      </c>
      <c r="H28" s="58">
        <v>4881.79</v>
      </c>
      <c r="I28" s="66">
        <f>+F28*H28</f>
        <v>1952716</v>
      </c>
      <c r="J28" s="65"/>
      <c r="K28" s="57"/>
      <c r="L28" s="58"/>
      <c r="M28" s="5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69"/>
      <c r="B29" s="37">
        <v>22</v>
      </c>
      <c r="C29" s="70"/>
      <c r="D29" s="73" t="s">
        <v>95</v>
      </c>
      <c r="E29" s="72">
        <f t="shared" si="13"/>
        <v>490768.86397058825</v>
      </c>
      <c r="F29" s="56">
        <v>75</v>
      </c>
      <c r="G29" s="57">
        <v>61</v>
      </c>
      <c r="H29" s="58">
        <f>+(444963.77/68)</f>
        <v>6543.5848529411769</v>
      </c>
      <c r="I29" s="67">
        <f t="shared" ref="I29:I32" si="14">+H29*F29</f>
        <v>490768.86397058825</v>
      </c>
      <c r="J29" s="65"/>
      <c r="K29" s="57"/>
      <c r="L29" s="58"/>
      <c r="M29" s="5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69"/>
      <c r="B30" s="37">
        <v>23</v>
      </c>
      <c r="C30" s="70"/>
      <c r="D30" s="73" t="s">
        <v>96</v>
      </c>
      <c r="E30" s="72">
        <f t="shared" si="13"/>
        <v>569520</v>
      </c>
      <c r="F30" s="56">
        <v>140</v>
      </c>
      <c r="G30" s="57">
        <v>25</v>
      </c>
      <c r="H30" s="58">
        <f>+H10</f>
        <v>4068</v>
      </c>
      <c r="I30" s="67">
        <f t="shared" si="14"/>
        <v>569520</v>
      </c>
      <c r="J30" s="65"/>
      <c r="K30" s="57"/>
      <c r="L30" s="58"/>
      <c r="M30" s="5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69"/>
      <c r="B31" s="37"/>
      <c r="C31" s="70"/>
      <c r="D31" s="74" t="s">
        <v>97</v>
      </c>
      <c r="E31" s="72">
        <f t="shared" si="13"/>
        <v>1037340</v>
      </c>
      <c r="F31" s="56">
        <v>255</v>
      </c>
      <c r="G31" s="57">
        <v>25</v>
      </c>
      <c r="H31" s="58">
        <v>4068</v>
      </c>
      <c r="I31" s="67">
        <f t="shared" si="14"/>
        <v>1037340</v>
      </c>
      <c r="J31" s="65"/>
      <c r="K31" s="57"/>
      <c r="L31" s="58"/>
      <c r="M31" s="5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69"/>
      <c r="B32" s="37"/>
      <c r="C32" s="70"/>
      <c r="D32" s="74" t="s">
        <v>52</v>
      </c>
      <c r="E32" s="72">
        <f t="shared" si="13"/>
        <v>1517364</v>
      </c>
      <c r="F32" s="56">
        <v>373</v>
      </c>
      <c r="G32" s="57">
        <v>30</v>
      </c>
      <c r="H32" s="58">
        <v>4068</v>
      </c>
      <c r="I32" s="67">
        <f t="shared" si="14"/>
        <v>1517364</v>
      </c>
      <c r="J32" s="65"/>
      <c r="K32" s="57"/>
      <c r="L32" s="58"/>
      <c r="M32" s="5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69"/>
      <c r="B33" s="37"/>
      <c r="C33" s="70"/>
      <c r="D33" s="75"/>
      <c r="E33" s="72"/>
      <c r="F33" s="56"/>
      <c r="G33" s="57"/>
      <c r="H33" s="58"/>
      <c r="I33" s="67"/>
      <c r="J33" s="65"/>
      <c r="K33" s="57"/>
      <c r="L33" s="58"/>
      <c r="M33" s="5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69"/>
      <c r="B34" s="37"/>
      <c r="C34" s="70"/>
      <c r="D34" s="75"/>
      <c r="E34" s="72"/>
      <c r="F34" s="56"/>
      <c r="G34" s="57"/>
      <c r="H34" s="58"/>
      <c r="I34" s="67"/>
      <c r="J34" s="65"/>
      <c r="K34" s="57"/>
      <c r="L34" s="58"/>
      <c r="M34" s="5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69"/>
      <c r="B35" s="37"/>
      <c r="C35" s="70"/>
      <c r="D35" s="75"/>
      <c r="E35" s="72"/>
      <c r="F35" s="56"/>
      <c r="G35" s="57"/>
      <c r="H35" s="58"/>
      <c r="I35" s="67"/>
      <c r="J35" s="65"/>
      <c r="K35" s="57"/>
      <c r="L35" s="58"/>
      <c r="M35" s="5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69"/>
      <c r="B36" s="37"/>
      <c r="C36" s="70"/>
      <c r="D36" s="75"/>
      <c r="E36" s="72"/>
      <c r="F36" s="56"/>
      <c r="G36" s="57"/>
      <c r="H36" s="58"/>
      <c r="I36" s="67"/>
      <c r="J36" s="65"/>
      <c r="K36" s="57"/>
      <c r="L36" s="58"/>
      <c r="M36" s="5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69"/>
      <c r="B37" s="37"/>
      <c r="C37" s="70"/>
      <c r="D37" s="75"/>
      <c r="E37" s="72"/>
      <c r="F37" s="56"/>
      <c r="G37" s="57"/>
      <c r="H37" s="58"/>
      <c r="I37" s="67"/>
      <c r="J37" s="65"/>
      <c r="K37" s="57"/>
      <c r="L37" s="58"/>
      <c r="M37" s="5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69"/>
      <c r="B38" s="37">
        <v>24</v>
      </c>
      <c r="C38" s="70"/>
      <c r="D38" s="73" t="s">
        <v>98</v>
      </c>
      <c r="E38" s="72">
        <f>+I38</f>
        <v>10770904.851000002</v>
      </c>
      <c r="F38" s="56">
        <f>2290*3.8</f>
        <v>8702</v>
      </c>
      <c r="G38" s="57" t="s">
        <v>87</v>
      </c>
      <c r="H38" s="58">
        <f>1178.81*1.05</f>
        <v>1237.7505000000001</v>
      </c>
      <c r="I38" s="67">
        <f>+F38*H38</f>
        <v>10770904.851000002</v>
      </c>
      <c r="J38" s="1"/>
      <c r="K38" s="1"/>
      <c r="L38" s="1"/>
      <c r="M38" s="5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76">
        <v>2</v>
      </c>
      <c r="B39" s="77"/>
      <c r="C39" s="78"/>
      <c r="D39" s="34" t="s">
        <v>23</v>
      </c>
      <c r="E39" s="79">
        <f>SUM(E40:E42)</f>
        <v>10703790.09</v>
      </c>
      <c r="F39" s="56"/>
      <c r="G39" s="57"/>
      <c r="H39" s="58"/>
      <c r="I39" s="80"/>
      <c r="J39" s="1"/>
      <c r="K39" s="1"/>
      <c r="L39" s="1"/>
      <c r="M39" s="5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36"/>
      <c r="B40" s="37">
        <v>1</v>
      </c>
      <c r="C40" s="10"/>
      <c r="D40" s="81" t="s">
        <v>99</v>
      </c>
      <c r="E40" s="72">
        <f>+I40</f>
        <v>8022817.4500000002</v>
      </c>
      <c r="F40" s="56">
        <v>4945</v>
      </c>
      <c r="G40" s="57">
        <v>25</v>
      </c>
      <c r="H40" s="58">
        <v>1622.41</v>
      </c>
      <c r="I40" s="67">
        <f>+H40*F40</f>
        <v>8022817.4500000002</v>
      </c>
      <c r="J40" s="1"/>
      <c r="K40" s="1"/>
      <c r="L40" s="1"/>
      <c r="M40" s="5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36"/>
      <c r="B41" s="37">
        <v>2</v>
      </c>
      <c r="C41" s="10"/>
      <c r="D41" s="81" t="s">
        <v>100</v>
      </c>
      <c r="E41" s="72">
        <v>680972.64</v>
      </c>
      <c r="F41" s="82"/>
      <c r="G41" s="1"/>
      <c r="H41" s="58"/>
      <c r="I41" s="80"/>
      <c r="J41" s="1"/>
      <c r="K41" s="1"/>
      <c r="L41" s="1"/>
      <c r="M41" s="5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37">
        <v>3</v>
      </c>
      <c r="C42" s="10"/>
      <c r="D42" s="81" t="s">
        <v>101</v>
      </c>
      <c r="E42" s="72">
        <v>2000000</v>
      </c>
      <c r="F42" s="8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5">
    <mergeCell ref="B1:E1"/>
    <mergeCell ref="B2:E2"/>
    <mergeCell ref="B3:E3"/>
    <mergeCell ref="F3:I3"/>
    <mergeCell ref="J3:M3"/>
  </mergeCells>
  <pageMargins left="0.70866141732283472" right="0.70866141732283472" top="0.74803149606299213" bottom="0.74803149606299213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PGO2022 PROPUESTO</vt:lpstr>
      <vt:lpstr>ANEXO DE OBRAS</vt:lpstr>
      <vt:lpstr>ANEXO DE OBRAS </vt:lpstr>
      <vt:lpstr>ANEXO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Gomez Cintora</dc:creator>
  <cp:lastModifiedBy>Wendoly Jaqueline Arriaga Martínez</cp:lastModifiedBy>
  <cp:lastPrinted>2021-12-28T15:22:47Z</cp:lastPrinted>
  <dcterms:created xsi:type="dcterms:W3CDTF">2021-08-18T19:51:23Z</dcterms:created>
  <dcterms:modified xsi:type="dcterms:W3CDTF">2022-09-08T20:44:54Z</dcterms:modified>
</cp:coreProperties>
</file>