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120" yWindow="45" windowWidth="19995" windowHeight="7680"/>
  </bookViews>
  <sheets>
    <sheet name="Cost-Benefit" sheetId="4" r:id="rId1"/>
    <sheet name="Sheet1" sheetId="1" r:id="rId2"/>
    <sheet name="Sheet2" sheetId="2" r:id="rId3"/>
    <sheet name="Sheet3" sheetId="3" r:id="rId4"/>
  </sheets>
  <calcPr calcId="125725"/>
</workbook>
</file>

<file path=xl/calcChain.xml><?xml version="1.0" encoding="utf-8"?>
<calcChain xmlns="http://schemas.openxmlformats.org/spreadsheetml/2006/main">
  <c r="C12" i="4"/>
  <c r="B7"/>
  <c r="C36"/>
  <c r="D36" s="1"/>
  <c r="E19" i="1"/>
  <c r="B8" i="4"/>
  <c r="B24"/>
  <c r="C24"/>
  <c r="D24" s="1"/>
  <c r="E24" s="1"/>
  <c r="B25"/>
  <c r="C25"/>
  <c r="D25" s="1"/>
  <c r="B26"/>
  <c r="C26"/>
  <c r="D26" s="1"/>
  <c r="E26" s="1"/>
  <c r="F26" s="1"/>
  <c r="G26" s="1"/>
  <c r="B38"/>
  <c r="C19" i="1"/>
  <c r="B8"/>
  <c r="B7"/>
  <c r="B6"/>
  <c r="G7"/>
  <c r="G8"/>
  <c r="G9"/>
  <c r="G10"/>
  <c r="G6"/>
  <c r="G5"/>
  <c r="E25" i="4" l="1"/>
  <c r="F25" s="1"/>
  <c r="G25" s="1"/>
  <c r="D28"/>
  <c r="D29" s="1"/>
  <c r="C28"/>
  <c r="C29" s="1"/>
  <c r="B28"/>
  <c r="B41" s="1"/>
  <c r="B42" s="1"/>
  <c r="B29"/>
  <c r="F24"/>
  <c r="E36"/>
  <c r="D37"/>
  <c r="D40"/>
  <c r="D41" s="1"/>
  <c r="C37"/>
  <c r="C9" i="1"/>
  <c r="I10" s="1"/>
  <c r="J10" s="1"/>
  <c r="K10" s="1"/>
  <c r="L10" s="1"/>
  <c r="M10" s="1"/>
  <c r="H10"/>
  <c r="H7"/>
  <c r="I9"/>
  <c r="J9" s="1"/>
  <c r="K9" s="1"/>
  <c r="L9" s="1"/>
  <c r="M9" s="1"/>
  <c r="I8"/>
  <c r="J8" s="1"/>
  <c r="K8" s="1"/>
  <c r="L8" s="1"/>
  <c r="M8" s="1"/>
  <c r="I7"/>
  <c r="J7" s="1"/>
  <c r="K7" s="1"/>
  <c r="L7" s="1"/>
  <c r="M7" s="1"/>
  <c r="I6"/>
  <c r="J6" s="1"/>
  <c r="K6" s="1"/>
  <c r="L6" s="1"/>
  <c r="M6" s="1"/>
  <c r="I5"/>
  <c r="B4"/>
  <c r="H5" s="1"/>
  <c r="B5"/>
  <c r="H6" s="1"/>
  <c r="H8"/>
  <c r="H9"/>
  <c r="E28" i="4" l="1"/>
  <c r="E29" s="1"/>
  <c r="E30" s="1"/>
  <c r="C40"/>
  <c r="C41" s="1"/>
  <c r="D42" s="1"/>
  <c r="D30"/>
  <c r="B40"/>
  <c r="B30"/>
  <c r="C30"/>
  <c r="C38"/>
  <c r="D38"/>
  <c r="F36"/>
  <c r="E37"/>
  <c r="E38" s="1"/>
  <c r="G24"/>
  <c r="G28" s="1"/>
  <c r="G29" s="1"/>
  <c r="F28"/>
  <c r="F29" s="1"/>
  <c r="H14" i="1"/>
  <c r="H27" s="1"/>
  <c r="H28" s="1"/>
  <c r="I14"/>
  <c r="I15" s="1"/>
  <c r="J5"/>
  <c r="J14" s="1"/>
  <c r="E22"/>
  <c r="I22" s="1"/>
  <c r="C42" i="4" l="1"/>
  <c r="E40"/>
  <c r="E41" s="1"/>
  <c r="E42" s="1"/>
  <c r="F45" s="1"/>
  <c r="G30"/>
  <c r="F30"/>
  <c r="G36"/>
  <c r="F37"/>
  <c r="F38" s="1"/>
  <c r="F40"/>
  <c r="F41" s="1"/>
  <c r="K5" i="1"/>
  <c r="K14" s="1"/>
  <c r="J15"/>
  <c r="H29"/>
  <c r="I27"/>
  <c r="I28" s="1"/>
  <c r="I23"/>
  <c r="J22"/>
  <c r="H15"/>
  <c r="H16"/>
  <c r="F42" i="4" l="1"/>
  <c r="F46" s="1"/>
  <c r="G47" s="1"/>
  <c r="G37"/>
  <c r="G38" s="1"/>
  <c r="G40"/>
  <c r="G41" s="1"/>
  <c r="G42" s="1"/>
  <c r="L5" i="1"/>
  <c r="L14" s="1"/>
  <c r="K15"/>
  <c r="I29"/>
  <c r="J27"/>
  <c r="J28" s="1"/>
  <c r="J23"/>
  <c r="J24" s="1"/>
  <c r="K22"/>
  <c r="I24"/>
  <c r="J16"/>
  <c r="I16"/>
  <c r="J29" l="1"/>
  <c r="M5"/>
  <c r="L15"/>
  <c r="L16" s="1"/>
  <c r="K16"/>
  <c r="L22"/>
  <c r="M22" s="1"/>
  <c r="K27"/>
  <c r="K28" s="1"/>
  <c r="K23"/>
  <c r="M14" l="1"/>
  <c r="M15" s="1"/>
  <c r="M16" s="1"/>
  <c r="K29"/>
  <c r="K24"/>
  <c r="L27"/>
  <c r="L28" s="1"/>
  <c r="L29" s="1"/>
  <c r="L23"/>
  <c r="L24" l="1"/>
  <c r="M27"/>
  <c r="M28" s="1"/>
  <c r="M29" s="1"/>
  <c r="M23"/>
  <c r="M24" s="1"/>
</calcChain>
</file>

<file path=xl/sharedStrings.xml><?xml version="1.0" encoding="utf-8"?>
<sst xmlns="http://schemas.openxmlformats.org/spreadsheetml/2006/main" count="99" uniqueCount="66">
  <si>
    <t>Cost Benefit Analysis</t>
  </si>
  <si>
    <t>Total units per category</t>
  </si>
  <si>
    <t>Category</t>
  </si>
  <si>
    <t>Total</t>
  </si>
  <si>
    <t>Total Benefit (Monthly)</t>
  </si>
  <si>
    <t>Server</t>
  </si>
  <si>
    <t>Personnel</t>
  </si>
  <si>
    <t>Development</t>
  </si>
  <si>
    <t>Production</t>
  </si>
  <si>
    <t>Benefit(Monthly)</t>
  </si>
  <si>
    <t>Cost(Monthly)</t>
  </si>
  <si>
    <t>Students</t>
  </si>
  <si>
    <t>Projected Benefits</t>
  </si>
  <si>
    <t>Projected Costs</t>
  </si>
  <si>
    <t>Year 0</t>
  </si>
  <si>
    <t>Year 1</t>
  </si>
  <si>
    <t>Year 2</t>
  </si>
  <si>
    <t>Year 3</t>
  </si>
  <si>
    <t>Year 4</t>
  </si>
  <si>
    <t>Year 5</t>
  </si>
  <si>
    <t>Interest rate</t>
  </si>
  <si>
    <t>Workstation</t>
  </si>
  <si>
    <t>Development Period</t>
  </si>
  <si>
    <t xml:space="preserve">      Production Cost</t>
  </si>
  <si>
    <t xml:space="preserve">      Production Benefit</t>
  </si>
  <si>
    <t>Projected Changes(Annual)</t>
  </si>
  <si>
    <t>Annual Costs</t>
  </si>
  <si>
    <t>NPV of Annual Costs</t>
  </si>
  <si>
    <t>NPV of Cumulative Costs</t>
  </si>
  <si>
    <t>Annual Gross</t>
  </si>
  <si>
    <t>NPV of Annual Gross</t>
  </si>
  <si>
    <t>NPV of Cumulative Gross</t>
  </si>
  <si>
    <t>Annual Net</t>
  </si>
  <si>
    <t>NPV of Annual Net</t>
  </si>
  <si>
    <t>NPV of Cumulative Net</t>
  </si>
  <si>
    <t>Estimated Sales</t>
  </si>
  <si>
    <t>Infrared Sensors</t>
  </si>
  <si>
    <t>Microcontrollers</t>
  </si>
  <si>
    <t>Cabling</t>
  </si>
  <si>
    <t>Revenue per Month</t>
  </si>
  <si>
    <t>Tuition Rate Increase</t>
  </si>
  <si>
    <t>PAYBACK PERIOD in Years (Based on NPV Values):</t>
  </si>
  <si>
    <t>Enter the last year that the NPV of Cumulative Net* was negative (Enter 0,1,2,3, or 4):</t>
  </si>
  <si>
    <t>NPV of Cumulative Net*</t>
  </si>
  <si>
    <t>PROJECTED BENEFITS:</t>
  </si>
  <si>
    <t>Software</t>
  </si>
  <si>
    <t>Hardware</t>
  </si>
  <si>
    <t>PROJECTED COSTS:</t>
  </si>
  <si>
    <t xml:space="preserve">                           Production Benefits:</t>
  </si>
  <si>
    <t xml:space="preserve">                           Production Costs:</t>
  </si>
  <si>
    <t xml:space="preserve">           Projected Changes (Annual)</t>
  </si>
  <si>
    <t xml:space="preserve">           Interest Rate (Annual):</t>
  </si>
  <si>
    <t xml:space="preserve">           Development Period (Months):</t>
  </si>
  <si>
    <t>Scenario Values:</t>
  </si>
  <si>
    <t>BENEFITS (Monthly):</t>
  </si>
  <si>
    <t>system under investigation.</t>
  </si>
  <si>
    <t xml:space="preserve">title should also be revised to identify the </t>
  </si>
  <si>
    <t>need to be revised for other situations.   The</t>
  </si>
  <si>
    <t>COSTS (Monthly):</t>
  </si>
  <si>
    <t>values and incremental values for costs would</t>
  </si>
  <si>
    <t>DECISIONS</t>
  </si>
  <si>
    <t xml:space="preserve">includes the formulas for calculation.  Initial </t>
  </si>
  <si>
    <t xml:space="preserve"> </t>
  </si>
  <si>
    <t>This version of Figure F.3 (text page 276)</t>
  </si>
  <si>
    <t>Cost Benefit Analysis Model</t>
  </si>
  <si>
    <t>Figure F.3</t>
  </si>
</sst>
</file>

<file path=xl/styles.xml><?xml version="1.0" encoding="utf-8"?>
<styleSheet xmlns="http://schemas.openxmlformats.org/spreadsheetml/2006/main">
  <numFmts count="7">
    <numFmt numFmtId="5" formatCode="&quot;$&quot;#,##0_);\(&quot;$&quot;#,##0\)"/>
    <numFmt numFmtId="43" formatCode="_(* #,##0.00_);_(* \(#,##0.00\);_(* &quot;-&quot;??_);_(@_)"/>
    <numFmt numFmtId="164" formatCode="0.0%"/>
    <numFmt numFmtId="165" formatCode="[$PHP]\ #,##0.00"/>
    <numFmt numFmtId="166" formatCode="[$Php-3409]#,##0.00"/>
    <numFmt numFmtId="167" formatCode="0.00_);\(0.00\)"/>
    <numFmt numFmtId="168" formatCode=";;;"/>
  </numFmts>
  <fonts count="1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</font>
    <font>
      <sz val="12"/>
      <name val="Arial"/>
      <family val="2"/>
    </font>
    <font>
      <sz val="10.5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18"/>
      <name val="Arial"/>
      <family val="2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6" fillId="0" borderId="0" applyFont="0" applyFill="0" applyBorder="0" applyAlignment="0" applyProtection="0"/>
    <xf numFmtId="0" fontId="7" fillId="0" borderId="0"/>
  </cellStyleXfs>
  <cellXfs count="69">
    <xf numFmtId="0" fontId="0" fillId="0" borderId="0" xfId="0"/>
    <xf numFmtId="164" fontId="0" fillId="0" borderId="0" xfId="0" applyNumberFormat="1"/>
    <xf numFmtId="164" fontId="0" fillId="0" borderId="0" xfId="0" applyNumberFormat="1" applyFont="1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wrapText="1"/>
    </xf>
    <xf numFmtId="165" fontId="0" fillId="0" borderId="0" xfId="0" applyNumberFormat="1"/>
    <xf numFmtId="0" fontId="3" fillId="0" borderId="0" xfId="0" applyFont="1"/>
    <xf numFmtId="166" fontId="0" fillId="0" borderId="0" xfId="0" applyNumberFormat="1"/>
    <xf numFmtId="166" fontId="0" fillId="0" borderId="1" xfId="0" applyNumberFormat="1" applyBorder="1"/>
    <xf numFmtId="166" fontId="1" fillId="0" borderId="2" xfId="0" applyNumberFormat="1" applyFont="1" applyBorder="1"/>
    <xf numFmtId="0" fontId="4" fillId="0" borderId="0" xfId="0" applyFont="1"/>
    <xf numFmtId="166" fontId="0" fillId="0" borderId="3" xfId="0" applyNumberFormat="1" applyBorder="1"/>
    <xf numFmtId="0" fontId="5" fillId="0" borderId="0" xfId="0" applyFont="1"/>
    <xf numFmtId="2" fontId="5" fillId="0" borderId="0" xfId="0" applyNumberFormat="1" applyFont="1"/>
    <xf numFmtId="167" fontId="5" fillId="0" borderId="0" xfId="0" applyNumberFormat="1" applyFont="1"/>
    <xf numFmtId="0" fontId="5" fillId="0" borderId="0" xfId="0" applyFont="1" applyAlignment="1">
      <alignment horizontal="left" wrapText="1"/>
    </xf>
    <xf numFmtId="0" fontId="5" fillId="0" borderId="0" xfId="0" applyFont="1" applyAlignment="1">
      <alignment wrapText="1"/>
    </xf>
    <xf numFmtId="0" fontId="7" fillId="0" borderId="0" xfId="2"/>
    <xf numFmtId="2" fontId="8" fillId="0" borderId="4" xfId="2" applyNumberFormat="1" applyFont="1" applyBorder="1"/>
    <xf numFmtId="0" fontId="8" fillId="0" borderId="0" xfId="2" applyFont="1"/>
    <xf numFmtId="0" fontId="8" fillId="0" borderId="0" xfId="2" applyFont="1" applyFill="1" applyBorder="1" applyAlignment="1">
      <alignment horizontal="left"/>
    </xf>
    <xf numFmtId="168" fontId="8" fillId="0" borderId="0" xfId="2" applyNumberFormat="1" applyFont="1"/>
    <xf numFmtId="0" fontId="8" fillId="0" borderId="0" xfId="2" applyFont="1" applyBorder="1"/>
    <xf numFmtId="0" fontId="8" fillId="0" borderId="5" xfId="2" applyFont="1" applyBorder="1"/>
    <xf numFmtId="5" fontId="8" fillId="0" borderId="0" xfId="2" applyNumberFormat="1" applyFont="1" applyBorder="1"/>
    <xf numFmtId="0" fontId="8" fillId="0" borderId="0" xfId="2" applyFont="1" applyBorder="1" applyAlignment="1">
      <alignment horizontal="right"/>
    </xf>
    <xf numFmtId="5" fontId="8" fillId="0" borderId="6" xfId="2" applyNumberFormat="1" applyFont="1" applyBorder="1"/>
    <xf numFmtId="0" fontId="8" fillId="0" borderId="6" xfId="2" applyFont="1" applyBorder="1" applyAlignment="1">
      <alignment horizontal="right"/>
    </xf>
    <xf numFmtId="0" fontId="8" fillId="0" borderId="7" xfId="2" applyFont="1" applyBorder="1" applyAlignment="1">
      <alignment horizontal="right"/>
    </xf>
    <xf numFmtId="0" fontId="8" fillId="0" borderId="8" xfId="2" applyFont="1" applyBorder="1" applyAlignment="1">
      <alignment horizontal="right"/>
    </xf>
    <xf numFmtId="37" fontId="8" fillId="0" borderId="9" xfId="2" applyNumberFormat="1" applyFont="1" applyBorder="1"/>
    <xf numFmtId="37" fontId="8" fillId="0" borderId="10" xfId="2" applyNumberFormat="1" applyFont="1" applyBorder="1"/>
    <xf numFmtId="0" fontId="8" fillId="0" borderId="11" xfId="2" applyFont="1" applyBorder="1" applyAlignment="1">
      <alignment horizontal="right"/>
    </xf>
    <xf numFmtId="0" fontId="8" fillId="0" borderId="12" xfId="2" applyFont="1" applyBorder="1" applyAlignment="1">
      <alignment horizontal="center"/>
    </xf>
    <xf numFmtId="0" fontId="8" fillId="0" borderId="1" xfId="2" applyFont="1" applyBorder="1" applyAlignment="1">
      <alignment horizontal="center"/>
    </xf>
    <xf numFmtId="0" fontId="8" fillId="0" borderId="11" xfId="2" applyFont="1" applyBorder="1"/>
    <xf numFmtId="0" fontId="8" fillId="0" borderId="13" xfId="2" applyFont="1" applyBorder="1"/>
    <xf numFmtId="0" fontId="8" fillId="0" borderId="14" xfId="2" applyFont="1" applyBorder="1"/>
    <xf numFmtId="0" fontId="8" fillId="0" borderId="6" xfId="2" applyFont="1" applyBorder="1"/>
    <xf numFmtId="0" fontId="8" fillId="0" borderId="15" xfId="2" applyFont="1" applyBorder="1"/>
    <xf numFmtId="37" fontId="8" fillId="0" borderId="13" xfId="2" applyNumberFormat="1" applyFont="1" applyBorder="1"/>
    <xf numFmtId="37" fontId="8" fillId="0" borderId="0" xfId="2" applyNumberFormat="1" applyFont="1" applyBorder="1"/>
    <xf numFmtId="164" fontId="8" fillId="0" borderId="0" xfId="2" applyNumberFormat="1" applyFont="1" applyBorder="1"/>
    <xf numFmtId="0" fontId="8" fillId="0" borderId="0" xfId="2" applyFont="1" applyBorder="1" applyAlignment="1">
      <alignment horizontal="left"/>
    </xf>
    <xf numFmtId="164" fontId="8" fillId="0" borderId="5" xfId="2" applyNumberFormat="1" applyFont="1" applyBorder="1"/>
    <xf numFmtId="0" fontId="8" fillId="0" borderId="19" xfId="2" applyFont="1" applyBorder="1"/>
    <xf numFmtId="0" fontId="8" fillId="0" borderId="20" xfId="2" applyFont="1" applyBorder="1"/>
    <xf numFmtId="0" fontId="8" fillId="0" borderId="17" xfId="2" applyFont="1" applyBorder="1" applyAlignment="1">
      <alignment horizontal="right"/>
    </xf>
    <xf numFmtId="0" fontId="7" fillId="0" borderId="0" xfId="2" applyAlignment="1">
      <alignment vertical="center"/>
    </xf>
    <xf numFmtId="0" fontId="8" fillId="0" borderId="0" xfId="2" applyFont="1" applyAlignment="1">
      <alignment vertical="center"/>
    </xf>
    <xf numFmtId="0" fontId="10" fillId="0" borderId="0" xfId="2" applyFont="1" applyAlignment="1">
      <alignment vertical="center"/>
    </xf>
    <xf numFmtId="0" fontId="11" fillId="0" borderId="0" xfId="2" applyFont="1"/>
    <xf numFmtId="0" fontId="10" fillId="0" borderId="0" xfId="2" applyFont="1"/>
    <xf numFmtId="10" fontId="0" fillId="0" borderId="0" xfId="0" applyNumberFormat="1"/>
    <xf numFmtId="39" fontId="8" fillId="0" borderId="5" xfId="2" applyNumberFormat="1" applyFont="1" applyBorder="1"/>
    <xf numFmtId="39" fontId="8" fillId="0" borderId="21" xfId="2" applyNumberFormat="1" applyFont="1" applyBorder="1"/>
    <xf numFmtId="39" fontId="8" fillId="0" borderId="22" xfId="2" applyNumberFormat="1" applyFont="1" applyBorder="1"/>
    <xf numFmtId="39" fontId="8" fillId="0" borderId="23" xfId="2" applyNumberFormat="1" applyFont="1" applyBorder="1"/>
    <xf numFmtId="43" fontId="8" fillId="0" borderId="5" xfId="1" applyFont="1" applyBorder="1"/>
    <xf numFmtId="39" fontId="8" fillId="0" borderId="3" xfId="2" applyNumberFormat="1" applyFont="1" applyBorder="1"/>
    <xf numFmtId="0" fontId="9" fillId="0" borderId="0" xfId="2" applyFont="1" applyFill="1" applyBorder="1" applyAlignment="1">
      <alignment horizontal="left"/>
    </xf>
    <xf numFmtId="0" fontId="10" fillId="0" borderId="0" xfId="2" applyFont="1" applyAlignment="1">
      <alignment horizontal="left" vertical="center"/>
    </xf>
    <xf numFmtId="0" fontId="12" fillId="0" borderId="0" xfId="2" applyFont="1" applyAlignment="1">
      <alignment horizontal="left" vertical="center"/>
    </xf>
    <xf numFmtId="0" fontId="8" fillId="0" borderId="11" xfId="2" applyFont="1" applyBorder="1" applyAlignment="1">
      <alignment horizontal="left"/>
    </xf>
    <xf numFmtId="0" fontId="8" fillId="0" borderId="18" xfId="2" applyFont="1" applyBorder="1" applyAlignment="1">
      <alignment horizontal="left"/>
    </xf>
    <xf numFmtId="0" fontId="8" fillId="0" borderId="0" xfId="2" applyFont="1" applyBorder="1" applyAlignment="1">
      <alignment horizontal="left"/>
    </xf>
    <xf numFmtId="0" fontId="8" fillId="0" borderId="17" xfId="2" applyFont="1" applyBorder="1" applyAlignment="1">
      <alignment horizontal="left"/>
    </xf>
    <xf numFmtId="0" fontId="8" fillId="0" borderId="16" xfId="2" applyFont="1" applyBorder="1" applyAlignment="1">
      <alignment horizontal="left"/>
    </xf>
  </cellXfs>
  <cellStyles count="3">
    <cellStyle name="Comma" xfId="1" builtinId="3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48"/>
  <sheetViews>
    <sheetView tabSelected="1" workbookViewId="0">
      <selection sqref="A1:H1"/>
    </sheetView>
  </sheetViews>
  <sheetFormatPr defaultRowHeight="12.75"/>
  <cols>
    <col min="1" max="1" width="26.140625" style="18" customWidth="1"/>
    <col min="2" max="2" width="14.5703125" style="18" bestFit="1" customWidth="1"/>
    <col min="3" max="4" width="16.7109375" style="18" bestFit="1" customWidth="1"/>
    <col min="5" max="5" width="16.7109375" style="18" customWidth="1"/>
    <col min="6" max="7" width="16.7109375" style="18" bestFit="1" customWidth="1"/>
    <col min="8" max="8" width="10.42578125" style="18" customWidth="1"/>
    <col min="9" max="16384" width="9.140625" style="18"/>
  </cols>
  <sheetData>
    <row r="1" spans="1:8" ht="24" customHeight="1">
      <c r="A1" s="62" t="s">
        <v>65</v>
      </c>
      <c r="B1" s="63"/>
      <c r="C1" s="63"/>
      <c r="D1" s="63"/>
      <c r="E1" s="63"/>
      <c r="F1" s="63"/>
      <c r="G1" s="63"/>
      <c r="H1" s="63"/>
    </row>
    <row r="2" spans="1:8" ht="15.75">
      <c r="A2" s="53" t="s">
        <v>64</v>
      </c>
      <c r="B2" s="52"/>
      <c r="C2" s="52"/>
      <c r="D2" s="52"/>
      <c r="E2" s="20" t="s">
        <v>63</v>
      </c>
      <c r="F2" s="20"/>
      <c r="G2" s="20"/>
      <c r="H2" s="20"/>
    </row>
    <row r="3" spans="1:8" ht="15">
      <c r="A3" s="20" t="s">
        <v>62</v>
      </c>
      <c r="B3" s="20"/>
      <c r="C3" s="20"/>
      <c r="D3" s="20"/>
      <c r="E3" s="20" t="s">
        <v>61</v>
      </c>
      <c r="F3" s="20"/>
      <c r="G3" s="20"/>
      <c r="H3" s="20"/>
    </row>
    <row r="4" spans="1:8" s="49" customFormat="1" ht="21" customHeight="1">
      <c r="A4" s="51" t="s">
        <v>60</v>
      </c>
      <c r="B4" s="50"/>
      <c r="C4" s="50"/>
      <c r="D4" s="50"/>
      <c r="E4" s="50" t="s">
        <v>59</v>
      </c>
      <c r="F4" s="50"/>
      <c r="G4" s="50"/>
      <c r="H4" s="50"/>
    </row>
    <row r="5" spans="1:8" ht="15">
      <c r="A5" s="40" t="s">
        <v>58</v>
      </c>
      <c r="B5" s="39"/>
      <c r="C5" s="38"/>
      <c r="D5" s="20"/>
      <c r="E5" s="20" t="s">
        <v>57</v>
      </c>
      <c r="F5" s="20"/>
      <c r="G5" s="20"/>
      <c r="H5" s="20"/>
    </row>
    <row r="6" spans="1:8" ht="15.75" thickBot="1">
      <c r="A6" s="36"/>
      <c r="B6" s="23" t="s">
        <v>7</v>
      </c>
      <c r="C6" s="37" t="s">
        <v>8</v>
      </c>
      <c r="D6" s="20"/>
      <c r="E6" s="20" t="s">
        <v>56</v>
      </c>
      <c r="F6" s="20"/>
      <c r="G6" s="20"/>
      <c r="H6" s="20"/>
    </row>
    <row r="7" spans="1:8" ht="16.5" thickTop="1" thickBot="1">
      <c r="A7" s="33" t="s">
        <v>46</v>
      </c>
      <c r="B7" s="55">
        <f>(30000+20000+(25*500)+(79.3*500)+(6324.5))/12</f>
        <v>9039.5416666666661</v>
      </c>
      <c r="C7" s="55">
        <v>0</v>
      </c>
      <c r="D7" s="20"/>
      <c r="E7" s="20" t="s">
        <v>55</v>
      </c>
      <c r="F7" s="20"/>
      <c r="G7" s="20"/>
      <c r="H7" s="20"/>
    </row>
    <row r="8" spans="1:8" ht="16.5" thickTop="1" thickBot="1">
      <c r="A8" s="33" t="s">
        <v>45</v>
      </c>
      <c r="B8" s="56">
        <f>200000/12</f>
        <v>16666.666666666668</v>
      </c>
      <c r="C8" s="56">
        <v>0</v>
      </c>
      <c r="D8" s="20"/>
      <c r="E8" s="20"/>
      <c r="F8" s="20"/>
      <c r="G8" s="20"/>
    </row>
    <row r="9" spans="1:8" ht="15.75" thickBot="1">
      <c r="A9" s="48" t="s">
        <v>6</v>
      </c>
      <c r="B9" s="57">
        <v>0</v>
      </c>
      <c r="C9" s="58">
        <v>13500</v>
      </c>
      <c r="D9" s="20"/>
      <c r="E9" s="20"/>
      <c r="F9" s="20"/>
      <c r="G9" s="20"/>
    </row>
    <row r="10" spans="1:8" ht="15">
      <c r="A10" s="20"/>
      <c r="B10" s="20"/>
      <c r="C10" s="20"/>
      <c r="D10" s="20"/>
      <c r="E10" s="20"/>
      <c r="F10" s="20"/>
      <c r="G10" s="20"/>
    </row>
    <row r="11" spans="1:8" ht="15.75" thickBot="1">
      <c r="A11" s="20"/>
      <c r="B11" s="20"/>
      <c r="C11" s="20"/>
      <c r="D11" s="20"/>
      <c r="E11" s="20"/>
      <c r="F11" s="20"/>
      <c r="G11" s="20"/>
    </row>
    <row r="12" spans="1:8" ht="16.5" thickTop="1" thickBot="1">
      <c r="A12" s="40" t="s">
        <v>54</v>
      </c>
      <c r="B12" s="47"/>
      <c r="C12" s="59">
        <f>0.015%*8000*200000/12</f>
        <v>20000</v>
      </c>
      <c r="D12" s="20"/>
      <c r="E12" s="20"/>
      <c r="F12" s="20"/>
      <c r="G12" s="20"/>
    </row>
    <row r="13" spans="1:8" ht="16.5" thickTop="1" thickBot="1">
      <c r="A13" s="36" t="s">
        <v>53</v>
      </c>
      <c r="B13" s="23"/>
      <c r="C13" s="46"/>
      <c r="D13" s="20"/>
      <c r="E13" s="20"/>
      <c r="F13" s="20"/>
      <c r="G13" s="20"/>
    </row>
    <row r="14" spans="1:8" ht="16.5" thickTop="1" thickBot="1">
      <c r="A14" s="64" t="s">
        <v>52</v>
      </c>
      <c r="B14" s="65"/>
      <c r="C14" s="24">
        <v>8</v>
      </c>
      <c r="D14" s="20"/>
      <c r="E14" s="20"/>
      <c r="F14" s="20"/>
      <c r="G14" s="20"/>
    </row>
    <row r="15" spans="1:8" ht="16.5" thickTop="1" thickBot="1">
      <c r="A15" s="64" t="s">
        <v>51</v>
      </c>
      <c r="B15" s="65"/>
      <c r="C15" s="45">
        <v>0.05</v>
      </c>
      <c r="D15" s="20"/>
      <c r="E15" s="20"/>
      <c r="F15" s="20"/>
      <c r="G15" s="20"/>
    </row>
    <row r="16" spans="1:8" ht="16.5" thickTop="1" thickBot="1">
      <c r="A16" s="64" t="s">
        <v>50</v>
      </c>
      <c r="B16" s="66"/>
      <c r="C16" s="46"/>
      <c r="D16" s="20"/>
      <c r="E16" s="20"/>
      <c r="F16" s="20"/>
      <c r="G16" s="20"/>
    </row>
    <row r="17" spans="1:7" ht="16.5" thickTop="1" thickBot="1">
      <c r="A17" s="64" t="s">
        <v>49</v>
      </c>
      <c r="B17" s="65"/>
      <c r="C17" s="45">
        <v>0.05</v>
      </c>
      <c r="D17" s="20"/>
      <c r="E17" s="20"/>
      <c r="F17" s="20"/>
      <c r="G17" s="20"/>
    </row>
    <row r="18" spans="1:7" ht="16.5" thickTop="1" thickBot="1">
      <c r="A18" s="67" t="s">
        <v>48</v>
      </c>
      <c r="B18" s="68"/>
      <c r="C18" s="45">
        <v>0.03</v>
      </c>
      <c r="D18" s="20"/>
      <c r="E18" s="20"/>
      <c r="F18" s="20"/>
      <c r="G18" s="20"/>
    </row>
    <row r="19" spans="1:7" ht="15.75" thickTop="1">
      <c r="A19" s="23"/>
      <c r="B19" s="44"/>
      <c r="C19" s="44"/>
      <c r="D19" s="43"/>
      <c r="E19" s="20"/>
      <c r="F19" s="20"/>
      <c r="G19" s="20"/>
    </row>
    <row r="20" spans="1:7" ht="15">
      <c r="A20" s="20"/>
      <c r="B20" s="20"/>
      <c r="C20" s="20"/>
      <c r="D20" s="20"/>
      <c r="E20" s="20"/>
      <c r="F20" s="20"/>
      <c r="G20" s="20"/>
    </row>
    <row r="21" spans="1:7" ht="15">
      <c r="A21" s="40" t="s">
        <v>47</v>
      </c>
      <c r="B21" s="39"/>
      <c r="C21" s="39"/>
      <c r="D21" s="39"/>
      <c r="E21" s="39"/>
      <c r="F21" s="39"/>
      <c r="G21" s="38"/>
    </row>
    <row r="22" spans="1:7" ht="15">
      <c r="A22" s="36"/>
      <c r="B22" s="23"/>
      <c r="C22" s="23"/>
      <c r="D22" s="23"/>
      <c r="E22" s="23"/>
      <c r="F22" s="23"/>
      <c r="G22" s="37"/>
    </row>
    <row r="23" spans="1:7" ht="15">
      <c r="A23" s="36"/>
      <c r="B23" s="35" t="s">
        <v>14</v>
      </c>
      <c r="C23" s="35" t="s">
        <v>15</v>
      </c>
      <c r="D23" s="35" t="s">
        <v>16</v>
      </c>
      <c r="E23" s="35" t="s">
        <v>17</v>
      </c>
      <c r="F23" s="35" t="s">
        <v>18</v>
      </c>
      <c r="G23" s="34" t="s">
        <v>19</v>
      </c>
    </row>
    <row r="24" spans="1:7" ht="15">
      <c r="A24" s="30" t="s">
        <v>46</v>
      </c>
      <c r="B24" s="60">
        <f>B7*C14</f>
        <v>72316.333333333328</v>
      </c>
      <c r="C24" s="60">
        <f>C7*12</f>
        <v>0</v>
      </c>
      <c r="D24" s="60">
        <f>(C17+1)*C24</f>
        <v>0</v>
      </c>
      <c r="E24" s="60">
        <f>(C17+1)*D24</f>
        <v>0</v>
      </c>
      <c r="F24" s="60">
        <f>(C17+1)*E24</f>
        <v>0</v>
      </c>
      <c r="G24" s="60">
        <f>(C17+1)*F24</f>
        <v>0</v>
      </c>
    </row>
    <row r="25" spans="1:7" ht="15">
      <c r="A25" s="30" t="s">
        <v>45</v>
      </c>
      <c r="B25" s="60">
        <f>B8*C14</f>
        <v>133333.33333333334</v>
      </c>
      <c r="C25" s="60">
        <f>C8*12</f>
        <v>0</v>
      </c>
      <c r="D25" s="60">
        <f>(C17+1)*C25</f>
        <v>0</v>
      </c>
      <c r="E25" s="60">
        <f>(C17+1)*D25</f>
        <v>0</v>
      </c>
      <c r="F25" s="60">
        <f>(C17+1)*E25</f>
        <v>0</v>
      </c>
      <c r="G25" s="60">
        <f>(C17+1)*F25</f>
        <v>0</v>
      </c>
    </row>
    <row r="26" spans="1:7" ht="15">
      <c r="A26" s="30" t="s">
        <v>6</v>
      </c>
      <c r="B26" s="60">
        <f>B9*C14</f>
        <v>0</v>
      </c>
      <c r="C26" s="60">
        <f>C9*12</f>
        <v>162000</v>
      </c>
      <c r="D26" s="60">
        <f>(C17+1)*C26</f>
        <v>170100</v>
      </c>
      <c r="E26" s="60">
        <f>(C17+1)*D26</f>
        <v>178605</v>
      </c>
      <c r="F26" s="60">
        <f>(C17+1)*E26</f>
        <v>187535.25</v>
      </c>
      <c r="G26" s="60">
        <f>(C17+1)*F26</f>
        <v>196912.01250000001</v>
      </c>
    </row>
    <row r="27" spans="1:7" ht="15">
      <c r="A27" s="36"/>
      <c r="B27" s="42"/>
      <c r="C27" s="42"/>
      <c r="D27" s="42"/>
      <c r="E27" s="42"/>
      <c r="F27" s="42"/>
      <c r="G27" s="41"/>
    </row>
    <row r="28" spans="1:7" ht="15">
      <c r="A28" s="33" t="s">
        <v>26</v>
      </c>
      <c r="B28" s="60">
        <f t="shared" ref="B28:G28" si="0">SUM(B24:B26)</f>
        <v>205649.66666666669</v>
      </c>
      <c r="C28" s="60">
        <f t="shared" si="0"/>
        <v>162000</v>
      </c>
      <c r="D28" s="60">
        <f t="shared" si="0"/>
        <v>170100</v>
      </c>
      <c r="E28" s="60">
        <f t="shared" si="0"/>
        <v>178605</v>
      </c>
      <c r="F28" s="60">
        <f t="shared" si="0"/>
        <v>187535.25</v>
      </c>
      <c r="G28" s="60">
        <f t="shared" si="0"/>
        <v>196912.01250000001</v>
      </c>
    </row>
    <row r="29" spans="1:7" ht="15">
      <c r="A29" s="33" t="s">
        <v>27</v>
      </c>
      <c r="B29" s="60">
        <f>SUM(B24:B26)</f>
        <v>205649.66666666669</v>
      </c>
      <c r="C29" s="60">
        <f>NPV(C15,C28)</f>
        <v>154285.71428571429</v>
      </c>
      <c r="D29" s="60">
        <f>NPV(C15,0,D28)</f>
        <v>154285.71428571429</v>
      </c>
      <c r="E29" s="60">
        <f>NPV(C15,0,0,E28)</f>
        <v>154285.71428571429</v>
      </c>
      <c r="F29" s="60">
        <f>NPV(C15,0,0,0,F28)</f>
        <v>154285.71428571426</v>
      </c>
      <c r="G29" s="60">
        <f>NPV(C15,0,0,0,0,G28)</f>
        <v>154285.71428571426</v>
      </c>
    </row>
    <row r="30" spans="1:7" ht="15">
      <c r="A30" s="29" t="s">
        <v>28</v>
      </c>
      <c r="B30" s="60">
        <f>B28</f>
        <v>205649.66666666669</v>
      </c>
      <c r="C30" s="60">
        <f>SUM(B29:C29)</f>
        <v>359935.38095238095</v>
      </c>
      <c r="D30" s="60">
        <f>SUM(B29:D29)</f>
        <v>514221.09523809527</v>
      </c>
      <c r="E30" s="60">
        <f>SUM(B29:E29)</f>
        <v>668506.80952380958</v>
      </c>
      <c r="F30" s="60">
        <f>SUM(B29:F29)</f>
        <v>822792.52380952379</v>
      </c>
      <c r="G30" s="60">
        <f>SUM(B29:G29)</f>
        <v>977078.23809523811</v>
      </c>
    </row>
    <row r="31" spans="1:7" ht="15">
      <c r="A31" s="20"/>
      <c r="B31" s="20"/>
      <c r="C31" s="20"/>
      <c r="D31" s="20"/>
      <c r="E31" s="20"/>
      <c r="F31" s="20"/>
      <c r="G31" s="20"/>
    </row>
    <row r="32" spans="1:7" ht="15">
      <c r="A32" s="20"/>
      <c r="B32" s="20"/>
      <c r="C32" s="20"/>
      <c r="D32" s="20"/>
      <c r="E32" s="20"/>
      <c r="F32" s="20"/>
      <c r="G32" s="20"/>
    </row>
    <row r="33" spans="1:7" ht="15">
      <c r="A33" s="40" t="s">
        <v>44</v>
      </c>
      <c r="B33" s="39"/>
      <c r="C33" s="39"/>
      <c r="D33" s="39"/>
      <c r="E33" s="39"/>
      <c r="F33" s="39"/>
      <c r="G33" s="38"/>
    </row>
    <row r="34" spans="1:7" ht="15">
      <c r="A34" s="36"/>
      <c r="B34" s="23"/>
      <c r="C34" s="23"/>
      <c r="D34" s="23"/>
      <c r="E34" s="23"/>
      <c r="F34" s="23"/>
      <c r="G34" s="37"/>
    </row>
    <row r="35" spans="1:7" ht="15">
      <c r="A35" s="36"/>
      <c r="B35" s="35" t="s">
        <v>14</v>
      </c>
      <c r="C35" s="35" t="s">
        <v>15</v>
      </c>
      <c r="D35" s="35" t="s">
        <v>16</v>
      </c>
      <c r="E35" s="35" t="s">
        <v>17</v>
      </c>
      <c r="F35" s="35" t="s">
        <v>18</v>
      </c>
      <c r="G35" s="34" t="s">
        <v>19</v>
      </c>
    </row>
    <row r="36" spans="1:7" ht="15">
      <c r="A36" s="30" t="s">
        <v>29</v>
      </c>
      <c r="B36" s="60">
        <v>0</v>
      </c>
      <c r="C36" s="60">
        <f>C12*12</f>
        <v>240000</v>
      </c>
      <c r="D36" s="60">
        <f>(C18+1)*C36</f>
        <v>247200</v>
      </c>
      <c r="E36" s="60">
        <f>(C18+1)*D36</f>
        <v>254616</v>
      </c>
      <c r="F36" s="60">
        <f>(C18+1)*E36</f>
        <v>262254.48</v>
      </c>
      <c r="G36" s="60">
        <f>(C18+1)*F36</f>
        <v>270122.11439999996</v>
      </c>
    </row>
    <row r="37" spans="1:7" ht="15">
      <c r="A37" s="30" t="s">
        <v>30</v>
      </c>
      <c r="B37" s="60">
        <v>0</v>
      </c>
      <c r="C37" s="60">
        <f>NPV(C15,C36)</f>
        <v>228571.42857142855</v>
      </c>
      <c r="D37" s="60">
        <f>NPV(C15,0,D36)</f>
        <v>224217.68707482991</v>
      </c>
      <c r="E37" s="60">
        <f>NPV(C15,0,0,E36)</f>
        <v>219946.87398769028</v>
      </c>
      <c r="F37" s="60">
        <f>NPV(C15,0,0,0,F36)</f>
        <v>215757.40972125807</v>
      </c>
      <c r="G37" s="60">
        <f>NPV(C15,0,0,0,0,G36)</f>
        <v>211647.74477418643</v>
      </c>
    </row>
    <row r="38" spans="1:7" ht="15">
      <c r="A38" s="30" t="s">
        <v>31</v>
      </c>
      <c r="B38" s="60">
        <f>B37</f>
        <v>0</v>
      </c>
      <c r="C38" s="60">
        <f>SUM(B37:C37)</f>
        <v>228571.42857142855</v>
      </c>
      <c r="D38" s="60">
        <f>SUM(B37:D37)</f>
        <v>452789.11564625846</v>
      </c>
      <c r="E38" s="60">
        <f>SUM(B37:E37)</f>
        <v>672735.98963394878</v>
      </c>
      <c r="F38" s="60">
        <f>SUM(B37:F37)</f>
        <v>888493.39935520687</v>
      </c>
      <c r="G38" s="60">
        <f>SUM(B37:G37)</f>
        <v>1100141.1441293934</v>
      </c>
    </row>
    <row r="39" spans="1:7" ht="15">
      <c r="A39" s="33"/>
      <c r="B39" s="32"/>
      <c r="C39" s="32"/>
      <c r="D39" s="32"/>
      <c r="E39" s="32"/>
      <c r="F39" s="32"/>
      <c r="G39" s="31"/>
    </row>
    <row r="40" spans="1:7" ht="15">
      <c r="A40" s="30" t="s">
        <v>32</v>
      </c>
      <c r="B40" s="60">
        <f t="shared" ref="B40:G40" si="1">B36-B28</f>
        <v>-205649.66666666669</v>
      </c>
      <c r="C40" s="60">
        <f t="shared" si="1"/>
        <v>78000</v>
      </c>
      <c r="D40" s="60">
        <f t="shared" si="1"/>
        <v>77100</v>
      </c>
      <c r="E40" s="60">
        <f t="shared" si="1"/>
        <v>76011</v>
      </c>
      <c r="F40" s="60">
        <f t="shared" si="1"/>
        <v>74719.229999999981</v>
      </c>
      <c r="G40" s="60">
        <f t="shared" si="1"/>
        <v>73210.101899999951</v>
      </c>
    </row>
    <row r="41" spans="1:7" ht="15">
      <c r="A41" s="30" t="s">
        <v>33</v>
      </c>
      <c r="B41" s="60">
        <f>B36-B28</f>
        <v>-205649.66666666669</v>
      </c>
      <c r="C41" s="60">
        <f>NPV(C15,C40)</f>
        <v>74285.714285714275</v>
      </c>
      <c r="D41" s="60">
        <f>NPV(C15, 0,D40)</f>
        <v>69931.972789115636</v>
      </c>
      <c r="E41" s="60">
        <f>NPV(C15,0,0,E40)</f>
        <v>65661.159701976023</v>
      </c>
      <c r="F41" s="60">
        <f>NPV(C15,0,0,0,F40)</f>
        <v>61471.695435543814</v>
      </c>
      <c r="G41" s="60">
        <f>NPV(C15,0,0,0,0,G40)</f>
        <v>57362.030488472199</v>
      </c>
    </row>
    <row r="42" spans="1:7" ht="15">
      <c r="A42" s="29" t="s">
        <v>43</v>
      </c>
      <c r="B42" s="60">
        <f>B41</f>
        <v>-205649.66666666669</v>
      </c>
      <c r="C42" s="60">
        <f>SUM(B41:C41)</f>
        <v>-131363.95238095243</v>
      </c>
      <c r="D42" s="60">
        <f>SUM(B41:D41)</f>
        <v>-61431.979591836789</v>
      </c>
      <c r="E42" s="60">
        <f>SUM(B41:E41)</f>
        <v>4229.1801101392339</v>
      </c>
      <c r="F42" s="60">
        <f>SUM(B41:F41)</f>
        <v>65700.875545683055</v>
      </c>
      <c r="G42" s="60">
        <f>SUM(B41:G41)</f>
        <v>123062.90603415525</v>
      </c>
    </row>
    <row r="43" spans="1:7" ht="15">
      <c r="A43" s="28"/>
      <c r="B43" s="25"/>
      <c r="C43" s="25"/>
      <c r="D43" s="25"/>
      <c r="E43" s="25"/>
      <c r="F43" s="25"/>
      <c r="G43" s="27"/>
    </row>
    <row r="44" spans="1:7" ht="15.75" thickBot="1">
      <c r="A44" s="26"/>
      <c r="B44" s="25"/>
      <c r="C44" s="25"/>
      <c r="D44" s="25"/>
      <c r="E44" s="25"/>
      <c r="F44" s="25"/>
      <c r="G44" s="25"/>
    </row>
    <row r="45" spans="1:7" ht="16.5" thickTop="1" thickBot="1">
      <c r="A45" s="61" t="s">
        <v>42</v>
      </c>
      <c r="B45" s="61"/>
      <c r="C45" s="61"/>
      <c r="D45" s="61"/>
      <c r="E45" s="61"/>
      <c r="F45" s="22">
        <f>IF(G45=1,C42,IF(G45=2, D42, IF(G45=3, E42, IF(G45=4, F42, IF(G45=0, B42, "N/A")))))</f>
        <v>4229.1801101392339</v>
      </c>
      <c r="G45" s="24">
        <v>3</v>
      </c>
    </row>
    <row r="46" spans="1:7" ht="16.5" thickTop="1" thickBot="1">
      <c r="A46" s="21"/>
      <c r="B46" s="21"/>
      <c r="C46" s="21"/>
      <c r="D46" s="21"/>
      <c r="E46" s="23"/>
      <c r="F46" s="22">
        <f>IF(G45=1,D42,IF(G45=2,E42,IF(G45=3,F42,IF(G45=4,G42,IF(G45=0,C42,"N/A")))))</f>
        <v>65700.875545683055</v>
      </c>
      <c r="G46" s="20"/>
    </row>
    <row r="47" spans="1:7" ht="16.5" thickTop="1" thickBot="1">
      <c r="A47" s="21" t="s">
        <v>41</v>
      </c>
      <c r="B47" s="20"/>
      <c r="C47" s="20"/>
      <c r="D47" s="20"/>
      <c r="E47" s="20"/>
      <c r="F47" s="20"/>
      <c r="G47" s="19">
        <f>G45+((ABS(F45)/(ABS(F45)+ABS(F46))))</f>
        <v>3.0604772879197202</v>
      </c>
    </row>
    <row r="48" spans="1:7" ht="13.5" thickTop="1"/>
  </sheetData>
  <mergeCells count="7">
    <mergeCell ref="A45:E45"/>
    <mergeCell ref="A1:H1"/>
    <mergeCell ref="A14:B14"/>
    <mergeCell ref="A15:B15"/>
    <mergeCell ref="A16:B16"/>
    <mergeCell ref="A17:B17"/>
    <mergeCell ref="A18:B18"/>
  </mergeCells>
  <printOptions horizontalCentered="1" verticalCentered="1"/>
  <pageMargins left="0.25" right="0" top="0" bottom="0" header="0.5" footer="0.5"/>
  <pageSetup scale="90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M30"/>
  <sheetViews>
    <sheetView zoomScale="85" zoomScaleNormal="85" workbookViewId="0">
      <selection activeCell="D30" sqref="D30"/>
    </sheetView>
  </sheetViews>
  <sheetFormatPr defaultRowHeight="15"/>
  <cols>
    <col min="1" max="1" width="17.7109375" customWidth="1"/>
    <col min="2" max="2" width="15" customWidth="1"/>
    <col min="3" max="3" width="17.28515625" customWidth="1"/>
    <col min="4" max="4" width="20" bestFit="1" customWidth="1"/>
    <col min="5" max="5" width="19.42578125" customWidth="1"/>
    <col min="6" max="6" width="18.5703125" customWidth="1"/>
    <col min="7" max="7" width="20.85546875" bestFit="1" customWidth="1"/>
    <col min="8" max="8" width="11.5703125" customWidth="1"/>
    <col min="9" max="9" width="12.28515625" customWidth="1"/>
    <col min="10" max="11" width="12.140625" customWidth="1"/>
    <col min="12" max="12" width="12.42578125" customWidth="1"/>
    <col min="13" max="13" width="12.28515625" bestFit="1" customWidth="1"/>
  </cols>
  <sheetData>
    <row r="1" spans="1:13" ht="23.25">
      <c r="A1" s="7" t="s">
        <v>0</v>
      </c>
    </row>
    <row r="2" spans="1:13" ht="33" customHeight="1">
      <c r="C2" s="11" t="s">
        <v>10</v>
      </c>
    </row>
    <row r="3" spans="1:13">
      <c r="B3" t="s">
        <v>7</v>
      </c>
      <c r="C3" t="s">
        <v>8</v>
      </c>
      <c r="G3" s="13" t="s">
        <v>13</v>
      </c>
      <c r="H3" s="13"/>
      <c r="I3" s="13"/>
      <c r="J3" s="13"/>
      <c r="K3" s="13"/>
      <c r="L3" s="13"/>
      <c r="M3" s="13"/>
    </row>
    <row r="4" spans="1:13">
      <c r="A4" t="s">
        <v>5</v>
      </c>
      <c r="B4" s="12">
        <f>30000/12</f>
        <v>2500</v>
      </c>
      <c r="C4" s="12"/>
      <c r="G4" s="13"/>
      <c r="H4" s="13" t="s">
        <v>14</v>
      </c>
      <c r="I4" s="13" t="s">
        <v>15</v>
      </c>
      <c r="J4" s="13" t="s">
        <v>16</v>
      </c>
      <c r="K4" s="13" t="s">
        <v>17</v>
      </c>
      <c r="L4" s="13" t="s">
        <v>18</v>
      </c>
      <c r="M4" s="13" t="s">
        <v>19</v>
      </c>
    </row>
    <row r="5" spans="1:13">
      <c r="A5" t="s">
        <v>21</v>
      </c>
      <c r="B5" s="12">
        <f>20000/12</f>
        <v>1666.6666666666667</v>
      </c>
      <c r="C5" s="12"/>
      <c r="G5" s="13" t="str">
        <f t="shared" ref="G5:G10" si="0">A4</f>
        <v>Server</v>
      </c>
      <c r="H5" s="14">
        <f t="shared" ref="H5:H10" si="1">B4*C$26</f>
        <v>20000</v>
      </c>
      <c r="I5" s="14">
        <f t="shared" ref="I5:I10" si="2">C4*12</f>
        <v>0</v>
      </c>
      <c r="J5" s="14">
        <f>I5*($C$29+1)</f>
        <v>0</v>
      </c>
      <c r="K5" s="14">
        <f t="shared" ref="K5:M5" si="3">J5*($C$29+1)</f>
        <v>0</v>
      </c>
      <c r="L5" s="14">
        <f t="shared" si="3"/>
        <v>0</v>
      </c>
      <c r="M5" s="14">
        <f t="shared" si="3"/>
        <v>0</v>
      </c>
    </row>
    <row r="6" spans="1:13">
      <c r="A6" t="s">
        <v>36</v>
      </c>
      <c r="B6" s="12">
        <f>0.25*500/12</f>
        <v>10.416666666666666</v>
      </c>
      <c r="C6" s="12"/>
      <c r="G6" s="13" t="str">
        <f t="shared" si="0"/>
        <v>Workstation</v>
      </c>
      <c r="H6" s="14">
        <f t="shared" si="1"/>
        <v>13333.333333333334</v>
      </c>
      <c r="I6" s="14">
        <f t="shared" si="2"/>
        <v>0</v>
      </c>
      <c r="J6" s="14">
        <f t="shared" ref="J6:M6" si="4">I6*($C$29+1)</f>
        <v>0</v>
      </c>
      <c r="K6" s="14">
        <f t="shared" si="4"/>
        <v>0</v>
      </c>
      <c r="L6" s="14">
        <f t="shared" si="4"/>
        <v>0</v>
      </c>
      <c r="M6" s="14">
        <f t="shared" si="4"/>
        <v>0</v>
      </c>
    </row>
    <row r="7" spans="1:13">
      <c r="A7" t="s">
        <v>37</v>
      </c>
      <c r="B7" s="12">
        <f>79.3*500/12</f>
        <v>3304.1666666666665</v>
      </c>
      <c r="C7" s="12"/>
      <c r="G7" s="13" t="str">
        <f t="shared" si="0"/>
        <v>Infrared Sensors</v>
      </c>
      <c r="H7" s="14">
        <f t="shared" si="1"/>
        <v>83.333333333333329</v>
      </c>
      <c r="I7" s="14">
        <f t="shared" si="2"/>
        <v>0</v>
      </c>
      <c r="J7" s="14">
        <f t="shared" ref="J7:M7" si="5">I7*($C$29+1)</f>
        <v>0</v>
      </c>
      <c r="K7" s="14">
        <f t="shared" si="5"/>
        <v>0</v>
      </c>
      <c r="L7" s="14">
        <f t="shared" si="5"/>
        <v>0</v>
      </c>
      <c r="M7" s="14">
        <f t="shared" si="5"/>
        <v>0</v>
      </c>
    </row>
    <row r="8" spans="1:13">
      <c r="A8" t="s">
        <v>38</v>
      </c>
      <c r="B8" s="12">
        <f>6324.5/12</f>
        <v>527.04166666666663</v>
      </c>
      <c r="C8" s="12"/>
      <c r="G8" s="13" t="str">
        <f t="shared" si="0"/>
        <v>Microcontrollers</v>
      </c>
      <c r="H8" s="14">
        <f t="shared" si="1"/>
        <v>26433.333333333332</v>
      </c>
      <c r="I8" s="14">
        <f t="shared" si="2"/>
        <v>0</v>
      </c>
      <c r="J8" s="14">
        <f t="shared" ref="J8:M8" si="6">I8*($C$29+1)</f>
        <v>0</v>
      </c>
      <c r="K8" s="14">
        <f t="shared" si="6"/>
        <v>0</v>
      </c>
      <c r="L8" s="14">
        <f t="shared" si="6"/>
        <v>0</v>
      </c>
      <c r="M8" s="14">
        <f t="shared" si="6"/>
        <v>0</v>
      </c>
    </row>
    <row r="9" spans="1:13">
      <c r="A9" t="s">
        <v>6</v>
      </c>
      <c r="B9" s="12"/>
      <c r="C9" s="12">
        <f>450*30</f>
        <v>13500</v>
      </c>
      <c r="G9" s="13" t="str">
        <f t="shared" si="0"/>
        <v>Cabling</v>
      </c>
      <c r="H9" s="14">
        <f t="shared" si="1"/>
        <v>4216.333333333333</v>
      </c>
      <c r="I9" s="14">
        <f t="shared" si="2"/>
        <v>0</v>
      </c>
      <c r="J9" s="14">
        <f t="shared" ref="J9:M9" si="7">I9*($C$29+1)</f>
        <v>0</v>
      </c>
      <c r="K9" s="14">
        <f t="shared" si="7"/>
        <v>0</v>
      </c>
      <c r="L9" s="14">
        <f t="shared" si="7"/>
        <v>0</v>
      </c>
      <c r="M9" s="14">
        <f t="shared" si="7"/>
        <v>0</v>
      </c>
    </row>
    <row r="10" spans="1:13">
      <c r="G10" s="13" t="str">
        <f t="shared" si="0"/>
        <v>Personnel</v>
      </c>
      <c r="H10" s="14">
        <f t="shared" si="1"/>
        <v>0</v>
      </c>
      <c r="I10" s="14">
        <f t="shared" si="2"/>
        <v>162000</v>
      </c>
      <c r="J10" s="14">
        <f t="shared" ref="J10:M10" si="8">I10*($C$29+1)</f>
        <v>168480</v>
      </c>
      <c r="K10" s="14">
        <f t="shared" si="8"/>
        <v>175219.20000000001</v>
      </c>
      <c r="L10" s="14">
        <f t="shared" si="8"/>
        <v>182227.96800000002</v>
      </c>
      <c r="M10" s="14">
        <f t="shared" si="8"/>
        <v>189517.08672000002</v>
      </c>
    </row>
    <row r="11" spans="1:13">
      <c r="G11" s="13"/>
      <c r="H11" s="14"/>
      <c r="I11" s="14"/>
      <c r="J11" s="14"/>
      <c r="K11" s="14"/>
      <c r="L11" s="14"/>
      <c r="M11" s="14"/>
    </row>
    <row r="12" spans="1:13">
      <c r="G12" s="13"/>
      <c r="H12" s="14"/>
      <c r="I12" s="14"/>
      <c r="J12" s="14"/>
      <c r="K12" s="14"/>
      <c r="L12" s="14"/>
      <c r="M12" s="14"/>
    </row>
    <row r="13" spans="1:13" ht="15.75">
      <c r="C13" s="11" t="s">
        <v>9</v>
      </c>
      <c r="G13" s="13"/>
      <c r="H13" s="13"/>
      <c r="I13" s="13"/>
      <c r="J13" s="13"/>
      <c r="K13" s="13"/>
      <c r="L13" s="13"/>
      <c r="M13" s="13"/>
    </row>
    <row r="14" spans="1:13">
      <c r="A14" s="3" t="s">
        <v>11</v>
      </c>
      <c r="G14" s="13" t="s">
        <v>26</v>
      </c>
      <c r="H14" s="14">
        <f>SUM(H5:H10)</f>
        <v>64066.333333333336</v>
      </c>
      <c r="I14" s="14">
        <f t="shared" ref="I14:M14" si="9">SUM(I5:I10)</f>
        <v>162000</v>
      </c>
      <c r="J14" s="14">
        <f t="shared" si="9"/>
        <v>168480</v>
      </c>
      <c r="K14" s="14">
        <f t="shared" si="9"/>
        <v>175219.20000000001</v>
      </c>
      <c r="L14" s="14">
        <f t="shared" si="9"/>
        <v>182227.96800000002</v>
      </c>
      <c r="M14" s="14">
        <f t="shared" si="9"/>
        <v>189517.08672000002</v>
      </c>
    </row>
    <row r="15" spans="1:13">
      <c r="A15" s="4" t="s">
        <v>3</v>
      </c>
      <c r="B15">
        <v>8000</v>
      </c>
      <c r="G15" s="13" t="s">
        <v>27</v>
      </c>
      <c r="H15" s="14">
        <f>H14</f>
        <v>64066.333333333336</v>
      </c>
      <c r="I15" s="14">
        <f>NPV(C27,I14)</f>
        <v>154285.71428571429</v>
      </c>
      <c r="J15" s="14">
        <f>NPV(C27,0,J14)</f>
        <v>152816.32653061222</v>
      </c>
      <c r="K15" s="14">
        <f>NPV(C27,0,0,K14)</f>
        <v>151360.93294460641</v>
      </c>
      <c r="L15" s="14">
        <f>NPV(C27,0,0,0,L14)</f>
        <v>149919.40024989587</v>
      </c>
      <c r="M15" s="14">
        <f>NPV(C27,0,0,0,0,M14)</f>
        <v>148491.59643799209</v>
      </c>
    </row>
    <row r="16" spans="1:13" ht="15" customHeight="1">
      <c r="G16" s="17" t="s">
        <v>28</v>
      </c>
      <c r="H16" s="14">
        <f>H14</f>
        <v>64066.333333333336</v>
      </c>
      <c r="I16" s="14">
        <f>SUM($H15:I15)</f>
        <v>218352.04761904763</v>
      </c>
      <c r="J16" s="14">
        <f>SUM($H15:J15)</f>
        <v>371168.37414965988</v>
      </c>
      <c r="K16" s="14">
        <f>SUM($H15:K15)</f>
        <v>522529.30709426629</v>
      </c>
      <c r="L16" s="14">
        <f>SUM($H15:L15)</f>
        <v>672448.70734416216</v>
      </c>
      <c r="M16" s="14">
        <f>SUM($H15:M15)</f>
        <v>820940.30378215422</v>
      </c>
    </row>
    <row r="17" spans="1:13" ht="15" customHeight="1">
      <c r="A17" s="3" t="s">
        <v>2</v>
      </c>
      <c r="B17" s="5" t="s">
        <v>1</v>
      </c>
      <c r="C17" s="3" t="s">
        <v>35</v>
      </c>
      <c r="D17" s="3" t="s">
        <v>40</v>
      </c>
      <c r="E17" s="5" t="s">
        <v>39</v>
      </c>
      <c r="G17" s="17"/>
      <c r="H17" s="13"/>
      <c r="I17" s="13"/>
      <c r="J17" s="13"/>
      <c r="K17" s="13"/>
      <c r="L17" s="13"/>
      <c r="M17" s="13"/>
    </row>
    <row r="18" spans="1:13">
      <c r="G18" s="13"/>
      <c r="H18" s="13"/>
      <c r="I18" s="13"/>
      <c r="J18" s="13"/>
      <c r="K18" s="13"/>
      <c r="L18" s="13"/>
      <c r="M18" s="13"/>
    </row>
    <row r="19" spans="1:13">
      <c r="A19" t="s">
        <v>11</v>
      </c>
      <c r="B19">
        <v>8000</v>
      </c>
      <c r="C19" s="6">
        <f>B19*200000/12</f>
        <v>133333333.33333333</v>
      </c>
      <c r="D19" s="54">
        <v>1E-4</v>
      </c>
      <c r="E19" s="8">
        <f>D19*C19</f>
        <v>13333.333333333334</v>
      </c>
      <c r="G19" s="13"/>
      <c r="H19" s="13"/>
      <c r="I19" s="13"/>
      <c r="J19" s="13"/>
      <c r="K19" s="13"/>
      <c r="L19" s="13"/>
      <c r="M19" s="13"/>
    </row>
    <row r="20" spans="1:13">
      <c r="C20" s="6"/>
      <c r="D20" s="2"/>
      <c r="E20" s="8"/>
      <c r="G20" s="13" t="s">
        <v>12</v>
      </c>
      <c r="H20" s="13"/>
      <c r="I20" s="13"/>
      <c r="J20" s="13"/>
      <c r="K20" s="13"/>
      <c r="L20" s="13"/>
      <c r="M20" s="13"/>
    </row>
    <row r="21" spans="1:13">
      <c r="C21" s="6"/>
      <c r="D21" s="1"/>
      <c r="E21" s="9"/>
      <c r="G21" s="13"/>
      <c r="H21" s="13" t="s">
        <v>14</v>
      </c>
      <c r="I21" s="13" t="s">
        <v>15</v>
      </c>
      <c r="J21" s="13" t="s">
        <v>16</v>
      </c>
      <c r="K21" s="13" t="s">
        <v>17</v>
      </c>
      <c r="L21" s="13" t="s">
        <v>18</v>
      </c>
      <c r="M21" s="13" t="s">
        <v>19</v>
      </c>
    </row>
    <row r="22" spans="1:13" ht="15.75" thickBot="1">
      <c r="A22" t="s">
        <v>4</v>
      </c>
      <c r="E22" s="10">
        <f>SUM(E19:E21)</f>
        <v>13333.333333333334</v>
      </c>
      <c r="G22" s="13" t="s">
        <v>29</v>
      </c>
      <c r="H22" s="13">
        <v>0</v>
      </c>
      <c r="I22" s="14">
        <f>E22*12</f>
        <v>160000</v>
      </c>
      <c r="J22" s="14">
        <f>I22*($C30+1)</f>
        <v>169600</v>
      </c>
      <c r="K22" s="14">
        <f>J22*($C30+1)</f>
        <v>179776</v>
      </c>
      <c r="L22" s="14">
        <f>K22*($C30+1)</f>
        <v>190562.56</v>
      </c>
      <c r="M22" s="14">
        <f>L22*($C30+1)</f>
        <v>201996.31359999999</v>
      </c>
    </row>
    <row r="23" spans="1:13" ht="15.75" thickTop="1">
      <c r="G23" s="13" t="s">
        <v>30</v>
      </c>
      <c r="H23" s="13">
        <v>0</v>
      </c>
      <c r="I23" s="14">
        <f>NPV(C27,I22)</f>
        <v>152380.95238095237</v>
      </c>
      <c r="J23" s="14">
        <f>NPV(C27,0,J22)</f>
        <v>153832.19954648527</v>
      </c>
      <c r="K23" s="14">
        <f>NPV(C27,0,0,K22)</f>
        <v>155297.26811359465</v>
      </c>
      <c r="L23" s="14">
        <f>NPV(C27,0,0,0,L22)</f>
        <v>156776.28971467647</v>
      </c>
      <c r="M23" s="14">
        <f>NPV(C27,0,0,0,0,M22)</f>
        <v>158269.39723576861</v>
      </c>
    </row>
    <row r="24" spans="1:13" ht="15" customHeight="1">
      <c r="G24" s="16" t="s">
        <v>31</v>
      </c>
      <c r="H24" s="13">
        <v>0</v>
      </c>
      <c r="I24" s="14">
        <f>I23</f>
        <v>152380.95238095237</v>
      </c>
      <c r="J24" s="14">
        <f>SUM($I23:J23)</f>
        <v>306213.15192743763</v>
      </c>
      <c r="K24" s="14">
        <f>SUM($I23:K23)</f>
        <v>461510.42004103225</v>
      </c>
      <c r="L24" s="14">
        <f>SUM($I23:L23)</f>
        <v>618286.7097557087</v>
      </c>
      <c r="M24" s="14">
        <f>SUM($I23:M23)</f>
        <v>776556.10699147731</v>
      </c>
    </row>
    <row r="25" spans="1:13">
      <c r="G25" s="16"/>
      <c r="H25" s="13"/>
      <c r="I25" s="13"/>
      <c r="J25" s="13"/>
      <c r="K25" s="13"/>
      <c r="L25" s="13"/>
      <c r="M25" s="13"/>
    </row>
    <row r="26" spans="1:13">
      <c r="A26" t="s">
        <v>22</v>
      </c>
      <c r="C26">
        <v>8</v>
      </c>
      <c r="G26" s="13"/>
      <c r="H26" s="15"/>
      <c r="I26" s="15"/>
      <c r="J26" s="15"/>
      <c r="K26" s="15"/>
      <c r="L26" s="15"/>
      <c r="M26" s="15"/>
    </row>
    <row r="27" spans="1:13">
      <c r="A27" t="s">
        <v>20</v>
      </c>
      <c r="C27">
        <v>0.05</v>
      </c>
      <c r="G27" s="13" t="s">
        <v>32</v>
      </c>
      <c r="H27" s="15">
        <f>(H22-H14)</f>
        <v>-64066.333333333336</v>
      </c>
      <c r="I27" s="15">
        <f t="shared" ref="I27:M27" si="10">(I22-I14)</f>
        <v>-2000</v>
      </c>
      <c r="J27" s="15">
        <f t="shared" si="10"/>
        <v>1120</v>
      </c>
      <c r="K27" s="15">
        <f t="shared" si="10"/>
        <v>4556.7999999999884</v>
      </c>
      <c r="L27" s="15">
        <f t="shared" si="10"/>
        <v>8334.5919999999751</v>
      </c>
      <c r="M27" s="15">
        <f t="shared" si="10"/>
        <v>12479.226879999973</v>
      </c>
    </row>
    <row r="28" spans="1:13">
      <c r="A28" t="s">
        <v>25</v>
      </c>
      <c r="G28" s="13" t="s">
        <v>33</v>
      </c>
      <c r="H28" s="15">
        <f>NPV(C27,H27)</f>
        <v>-61015.555555555555</v>
      </c>
      <c r="I28" s="15">
        <f>NPV(C27,0,I27)</f>
        <v>-1814.0589569160995</v>
      </c>
      <c r="J28" s="15">
        <f>NPV(C27,0,0,J27)</f>
        <v>967.49811035525306</v>
      </c>
      <c r="K28" s="15">
        <f>NPV(C27,0,0,K27)</f>
        <v>3936.3351689882202</v>
      </c>
      <c r="L28" s="15">
        <f>NPV(C27,0,0,0,L27)</f>
        <v>6856.8894647806001</v>
      </c>
      <c r="M28" s="15">
        <f>NPV(C27,0,0,0,0,M27)</f>
        <v>9777.8007977765246</v>
      </c>
    </row>
    <row r="29" spans="1:13">
      <c r="A29" t="s">
        <v>23</v>
      </c>
      <c r="C29">
        <v>0.04</v>
      </c>
      <c r="G29" s="13" t="s">
        <v>34</v>
      </c>
      <c r="H29" s="15">
        <f>H28</f>
        <v>-61015.555555555555</v>
      </c>
      <c r="I29" s="15">
        <f>SUM($H28:I28)</f>
        <v>-62829.614512471657</v>
      </c>
      <c r="J29" s="15">
        <f>SUM($H28:J28)</f>
        <v>-61862.1164021164</v>
      </c>
      <c r="K29" s="15">
        <f>SUM($H28:K28)</f>
        <v>-57925.781233128182</v>
      </c>
      <c r="L29" s="15">
        <f>SUM($H28:L28)</f>
        <v>-51068.891768347581</v>
      </c>
      <c r="M29" s="15">
        <f>SUM($H28:M28)</f>
        <v>-41291.090970571058</v>
      </c>
    </row>
    <row r="30" spans="1:13">
      <c r="A30" t="s">
        <v>24</v>
      </c>
      <c r="C30">
        <v>0.06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Cost-Benefit</vt:lpstr>
      <vt:lpstr>Sheet1</vt:lpstr>
      <vt:lpstr>Sheet2</vt:lpstr>
      <vt:lpstr>Sheet3</vt:lpstr>
    </vt:vector>
  </TitlesOfParts>
  <Company>Naga City, Philippines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 Allen Dy</dc:creator>
  <cp:lastModifiedBy>Raymond JNC Cruz</cp:lastModifiedBy>
  <cp:lastPrinted>2014-01-29T09:46:26Z</cp:lastPrinted>
  <dcterms:created xsi:type="dcterms:W3CDTF">2014-01-29T09:17:55Z</dcterms:created>
  <dcterms:modified xsi:type="dcterms:W3CDTF">2014-02-21T07:18:24Z</dcterms:modified>
</cp:coreProperties>
</file>