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D:\Мои документы\TASK 0093 - Расчет закладных деталей\WORK\"/>
    </mc:Choice>
  </mc:AlternateContent>
  <bookViews>
    <workbookView xWindow="0" yWindow="1800" windowWidth="28800" windowHeight="13020"/>
  </bookViews>
  <sheets>
    <sheet name="Графики" sheetId="4" r:id="rId1"/>
    <sheet name="Расчетные характеристики" sheetId="2" r:id="rId2"/>
    <sheet name="Сортамент арматуры" sheetId="3" r:id="rId3"/>
    <sheet name="Расчет закладной" sheetId="5" r:id="rId4"/>
  </sheets>
  <definedNames>
    <definedName name="_xlnm.Print_Area" localSheetId="0">Графики!$A$1:$P$227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4" l="1"/>
  <c r="D16" i="4"/>
  <c r="F72" i="4" l="1"/>
  <c r="F76" i="4"/>
  <c r="F77" i="4"/>
  <c r="B43" i="4" l="1"/>
  <c r="C19" i="5" l="1"/>
  <c r="C14" i="5"/>
  <c r="C13" i="5"/>
  <c r="C9" i="5"/>
  <c r="C8" i="5"/>
  <c r="C221" i="5" l="1"/>
  <c r="C216" i="5"/>
  <c r="C198" i="5"/>
  <c r="C200" i="5" s="1"/>
  <c r="I189" i="5"/>
  <c r="C189" i="5"/>
  <c r="C168" i="5"/>
  <c r="C165" i="5"/>
  <c r="O169" i="5" s="1"/>
  <c r="C137" i="5"/>
  <c r="C136" i="5"/>
  <c r="F109" i="5"/>
  <c r="C109" i="5"/>
  <c r="D109" i="5" s="1"/>
  <c r="G101" i="5"/>
  <c r="C101" i="5"/>
  <c r="G58" i="5"/>
  <c r="C55" i="5"/>
  <c r="H48" i="5"/>
  <c r="I48" i="5" s="1"/>
  <c r="G46" i="5"/>
  <c r="H46" i="5" s="1"/>
  <c r="G44" i="5"/>
  <c r="H44" i="5" s="1"/>
  <c r="F44" i="5"/>
  <c r="G42" i="5"/>
  <c r="H42" i="5" s="1"/>
  <c r="F42" i="5"/>
  <c r="C42" i="5"/>
  <c r="G36" i="5"/>
  <c r="H36" i="5" s="1"/>
  <c r="G34" i="5"/>
  <c r="H34" i="5" s="1"/>
  <c r="F34" i="5"/>
  <c r="G32" i="5"/>
  <c r="H32" i="5" s="1"/>
  <c r="G30" i="5"/>
  <c r="F30" i="5"/>
  <c r="C30" i="5"/>
  <c r="D119" i="5" s="1"/>
  <c r="C120" i="5" s="1"/>
  <c r="D70" i="5"/>
  <c r="C20" i="5"/>
  <c r="C108" i="5"/>
  <c r="D74" i="5" l="1"/>
  <c r="B162" i="5" s="1"/>
  <c r="H30" i="5"/>
  <c r="E49" i="5" s="1"/>
  <c r="V24" i="5" s="1"/>
  <c r="C38" i="5"/>
  <c r="D65" i="5" s="1"/>
  <c r="C121" i="5"/>
  <c r="C122" i="5" s="1"/>
  <c r="C123" i="5" s="1"/>
  <c r="L126" i="5" s="1"/>
  <c r="O170" i="5"/>
  <c r="O171" i="5" s="1"/>
  <c r="O172" i="5" s="1"/>
  <c r="E221" i="5"/>
  <c r="C223" i="5" s="1"/>
  <c r="V30" i="5" s="1"/>
  <c r="O214" i="5"/>
  <c r="O215" i="5" s="1"/>
  <c r="O213" i="5"/>
  <c r="C215" i="5" s="1"/>
  <c r="G55" i="5"/>
  <c r="D56" i="5" s="1"/>
  <c r="U25" i="5" s="1"/>
  <c r="D72" i="5"/>
  <c r="O136" i="5"/>
  <c r="C167" i="5"/>
  <c r="C170" i="5" s="1"/>
  <c r="F70" i="5"/>
  <c r="D76" i="5" l="1"/>
  <c r="D78" i="5" s="1"/>
  <c r="D80" i="5" s="1"/>
  <c r="F91" i="5" s="1"/>
  <c r="B131" i="5"/>
  <c r="F74" i="5"/>
  <c r="D222" i="5"/>
  <c r="U30" i="5" s="1"/>
  <c r="F126" i="5"/>
  <c r="D67" i="5"/>
  <c r="C60" i="5"/>
  <c r="V25" i="5" s="1"/>
  <c r="O137" i="5"/>
  <c r="O138" i="5" s="1"/>
  <c r="C139" i="5" s="1"/>
  <c r="C141" i="5" s="1"/>
  <c r="C157" i="5"/>
  <c r="I157" i="5"/>
  <c r="C91" i="5"/>
  <c r="C173" i="5"/>
  <c r="C175" i="5" s="1"/>
  <c r="D84" i="5" l="1"/>
  <c r="U26" i="5" s="1"/>
  <c r="E189" i="5"/>
  <c r="K189" i="5"/>
  <c r="K157" i="5"/>
  <c r="I159" i="5" s="1"/>
  <c r="E157" i="5"/>
  <c r="C159" i="5" s="1"/>
  <c r="V28" i="5" s="1"/>
  <c r="D94" i="5"/>
  <c r="C113" i="5"/>
  <c r="J190" i="5" l="1"/>
  <c r="I191" i="5"/>
  <c r="D190" i="5"/>
  <c r="U29" i="5" s="1"/>
  <c r="C191" i="5"/>
  <c r="V29" i="5" s="1"/>
  <c r="C99" i="5"/>
  <c r="C100" i="5" s="1"/>
  <c r="C103" i="5" s="1"/>
  <c r="D115" i="5" s="1"/>
  <c r="C116" i="5" s="1"/>
  <c r="C126" i="5" s="1"/>
  <c r="G99" i="5"/>
  <c r="G100" i="5" s="1"/>
  <c r="G103" i="5" s="1"/>
  <c r="I113" i="5" s="1"/>
  <c r="J115" i="5" s="1"/>
  <c r="I116" i="5" s="1"/>
  <c r="I126" i="5" s="1"/>
  <c r="C86" i="5"/>
  <c r="V26" i="5" s="1"/>
  <c r="J158" i="5"/>
  <c r="D158" i="5"/>
  <c r="U28" i="5" s="1"/>
  <c r="D127" i="5" l="1"/>
  <c r="U27" i="5" s="1"/>
  <c r="C128" i="5"/>
  <c r="V27" i="5" s="1"/>
  <c r="I128" i="5"/>
  <c r="J127" i="5"/>
  <c r="U31" i="5" l="1"/>
  <c r="G40" i="4"/>
  <c r="C2" i="3" l="1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</calcChain>
</file>

<file path=xl/sharedStrings.xml><?xml version="1.0" encoding="utf-8"?>
<sst xmlns="http://schemas.openxmlformats.org/spreadsheetml/2006/main" count="493" uniqueCount="350">
  <si>
    <t>А240</t>
  </si>
  <si>
    <t>Rs, МПа</t>
  </si>
  <si>
    <t>Rsc, МПа</t>
  </si>
  <si>
    <t>Rsw , МПа</t>
  </si>
  <si>
    <t xml:space="preserve">Rs,ser, МПа </t>
  </si>
  <si>
    <t>Es, Мпа</t>
  </si>
  <si>
    <t xml:space="preserve">  Расчетные характеристики арматуры</t>
  </si>
  <si>
    <t>А400</t>
  </si>
  <si>
    <t>А500</t>
  </si>
  <si>
    <t>А600</t>
  </si>
  <si>
    <t>А600С</t>
  </si>
  <si>
    <t>В500</t>
  </si>
  <si>
    <t>Bp500</t>
  </si>
  <si>
    <t>Бетон</t>
  </si>
  <si>
    <t>Сжатие осевое 
(призменная прочность)</t>
  </si>
  <si>
    <t>Тяжелый и мелкозернистый и напрягающий</t>
  </si>
  <si>
    <t>Легкий</t>
  </si>
  <si>
    <t>Ячеистый</t>
  </si>
  <si>
    <t>Вид сопротивления</t>
  </si>
  <si>
    <t>В1.5</t>
  </si>
  <si>
    <t>В2</t>
  </si>
  <si>
    <t>В5</t>
  </si>
  <si>
    <t>В2.5</t>
  </si>
  <si>
    <t>В3.5</t>
  </si>
  <si>
    <t>В7.5</t>
  </si>
  <si>
    <t>В10</t>
  </si>
  <si>
    <t>В12.5</t>
  </si>
  <si>
    <t>В15</t>
  </si>
  <si>
    <t>В20</t>
  </si>
  <si>
    <t>В25</t>
  </si>
  <si>
    <t>В30</t>
  </si>
  <si>
    <t>В35</t>
  </si>
  <si>
    <t>В40</t>
  </si>
  <si>
    <t>В45</t>
  </si>
  <si>
    <t>В50</t>
  </si>
  <si>
    <t>В55</t>
  </si>
  <si>
    <t>В60</t>
  </si>
  <si>
    <t>В70</t>
  </si>
  <si>
    <t>В80</t>
  </si>
  <si>
    <t>В90</t>
  </si>
  <si>
    <t>В100</t>
  </si>
  <si>
    <t xml:space="preserve">Растяжение осевое </t>
  </si>
  <si>
    <t>Тяжелый</t>
  </si>
  <si>
    <t>Расчётные сопротивления бетона Rb и Rbt (Мпа)</t>
  </si>
  <si>
    <t>Rb</t>
  </si>
  <si>
    <t>Rbt</t>
  </si>
  <si>
    <t>-</t>
  </si>
  <si>
    <t>D (мм)</t>
  </si>
  <si>
    <r>
      <t>As (мм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</t>
    </r>
  </si>
  <si>
    <r>
      <t>As (см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</t>
    </r>
  </si>
  <si>
    <t>Eb (Мпа/1000)</t>
  </si>
  <si>
    <t>Модуль упругости</t>
  </si>
  <si>
    <t>Исходные данные:</t>
  </si>
  <si>
    <t>Класс бетона:</t>
  </si>
  <si>
    <t>Класс арматуры анкера:</t>
  </si>
  <si>
    <t>Марка стали пластины:</t>
  </si>
  <si>
    <t>Расчетные характеристики стали</t>
  </si>
  <si>
    <t>Класс арматуры</t>
  </si>
  <si>
    <t>Марка стали</t>
  </si>
  <si>
    <t>Ru, МПа</t>
  </si>
  <si>
    <t>Ry, MПа</t>
  </si>
  <si>
    <t>Толщина, мм</t>
  </si>
  <si>
    <t>мин.</t>
  </si>
  <si>
    <t>макс.</t>
  </si>
  <si>
    <t>С245 t=2-20мм</t>
  </si>
  <si>
    <t>С245 t=21-30мм</t>
  </si>
  <si>
    <t>С255 t=2-20мм</t>
  </si>
  <si>
    <t>С255 t=21-40мм</t>
  </si>
  <si>
    <t>С345 t=2-20мм</t>
  </si>
  <si>
    <t>С345 t=21-40мм</t>
  </si>
  <si>
    <t>С345 t=41-80мм</t>
  </si>
  <si>
    <t>С345 t=81-100мм</t>
  </si>
  <si>
    <t>С235 t=2-8мм</t>
  </si>
  <si>
    <t>Rs (МПа) =</t>
  </si>
  <si>
    <t>Расчетные характеристики бетона:</t>
  </si>
  <si>
    <r>
      <rPr>
        <sz val="12"/>
        <color theme="1"/>
        <rFont val="Symbol"/>
        <family val="1"/>
        <charset val="2"/>
      </rPr>
      <t>g</t>
    </r>
    <r>
      <rPr>
        <vertAlign val="subscript"/>
        <sz val="10"/>
        <color theme="1"/>
        <rFont val="Arial"/>
        <family val="2"/>
        <charset val="204"/>
      </rPr>
      <t xml:space="preserve">b </t>
    </r>
    <r>
      <rPr>
        <sz val="10"/>
        <color theme="1"/>
        <rFont val="Arial"/>
        <family val="2"/>
        <charset val="204"/>
      </rPr>
      <t>=</t>
    </r>
  </si>
  <si>
    <r>
      <t>Rb*</t>
    </r>
    <r>
      <rPr>
        <sz val="12"/>
        <color theme="1"/>
        <rFont val="Symbol"/>
        <family val="1"/>
        <charset val="2"/>
      </rPr>
      <t>g</t>
    </r>
    <r>
      <rPr>
        <vertAlign val="subscript"/>
        <sz val="10"/>
        <color theme="1"/>
        <rFont val="Arial"/>
        <family val="2"/>
        <charset val="204"/>
      </rPr>
      <t>b</t>
    </r>
    <r>
      <rPr>
        <sz val="10"/>
        <color theme="1"/>
        <rFont val="Arial"/>
        <family val="2"/>
        <charset val="204"/>
      </rPr>
      <t xml:space="preserve"> (МПа) =</t>
    </r>
  </si>
  <si>
    <r>
      <t>Rbt*</t>
    </r>
    <r>
      <rPr>
        <sz val="12"/>
        <color theme="1"/>
        <rFont val="Symbol"/>
        <family val="1"/>
        <charset val="2"/>
      </rPr>
      <t>g</t>
    </r>
    <r>
      <rPr>
        <vertAlign val="subscript"/>
        <sz val="10"/>
        <color theme="1"/>
        <rFont val="Arial"/>
        <family val="2"/>
        <charset val="204"/>
      </rPr>
      <t>b</t>
    </r>
    <r>
      <rPr>
        <sz val="10"/>
        <color theme="1"/>
        <rFont val="Arial"/>
        <family val="2"/>
        <charset val="204"/>
      </rPr>
      <t xml:space="preserve"> (МПа) =</t>
    </r>
  </si>
  <si>
    <t>Расчетные характеристики пластины:</t>
  </si>
  <si>
    <t>Ry (МПа) =</t>
  </si>
  <si>
    <t>Rsq (МПа) = 0,58*Ry =</t>
  </si>
  <si>
    <r>
      <t>A</t>
    </r>
    <r>
      <rPr>
        <vertAlign val="subscript"/>
        <sz val="10"/>
        <color theme="1"/>
        <rFont val="Arial"/>
        <family val="2"/>
        <charset val="204"/>
      </rPr>
      <t>an,1</t>
    </r>
    <r>
      <rPr>
        <sz val="10"/>
        <color theme="1"/>
        <rFont val="Arial"/>
        <family val="2"/>
        <charset val="204"/>
      </rPr>
      <t xml:space="preserve"> (см</t>
    </r>
    <r>
      <rPr>
        <vertAlign val="superscript"/>
        <sz val="10"/>
        <color theme="1"/>
        <rFont val="Arial"/>
        <family val="2"/>
        <charset val="204"/>
      </rPr>
      <t>2</t>
    </r>
    <r>
      <rPr>
        <sz val="10"/>
        <color theme="1"/>
        <rFont val="Arial"/>
        <family val="2"/>
        <charset val="204"/>
      </rPr>
      <t>) =</t>
    </r>
  </si>
  <si>
    <t>Расчетные характеристики арматуры анкеров:</t>
  </si>
  <si>
    <t>Z (мм) =</t>
  </si>
  <si>
    <t>Расстояние между крайними рядами анкеров:</t>
  </si>
  <si>
    <t>n (шт) =</t>
  </si>
  <si>
    <r>
      <t>n</t>
    </r>
    <r>
      <rPr>
        <vertAlign val="subscript"/>
        <sz val="8"/>
        <color theme="1"/>
        <rFont val="Arial"/>
        <family val="2"/>
        <charset val="204"/>
      </rPr>
      <t>an</t>
    </r>
    <r>
      <rPr>
        <sz val="10"/>
        <color theme="1"/>
        <rFont val="Arial"/>
        <family val="2"/>
        <charset val="204"/>
      </rPr>
      <t xml:space="preserve"> (шт) =</t>
    </r>
  </si>
  <si>
    <t>N (кН) =</t>
  </si>
  <si>
    <t>Q (кН) =</t>
  </si>
  <si>
    <r>
      <t>M (кН</t>
    </r>
    <r>
      <rPr>
        <b/>
        <sz val="10"/>
        <color theme="1"/>
        <rFont val="Symbol"/>
        <family val="1"/>
        <charset val="2"/>
      </rPr>
      <t>×</t>
    </r>
    <r>
      <rPr>
        <b/>
        <sz val="10"/>
        <color theme="1"/>
        <rFont val="Arial"/>
        <family val="2"/>
        <charset val="204"/>
      </rPr>
      <t>м) =</t>
    </r>
  </si>
  <si>
    <t>Расчет закладной детали:</t>
  </si>
  <si>
    <r>
      <t>A</t>
    </r>
    <r>
      <rPr>
        <vertAlign val="subscript"/>
        <sz val="10"/>
        <color theme="1"/>
        <rFont val="Arial"/>
        <family val="2"/>
        <charset val="204"/>
      </rPr>
      <t>an,j</t>
    </r>
    <r>
      <rPr>
        <sz val="10"/>
        <color theme="1"/>
        <rFont val="Arial"/>
        <family val="2"/>
        <charset val="204"/>
      </rPr>
      <t xml:space="preserve"> (м</t>
    </r>
    <r>
      <rPr>
        <vertAlign val="superscript"/>
        <sz val="10"/>
        <color theme="1"/>
        <rFont val="Arial"/>
        <family val="2"/>
        <charset val="204"/>
      </rPr>
      <t>2</t>
    </r>
    <r>
      <rPr>
        <sz val="10"/>
        <color theme="1"/>
        <rFont val="Arial"/>
        <family val="2"/>
        <charset val="204"/>
      </rPr>
      <t>) =</t>
    </r>
  </si>
  <si>
    <t xml:space="preserve"> (кН)</t>
  </si>
  <si>
    <r>
      <t>N</t>
    </r>
    <r>
      <rPr>
        <vertAlign val="subscript"/>
        <sz val="11"/>
        <color rgb="FF000000"/>
        <rFont val="Times New Roman"/>
        <family val="1"/>
        <charset val="204"/>
      </rPr>
      <t>an,j,0</t>
    </r>
    <r>
      <rPr>
        <sz val="11"/>
        <color rgb="FF000000"/>
        <rFont val="Times New Roman"/>
        <family val="1"/>
        <charset val="204"/>
      </rPr>
      <t xml:space="preserve"> = Rs A</t>
    </r>
    <r>
      <rPr>
        <vertAlign val="subscript"/>
        <sz val="11"/>
        <color rgb="FF000000"/>
        <rFont val="Times New Roman"/>
        <family val="1"/>
        <charset val="204"/>
      </rPr>
      <t>an,j</t>
    </r>
    <r>
      <rPr>
        <sz val="11"/>
        <color rgb="FF000000"/>
        <rFont val="Times New Roman"/>
        <family val="1"/>
        <charset val="204"/>
      </rPr>
      <t xml:space="preserve"> =</t>
    </r>
  </si>
  <si>
    <t>Наибольшее растягивающее усилие в одном ряду анкеров  (формула (Б.2) [1] ):</t>
  </si>
  <si>
    <t>Предельная растягивающая сила, воспринимаемая одним рядом анкеров (формула (Б.6) [1] ):</t>
  </si>
  <si>
    <t>Сдвигающая сила, воспринимаемая анкерами (формула (Б.5) [1] ):</t>
  </si>
  <si>
    <r>
      <t>N</t>
    </r>
    <r>
      <rPr>
        <vertAlign val="subscript"/>
        <sz val="11"/>
        <color rgb="FF000000"/>
        <rFont val="Times New Roman"/>
        <family val="1"/>
        <charset val="204"/>
      </rPr>
      <t>an,j</t>
    </r>
    <r>
      <rPr>
        <sz val="11"/>
        <color rgb="FF000000"/>
        <rFont val="Times New Roman"/>
        <family val="1"/>
        <charset val="204"/>
      </rPr>
      <t xml:space="preserve"> = M/z + N/n</t>
    </r>
    <r>
      <rPr>
        <vertAlign val="subscript"/>
        <sz val="11"/>
        <color rgb="FF000000"/>
        <rFont val="Times New Roman"/>
        <family val="1"/>
        <charset val="204"/>
      </rPr>
      <t>an</t>
    </r>
    <r>
      <rPr>
        <sz val="11"/>
        <color rgb="FF000000"/>
        <rFont val="Times New Roman"/>
        <family val="1"/>
        <charset val="204"/>
      </rPr>
      <t xml:space="preserve"> = </t>
    </r>
  </si>
  <si>
    <r>
      <t>N'</t>
    </r>
    <r>
      <rPr>
        <vertAlign val="subscript"/>
        <sz val="11"/>
        <color rgb="FF000000"/>
        <rFont val="Times New Roman"/>
        <family val="1"/>
        <charset val="204"/>
      </rPr>
      <t>an</t>
    </r>
    <r>
      <rPr>
        <sz val="11"/>
        <color rgb="FF000000"/>
        <rFont val="Times New Roman"/>
        <family val="1"/>
        <charset val="204"/>
      </rPr>
      <t xml:space="preserve"> = M/z - N/n</t>
    </r>
    <r>
      <rPr>
        <vertAlign val="subscript"/>
        <sz val="11"/>
        <color rgb="FF000000"/>
        <rFont val="Times New Roman"/>
        <family val="1"/>
        <charset val="204"/>
      </rPr>
      <t>an</t>
    </r>
    <r>
      <rPr>
        <sz val="11"/>
        <color rgb="FF000000"/>
        <rFont val="Times New Roman"/>
        <family val="1"/>
        <charset val="204"/>
      </rPr>
      <t xml:space="preserve"> = </t>
    </r>
  </si>
  <si>
    <t>Наибольшее сжимающее усилие в одном ряду анкеров  (формула (Б.4) [1] ):</t>
  </si>
  <si>
    <t>Если Nan,j &lt; 0, то принимаем N'an=N. Если N'an &lt; 0, то принимаем N'an=0.</t>
  </si>
  <si>
    <t>Сдвигающее усилие, приходящееся на один ряд анкеров (формула (Б.3) [1] ):</t>
  </si>
  <si>
    <r>
      <t>Q</t>
    </r>
    <r>
      <rPr>
        <vertAlign val="subscript"/>
        <sz val="11"/>
        <color rgb="FF000000"/>
        <rFont val="Times New Roman"/>
        <family val="1"/>
        <charset val="204"/>
      </rPr>
      <t>an,j</t>
    </r>
    <r>
      <rPr>
        <sz val="11"/>
        <color rgb="FF000000"/>
        <rFont val="Times New Roman"/>
        <family val="1"/>
        <charset val="204"/>
      </rPr>
      <t xml:space="preserve"> = (Q - 0,3 N'</t>
    </r>
    <r>
      <rPr>
        <vertAlign val="subscript"/>
        <sz val="11"/>
        <color rgb="FF000000"/>
        <rFont val="Times New Roman"/>
        <family val="1"/>
        <charset val="204"/>
      </rPr>
      <t>an</t>
    </r>
    <r>
      <rPr>
        <sz val="11"/>
        <color rgb="FF000000"/>
        <rFont val="Times New Roman"/>
        <family val="1"/>
        <charset val="204"/>
      </rPr>
      <t>)/n</t>
    </r>
    <r>
      <rPr>
        <vertAlign val="subscript"/>
        <sz val="11"/>
        <color rgb="FF000000"/>
        <rFont val="Times New Roman"/>
        <family val="1"/>
        <charset val="204"/>
      </rPr>
      <t>an</t>
    </r>
    <r>
      <rPr>
        <sz val="11"/>
        <color rgb="FF000000"/>
        <rFont val="Times New Roman"/>
        <family val="1"/>
        <charset val="204"/>
      </rPr>
      <t xml:space="preserve"> =</t>
    </r>
  </si>
  <si>
    <t>Если Qan,j &lt; 0, то принимаем Qan,j=0.</t>
  </si>
  <si>
    <t>Если Nan,j &lt; 0, то принимаем Nan,j=0.</t>
  </si>
  <si>
    <r>
      <t>Q</t>
    </r>
    <r>
      <rPr>
        <vertAlign val="subscript"/>
        <sz val="11"/>
        <color rgb="FF000000"/>
        <rFont val="Times New Roman"/>
        <family val="1"/>
        <charset val="204"/>
      </rPr>
      <t>an,j</t>
    </r>
    <r>
      <rPr>
        <sz val="11"/>
        <color rgb="FF000000"/>
        <rFont val="Times New Roman"/>
        <family val="1"/>
        <charset val="204"/>
      </rPr>
      <t xml:space="preserve"> / Q</t>
    </r>
    <r>
      <rPr>
        <vertAlign val="subscript"/>
        <sz val="11"/>
        <color rgb="FF000000"/>
        <rFont val="Times New Roman"/>
        <family val="1"/>
        <charset val="204"/>
      </rPr>
      <t>an,j,0</t>
    </r>
    <r>
      <rPr>
        <sz val="11"/>
        <color rgb="FF000000"/>
        <rFont val="Times New Roman"/>
        <family val="1"/>
        <charset val="204"/>
      </rPr>
      <t xml:space="preserve"> + N</t>
    </r>
    <r>
      <rPr>
        <vertAlign val="subscript"/>
        <sz val="11"/>
        <color rgb="FF000000"/>
        <rFont val="Times New Roman"/>
        <family val="1"/>
        <charset val="204"/>
      </rPr>
      <t>an,j</t>
    </r>
    <r>
      <rPr>
        <sz val="11"/>
        <color rgb="FF000000"/>
        <rFont val="Times New Roman"/>
        <family val="1"/>
        <charset val="204"/>
      </rPr>
      <t xml:space="preserve"> / N</t>
    </r>
    <r>
      <rPr>
        <vertAlign val="subscript"/>
        <sz val="11"/>
        <color rgb="FF000000"/>
        <rFont val="Times New Roman"/>
        <family val="1"/>
        <charset val="204"/>
      </rPr>
      <t>an,j,0</t>
    </r>
    <r>
      <rPr>
        <sz val="11"/>
        <color rgb="FF000000"/>
        <rFont val="Times New Roman"/>
        <family val="1"/>
        <charset val="204"/>
      </rPr>
      <t xml:space="preserve"> = </t>
    </r>
  </si>
  <si>
    <t>£</t>
  </si>
  <si>
    <r>
      <t>0,25 d</t>
    </r>
    <r>
      <rPr>
        <vertAlign val="subscript"/>
        <sz val="11"/>
        <color rgb="FF000000"/>
        <rFont val="Times New Roman"/>
        <family val="1"/>
        <charset val="204"/>
      </rPr>
      <t>an</t>
    </r>
    <r>
      <rPr>
        <sz val="11"/>
        <color rgb="FF000000"/>
        <rFont val="Times New Roman"/>
        <family val="1"/>
        <charset val="204"/>
      </rPr>
      <t xml:space="preserve"> Rs/Rsq =</t>
    </r>
  </si>
  <si>
    <r>
      <t>Диаметр анкера d</t>
    </r>
    <r>
      <rPr>
        <vertAlign val="subscript"/>
        <sz val="10"/>
        <color theme="1"/>
        <rFont val="Arial"/>
        <family val="2"/>
        <charset val="204"/>
      </rPr>
      <t>an</t>
    </r>
    <r>
      <rPr>
        <sz val="10"/>
        <color theme="1"/>
        <rFont val="Arial"/>
        <family val="2"/>
        <charset val="204"/>
      </rPr>
      <t xml:space="preserve"> (мм) =</t>
    </r>
  </si>
  <si>
    <t>t (мм) =</t>
  </si>
  <si>
    <t>³</t>
  </si>
  <si>
    <t>(мм)</t>
  </si>
  <si>
    <t>Из условия свариваемости (по таблице 5 [2]):</t>
  </si>
  <si>
    <r>
      <t>0,75 d</t>
    </r>
    <r>
      <rPr>
        <vertAlign val="subscript"/>
        <sz val="11"/>
        <color theme="1"/>
        <rFont val="Arial"/>
        <family val="2"/>
        <charset val="204"/>
      </rPr>
      <t>an</t>
    </r>
    <r>
      <rPr>
        <sz val="11"/>
        <color rgb="FF000000"/>
        <rFont val="Times New Roman"/>
        <family val="1"/>
        <charset val="204"/>
      </rPr>
      <t xml:space="preserve"> =</t>
    </r>
  </si>
  <si>
    <r>
      <t>t</t>
    </r>
    <r>
      <rPr>
        <vertAlign val="subscript"/>
        <sz val="10"/>
        <color theme="1"/>
        <rFont val="Arial"/>
        <family val="2"/>
        <charset val="204"/>
      </rPr>
      <t>min</t>
    </r>
    <r>
      <rPr>
        <sz val="10"/>
        <color theme="1"/>
        <rFont val="Arial"/>
        <family val="2"/>
        <charset val="204"/>
      </rPr>
      <t xml:space="preserve"> =</t>
    </r>
  </si>
  <si>
    <t>Толщина пластины t (мм) =</t>
  </si>
  <si>
    <r>
      <rPr>
        <b/>
        <sz val="10"/>
        <color theme="1"/>
        <rFont val="Arial"/>
        <family val="2"/>
        <charset val="204"/>
      </rPr>
      <t>Принимаем</t>
    </r>
    <r>
      <rPr>
        <b/>
        <sz val="11"/>
        <color theme="1"/>
        <rFont val="Arial"/>
        <family val="2"/>
        <charset val="204"/>
      </rPr>
      <t xml:space="preserve">  N</t>
    </r>
    <r>
      <rPr>
        <b/>
        <vertAlign val="subscript"/>
        <sz val="11"/>
        <color theme="1"/>
        <rFont val="Arial"/>
        <family val="2"/>
        <charset val="204"/>
      </rPr>
      <t>an,j</t>
    </r>
    <r>
      <rPr>
        <b/>
        <sz val="11"/>
        <color theme="1"/>
        <rFont val="Arial"/>
        <family val="2"/>
        <charset val="204"/>
      </rPr>
      <t xml:space="preserve"> =</t>
    </r>
  </si>
  <si>
    <r>
      <rPr>
        <b/>
        <sz val="10"/>
        <color theme="1"/>
        <rFont val="Arial"/>
        <family val="2"/>
        <charset val="204"/>
      </rPr>
      <t>Принимаем</t>
    </r>
    <r>
      <rPr>
        <b/>
        <sz val="11"/>
        <color theme="1"/>
        <rFont val="Arial"/>
        <family val="2"/>
        <charset val="204"/>
      </rPr>
      <t xml:space="preserve">  N'</t>
    </r>
    <r>
      <rPr>
        <b/>
        <vertAlign val="subscript"/>
        <sz val="11"/>
        <color theme="1"/>
        <rFont val="Arial"/>
        <family val="2"/>
        <charset val="204"/>
      </rPr>
      <t>an</t>
    </r>
    <r>
      <rPr>
        <b/>
        <sz val="11"/>
        <color theme="1"/>
        <rFont val="Arial"/>
        <family val="2"/>
        <charset val="204"/>
      </rPr>
      <t xml:space="preserve"> =</t>
    </r>
  </si>
  <si>
    <r>
      <rPr>
        <b/>
        <sz val="10"/>
        <color theme="1"/>
        <rFont val="Arial"/>
        <family val="2"/>
        <charset val="204"/>
      </rPr>
      <t>Принимаем</t>
    </r>
    <r>
      <rPr>
        <b/>
        <sz val="11"/>
        <color theme="1"/>
        <rFont val="Arial"/>
        <family val="2"/>
        <charset val="204"/>
      </rPr>
      <t xml:space="preserve">  Q</t>
    </r>
    <r>
      <rPr>
        <b/>
        <vertAlign val="subscript"/>
        <sz val="11"/>
        <color theme="1"/>
        <rFont val="Arial"/>
        <family val="2"/>
        <charset val="204"/>
      </rPr>
      <t>an,j</t>
    </r>
    <r>
      <rPr>
        <b/>
        <sz val="11"/>
        <color theme="1"/>
        <rFont val="Arial"/>
        <family val="2"/>
        <charset val="204"/>
      </rPr>
      <t xml:space="preserve"> =</t>
    </r>
  </si>
  <si>
    <t>3. Проверка прочности бетона (по [2]):</t>
  </si>
  <si>
    <t>Растягивающие и сдвигающие усилия в одном анкерном стержне:</t>
  </si>
  <si>
    <t>Для заделки в растянутой зоне бетона:</t>
  </si>
  <si>
    <t>Для заделки в сжатой зоне бетона:</t>
  </si>
  <si>
    <t>По таблице 4 [2]:</t>
  </si>
  <si>
    <r>
      <rPr>
        <sz val="12"/>
        <color theme="1"/>
        <rFont val="Symbol"/>
        <family val="1"/>
        <charset val="2"/>
      </rPr>
      <t>w</t>
    </r>
    <r>
      <rPr>
        <sz val="11"/>
        <color theme="1"/>
        <rFont val="Arial"/>
        <family val="2"/>
        <charset val="204"/>
      </rPr>
      <t xml:space="preserve"> =</t>
    </r>
  </si>
  <si>
    <r>
      <rPr>
        <sz val="11"/>
        <color theme="1"/>
        <rFont val="Symbol"/>
        <family val="1"/>
        <charset val="2"/>
      </rPr>
      <t>Dl</t>
    </r>
    <r>
      <rPr>
        <sz val="11"/>
        <color theme="1"/>
        <rFont val="Arial"/>
        <family val="2"/>
        <charset val="204"/>
      </rPr>
      <t xml:space="preserve"> =</t>
    </r>
  </si>
  <si>
    <r>
      <t>N</t>
    </r>
    <r>
      <rPr>
        <b/>
        <vertAlign val="subscript"/>
        <sz val="10"/>
        <color theme="1"/>
        <rFont val="Arial"/>
        <family val="2"/>
        <charset val="204"/>
      </rPr>
      <t>an1</t>
    </r>
    <r>
      <rPr>
        <b/>
        <sz val="10"/>
        <color theme="1"/>
        <rFont val="Arial"/>
        <family val="2"/>
        <charset val="204"/>
      </rPr>
      <t xml:space="preserve"> (кН) =</t>
    </r>
  </si>
  <si>
    <r>
      <t>Q</t>
    </r>
    <r>
      <rPr>
        <b/>
        <vertAlign val="subscript"/>
        <sz val="10"/>
        <color theme="1"/>
        <rFont val="Arial"/>
        <family val="2"/>
        <charset val="204"/>
      </rPr>
      <t>an1</t>
    </r>
    <r>
      <rPr>
        <b/>
        <sz val="10"/>
        <color theme="1"/>
        <rFont val="Arial"/>
        <family val="2"/>
        <charset val="204"/>
      </rPr>
      <t xml:space="preserve"> (кН) =</t>
    </r>
  </si>
  <si>
    <r>
      <t>l</t>
    </r>
    <r>
      <rPr>
        <vertAlign val="subscript"/>
        <sz val="10"/>
        <color theme="1"/>
        <rFont val="Arial"/>
        <family val="2"/>
        <charset val="204"/>
      </rPr>
      <t>an</t>
    </r>
    <r>
      <rPr>
        <sz val="10"/>
        <color theme="1"/>
        <rFont val="Arial"/>
        <family val="2"/>
        <charset val="204"/>
      </rPr>
      <t xml:space="preserve"> (мм) =</t>
    </r>
  </si>
  <si>
    <t>lan (мм) не менее =</t>
  </si>
  <si>
    <t>lan (мм) не менее 20d =</t>
  </si>
  <si>
    <t>lan (мм) не менее 12d =</t>
  </si>
  <si>
    <t>Принимаем lan (мм) =</t>
  </si>
  <si>
    <t>Коэффициент исп. арматуры</t>
  </si>
  <si>
    <t>3.1. Проверка смятия бетона под пластинами усиления (по п.4.12 [2]):</t>
  </si>
  <si>
    <t>Толщина пластины усиления анкеров:</t>
  </si>
  <si>
    <t>Длина пластины усиления анкеров:</t>
  </si>
  <si>
    <t>принимается не менее 0,2Lpl</t>
  </si>
  <si>
    <r>
      <t>t</t>
    </r>
    <r>
      <rPr>
        <vertAlign val="subscript"/>
        <sz val="10"/>
        <color theme="1"/>
        <rFont val="Arial"/>
        <family val="2"/>
        <charset val="204"/>
      </rPr>
      <t>pl</t>
    </r>
    <r>
      <rPr>
        <sz val="10"/>
        <color theme="1"/>
        <rFont val="Arial"/>
        <family val="2"/>
        <charset val="204"/>
      </rPr>
      <t xml:space="preserve"> (мм) =</t>
    </r>
  </si>
  <si>
    <r>
      <t>L</t>
    </r>
    <r>
      <rPr>
        <vertAlign val="subscript"/>
        <sz val="10"/>
        <color theme="1"/>
        <rFont val="Arial"/>
        <family val="2"/>
        <charset val="204"/>
      </rPr>
      <t>pl</t>
    </r>
    <r>
      <rPr>
        <sz val="10"/>
        <color theme="1"/>
        <rFont val="Arial"/>
        <family val="2"/>
        <charset val="204"/>
      </rPr>
      <t xml:space="preserve"> (мм) =</t>
    </r>
  </si>
  <si>
    <t>Длина анкера (в свету между пластинами):</t>
  </si>
  <si>
    <t>La (мм) =</t>
  </si>
  <si>
    <r>
      <t>принимается не менее 10d</t>
    </r>
    <r>
      <rPr>
        <i/>
        <vertAlign val="subscript"/>
        <sz val="10"/>
        <rFont val="Arial"/>
        <family val="2"/>
        <charset val="204"/>
      </rPr>
      <t>an</t>
    </r>
  </si>
  <si>
    <t>Площадь смятия:</t>
  </si>
  <si>
    <r>
      <t>Aloc (м</t>
    </r>
    <r>
      <rPr>
        <vertAlign val="superscript"/>
        <sz val="10"/>
        <color theme="1"/>
        <rFont val="Arial"/>
        <family val="2"/>
        <charset val="204"/>
      </rPr>
      <t>2</t>
    </r>
    <r>
      <rPr>
        <sz val="10"/>
        <color theme="1"/>
        <rFont val="Arial"/>
        <family val="2"/>
        <charset val="204"/>
      </rPr>
      <t>) = An - Aan1 =</t>
    </r>
  </si>
  <si>
    <t>Локальная сила на усиление анкера Nloc:</t>
  </si>
  <si>
    <r>
      <t xml:space="preserve">Для La </t>
    </r>
    <r>
      <rPr>
        <sz val="10"/>
        <color theme="1"/>
        <rFont val="Symbol"/>
        <family val="1"/>
        <charset val="2"/>
      </rPr>
      <t>³</t>
    </r>
    <r>
      <rPr>
        <sz val="10"/>
        <color theme="1"/>
        <rFont val="Arial"/>
        <family val="2"/>
        <charset val="204"/>
      </rPr>
      <t xml:space="preserve"> 15d:</t>
    </r>
  </si>
  <si>
    <r>
      <t>Требуемая длина анкеровки l</t>
    </r>
    <r>
      <rPr>
        <vertAlign val="subscript"/>
        <sz val="10"/>
        <color theme="1"/>
        <rFont val="Arial"/>
        <family val="2"/>
        <charset val="204"/>
      </rPr>
      <t>an</t>
    </r>
    <r>
      <rPr>
        <sz val="10"/>
        <color theme="1"/>
        <rFont val="Arial"/>
        <family val="2"/>
        <charset val="204"/>
      </rPr>
      <t xml:space="preserve"> арматурного стержня периодического профиля без усиления (п.5.7 [2]):</t>
    </r>
  </si>
  <si>
    <t>(формула 62 [2])</t>
  </si>
  <si>
    <t>(ф. 42 [2])</t>
  </si>
  <si>
    <t>(ф. 43 [2])</t>
  </si>
  <si>
    <t>Для La &lt; 15d:</t>
  </si>
  <si>
    <r>
      <t>Nloc (кН) = N</t>
    </r>
    <r>
      <rPr>
        <vertAlign val="subscript"/>
        <sz val="10"/>
        <color theme="1"/>
        <rFont val="Arial"/>
        <family val="2"/>
        <charset val="204"/>
      </rPr>
      <t>an1</t>
    </r>
    <r>
      <rPr>
        <sz val="10"/>
        <color theme="1"/>
        <rFont val="Arial"/>
        <family val="2"/>
        <charset val="204"/>
      </rPr>
      <t xml:space="preserve"> =</t>
    </r>
  </si>
  <si>
    <r>
      <t>Nloc (кН) = N</t>
    </r>
    <r>
      <rPr>
        <vertAlign val="subscript"/>
        <sz val="10"/>
        <color theme="1"/>
        <rFont val="Arial"/>
        <family val="2"/>
        <charset val="204"/>
      </rPr>
      <t>an1</t>
    </r>
    <r>
      <rPr>
        <sz val="10"/>
        <color theme="1"/>
        <rFont val="Arial"/>
        <family val="2"/>
        <charset val="204"/>
      </rPr>
      <t xml:space="preserve"> (Lan-La)/Lan =</t>
    </r>
  </si>
  <si>
    <t>15d (мм)=</t>
  </si>
  <si>
    <r>
      <t>Nloc (кН) = Nloc + Q</t>
    </r>
    <r>
      <rPr>
        <vertAlign val="subscript"/>
        <sz val="10"/>
        <color theme="1"/>
        <rFont val="Arial"/>
        <family val="2"/>
        <charset val="204"/>
      </rPr>
      <t>an1</t>
    </r>
    <r>
      <rPr>
        <sz val="10"/>
        <color theme="1"/>
        <rFont val="Arial"/>
        <family val="2"/>
        <charset val="204"/>
      </rPr>
      <t xml:space="preserve"> (15d-La)/Lan=</t>
    </r>
  </si>
  <si>
    <t>Принимаем Nloc (кН)=</t>
  </si>
  <si>
    <t>Расчетное сопротивление бетона смятию (по п.8.144 [1])</t>
  </si>
  <si>
    <r>
      <t>φ</t>
    </r>
    <r>
      <rPr>
        <vertAlign val="subscript"/>
        <sz val="12"/>
        <color rgb="FF000000"/>
        <rFont val="Times New Roman"/>
        <family val="1"/>
        <charset val="204"/>
      </rPr>
      <t>b</t>
    </r>
    <r>
      <rPr>
        <sz val="12"/>
        <color rgb="FF000000"/>
        <rFont val="Times New Roman"/>
        <family val="1"/>
        <charset val="204"/>
      </rPr>
      <t xml:space="preserve"> = 0,8</t>
    </r>
    <r>
      <rPr>
        <sz val="12"/>
        <color rgb="FF000000"/>
        <rFont val="Symbol"/>
        <family val="1"/>
        <charset val="2"/>
      </rPr>
      <t>Ö(</t>
    </r>
    <r>
      <rPr>
        <sz val="12"/>
        <color rgb="FF000000"/>
        <rFont val="Times New Roman"/>
        <family val="1"/>
        <charset val="204"/>
      </rPr>
      <t>A</t>
    </r>
    <r>
      <rPr>
        <vertAlign val="subscript"/>
        <sz val="12"/>
        <color rgb="FF000000"/>
        <rFont val="Times New Roman"/>
        <family val="1"/>
        <charset val="204"/>
      </rPr>
      <t>b,max</t>
    </r>
    <r>
      <rPr>
        <sz val="12"/>
        <color rgb="FF000000"/>
        <rFont val="Times New Roman"/>
        <family val="1"/>
        <charset val="204"/>
      </rPr>
      <t>/A</t>
    </r>
    <r>
      <rPr>
        <vertAlign val="subscript"/>
        <sz val="12"/>
        <color rgb="FF000000"/>
        <rFont val="Times New Roman"/>
        <family val="1"/>
        <charset val="204"/>
      </rPr>
      <t>loc</t>
    </r>
    <r>
      <rPr>
        <sz val="12"/>
        <color rgb="FF000000"/>
        <rFont val="Times New Roman"/>
        <family val="1"/>
        <charset val="204"/>
      </rPr>
      <t>)</t>
    </r>
    <r>
      <rPr>
        <vertAlign val="subscript"/>
        <sz val="12"/>
        <color rgb="FF000000"/>
        <rFont val="Times New Roman"/>
        <family val="1"/>
        <charset val="204"/>
      </rPr>
      <t xml:space="preserve"> =</t>
    </r>
  </si>
  <si>
    <r>
      <t>A</t>
    </r>
    <r>
      <rPr>
        <vertAlign val="subscript"/>
        <sz val="10"/>
        <color theme="1"/>
        <rFont val="Arial"/>
        <family val="2"/>
        <charset val="204"/>
      </rPr>
      <t>b,max</t>
    </r>
    <r>
      <rPr>
        <sz val="10"/>
        <color theme="1"/>
        <rFont val="Arial"/>
        <family val="2"/>
        <charset val="204"/>
      </rPr>
      <t xml:space="preserve"> (м2) =</t>
    </r>
  </si>
  <si>
    <t>Расстояние между анкерами (мм)=</t>
  </si>
  <si>
    <r>
      <t>a</t>
    </r>
    <r>
      <rPr>
        <vertAlign val="subscript"/>
        <sz val="10"/>
        <color theme="1"/>
        <rFont val="Arial"/>
        <family val="2"/>
        <charset val="204"/>
      </rPr>
      <t>b,max</t>
    </r>
    <r>
      <rPr>
        <sz val="10"/>
        <color theme="1"/>
        <rFont val="Arial"/>
        <family val="2"/>
        <charset val="204"/>
      </rPr>
      <t xml:space="preserve"> (мм) =</t>
    </r>
  </si>
  <si>
    <t>(ф.8.82 [1]) но не менее 1,0 и не более 2,5</t>
  </si>
  <si>
    <t>(ф. 8.81 [1])</t>
  </si>
  <si>
    <t>Условие смятия (по ф.41 [2] с учетом требований п.8.1.44 [1]):</t>
  </si>
  <si>
    <r>
      <t>Принимаем N</t>
    </r>
    <r>
      <rPr>
        <b/>
        <vertAlign val="subscript"/>
        <sz val="10"/>
        <color theme="1"/>
        <rFont val="Arial"/>
        <family val="2"/>
        <charset val="204"/>
      </rPr>
      <t>loc</t>
    </r>
    <r>
      <rPr>
        <b/>
        <sz val="10"/>
        <color theme="1"/>
        <rFont val="Arial"/>
        <family val="2"/>
        <charset val="204"/>
      </rPr>
      <t xml:space="preserve"> (кН)=</t>
    </r>
  </si>
  <si>
    <r>
      <t>N</t>
    </r>
    <r>
      <rPr>
        <vertAlign val="subscript"/>
        <sz val="10"/>
        <color theme="1"/>
        <rFont val="Arial"/>
        <family val="2"/>
        <charset val="204"/>
      </rPr>
      <t>loc</t>
    </r>
    <r>
      <rPr>
        <sz val="10"/>
        <color theme="1"/>
        <rFont val="Arial"/>
        <family val="2"/>
        <charset val="204"/>
      </rPr>
      <t xml:space="preserve"> (кН) =</t>
    </r>
  </si>
  <si>
    <r>
      <t>R</t>
    </r>
    <r>
      <rPr>
        <vertAlign val="subscript"/>
        <sz val="10"/>
        <color theme="1"/>
        <rFont val="Arial"/>
        <family val="2"/>
        <charset val="204"/>
      </rPr>
      <t>b,loc</t>
    </r>
    <r>
      <rPr>
        <sz val="10"/>
        <color theme="1"/>
        <rFont val="Arial"/>
        <family val="2"/>
        <charset val="204"/>
      </rPr>
      <t xml:space="preserve"> A</t>
    </r>
    <r>
      <rPr>
        <vertAlign val="subscript"/>
        <sz val="10"/>
        <color theme="1"/>
        <rFont val="Arial"/>
        <family val="2"/>
        <charset val="204"/>
      </rPr>
      <t>loc</t>
    </r>
    <r>
      <rPr>
        <sz val="10"/>
        <color theme="1"/>
        <rFont val="Arial"/>
        <family val="2"/>
        <charset val="204"/>
      </rPr>
      <t xml:space="preserve"> =</t>
    </r>
  </si>
  <si>
    <r>
      <rPr>
        <sz val="12"/>
        <color rgb="FF000000"/>
        <rFont val="Calibri"/>
        <family val="2"/>
        <charset val="204"/>
        <scheme val="minor"/>
      </rPr>
      <t>R</t>
    </r>
    <r>
      <rPr>
        <vertAlign val="subscript"/>
        <sz val="12"/>
        <color rgb="FF000000"/>
        <rFont val="Calibri"/>
        <family val="2"/>
        <charset val="204"/>
        <scheme val="minor"/>
      </rPr>
      <t>b,loc</t>
    </r>
    <r>
      <rPr>
        <sz val="12"/>
        <color rgb="FF000000"/>
        <rFont val="Calibri"/>
        <family val="2"/>
        <charset val="204"/>
        <scheme val="minor"/>
      </rPr>
      <t>(МПа)</t>
    </r>
    <r>
      <rPr>
        <sz val="12"/>
        <color rgb="FF000000"/>
        <rFont val="Times New Roman"/>
        <family val="1"/>
        <charset val="204"/>
      </rPr>
      <t>= φ</t>
    </r>
    <r>
      <rPr>
        <i/>
        <vertAlign val="subscript"/>
        <sz val="12"/>
        <color rgb="FF000000"/>
        <rFont val="Times New Roman"/>
        <family val="1"/>
        <charset val="204"/>
      </rPr>
      <t>b</t>
    </r>
    <r>
      <rPr>
        <i/>
        <sz val="12"/>
        <color rgb="FF000000"/>
        <rFont val="Times New Roman"/>
        <family val="1"/>
        <charset val="204"/>
      </rPr>
      <t>R</t>
    </r>
    <r>
      <rPr>
        <i/>
        <vertAlign val="subscript"/>
        <sz val="12"/>
        <color rgb="FF000000"/>
        <rFont val="Times New Roman"/>
        <family val="1"/>
        <charset val="204"/>
      </rPr>
      <t>b</t>
    </r>
    <r>
      <rPr>
        <i/>
        <sz val="12"/>
        <color rgb="FF000000"/>
        <rFont val="Times New Roman"/>
        <family val="1"/>
        <charset val="204"/>
      </rPr>
      <t xml:space="preserve"> =</t>
    </r>
  </si>
  <si>
    <t>(кН)</t>
  </si>
  <si>
    <t>Коэффициент использования =</t>
  </si>
  <si>
    <r>
      <t>Определяем площадь проекции поверхности выкалывания A</t>
    </r>
    <r>
      <rPr>
        <vertAlign val="subscript"/>
        <sz val="10"/>
        <color theme="1"/>
        <rFont val="Arial"/>
        <family val="2"/>
        <charset val="204"/>
      </rPr>
      <t>1</t>
    </r>
    <r>
      <rPr>
        <sz val="10"/>
        <color theme="1"/>
        <rFont val="Arial"/>
        <family val="2"/>
        <charset val="204"/>
      </rPr>
      <t xml:space="preserve"> (см. рис. 10):</t>
    </r>
  </si>
  <si>
    <t>(минимальное)</t>
  </si>
  <si>
    <t>Расстояние от оси крайнего анкера до грани бетонного элемента по горизонтали (минимальное):</t>
  </si>
  <si>
    <t>Сy (мм) =</t>
  </si>
  <si>
    <t>Расстояние от оси крайнего анкера до грани бетонного элемента по вертикали (минимальное):</t>
  </si>
  <si>
    <t>Сz (мм) =</t>
  </si>
  <si>
    <t>а1 (м) =</t>
  </si>
  <si>
    <r>
      <t>A</t>
    </r>
    <r>
      <rPr>
        <b/>
        <vertAlign val="subscript"/>
        <sz val="10"/>
        <color theme="1"/>
        <rFont val="Arial"/>
        <family val="2"/>
        <charset val="204"/>
      </rPr>
      <t>1</t>
    </r>
    <r>
      <rPr>
        <b/>
        <sz val="10"/>
        <color theme="1"/>
        <rFont val="Arial"/>
        <family val="2"/>
        <charset val="204"/>
      </rPr>
      <t xml:space="preserve"> (м2) =</t>
    </r>
  </si>
  <si>
    <t>Условие выкалывания бетона для случая N'an &gt; 0 (по ф.35 [2]):</t>
  </si>
  <si>
    <r>
      <t xml:space="preserve">где  </t>
    </r>
    <r>
      <rPr>
        <sz val="11"/>
        <color theme="1"/>
        <rFont val="Symbol"/>
        <family val="1"/>
        <charset val="2"/>
      </rPr>
      <t>j</t>
    </r>
    <r>
      <rPr>
        <vertAlign val="subscript"/>
        <sz val="10"/>
        <color theme="1"/>
        <rFont val="Arial"/>
        <family val="2"/>
        <charset val="204"/>
      </rPr>
      <t xml:space="preserve">2 </t>
    </r>
    <r>
      <rPr>
        <sz val="10"/>
        <color theme="1"/>
        <rFont val="Arial"/>
        <family val="2"/>
        <charset val="204"/>
      </rPr>
      <t>=</t>
    </r>
  </si>
  <si>
    <t xml:space="preserve"> для тяжелого бетона</t>
  </si>
  <si>
    <r>
      <t xml:space="preserve">  </t>
    </r>
    <r>
      <rPr>
        <sz val="11"/>
        <color theme="1"/>
        <rFont val="Symbol"/>
        <family val="1"/>
        <charset val="2"/>
      </rPr>
      <t>j</t>
    </r>
    <r>
      <rPr>
        <vertAlign val="subscript"/>
        <sz val="10"/>
        <color theme="1"/>
        <rFont val="Arial"/>
        <family val="2"/>
        <charset val="204"/>
      </rPr>
      <t xml:space="preserve">3 </t>
    </r>
    <r>
      <rPr>
        <sz val="10"/>
        <color theme="1"/>
        <rFont val="Arial"/>
        <family val="2"/>
        <charset val="204"/>
      </rPr>
      <t>=</t>
    </r>
  </si>
  <si>
    <r>
      <t>N</t>
    </r>
    <r>
      <rPr>
        <b/>
        <vertAlign val="subscript"/>
        <sz val="10"/>
        <color theme="1"/>
        <rFont val="Arial"/>
        <family val="2"/>
        <charset val="204"/>
      </rPr>
      <t>an</t>
    </r>
    <r>
      <rPr>
        <b/>
        <sz val="10"/>
        <color theme="1"/>
        <rFont val="Arial"/>
        <family val="2"/>
        <charset val="204"/>
      </rPr>
      <t xml:space="preserve"> (кН) =</t>
    </r>
  </si>
  <si>
    <t xml:space="preserve">  размер по горизонтали</t>
  </si>
  <si>
    <t xml:space="preserve">  размер по вертикали</t>
  </si>
  <si>
    <t>3.2.2 Проверка бетона на выкалывание при наличии усиления анкеров, для случая когда N'an &lt; 0  (по п.4.7,а [2]):</t>
  </si>
  <si>
    <t>Y (мм) =</t>
  </si>
  <si>
    <t>Расстояние между анкерами вдоль усилия:</t>
  </si>
  <si>
    <t>lz (мм) =</t>
  </si>
  <si>
    <t>Расстояние между анкерами поперек усилия:</t>
  </si>
  <si>
    <t>принимается не менее 8dan</t>
  </si>
  <si>
    <r>
      <t>e</t>
    </r>
    <r>
      <rPr>
        <vertAlign val="subscript"/>
        <sz val="10"/>
        <color theme="1"/>
        <rFont val="Arial"/>
        <family val="2"/>
        <charset val="204"/>
      </rPr>
      <t>0</t>
    </r>
    <r>
      <rPr>
        <sz val="10"/>
        <color theme="1"/>
        <rFont val="Arial"/>
        <family val="2"/>
        <charset val="204"/>
      </rPr>
      <t xml:space="preserve"> (мм) = M/N =</t>
    </r>
  </si>
  <si>
    <r>
      <t>Определяем площадь проекции поверхности выкалывания A</t>
    </r>
    <r>
      <rPr>
        <sz val="10"/>
        <color theme="1"/>
        <rFont val="Arial"/>
        <family val="2"/>
        <charset val="204"/>
      </rPr>
      <t xml:space="preserve"> (см. рис. 9):</t>
    </r>
  </si>
  <si>
    <r>
      <t>A</t>
    </r>
    <r>
      <rPr>
        <b/>
        <sz val="10"/>
        <color theme="1"/>
        <rFont val="Arial"/>
        <family val="2"/>
        <charset val="204"/>
      </rPr>
      <t xml:space="preserve"> (м2) =</t>
    </r>
  </si>
  <si>
    <t>а (м) =</t>
  </si>
  <si>
    <t>b (м) =</t>
  </si>
  <si>
    <t>e1 (мм) =</t>
  </si>
  <si>
    <t>e2 (мм) =</t>
  </si>
  <si>
    <t>Эксцентриситеты относительно площади A:</t>
  </si>
  <si>
    <t>а2 (м) =</t>
  </si>
  <si>
    <t xml:space="preserve"> эксцентриситет по горизонтали</t>
  </si>
  <si>
    <t xml:space="preserve">  по горизонтали</t>
  </si>
  <si>
    <t xml:space="preserve">  по вертикали</t>
  </si>
  <si>
    <t>Условие выкалывания бетона для случая N'an &lt; 0 (по ф.32 [2]):</t>
  </si>
  <si>
    <r>
      <t>N</t>
    </r>
    <r>
      <rPr>
        <b/>
        <sz val="10"/>
        <color theme="1"/>
        <rFont val="Arial"/>
        <family val="2"/>
        <charset val="204"/>
      </rPr>
      <t xml:space="preserve"> (кН) =</t>
    </r>
  </si>
  <si>
    <t>e (мм) =</t>
  </si>
  <si>
    <t>Площадь анкерных пластин в зоне выкалывания:</t>
  </si>
  <si>
    <r>
      <t>A'an (м</t>
    </r>
    <r>
      <rPr>
        <vertAlign val="superscript"/>
        <sz val="10"/>
        <color theme="1"/>
        <rFont val="Arial"/>
        <family val="2"/>
        <charset val="204"/>
      </rPr>
      <t>2</t>
    </r>
    <r>
      <rPr>
        <sz val="10"/>
        <color theme="1"/>
        <rFont val="Arial"/>
        <family val="2"/>
        <charset val="204"/>
      </rPr>
      <t>) =</t>
    </r>
  </si>
  <si>
    <t>принимается не менее (La+t+tpl+60мм)=</t>
  </si>
  <si>
    <r>
      <t>H</t>
    </r>
    <r>
      <rPr>
        <vertAlign val="subscript"/>
        <sz val="10"/>
        <color theme="1"/>
        <rFont val="Arial"/>
        <family val="2"/>
        <charset val="204"/>
      </rPr>
      <t>a</t>
    </r>
    <r>
      <rPr>
        <sz val="10"/>
        <color theme="1"/>
        <rFont val="Arial"/>
        <family val="2"/>
        <charset val="204"/>
      </rPr>
      <t xml:space="preserve"> (мм) =</t>
    </r>
  </si>
  <si>
    <t>Определяем габариты поверхности откалывания (см. рис. 14):</t>
  </si>
  <si>
    <t>Расстояние от наиболее удаленного ряда анкеров до края элемента в направлении сдвигающей силы:</t>
  </si>
  <si>
    <r>
      <t xml:space="preserve">  не более H</t>
    </r>
    <r>
      <rPr>
        <i/>
        <vertAlign val="subscript"/>
        <sz val="10"/>
        <color theme="1"/>
        <rFont val="Arial"/>
        <family val="2"/>
        <charset val="204"/>
      </rPr>
      <t>a</t>
    </r>
  </si>
  <si>
    <t>Ширина элемента:</t>
  </si>
  <si>
    <t>h (мм) = Z + Cz =</t>
  </si>
  <si>
    <t>b (мм) = Y + 2*Cy=</t>
  </si>
  <si>
    <t xml:space="preserve">  не более Y+2*h</t>
  </si>
  <si>
    <t>Условие откалывания бетона анкерами (по ф.39 [2]):</t>
  </si>
  <si>
    <t>Сводный результат всех проверок:</t>
  </si>
  <si>
    <t>Конструктивные требования (по рис. 20 [2])</t>
  </si>
  <si>
    <t>Наименование проверки</t>
  </si>
  <si>
    <t>Кисп.</t>
  </si>
  <si>
    <t>Вывод</t>
  </si>
  <si>
    <t>Проверка смятия бетона под пластинами усиления (по п.4.12 [2]):</t>
  </si>
  <si>
    <t>Проверка бетона на выкалывание с усилениями анкеров, при N'an &lt; 0  (по п.4.7,а [2]):</t>
  </si>
  <si>
    <r>
      <t xml:space="preserve">Проверка бетона на выкалывание с усилениями анкеров, при N'an </t>
    </r>
    <r>
      <rPr>
        <u/>
        <sz val="10"/>
        <color theme="1"/>
        <rFont val="Arial"/>
        <family val="2"/>
        <charset val="204"/>
      </rPr>
      <t>&gt;</t>
    </r>
    <r>
      <rPr>
        <sz val="10"/>
        <color theme="1"/>
        <rFont val="Arial"/>
        <family val="2"/>
        <charset val="204"/>
      </rPr>
      <t xml:space="preserve"> 0  (по п.4.8 [2]):</t>
    </r>
  </si>
  <si>
    <r>
      <t xml:space="preserve">3.2.1 Проверка бетона на выкалывание при наличии усиления анкеров, для случая когда N'an </t>
    </r>
    <r>
      <rPr>
        <b/>
        <u/>
        <sz val="10"/>
        <color theme="1"/>
        <rFont val="Arial"/>
        <family val="2"/>
        <charset val="204"/>
      </rPr>
      <t>&gt;</t>
    </r>
    <r>
      <rPr>
        <b/>
        <sz val="10"/>
        <color theme="1"/>
        <rFont val="Arial"/>
        <family val="2"/>
        <charset val="204"/>
      </rPr>
      <t xml:space="preserve"> 0  (по п.4.8 [2]):</t>
    </r>
  </si>
  <si>
    <t>Толщина бетонного элемента:</t>
  </si>
  <si>
    <t xml:space="preserve"> п.1</t>
  </si>
  <si>
    <t xml:space="preserve"> п.2</t>
  </si>
  <si>
    <t xml:space="preserve"> п.3.1</t>
  </si>
  <si>
    <t xml:space="preserve"> п.3.2.1</t>
  </si>
  <si>
    <t xml:space="preserve"> п.3.2.2</t>
  </si>
  <si>
    <t xml:space="preserve"> п.3.3</t>
  </si>
  <si>
    <t>X=</t>
  </si>
  <si>
    <t>Y=</t>
  </si>
  <si>
    <t>L1=</t>
  </si>
  <si>
    <t>y=</t>
  </si>
  <si>
    <t>PLATE/ ПЛИТА</t>
  </si>
  <si>
    <t>A</t>
  </si>
  <si>
    <t>В</t>
  </si>
  <si>
    <t>PQ001</t>
  </si>
  <si>
    <t>La</t>
  </si>
  <si>
    <t>t</t>
  </si>
  <si>
    <t>number of rows/ количество рядов</t>
  </si>
  <si>
    <t>number of bars in row/ количество анкеров в ряду</t>
  </si>
  <si>
    <t>Lpl</t>
  </si>
  <si>
    <t>ly (мм) =</t>
  </si>
  <si>
    <t xml:space="preserve">Кисп. max =  </t>
  </si>
  <si>
    <r>
      <rPr>
        <sz val="12"/>
        <color rgb="FF000000"/>
        <rFont val="Symbol"/>
        <family val="1"/>
        <charset val="2"/>
      </rPr>
      <t>g</t>
    </r>
    <r>
      <rPr>
        <vertAlign val="subscript"/>
        <sz val="11"/>
        <color rgb="FF000000"/>
        <rFont val="Times New Roman"/>
        <family val="1"/>
        <charset val="204"/>
      </rPr>
      <t>s,sh</t>
    </r>
    <r>
      <rPr>
        <sz val="11"/>
        <color rgb="FF000000"/>
        <rFont val="Times New Roman"/>
        <family val="1"/>
        <charset val="204"/>
      </rPr>
      <t xml:space="preserve"> =</t>
    </r>
  </si>
  <si>
    <r>
      <t>Q</t>
    </r>
    <r>
      <rPr>
        <vertAlign val="subscript"/>
        <sz val="11"/>
        <color rgb="FF000000"/>
        <rFont val="Times New Roman"/>
        <family val="1"/>
        <charset val="204"/>
      </rPr>
      <t>an,j,0</t>
    </r>
    <r>
      <rPr>
        <sz val="11"/>
        <color rgb="FF000000"/>
        <rFont val="Times New Roman"/>
        <family val="1"/>
        <charset val="204"/>
      </rPr>
      <t xml:space="preserve"> =</t>
    </r>
    <r>
      <rPr>
        <sz val="11"/>
        <color rgb="FF000000"/>
        <rFont val="Greek"/>
        <family val="1"/>
      </rPr>
      <t xml:space="preserve"> </t>
    </r>
    <r>
      <rPr>
        <sz val="12"/>
        <color rgb="FF000000"/>
        <rFont val="Symbol"/>
        <family val="1"/>
        <charset val="2"/>
      </rPr>
      <t>g</t>
    </r>
    <r>
      <rPr>
        <vertAlign val="subscript"/>
        <sz val="11"/>
        <color rgb="FF000000"/>
        <rFont val="Times New Roman"/>
        <family val="1"/>
        <charset val="204"/>
      </rPr>
      <t>s,sh</t>
    </r>
    <r>
      <rPr>
        <sz val="11"/>
        <color rgb="FF000000"/>
        <rFont val="Times New Roman"/>
        <family val="1"/>
        <charset val="204"/>
      </rPr>
      <t xml:space="preserve"> A</t>
    </r>
    <r>
      <rPr>
        <vertAlign val="subscript"/>
        <sz val="11"/>
        <color rgb="FF000000"/>
        <rFont val="Times New Roman"/>
        <family val="1"/>
        <charset val="204"/>
      </rPr>
      <t>an,j</t>
    </r>
    <r>
      <rPr>
        <sz val="11"/>
        <color rgb="FF000000"/>
        <rFont val="Symbol"/>
        <family val="1"/>
        <charset val="2"/>
      </rPr>
      <t>Ö(</t>
    </r>
    <r>
      <rPr>
        <sz val="11"/>
        <color rgb="FF000000"/>
        <rFont val="Times New Roman"/>
        <family val="1"/>
        <charset val="204"/>
      </rPr>
      <t>Rb Rs) =</t>
    </r>
  </si>
  <si>
    <t>(по СП 63.13330.2012)</t>
  </si>
  <si>
    <t>(по СП 16.13330.2011, далее обозначаем как [4])</t>
  </si>
  <si>
    <r>
      <t xml:space="preserve">где   </t>
    </r>
    <r>
      <rPr>
        <sz val="11"/>
        <color theme="1"/>
        <rFont val="Symbol"/>
        <family val="1"/>
        <charset val="2"/>
      </rPr>
      <t>d</t>
    </r>
    <r>
      <rPr>
        <sz val="10"/>
        <color theme="1"/>
        <rFont val="Arial"/>
        <family val="2"/>
        <charset val="204"/>
      </rPr>
      <t>n - определяется согласно п. 3.108 [3], в случае действия на закладную деталь кроме сдвигающей силы Q отрывающей силы N.</t>
    </r>
  </si>
  <si>
    <t xml:space="preserve"> принимается не менее 0,2</t>
  </si>
  <si>
    <r>
      <t>A</t>
    </r>
    <r>
      <rPr>
        <vertAlign val="subscript"/>
        <sz val="10"/>
        <color theme="1"/>
        <rFont val="Arial"/>
        <family val="2"/>
        <charset val="204"/>
      </rPr>
      <t>out</t>
    </r>
    <r>
      <rPr>
        <sz val="10"/>
        <color theme="1"/>
        <rFont val="Arial"/>
        <family val="2"/>
        <charset val="204"/>
      </rPr>
      <t xml:space="preserve"> (м2) =</t>
    </r>
  </si>
  <si>
    <t>A1 (м2) =</t>
  </si>
  <si>
    <t>A2 (м2) =</t>
  </si>
  <si>
    <t>a (мм) =</t>
  </si>
  <si>
    <r>
      <rPr>
        <sz val="11"/>
        <color theme="1"/>
        <rFont val="Symbol"/>
        <family val="1"/>
        <charset val="2"/>
      </rPr>
      <t>d</t>
    </r>
    <r>
      <rPr>
        <sz val="10"/>
        <color theme="1"/>
        <rFont val="Arial"/>
        <family val="2"/>
        <charset val="204"/>
      </rPr>
      <t>n =</t>
    </r>
  </si>
  <si>
    <r>
      <t xml:space="preserve"> при N</t>
    </r>
    <r>
      <rPr>
        <i/>
        <u/>
        <sz val="10"/>
        <color theme="1"/>
        <rFont val="Arial"/>
        <family val="2"/>
        <charset val="204"/>
      </rPr>
      <t>&lt;</t>
    </r>
    <r>
      <rPr>
        <i/>
        <sz val="10"/>
        <color theme="1"/>
        <rFont val="Arial"/>
        <family val="2"/>
        <charset val="204"/>
      </rPr>
      <t>0 принимается равным 1,0</t>
    </r>
  </si>
  <si>
    <r>
      <rPr>
        <sz val="11"/>
        <color theme="1"/>
        <rFont val="Symbol"/>
        <family val="1"/>
        <charset val="2"/>
      </rPr>
      <t>j</t>
    </r>
    <r>
      <rPr>
        <vertAlign val="subscript"/>
        <sz val="10"/>
        <color theme="1"/>
        <rFont val="Arial"/>
        <family val="2"/>
        <charset val="204"/>
      </rPr>
      <t xml:space="preserve">2 </t>
    </r>
    <r>
      <rPr>
        <sz val="10"/>
        <color theme="1"/>
        <rFont val="Arial"/>
        <family val="2"/>
        <charset val="204"/>
      </rPr>
      <t>=</t>
    </r>
  </si>
  <si>
    <t>3.3 Проверка бетона на откалывание анкерами у края элемента (по п.4.11 [2] и п.3.108 [3]):</t>
  </si>
  <si>
    <r>
      <rPr>
        <i/>
        <sz val="10"/>
        <color rgb="FF0070C0"/>
        <rFont val="Symbol"/>
        <family val="1"/>
        <charset val="2"/>
      </rPr>
      <t>D</t>
    </r>
    <r>
      <rPr>
        <i/>
        <sz val="10"/>
        <color rgb="FF0070C0"/>
        <rFont val="Arial"/>
        <family val="2"/>
        <charset val="204"/>
      </rPr>
      <t>Lpl =</t>
    </r>
  </si>
  <si>
    <t>Проверка бетона на откалывание анкерами у края элемента (по п.4.11 [2] и п.3.108 [3]):</t>
  </si>
  <si>
    <t>[mm/мм]</t>
  </si>
  <si>
    <t>[mm/ мм]</t>
  </si>
  <si>
    <r>
      <t>d</t>
    </r>
    <r>
      <rPr>
        <vertAlign val="subscript"/>
        <sz val="10"/>
        <color theme="1"/>
        <rFont val="Arial"/>
        <family val="2"/>
        <charset val="204"/>
      </rPr>
      <t>an</t>
    </r>
  </si>
  <si>
    <t>Ly</t>
  </si>
  <si>
    <t>Lz</t>
  </si>
  <si>
    <t>Анкера закладной детали заделаны в:</t>
  </si>
  <si>
    <t>Условия установки закладной детали в конструкцию:</t>
  </si>
  <si>
    <t>(mm/мм)</t>
  </si>
  <si>
    <t>Расчет закладных деталей с нормальными усиленными анкерами</t>
  </si>
  <si>
    <t xml:space="preserve">  Расчет нормальных анкеров, приваренных в тавр к плоским элементам стальных закладных деталей, на действие изгибающих моментов, нормальных и сдвигающих сил от статической нагрузки, расположенных в одной плоскости симметрии закладной детали. Согласно СП 63.13330.2012 (далее обозначаем - [1]), "Рекомендации по проектированию стальных закладных деталей для железобетонных конструкций" (далее обозначаем - [2]) и Пособие к СНиП 2.03.01-84  "по проектированию бетонных и железобетонных конструкций из тяжелых и легких бетонов без предварительного напряжения арматуры" (далее обозначаем - [3]).</t>
  </si>
  <si>
    <t>Рис. 1. Схема усилий действующих на закладную деталь и геометрические обозначения.</t>
  </si>
  <si>
    <t>Геометрические характеристики закладной детали:</t>
  </si>
  <si>
    <t>Расчетные нагрузки на закладную деталь:</t>
  </si>
  <si>
    <t>Количество рядов анкеров вдоль направления сдвигающей силы:</t>
  </si>
  <si>
    <t xml:space="preserve"> исх. дан.</t>
  </si>
  <si>
    <t>Количество анкеров в ряду:</t>
  </si>
  <si>
    <t>Толщина пластины закладной детали (по п. Б.3 [1] и табл. 5 [2]):</t>
  </si>
  <si>
    <t>Проверка прочности анкеров закладной детали (по Приложению Б, п.Б.1 [1]):</t>
  </si>
  <si>
    <t>Cсуммарная площадь поперечного сечения анкеров крайнего ряда:</t>
  </si>
  <si>
    <t>Расстояние между крайними анкерами в растянутом ряду:</t>
  </si>
  <si>
    <t>1. Проверка необходимой толщины пластины закладной детали (по п. Б.3 [1] и табл. 5 [2]):</t>
  </si>
  <si>
    <r>
      <t xml:space="preserve">Толщина пластины </t>
    </r>
    <r>
      <rPr>
        <i/>
        <sz val="10"/>
        <color rgb="FF000000"/>
        <rFont val="Arial"/>
        <family val="2"/>
        <charset val="204"/>
      </rPr>
      <t>t</t>
    </r>
    <r>
      <rPr>
        <sz val="10"/>
        <color rgb="FF000000"/>
        <rFont val="Arial"/>
        <family val="2"/>
        <charset val="204"/>
      </rPr>
      <t xml:space="preserve"> расчетной закладной детали, к которой привариваются в тавр анкера, должна отвечать условию (формула (Б.8) [1]):</t>
    </r>
  </si>
  <si>
    <t>2. Проверка прочности анкеров закладной детали (по Приложению Б, п.Б.1 [1]):</t>
  </si>
  <si>
    <t>Проверка условия прочности анкеров закладной детали (формула (Б.1) [1]).</t>
  </si>
  <si>
    <r>
      <rPr>
        <sz val="11"/>
        <color theme="1"/>
        <rFont val="Arial"/>
        <family val="2"/>
        <charset val="204"/>
      </rPr>
      <t xml:space="preserve">   l</t>
    </r>
    <r>
      <rPr>
        <vertAlign val="subscript"/>
        <sz val="11"/>
        <color theme="1"/>
        <rFont val="Arial"/>
        <family val="2"/>
        <charset val="204"/>
      </rPr>
      <t>an</t>
    </r>
    <r>
      <rPr>
        <sz val="11"/>
        <color theme="1"/>
        <rFont val="Arial"/>
        <family val="2"/>
        <charset val="204"/>
      </rPr>
      <t xml:space="preserve"> = </t>
    </r>
    <r>
      <rPr>
        <sz val="11"/>
        <color theme="1"/>
        <rFont val="Symbol"/>
        <family val="1"/>
        <charset val="2"/>
      </rPr>
      <t>j</t>
    </r>
    <r>
      <rPr>
        <vertAlign val="subscript"/>
        <sz val="11"/>
        <color theme="1"/>
        <rFont val="Arial"/>
        <family val="2"/>
        <charset val="204"/>
      </rPr>
      <t>c</t>
    </r>
    <r>
      <rPr>
        <sz val="11"/>
        <color theme="1"/>
        <rFont val="Arial"/>
        <family val="2"/>
        <charset val="204"/>
      </rPr>
      <t xml:space="preserve"> (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Arial"/>
        <family val="2"/>
        <charset val="204"/>
      </rPr>
      <t xml:space="preserve"> Rs / Rb + </t>
    </r>
    <r>
      <rPr>
        <sz val="11"/>
        <color theme="1"/>
        <rFont val="Symbol"/>
        <family val="1"/>
        <charset val="2"/>
      </rPr>
      <t>Dl</t>
    </r>
    <r>
      <rPr>
        <sz val="11"/>
        <color theme="1"/>
        <rFont val="Calibri"/>
        <family val="2"/>
        <charset val="204"/>
        <scheme val="minor"/>
      </rPr>
      <t>) d</t>
    </r>
    <r>
      <rPr>
        <vertAlign val="subscript"/>
        <sz val="11"/>
        <color theme="1"/>
        <rFont val="Calibri"/>
        <family val="2"/>
        <charset val="204"/>
        <scheme val="minor"/>
      </rPr>
      <t>an</t>
    </r>
    <r>
      <rPr>
        <sz val="11"/>
        <color theme="1"/>
        <rFont val="Calibri"/>
        <family val="2"/>
        <charset val="204"/>
        <scheme val="minor"/>
      </rPr>
      <t xml:space="preserve"> ,</t>
    </r>
  </si>
  <si>
    <r>
      <rPr>
        <sz val="10"/>
        <color theme="1"/>
        <rFont val="Arial"/>
        <family val="2"/>
        <charset val="204"/>
      </rPr>
      <t xml:space="preserve">где </t>
    </r>
    <r>
      <rPr>
        <sz val="10"/>
        <color theme="1"/>
        <rFont val="Symbol"/>
        <family val="1"/>
        <charset val="2"/>
      </rPr>
      <t>j</t>
    </r>
    <r>
      <rPr>
        <vertAlign val="subscript"/>
        <sz val="10"/>
        <color theme="1"/>
        <rFont val="Arial"/>
        <family val="2"/>
        <charset val="204"/>
      </rPr>
      <t>c</t>
    </r>
    <r>
      <rPr>
        <sz val="10"/>
        <color theme="1"/>
        <rFont val="Arial"/>
        <family val="2"/>
        <charset val="204"/>
      </rPr>
      <t xml:space="preserve"> = 0,3 / (1 + Q</t>
    </r>
    <r>
      <rPr>
        <vertAlign val="subscript"/>
        <sz val="10"/>
        <color theme="1"/>
        <rFont val="Arial"/>
        <family val="2"/>
        <charset val="204"/>
      </rPr>
      <t>an1</t>
    </r>
    <r>
      <rPr>
        <sz val="10"/>
        <color theme="1"/>
        <rFont val="Arial"/>
        <family val="2"/>
        <charset val="204"/>
      </rPr>
      <t xml:space="preserve"> / N</t>
    </r>
    <r>
      <rPr>
        <vertAlign val="subscript"/>
        <sz val="10"/>
        <color theme="1"/>
        <rFont val="Arial"/>
        <family val="2"/>
        <charset val="204"/>
      </rPr>
      <t>an1</t>
    </r>
    <r>
      <rPr>
        <sz val="10"/>
        <color theme="1"/>
        <rFont val="Arial"/>
        <family val="2"/>
        <charset val="204"/>
      </rPr>
      <t>) +0,7=</t>
    </r>
  </si>
  <si>
    <t>(формула 64 [2])</t>
  </si>
  <si>
    <t>Для заделки в растянутой зоне бетона (и для гладких стержней):</t>
  </si>
  <si>
    <t>Для заделки в сжатой зоне бетона (для стержней периодического профиля):</t>
  </si>
  <si>
    <t>ВНИМАНИЕ: Учитывается только симметричный отрыв (e=0) (в запас прочности).</t>
  </si>
  <si>
    <t>Принимаем размеры проекции поверхности выдавливания:</t>
  </si>
  <si>
    <t>ВНИМАНИЕ: Учитывается только симметричный отрыв (e2=0) (в запас прочности).</t>
  </si>
  <si>
    <t>ВНИМАНИЕ: Учитывается только симметричный срез (e=0) (в запас прочности).</t>
  </si>
  <si>
    <r>
      <rPr>
        <sz val="11"/>
        <color theme="1"/>
        <rFont val="Arial"/>
        <family val="2"/>
        <charset val="204"/>
      </rPr>
      <t>h</t>
    </r>
    <r>
      <rPr>
        <vertAlign val="subscript"/>
        <sz val="11"/>
        <color theme="1"/>
        <rFont val="Arial"/>
        <family val="2"/>
        <charset val="204"/>
      </rPr>
      <t>tot</t>
    </r>
  </si>
  <si>
    <r>
      <t>H</t>
    </r>
    <r>
      <rPr>
        <vertAlign val="subscript"/>
        <sz val="11"/>
        <color theme="1"/>
        <rFont val="Arial"/>
        <family val="2"/>
        <charset val="204"/>
      </rPr>
      <t>a</t>
    </r>
  </si>
  <si>
    <r>
      <rPr>
        <sz val="11"/>
        <color theme="1"/>
        <rFont val="Arial"/>
        <family val="2"/>
        <charset val="204"/>
      </rPr>
      <t>t</t>
    </r>
    <r>
      <rPr>
        <vertAlign val="subscript"/>
        <sz val="11"/>
        <color theme="1"/>
        <rFont val="Arial"/>
        <family val="2"/>
        <charset val="204"/>
      </rPr>
      <t>pl</t>
    </r>
  </si>
  <si>
    <t>Q [кН/kN]</t>
  </si>
  <si>
    <t>SHEAR /
 СРЕЗ</t>
  </si>
  <si>
    <t>BENDING /
 МОМЕНТ</t>
  </si>
  <si>
    <t>N [кН/kN]</t>
  </si>
  <si>
    <t>M [кНм/kNm]</t>
  </si>
  <si>
    <t>Kmax</t>
  </si>
  <si>
    <t>ANCHOR BARS WITH REINFORCEMENTS / АНКЕРНЫЕ СТЕРЖНИ С УСИЛЕНИЯМИ</t>
  </si>
  <si>
    <t>TENSION / РАСТЯЖЕНИЕ</t>
  </si>
  <si>
    <t>SHEAR - BENDING / СРЕЗ - МОМЕНТ</t>
  </si>
  <si>
    <t>TENSION - BENDING / РАСТЯЖЕНИЕ - МОМЕНТ</t>
  </si>
  <si>
    <t>SHEAR - TENSION / СРЕЗ-РАСТЯЖЕНИЕ
M = 3,0 [кНм/kNm]</t>
  </si>
  <si>
    <t>SHEAR - TENSION / СРЕЗ-РАСТЯЖЕНИЕ
M = 2,5 [кНм/kNm]</t>
  </si>
  <si>
    <t>SHEAR - TENSION / СРЕЗ-РАСТЯЖЕНИЕ
M = 2,0 [кНм/kNm]</t>
  </si>
  <si>
    <t>SHEAR - TENSION /
 СРЕЗ-РАСТЯЖЕНИЕ
M = 1,0 [кНм/kNm]</t>
  </si>
  <si>
    <t>SHEAR - TENSION /
 СРЕЗ-РАСТЯЖЕНИЕ
M = Mmin</t>
  </si>
  <si>
    <t>SHEAR - TENSION / СРЕЗ-РАСТЯЖЕНИЕ
M = 1,5 [кНм/kNm]</t>
  </si>
  <si>
    <t xml:space="preserve">  Расчетные нагрузки действуют в одной плоскости симметрии закладной детали, параллельной грани А.</t>
  </si>
  <si>
    <t>DESIGN CALCULATION FOR EMBEDDED PLATE PQ001 / РАСЧЕТ ЗАКЛАДНОЙ ДЕТАЛИ PQ001</t>
  </si>
  <si>
    <t>железобетонный элемент / reinforced concrete</t>
  </si>
  <si>
    <t>длительные нагрузки / long-term load</t>
  </si>
  <si>
    <t>слой бетонированния &lt;1,5м/ concreting layer &lt;1,5m</t>
  </si>
  <si>
    <t>MATERIAL CHARACTERISTICS / ХАРАКТЕРИСТИКИ МАТЕРИАЛОВ:</t>
  </si>
  <si>
    <t>TYPE OF PLATE / ТИП ПЛИТЫ</t>
  </si>
  <si>
    <t xml:space="preserve">Grade of Steel for Plate / Марка стали пластины: </t>
  </si>
  <si>
    <t xml:space="preserve">Class of Steel for anchor bars/Класс арматуры анкера: </t>
  </si>
  <si>
    <t xml:space="preserve">Сoncrete class / Класс бетона:  </t>
  </si>
  <si>
    <t>Design characteristics of concrete / Расчетные характеристики бетона:</t>
  </si>
  <si>
    <t xml:space="preserve"> Factor for concrete / Коэффициент условий работы бетона:</t>
  </si>
  <si>
    <t xml:space="preserve"> Accept / Принимаем:</t>
  </si>
  <si>
    <t>GEOMETRY / ГЕОМЕТРИЯ:</t>
  </si>
  <si>
    <r>
      <t xml:space="preserve">  H</t>
    </r>
    <r>
      <rPr>
        <vertAlign val="subscript"/>
        <sz val="10"/>
        <color theme="1"/>
        <rFont val="Arial"/>
        <family val="2"/>
        <charset val="204"/>
      </rPr>
      <t>a</t>
    </r>
    <r>
      <rPr>
        <sz val="10"/>
        <color theme="1"/>
        <rFont val="Arial"/>
        <family val="2"/>
        <charset val="204"/>
      </rPr>
      <t xml:space="preserve"> - minimum thickness of concrete support / минимальная толщина бетонной опоры;</t>
    </r>
  </si>
  <si>
    <t xml:space="preserve">  с - concrete cover as per project specification / защитный слой бетона в соответствии с ТУ по проекту</t>
  </si>
  <si>
    <t>Design loads / Расчетные нагрузки:</t>
  </si>
  <si>
    <r>
      <t xml:space="preserve">  M</t>
    </r>
    <r>
      <rPr>
        <vertAlign val="subscript"/>
        <sz val="11"/>
        <color theme="1"/>
        <rFont val="Arial"/>
        <family val="2"/>
        <charset val="204"/>
      </rPr>
      <t>min</t>
    </r>
    <r>
      <rPr>
        <sz val="11"/>
        <color theme="1"/>
        <rFont val="Arial"/>
        <family val="2"/>
        <charset val="204"/>
      </rPr>
      <t xml:space="preserve"> = Q×e</t>
    </r>
    <r>
      <rPr>
        <vertAlign val="subscript"/>
        <sz val="11"/>
        <color theme="1"/>
        <rFont val="Arial"/>
        <family val="2"/>
        <charset val="204"/>
      </rPr>
      <t>a</t>
    </r>
    <r>
      <rPr>
        <sz val="11"/>
        <color theme="1"/>
        <rFont val="Arial"/>
        <family val="2"/>
        <charset val="204"/>
      </rPr>
      <t xml:space="preserve"> + N×e</t>
    </r>
    <r>
      <rPr>
        <vertAlign val="subscript"/>
        <sz val="11"/>
        <color theme="1"/>
        <rFont val="Arial"/>
        <family val="2"/>
        <charset val="204"/>
      </rPr>
      <t>a</t>
    </r>
  </si>
  <si>
    <r>
      <t xml:space="preserve">  Минимальный изгибающий момент M</t>
    </r>
    <r>
      <rPr>
        <vertAlign val="subscript"/>
        <sz val="10"/>
        <color theme="1"/>
        <rFont val="Arial"/>
        <family val="2"/>
        <charset val="204"/>
      </rPr>
      <t>min</t>
    </r>
    <r>
      <rPr>
        <sz val="10"/>
        <color theme="1"/>
        <rFont val="Arial"/>
        <family val="2"/>
        <charset val="204"/>
      </rPr>
      <t xml:space="preserve"> назначаем исходя из условия учета случайного эксцентриситета при воздействии растягивающей и срезающей нагрузок:</t>
    </r>
  </si>
  <si>
    <r>
      <t xml:space="preserve">  Минимальный изгибающий момент M</t>
    </r>
    <r>
      <rPr>
        <vertAlign val="subscript"/>
        <sz val="10"/>
        <color rgb="FFFF0000"/>
        <rFont val="Arial"/>
        <family val="2"/>
        <charset val="204"/>
      </rPr>
      <t>min</t>
    </r>
    <r>
      <rPr>
        <sz val="10"/>
        <color rgb="FFFF0000"/>
        <rFont val="Arial"/>
        <family val="2"/>
        <charset val="204"/>
      </rPr>
      <t xml:space="preserve"> назначаем исходя из условия учета случайного эксцентриситета при воздействии растягивающей и срезающей нагрузок:</t>
    </r>
  </si>
  <si>
    <t xml:space="preserve"> D1 - Minimum free vertical distance from concrete edge / Минимальное свободное расстояние по вертикали от края бетона;</t>
  </si>
  <si>
    <t xml:space="preserve"> D2 - Minimum free horizontal distance from concrete edge / Минимальное свободное расстояние по горизонтали от края бетона.</t>
  </si>
  <si>
    <r>
      <t>По п.8.1.7 СП 63.13330.2012: e</t>
    </r>
    <r>
      <rPr>
        <vertAlign val="subscript"/>
        <sz val="10"/>
        <color theme="1"/>
        <rFont val="Arial"/>
        <family val="2"/>
        <charset val="204"/>
      </rPr>
      <t>a</t>
    </r>
    <r>
      <rPr>
        <sz val="10"/>
        <color theme="1"/>
        <rFont val="Arial"/>
        <family val="2"/>
        <charset val="204"/>
      </rPr>
      <t xml:space="preserve"> = max[A/30; 10 mm/мм] =</t>
    </r>
  </si>
  <si>
    <t>As per cl. 8.1.7 SP 63.13330.2012:</t>
  </si>
  <si>
    <t>D2(mm/мм)=</t>
  </si>
  <si>
    <t>D1(mm/мм)=</t>
  </si>
  <si>
    <t>tensile zone of concrete / растянутая зона бетона</t>
  </si>
  <si>
    <t>Смятие бетона под пластинами усиления/ Смятие бетона под пластинами усиления</t>
  </si>
  <si>
    <t>Прочность анкеров закладной детали/ Прочность анкеров закладной детали</t>
  </si>
  <si>
    <t>Выкалывание бетона анкерами при N'an &lt;0/ Выкалывание бетона анкерами при N'an &lt;0</t>
  </si>
  <si>
    <t>Откалывание бетона анкерами у края эле- мента/ Откалывание бетона анкерами у края элемента</t>
  </si>
  <si>
    <r>
      <t xml:space="preserve">Выкалывание бетона анкерами при N'an </t>
    </r>
    <r>
      <rPr>
        <u/>
        <sz val="9"/>
        <color rgb="FFFF0000"/>
        <rFont val="Arial"/>
        <family val="2"/>
        <charset val="204"/>
      </rPr>
      <t>&gt;</t>
    </r>
    <r>
      <rPr>
        <sz val="9"/>
        <color rgb="FFFF0000"/>
        <rFont val="Arial"/>
        <family val="2"/>
        <charset val="204"/>
      </rPr>
      <t>0/ Выкалывание бетона анкерами при N'an &gt;0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</si>
</sst>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00"/>
    <numFmt numFmtId="167" formatCode="0.0000"/>
  </numFmts>
  <fonts count="6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rgb="FF000000"/>
      <name val="Times New Roman"/>
      <family val="1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0"/>
      <color theme="1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2"/>
      <color theme="1"/>
      <name val="Symbol"/>
      <family val="1"/>
      <charset val="2"/>
    </font>
    <font>
      <i/>
      <sz val="10"/>
      <color theme="1"/>
      <name val="Arial"/>
      <family val="2"/>
      <charset val="204"/>
    </font>
    <font>
      <vertAlign val="superscript"/>
      <sz val="10"/>
      <color theme="1"/>
      <name val="Arial"/>
      <family val="2"/>
      <charset val="204"/>
    </font>
    <font>
      <b/>
      <u/>
      <sz val="11"/>
      <color theme="1"/>
      <name val="Arial"/>
      <family val="2"/>
      <charset val="204"/>
    </font>
    <font>
      <vertAlign val="subscript"/>
      <sz val="8"/>
      <color theme="1"/>
      <name val="Arial"/>
      <family val="2"/>
      <charset val="204"/>
    </font>
    <font>
      <b/>
      <sz val="10"/>
      <color theme="1"/>
      <name val="Symbol"/>
      <family val="1"/>
      <charset val="2"/>
    </font>
    <font>
      <sz val="11"/>
      <color rgb="FF000000"/>
      <name val="Times New Roman"/>
      <family val="1"/>
      <charset val="204"/>
    </font>
    <font>
      <sz val="11"/>
      <color rgb="FF000000"/>
      <name val="Greek"/>
      <family val="1"/>
    </font>
    <font>
      <vertAlign val="subscript"/>
      <sz val="11"/>
      <color rgb="FF000000"/>
      <name val="Times New Roman"/>
      <family val="1"/>
      <charset val="204"/>
    </font>
    <font>
      <vertAlign val="subscript"/>
      <sz val="11"/>
      <color theme="1"/>
      <name val="Arial"/>
      <family val="2"/>
      <charset val="204"/>
    </font>
    <font>
      <i/>
      <sz val="12"/>
      <color rgb="FF000000"/>
      <name val="Times New Roman"/>
      <family val="1"/>
      <charset val="204"/>
    </font>
    <font>
      <b/>
      <sz val="10"/>
      <color rgb="FFFF0000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theme="1"/>
      <name val="Symbol"/>
      <family val="1"/>
      <charset val="2"/>
    </font>
    <font>
      <b/>
      <u/>
      <sz val="10"/>
      <color theme="1"/>
      <name val="Arial"/>
      <family val="2"/>
      <charset val="204"/>
    </font>
    <font>
      <i/>
      <sz val="10"/>
      <color rgb="FFFF0000"/>
      <name val="Arial"/>
      <family val="2"/>
      <charset val="204"/>
    </font>
    <font>
      <b/>
      <sz val="11"/>
      <color theme="1"/>
      <name val="Arial"/>
      <family val="2"/>
      <charset val="204"/>
    </font>
    <font>
      <b/>
      <vertAlign val="subscript"/>
      <sz val="11"/>
      <color theme="1"/>
      <name val="Arial"/>
      <family val="2"/>
      <charset val="204"/>
    </font>
    <font>
      <b/>
      <sz val="10"/>
      <name val="Arial"/>
      <family val="2"/>
      <charset val="204"/>
    </font>
    <font>
      <sz val="10"/>
      <color theme="1"/>
      <name val="Symbol"/>
      <family val="1"/>
      <charset val="2"/>
    </font>
    <font>
      <b/>
      <vertAlign val="subscript"/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i/>
      <vertAlign val="subscript"/>
      <sz val="10"/>
      <name val="Arial"/>
      <family val="2"/>
      <charset val="204"/>
    </font>
    <font>
      <sz val="12"/>
      <color rgb="FF000000"/>
      <name val="Times New Roman"/>
      <family val="1"/>
      <charset val="204"/>
    </font>
    <font>
      <i/>
      <vertAlign val="subscript"/>
      <sz val="12"/>
      <color rgb="FF000000"/>
      <name val="Times New Roman"/>
      <family val="1"/>
      <charset val="204"/>
    </font>
    <font>
      <sz val="12"/>
      <color rgb="FF000000"/>
      <name val="Symbol"/>
      <family val="1"/>
      <charset val="2"/>
    </font>
    <font>
      <vertAlign val="subscript"/>
      <sz val="12"/>
      <color rgb="FF000000"/>
      <name val="Times New Roman"/>
      <family val="1"/>
      <charset val="204"/>
    </font>
    <font>
      <sz val="12"/>
      <color rgb="FF000000"/>
      <name val="Calibri"/>
      <family val="2"/>
      <charset val="204"/>
      <scheme val="minor"/>
    </font>
    <font>
      <vertAlign val="subscript"/>
      <sz val="12"/>
      <color rgb="FF000000"/>
      <name val="Calibri"/>
      <family val="2"/>
      <charset val="204"/>
      <scheme val="minor"/>
    </font>
    <font>
      <i/>
      <vertAlign val="subscript"/>
      <sz val="10"/>
      <color theme="1"/>
      <name val="Arial"/>
      <family val="2"/>
      <charset val="204"/>
    </font>
    <font>
      <u/>
      <sz val="10"/>
      <color theme="1"/>
      <name val="Arial"/>
      <family val="2"/>
      <charset val="204"/>
    </font>
    <font>
      <b/>
      <sz val="11"/>
      <color rgb="FFFF0000"/>
      <name val="Arial"/>
      <family val="2"/>
      <charset val="204"/>
    </font>
    <font>
      <sz val="9"/>
      <color theme="1"/>
      <name val="Arial"/>
      <family val="2"/>
      <charset val="204"/>
    </font>
    <font>
      <sz val="9"/>
      <color theme="1"/>
      <name val="Calibri"/>
      <family val="2"/>
      <charset val="204"/>
      <scheme val="minor"/>
    </font>
    <font>
      <sz val="11"/>
      <color rgb="FF000000"/>
      <name val="Symbol"/>
      <family val="1"/>
      <charset val="2"/>
    </font>
    <font>
      <sz val="11"/>
      <color rgb="FF000000"/>
      <name val="Arial"/>
      <family val="2"/>
      <charset val="204"/>
    </font>
    <font>
      <i/>
      <sz val="11"/>
      <color rgb="FF000000"/>
      <name val="Times New Roman"/>
      <family val="1"/>
      <charset val="204"/>
    </font>
    <font>
      <i/>
      <u/>
      <sz val="10"/>
      <color theme="1"/>
      <name val="Arial"/>
      <family val="2"/>
      <charset val="204"/>
    </font>
    <font>
      <i/>
      <sz val="10"/>
      <color rgb="FF0070C0"/>
      <name val="Arial"/>
      <family val="2"/>
      <charset val="204"/>
    </font>
    <font>
      <i/>
      <sz val="10"/>
      <color rgb="FF0070C0"/>
      <name val="Symbol"/>
      <family val="1"/>
      <charset val="2"/>
    </font>
    <font>
      <sz val="10"/>
      <color rgb="FF00B0F0"/>
      <name val="Arial"/>
      <family val="2"/>
      <charset val="204"/>
    </font>
    <font>
      <sz val="10"/>
      <color rgb="FF0070C0"/>
      <name val="Arial"/>
      <family val="2"/>
      <charset val="204"/>
    </font>
    <font>
      <sz val="9"/>
      <color rgb="FF000000"/>
      <name val="Arial"/>
      <family val="2"/>
      <charset val="204"/>
    </font>
    <font>
      <vertAlign val="subscript"/>
      <sz val="10"/>
      <color rgb="FFFF0000"/>
      <name val="Arial"/>
      <family val="2"/>
      <charset val="204"/>
    </font>
    <font>
      <sz val="9"/>
      <color rgb="FFFF0000"/>
      <name val="Arial"/>
      <family val="2"/>
      <charset val="204"/>
    </font>
    <font>
      <u/>
      <sz val="9"/>
      <color rgb="FFFF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0" fillId="0" borderId="0" xfId="0" applyBorder="1"/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165" fontId="0" fillId="0" borderId="0" xfId="0" applyNumberFormat="1"/>
    <xf numFmtId="2" fontId="0" fillId="0" borderId="1" xfId="0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Font="1" applyBorder="1"/>
    <xf numFmtId="164" fontId="0" fillId="0" borderId="1" xfId="0" applyNumberFormat="1" applyFont="1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3" fillId="2" borderId="1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23" xfId="0" applyFont="1" applyFill="1" applyBorder="1" applyAlignment="1">
      <alignment horizontal="left"/>
    </xf>
    <xf numFmtId="0" fontId="1" fillId="0" borderId="15" xfId="0" applyFont="1" applyFill="1" applyBorder="1" applyAlignment="1">
      <alignment horizontal="left" vertical="center"/>
    </xf>
    <xf numFmtId="0" fontId="1" fillId="0" borderId="17" xfId="0" applyFont="1" applyFill="1" applyBorder="1" applyAlignment="1">
      <alignment horizontal="left" vertical="center"/>
    </xf>
    <xf numFmtId="0" fontId="1" fillId="0" borderId="16" xfId="0" applyFont="1" applyFill="1" applyBorder="1" applyAlignment="1">
      <alignment horizontal="left" vertic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2" fontId="2" fillId="0" borderId="1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16" fillId="0" borderId="0" xfId="0" applyFont="1"/>
    <xf numFmtId="164" fontId="2" fillId="2" borderId="1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164" fontId="10" fillId="2" borderId="1" xfId="0" applyNumberFormat="1" applyFont="1" applyFill="1" applyBorder="1" applyAlignment="1">
      <alignment horizontal="center"/>
    </xf>
    <xf numFmtId="0" fontId="14" fillId="0" borderId="0" xfId="0" applyFont="1"/>
    <xf numFmtId="0" fontId="19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9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2" fontId="10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left"/>
    </xf>
    <xf numFmtId="165" fontId="10" fillId="0" borderId="1" xfId="0" applyNumberFormat="1" applyFont="1" applyBorder="1" applyAlignment="1">
      <alignment horizontal="center" vertical="center"/>
    </xf>
    <xf numFmtId="0" fontId="2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28" fillId="0" borderId="0" xfId="0" applyFont="1" applyFill="1" applyBorder="1" applyAlignment="1">
      <alignment horizontal="left"/>
    </xf>
    <xf numFmtId="0" fontId="29" fillId="0" borderId="0" xfId="0" applyFont="1"/>
    <xf numFmtId="164" fontId="2" fillId="0" borderId="1" xfId="0" applyNumberFormat="1" applyFont="1" applyBorder="1" applyAlignment="1">
      <alignment horizontal="center" vertical="center"/>
    </xf>
    <xf numFmtId="164" fontId="2" fillId="0" borderId="0" xfId="0" applyNumberFormat="1" applyFont="1"/>
    <xf numFmtId="0" fontId="30" fillId="0" borderId="0" xfId="0" applyFont="1" applyAlignment="1">
      <alignment horizontal="right"/>
    </xf>
    <xf numFmtId="2" fontId="3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164" fontId="10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165" fontId="2" fillId="0" borderId="1" xfId="0" applyNumberFormat="1" applyFont="1" applyBorder="1" applyAlignment="1">
      <alignment horizontal="center" vertical="center"/>
    </xf>
    <xf numFmtId="16" fontId="2" fillId="0" borderId="0" xfId="0" applyNumberFormat="1" applyFont="1"/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5" fillId="0" borderId="0" xfId="0" applyFont="1" applyAlignment="1">
      <alignment horizontal="right"/>
    </xf>
    <xf numFmtId="166" fontId="2" fillId="0" borderId="1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0" fontId="23" fillId="0" borderId="0" xfId="0" applyFont="1" applyAlignment="1">
      <alignment horizontal="right"/>
    </xf>
    <xf numFmtId="0" fontId="37" fillId="0" borderId="0" xfId="0" applyFont="1" applyAlignment="1">
      <alignment horizontal="right"/>
    </xf>
    <xf numFmtId="0" fontId="33" fillId="0" borderId="0" xfId="0" applyFont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/>
    </xf>
    <xf numFmtId="167" fontId="10" fillId="0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2" fontId="10" fillId="2" borderId="1" xfId="0" applyNumberFormat="1" applyFont="1" applyFill="1" applyBorder="1" applyAlignment="1">
      <alignment horizontal="center"/>
    </xf>
    <xf numFmtId="167" fontId="10" fillId="0" borderId="0" xfId="0" applyNumberFormat="1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165" fontId="10" fillId="0" borderId="1" xfId="0" applyNumberFormat="1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0" fontId="2" fillId="0" borderId="1" xfId="0" applyFont="1" applyBorder="1"/>
    <xf numFmtId="0" fontId="45" fillId="0" borderId="0" xfId="0" applyFont="1"/>
    <xf numFmtId="164" fontId="2" fillId="0" borderId="0" xfId="0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left"/>
    </xf>
    <xf numFmtId="167" fontId="2" fillId="0" borderId="1" xfId="0" applyNumberFormat="1" applyFont="1" applyBorder="1" applyAlignment="1">
      <alignment horizontal="center"/>
    </xf>
    <xf numFmtId="0" fontId="46" fillId="3" borderId="30" xfId="0" applyFont="1" applyFill="1" applyBorder="1" applyAlignment="1">
      <alignment horizontal="center" vertical="center" wrapText="1"/>
    </xf>
    <xf numFmtId="0" fontId="46" fillId="3" borderId="31" xfId="0" applyFont="1" applyFill="1" applyBorder="1" applyAlignment="1">
      <alignment horizontal="center" vertical="center" wrapText="1"/>
    </xf>
    <xf numFmtId="0" fontId="47" fillId="3" borderId="31" xfId="0" applyFont="1" applyFill="1" applyBorder="1" applyAlignment="1">
      <alignment vertical="center" wrapText="1"/>
    </xf>
    <xf numFmtId="0" fontId="46" fillId="3" borderId="27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/>
    </xf>
    <xf numFmtId="0" fontId="49" fillId="0" borderId="0" xfId="0" applyFont="1" applyAlignment="1">
      <alignment horizontal="right"/>
    </xf>
    <xf numFmtId="164" fontId="2" fillId="0" borderId="0" xfId="0" applyNumberFormat="1" applyFont="1" applyBorder="1" applyAlignment="1">
      <alignment horizontal="center" vertical="center"/>
    </xf>
    <xf numFmtId="167" fontId="2" fillId="0" borderId="0" xfId="0" applyNumberFormat="1" applyFont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9" fillId="0" borderId="0" xfId="0" applyFont="1" applyAlignment="1">
      <alignment vertical="center" wrapText="1"/>
    </xf>
    <xf numFmtId="0" fontId="35" fillId="0" borderId="0" xfId="0" applyFont="1" applyAlignment="1">
      <alignment horizontal="left" vertical="center"/>
    </xf>
    <xf numFmtId="0" fontId="52" fillId="0" borderId="0" xfId="0" applyFont="1" applyAlignment="1">
      <alignment horizontal="right"/>
    </xf>
    <xf numFmtId="0" fontId="52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2" fillId="3" borderId="29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right" vertical="center"/>
    </xf>
    <xf numFmtId="0" fontId="11" fillId="0" borderId="0" xfId="0" applyFont="1" applyAlignment="1">
      <alignment vertical="center"/>
    </xf>
    <xf numFmtId="0" fontId="54" fillId="0" borderId="0" xfId="0" applyFont="1"/>
    <xf numFmtId="0" fontId="54" fillId="0" borderId="0" xfId="0" applyFont="1" applyAlignment="1">
      <alignment horizontal="center"/>
    </xf>
    <xf numFmtId="0" fontId="12" fillId="0" borderId="0" xfId="0" applyFont="1" applyAlignment="1">
      <alignment horizontal="right" vertical="center"/>
    </xf>
    <xf numFmtId="0" fontId="54" fillId="0" borderId="0" xfId="0" applyFont="1" applyAlignment="1">
      <alignment vertical="center"/>
    </xf>
    <xf numFmtId="0" fontId="54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167" fontId="52" fillId="0" borderId="0" xfId="0" applyNumberFormat="1" applyFont="1" applyAlignment="1">
      <alignment horizontal="center"/>
    </xf>
    <xf numFmtId="164" fontId="52" fillId="0" borderId="0" xfId="0" applyNumberFormat="1" applyFont="1" applyAlignment="1">
      <alignment horizontal="center"/>
    </xf>
    <xf numFmtId="0" fontId="30" fillId="0" borderId="0" xfId="0" applyFont="1" applyFill="1" applyBorder="1" applyAlignment="1">
      <alignment horizontal="left"/>
    </xf>
    <xf numFmtId="0" fontId="2" fillId="0" borderId="0" xfId="0" applyFont="1" applyAlignment="1">
      <alignment horizontal="right" vertical="center"/>
    </xf>
    <xf numFmtId="0" fontId="12" fillId="0" borderId="0" xfId="0" applyFont="1"/>
    <xf numFmtId="0" fontId="3" fillId="2" borderId="1" xfId="0" applyFont="1" applyFill="1" applyBorder="1" applyAlignment="1">
      <alignment horizontal="left"/>
    </xf>
    <xf numFmtId="0" fontId="12" fillId="3" borderId="29" xfId="0" applyFont="1" applyFill="1" applyBorder="1" applyAlignment="1">
      <alignment horizontal="center" vertical="center" wrapText="1"/>
    </xf>
    <xf numFmtId="0" fontId="12" fillId="3" borderId="30" xfId="0" applyFont="1" applyFill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 wrapText="1"/>
    </xf>
    <xf numFmtId="165" fontId="3" fillId="0" borderId="1" xfId="0" applyNumberFormat="1" applyFont="1" applyBorder="1" applyAlignment="1">
      <alignment horizontal="center"/>
    </xf>
    <xf numFmtId="2" fontId="55" fillId="0" borderId="1" xfId="0" applyNumberFormat="1" applyFont="1" applyBorder="1" applyAlignment="1">
      <alignment horizontal="center"/>
    </xf>
    <xf numFmtId="165" fontId="55" fillId="0" borderId="1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0" fontId="2" fillId="0" borderId="34" xfId="0" applyFont="1" applyBorder="1" applyAlignment="1">
      <alignment horizontal="center" vertical="center"/>
    </xf>
    <xf numFmtId="2" fontId="2" fillId="0" borderId="33" xfId="0" applyNumberFormat="1" applyFont="1" applyBorder="1" applyAlignment="1">
      <alignment horizontal="center"/>
    </xf>
    <xf numFmtId="165" fontId="2" fillId="0" borderId="33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/>
    </xf>
    <xf numFmtId="165" fontId="55" fillId="0" borderId="14" xfId="0" applyNumberFormat="1" applyFont="1" applyBorder="1" applyAlignment="1">
      <alignment horizontal="center"/>
    </xf>
    <xf numFmtId="165" fontId="2" fillId="0" borderId="14" xfId="0" applyNumberFormat="1" applyFont="1" applyBorder="1" applyAlignment="1">
      <alignment horizontal="center"/>
    </xf>
    <xf numFmtId="2" fontId="2" fillId="0" borderId="34" xfId="0" applyNumberFormat="1" applyFont="1" applyBorder="1" applyAlignment="1">
      <alignment horizontal="center"/>
    </xf>
    <xf numFmtId="165" fontId="2" fillId="0" borderId="34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35" xfId="0" applyNumberFormat="1" applyFont="1" applyBorder="1" applyAlignment="1">
      <alignment horizontal="center"/>
    </xf>
    <xf numFmtId="164" fontId="55" fillId="0" borderId="35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65" fontId="2" fillId="0" borderId="21" xfId="0" applyNumberFormat="1" applyFont="1" applyBorder="1" applyAlignment="1">
      <alignment horizontal="center"/>
    </xf>
    <xf numFmtId="165" fontId="55" fillId="0" borderId="4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2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/>
    </xf>
    <xf numFmtId="164" fontId="55" fillId="0" borderId="14" xfId="0" applyNumberFormat="1" applyFont="1" applyBorder="1" applyAlignment="1">
      <alignment horizontal="center"/>
    </xf>
    <xf numFmtId="164" fontId="2" fillId="0" borderId="14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164" fontId="3" fillId="0" borderId="14" xfId="0" applyNumberFormat="1" applyFont="1" applyBorder="1" applyAlignment="1">
      <alignment horizontal="center"/>
    </xf>
    <xf numFmtId="164" fontId="3" fillId="0" borderId="35" xfId="0" applyNumberFormat="1" applyFont="1" applyBorder="1" applyAlignment="1">
      <alignment horizontal="center"/>
    </xf>
    <xf numFmtId="165" fontId="3" fillId="0" borderId="14" xfId="0" applyNumberFormat="1" applyFont="1" applyBorder="1" applyAlignment="1">
      <alignment horizontal="center"/>
    </xf>
    <xf numFmtId="165" fontId="3" fillId="0" borderId="34" xfId="0" applyNumberFormat="1" applyFont="1" applyBorder="1" applyAlignment="1">
      <alignment horizontal="center"/>
    </xf>
    <xf numFmtId="165" fontId="3" fillId="0" borderId="13" xfId="0" applyNumberFormat="1" applyFont="1" applyBorder="1" applyAlignment="1">
      <alignment horizontal="center"/>
    </xf>
    <xf numFmtId="2" fontId="3" fillId="0" borderId="33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2" fontId="3" fillId="0" borderId="34" xfId="0" applyNumberFormat="1" applyFont="1" applyBorder="1" applyAlignment="1">
      <alignment horizontal="center"/>
    </xf>
    <xf numFmtId="164" fontId="3" fillId="0" borderId="13" xfId="0" applyNumberFormat="1" applyFont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165" fontId="55" fillId="0" borderId="35" xfId="0" applyNumberFormat="1" applyFont="1" applyBorder="1" applyAlignment="1">
      <alignment horizontal="center"/>
    </xf>
    <xf numFmtId="165" fontId="2" fillId="0" borderId="35" xfId="0" applyNumberFormat="1" applyFont="1" applyBorder="1" applyAlignment="1">
      <alignment horizontal="center"/>
    </xf>
    <xf numFmtId="165" fontId="3" fillId="0" borderId="12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0" fontId="0" fillId="0" borderId="12" xfId="0" applyBorder="1"/>
    <xf numFmtId="0" fontId="0" fillId="0" borderId="34" xfId="0" applyBorder="1"/>
    <xf numFmtId="0" fontId="0" fillId="0" borderId="13" xfId="0" applyBorder="1"/>
    <xf numFmtId="164" fontId="2" fillId="0" borderId="39" xfId="0" applyNumberFormat="1" applyFont="1" applyBorder="1" applyAlignment="1">
      <alignment horizontal="center"/>
    </xf>
    <xf numFmtId="164" fontId="2" fillId="0" borderId="40" xfId="0" applyNumberFormat="1" applyFont="1" applyBorder="1" applyAlignment="1">
      <alignment horizontal="center"/>
    </xf>
    <xf numFmtId="165" fontId="2" fillId="0" borderId="39" xfId="0" applyNumberFormat="1" applyFont="1" applyBorder="1" applyAlignment="1">
      <alignment horizontal="center"/>
    </xf>
    <xf numFmtId="165" fontId="2" fillId="0" borderId="40" xfId="0" applyNumberFormat="1" applyFont="1" applyBorder="1" applyAlignment="1">
      <alignment horizontal="center"/>
    </xf>
    <xf numFmtId="165" fontId="3" fillId="0" borderId="35" xfId="0" applyNumberFormat="1" applyFont="1" applyBorder="1" applyAlignment="1">
      <alignment horizontal="center"/>
    </xf>
    <xf numFmtId="164" fontId="2" fillId="0" borderId="41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164" fontId="2" fillId="0" borderId="42" xfId="0" applyNumberFormat="1" applyFont="1" applyBorder="1" applyAlignment="1">
      <alignment horizontal="center"/>
    </xf>
    <xf numFmtId="165" fontId="2" fillId="0" borderId="41" xfId="0" applyNumberFormat="1" applyFont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165" fontId="2" fillId="0" borderId="42" xfId="0" applyNumberFormat="1" applyFont="1" applyBorder="1" applyAlignment="1">
      <alignment horizontal="center"/>
    </xf>
    <xf numFmtId="0" fontId="30" fillId="0" borderId="0" xfId="0" applyFont="1"/>
    <xf numFmtId="2" fontId="3" fillId="0" borderId="6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12" fillId="0" borderId="0" xfId="0" applyFont="1" applyAlignment="1">
      <alignment horizontal="left" vertical="center"/>
    </xf>
    <xf numFmtId="0" fontId="24" fillId="0" borderId="0" xfId="0" applyFont="1" applyFill="1" applyBorder="1" applyAlignment="1">
      <alignment horizontal="left"/>
    </xf>
    <xf numFmtId="0" fontId="45" fillId="0" borderId="0" xfId="0" applyFont="1" applyFill="1" applyBorder="1" applyAlignment="1">
      <alignment horizontal="left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/>
    </xf>
    <xf numFmtId="0" fontId="56" fillId="0" borderId="25" xfId="0" applyFont="1" applyBorder="1" applyAlignment="1">
      <alignment horizontal="center" vertical="center" textRotation="90" wrapText="1" readingOrder="1"/>
    </xf>
    <xf numFmtId="0" fontId="56" fillId="0" borderId="26" xfId="0" applyFont="1" applyBorder="1" applyAlignment="1">
      <alignment horizontal="center" vertical="center" textRotation="90" wrapText="1" readingOrder="1"/>
    </xf>
    <xf numFmtId="0" fontId="56" fillId="0" borderId="27" xfId="0" applyFont="1" applyBorder="1" applyAlignment="1">
      <alignment horizontal="center" vertical="center" textRotation="90" wrapText="1" readingOrder="1"/>
    </xf>
    <xf numFmtId="0" fontId="56" fillId="0" borderId="36" xfId="0" applyFont="1" applyBorder="1" applyAlignment="1">
      <alignment horizontal="center" vertical="center" textRotation="90" wrapText="1" readingOrder="1"/>
    </xf>
    <xf numFmtId="0" fontId="56" fillId="0" borderId="37" xfId="0" applyFont="1" applyBorder="1" applyAlignment="1">
      <alignment horizontal="center" vertical="center" textRotation="90" wrapText="1" readingOrder="1"/>
    </xf>
    <xf numFmtId="0" fontId="56" fillId="0" borderId="38" xfId="0" applyFont="1" applyBorder="1" applyAlignment="1">
      <alignment horizontal="center" vertical="center" textRotation="90" wrapText="1" readingOrder="1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center" wrapText="1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26" fillId="0" borderId="10" xfId="0" applyFont="1" applyBorder="1" applyAlignment="1">
      <alignment horizontal="center" vertical="center" textRotation="90" wrapText="1"/>
    </xf>
    <xf numFmtId="0" fontId="26" fillId="0" borderId="35" xfId="0" applyFont="1" applyBorder="1" applyAlignment="1">
      <alignment horizontal="center" vertical="center" textRotation="90" wrapText="1"/>
    </xf>
    <xf numFmtId="0" fontId="26" fillId="0" borderId="33" xfId="0" applyFont="1" applyBorder="1" applyAlignment="1">
      <alignment horizontal="center" vertical="center" textRotation="90" wrapText="1"/>
    </xf>
    <xf numFmtId="0" fontId="26" fillId="0" borderId="1" xfId="0" applyFont="1" applyBorder="1" applyAlignment="1">
      <alignment horizontal="center" vertical="center" textRotation="90" wrapText="1"/>
    </xf>
    <xf numFmtId="0" fontId="26" fillId="0" borderId="11" xfId="0" applyFont="1" applyBorder="1" applyAlignment="1">
      <alignment horizontal="center" vertical="center" textRotation="90" wrapText="1"/>
    </xf>
    <xf numFmtId="0" fontId="26" fillId="0" borderId="14" xfId="0" applyFont="1" applyBorder="1" applyAlignment="1">
      <alignment horizontal="center" vertical="center" textRotation="90" wrapText="1"/>
    </xf>
    <xf numFmtId="0" fontId="10" fillId="0" borderId="21" xfId="0" applyFont="1" applyBorder="1" applyAlignment="1">
      <alignment horizontal="center" vertical="center" textRotation="90"/>
    </xf>
    <xf numFmtId="0" fontId="10" fillId="0" borderId="4" xfId="0" applyFont="1" applyBorder="1" applyAlignment="1">
      <alignment horizontal="center" vertical="center" textRotation="90"/>
    </xf>
    <xf numFmtId="0" fontId="10" fillId="0" borderId="22" xfId="0" applyFont="1" applyBorder="1" applyAlignment="1">
      <alignment horizontal="center" vertical="center" textRotation="90"/>
    </xf>
    <xf numFmtId="0" fontId="58" fillId="0" borderId="33" xfId="0" applyFont="1" applyBorder="1" applyAlignment="1">
      <alignment horizontal="center" vertical="center" textRotation="90" wrapText="1"/>
    </xf>
    <xf numFmtId="0" fontId="58" fillId="0" borderId="1" xfId="0" applyFont="1" applyBorder="1" applyAlignment="1">
      <alignment horizontal="center" vertical="center" textRotation="90" wrapText="1"/>
    </xf>
    <xf numFmtId="0" fontId="58" fillId="0" borderId="34" xfId="0" applyFont="1" applyBorder="1" applyAlignment="1">
      <alignment horizontal="center" vertical="center" textRotation="90" wrapText="1"/>
    </xf>
    <xf numFmtId="0" fontId="58" fillId="0" borderId="11" xfId="0" applyFont="1" applyBorder="1" applyAlignment="1">
      <alignment horizontal="center" vertical="center" textRotation="90" wrapText="1"/>
    </xf>
    <xf numFmtId="0" fontId="58" fillId="0" borderId="14" xfId="0" applyFont="1" applyBorder="1" applyAlignment="1">
      <alignment horizontal="center" vertical="center" textRotation="90" wrapText="1"/>
    </xf>
    <xf numFmtId="0" fontId="58" fillId="0" borderId="13" xfId="0" applyFont="1" applyBorder="1" applyAlignment="1">
      <alignment horizontal="center" vertical="center" textRotation="90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6" fillId="3" borderId="32" xfId="0" applyFont="1" applyFill="1" applyBorder="1" applyAlignment="1">
      <alignment horizontal="center" vertical="center" wrapText="1"/>
    </xf>
    <xf numFmtId="0" fontId="46" fillId="3" borderId="28" xfId="0" applyFont="1" applyFill="1" applyBorder="1" applyAlignment="1">
      <alignment horizontal="center" vertical="center" wrapText="1"/>
    </xf>
    <xf numFmtId="0" fontId="46" fillId="3" borderId="24" xfId="0" applyFont="1" applyFill="1" applyBorder="1" applyAlignment="1">
      <alignment horizontal="center" vertical="center" wrapText="1"/>
    </xf>
    <xf numFmtId="0" fontId="46" fillId="3" borderId="25" xfId="0" applyFont="1" applyFill="1" applyBorder="1" applyAlignment="1">
      <alignment horizontal="center" vertical="center" wrapText="1"/>
    </xf>
    <xf numFmtId="0" fontId="46" fillId="3" borderId="27" xfId="0" applyFont="1" applyFill="1" applyBorder="1" applyAlignment="1">
      <alignment horizontal="center" vertical="center" wrapText="1"/>
    </xf>
    <xf numFmtId="0" fontId="46" fillId="3" borderId="26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0" fillId="0" borderId="0" xfId="0" applyFont="1" applyAlignment="1">
      <alignment horizontal="left" wrapText="1"/>
    </xf>
    <xf numFmtId="0" fontId="35" fillId="0" borderId="0" xfId="0" applyFont="1" applyAlignment="1">
      <alignment horizontal="left" vertical="center" wrapText="1"/>
    </xf>
    <xf numFmtId="0" fontId="50" fillId="0" borderId="0" xfId="0" applyFont="1" applyAlignment="1">
      <alignment horizontal="left" vertical="center" wrapText="1"/>
    </xf>
    <xf numFmtId="0" fontId="1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165" fontId="10" fillId="0" borderId="2" xfId="0" applyNumberFormat="1" applyFont="1" applyBorder="1" applyAlignment="1">
      <alignment horizontal="right"/>
    </xf>
    <xf numFmtId="165" fontId="10" fillId="0" borderId="3" xfId="0" applyNumberFormat="1" applyFont="1" applyBorder="1" applyAlignment="1">
      <alignment horizontal="right"/>
    </xf>
    <xf numFmtId="165" fontId="10" fillId="0" borderId="4" xfId="0" applyNumberFormat="1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SHEAR - TENSION / </a:t>
            </a:r>
            <a:r>
              <a:rPr lang="ru-RU" sz="10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СРЕЗ - РАСТЯЖЕНИЕ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8003724394785853E-2"/>
          <c:y val="0.10889580268179773"/>
          <c:w val="0.89752342256320561"/>
          <c:h val="0.79759625534027312"/>
        </c:manualLayout>
      </c:layout>
      <c:scatterChart>
        <c:scatterStyle val="lineMarker"/>
        <c:varyColors val="0"/>
        <c:ser>
          <c:idx val="0"/>
          <c:order val="0"/>
          <c:tx>
            <c:v>M=Mmin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7.5264867512225917E-3"/>
                  <c:y val="-2.10247210394611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6.7547814438953541E-3"/>
                  <c:y val="-3.938777222303001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2.1821103044279977E-3"/>
                  <c:y val="-1.38957793202683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5.1599415494869641E-3"/>
                  <c:y val="-1.10891529769160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9.6275898473584653E-3"/>
                  <c:y val="-1.722417694843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7.9460316079486629E-3"/>
                  <c:y val="-1.5418849786949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5.6596881919221053E-3"/>
                  <c:y val="2.6187431796386725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Графики!$C$70:$C$80</c:f>
              <c:numCache>
                <c:formatCode>0.0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19.7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40.646000000000001</c:v>
                </c:pt>
              </c:numCache>
            </c:numRef>
          </c:xVal>
          <c:yVal>
            <c:numRef>
              <c:f>Графики!$E$70:$E$80</c:f>
              <c:numCache>
                <c:formatCode>0.0</c:formatCode>
                <c:ptCount val="11"/>
                <c:pt idx="0">
                  <c:v>55.756999999999998</c:v>
                </c:pt>
                <c:pt idx="1">
                  <c:v>55.43</c:v>
                </c:pt>
                <c:pt idx="2">
                  <c:v>55.1</c:v>
                </c:pt>
                <c:pt idx="3">
                  <c:v>54.771000000000001</c:v>
                </c:pt>
                <c:pt idx="4">
                  <c:v>54.402000000000001</c:v>
                </c:pt>
                <c:pt idx="5">
                  <c:v>53.566000000000003</c:v>
                </c:pt>
                <c:pt idx="6">
                  <c:v>39.6</c:v>
                </c:pt>
                <c:pt idx="7">
                  <c:v>25.7</c:v>
                </c:pt>
                <c:pt idx="8">
                  <c:v>11.787000000000001</c:v>
                </c:pt>
                <c:pt idx="9">
                  <c:v>1.347</c:v>
                </c:pt>
                <c:pt idx="1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M=1.0 [кНм/kNm]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5221068570467449E-3"/>
                  <c:y val="2.2169932952757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5.3532515139518178E-2"/>
                  <c:y val="2.75861969096943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7.3875570023020322E-3"/>
                  <c:y val="-1.60919481973216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5.9590316573556795E-3"/>
                  <c:y val="-1.60919481973216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7.4487895716945996E-3"/>
                  <c:y val="-1.37930984548471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8.9385474860335188E-3"/>
                  <c:y val="-1.37930984548471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7.5007488356505928E-3"/>
                  <c:y val="4.567690787137739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Графики!$C$81:$C$87</c:f>
              <c:numCache>
                <c:formatCode>0.0</c:formatCode>
                <c:ptCount val="7"/>
                <c:pt idx="0">
                  <c:v>0</c:v>
                </c:pt>
                <c:pt idx="1">
                  <c:v>18.285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38.280999999999999</c:v>
                </c:pt>
              </c:numCache>
            </c:numRef>
          </c:xVal>
          <c:yVal>
            <c:numRef>
              <c:f>Графики!$E$81:$E$87</c:f>
              <c:numCache>
                <c:formatCode>0.0</c:formatCode>
                <c:ptCount val="7"/>
                <c:pt idx="0">
                  <c:v>52.497999999999998</c:v>
                </c:pt>
                <c:pt idx="1">
                  <c:v>52.497999999999998</c:v>
                </c:pt>
                <c:pt idx="2">
                  <c:v>46.96</c:v>
                </c:pt>
                <c:pt idx="3">
                  <c:v>30.8</c:v>
                </c:pt>
                <c:pt idx="4">
                  <c:v>18.024000000000001</c:v>
                </c:pt>
                <c:pt idx="5">
                  <c:v>7.141</c:v>
                </c:pt>
                <c:pt idx="6">
                  <c:v>0</c:v>
                </c:pt>
              </c:numCache>
            </c:numRef>
          </c:yVal>
          <c:smooth val="0"/>
        </c:ser>
        <c:ser>
          <c:idx val="5"/>
          <c:order val="2"/>
          <c:tx>
            <c:v>M=1.5 [кНм/kNm]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7.5273340900068554E-3"/>
                  <c:y val="2.21501731072920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9906815339357806E-2"/>
                  <c:y val="2.37088918930011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6.6555103430863093E-3"/>
                  <c:y val="-1.33765553459742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8.1469346533026739E-3"/>
                  <c:y val="-9.255950097199313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9.3458290383848699E-3"/>
                  <c:y val="-1.23733452203328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3065540383954723E-2"/>
                  <c:y val="-1.52883519883867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1.2133891390656648E-3"/>
                  <c:y val="4.6149303183163827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Графики!$C$88:$C$94</c:f>
              <c:numCache>
                <c:formatCode>0.0</c:formatCode>
                <c:ptCount val="7"/>
                <c:pt idx="0">
                  <c:v>0</c:v>
                </c:pt>
                <c:pt idx="1">
                  <c:v>15.766999999999999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36.287999999999997</c:v>
                </c:pt>
              </c:numCache>
            </c:numRef>
          </c:xVal>
          <c:yVal>
            <c:numRef>
              <c:f>Графики!$E$88:$E$94</c:f>
              <c:numCache>
                <c:formatCode>0.0</c:formatCode>
                <c:ptCount val="7"/>
                <c:pt idx="0">
                  <c:v>48.134999999999998</c:v>
                </c:pt>
                <c:pt idx="1">
                  <c:v>48.134999999999998</c:v>
                </c:pt>
                <c:pt idx="2">
                  <c:v>35.451000000000001</c:v>
                </c:pt>
                <c:pt idx="3">
                  <c:v>24.568000000000001</c:v>
                </c:pt>
                <c:pt idx="4">
                  <c:v>13.686</c:v>
                </c:pt>
                <c:pt idx="5">
                  <c:v>2.8029999999999999</c:v>
                </c:pt>
                <c:pt idx="6">
                  <c:v>0</c:v>
                </c:pt>
              </c:numCache>
            </c:numRef>
          </c:yVal>
          <c:smooth val="0"/>
        </c:ser>
        <c:ser>
          <c:idx val="2"/>
          <c:order val="3"/>
          <c:tx>
            <c:v>M=2.0 [кНм/kNm]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1253404713152394E-3"/>
                  <c:y val="-2.40423317255856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8.1395362492441212E-3"/>
                  <c:y val="-9.2215576439417454E-3"/>
                </c:manualLayout>
              </c:layout>
              <c:tx>
                <c:rich>
                  <a:bodyPr/>
                  <a:lstStyle/>
                  <a:p>
                    <a:fld id="{D18A39F4-0226-4A06-A9F1-B80A6E496A47}" type="Y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[ЗНАЧЕНИЕ Y]</a:t>
                    </a:fld>
                    <a:endParaRPr lang="ru-RU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3"/>
              <c:layout>
                <c:manualLayout>
                  <c:x val="-6.6447063244611205E-3"/>
                  <c:y val="-5.10095239516676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6.2292213473315837E-3"/>
                  <c:y val="-7.161255019554218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3.0773602964059132E-2"/>
                  <c:y val="4.471132483461204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0065411286676414E-2"/>
                      <c:h val="2.4671556127104768E-2"/>
                    </c:manualLayout>
                  </c15:layout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Графики!$C$95:$C$100</c:f>
              <c:numCache>
                <c:formatCode>0.0</c:formatCode>
                <c:ptCount val="6"/>
                <c:pt idx="0">
                  <c:v>0</c:v>
                </c:pt>
                <c:pt idx="1">
                  <c:v>15.962999999999999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34.293999999999997</c:v>
                </c:pt>
              </c:numCache>
            </c:numRef>
          </c:xVal>
          <c:yVal>
            <c:numRef>
              <c:f>Графики!$E$95:$E$100</c:f>
              <c:numCache>
                <c:formatCode>0.0</c:formatCode>
                <c:ptCount val="6"/>
                <c:pt idx="0">
                  <c:v>39.9</c:v>
                </c:pt>
                <c:pt idx="1">
                  <c:v>39.9</c:v>
                </c:pt>
                <c:pt idx="2">
                  <c:v>31.11</c:v>
                </c:pt>
                <c:pt idx="3">
                  <c:v>20.23</c:v>
                </c:pt>
                <c:pt idx="4">
                  <c:v>9.3480000000000008</c:v>
                </c:pt>
                <c:pt idx="5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M=2.5 [кНм/kNm]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7.8198778052739216E-3"/>
                  <c:y val="-2.3789381157232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5.7702849023571937E-2"/>
                  <c:y val="-2.64205000183323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5.4381088270006574E-2"/>
                  <c:y val="3.30567791829756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527084548734902E-2"/>
                  <c:y val="-1.73054517413639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7303191095980455E-2"/>
                  <c:y val="-2.15231068735199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9635765238349472E-2"/>
                  <c:y val="1.6086164627555587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Графики!$C$102:$C$107</c:f>
              <c:numCache>
                <c:formatCode>0.0</c:formatCode>
                <c:ptCount val="6"/>
                <c:pt idx="0">
                  <c:v>0</c:v>
                </c:pt>
                <c:pt idx="1">
                  <c:v>19.710999999999999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32.301000000000002</c:v>
                </c:pt>
              </c:numCache>
            </c:numRef>
          </c:xVal>
          <c:yVal>
            <c:numRef>
              <c:f>Графики!$E$102:$E$107</c:f>
              <c:numCache>
                <c:formatCode>0.0</c:formatCode>
                <c:ptCount val="6"/>
                <c:pt idx="0">
                  <c:v>27.404</c:v>
                </c:pt>
                <c:pt idx="1">
                  <c:v>27.404</c:v>
                </c:pt>
                <c:pt idx="2">
                  <c:v>26.774999999999999</c:v>
                </c:pt>
                <c:pt idx="3">
                  <c:v>15.891999999999999</c:v>
                </c:pt>
                <c:pt idx="4">
                  <c:v>5.01</c:v>
                </c:pt>
                <c:pt idx="5">
                  <c:v>0</c:v>
                </c:pt>
              </c:numCache>
            </c:numRef>
          </c:yVal>
          <c:smooth val="0"/>
        </c:ser>
        <c:ser>
          <c:idx val="3"/>
          <c:order val="5"/>
          <c:tx>
            <c:v>M=3.0 [кНм/kNm]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8317375825678559E-3"/>
                  <c:y val="-2.09249399564571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5.6096171130750702E-2"/>
                  <c:y val="-2.46701273554803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5.443746840587995E-2"/>
                  <c:y val="1.94427525413676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5.9947592596586288E-2"/>
                  <c:y val="-1.37975301606960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4553299896020146E-2"/>
                  <c:y val="4.2457093726920997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Графики!$C$109:$C$113</c:f>
              <c:numCache>
                <c:formatCode>0.0</c:formatCode>
                <c:ptCount val="5"/>
                <c:pt idx="0">
                  <c:v>0</c:v>
                </c:pt>
                <c:pt idx="1">
                  <c:v>23.460999999999999</c:v>
                </c:pt>
                <c:pt idx="2">
                  <c:v>25</c:v>
                </c:pt>
                <c:pt idx="3">
                  <c:v>30</c:v>
                </c:pt>
                <c:pt idx="4">
                  <c:v>30.308</c:v>
                </c:pt>
              </c:numCache>
            </c:numRef>
          </c:xVal>
          <c:yVal>
            <c:numRef>
              <c:f>Графики!$E$109:$E$113</c:f>
              <c:numCache>
                <c:formatCode>0.0</c:formatCode>
                <c:ptCount val="5"/>
                <c:pt idx="0">
                  <c:v>14.904</c:v>
                </c:pt>
                <c:pt idx="1">
                  <c:v>14.904</c:v>
                </c:pt>
                <c:pt idx="2">
                  <c:v>11.554</c:v>
                </c:pt>
                <c:pt idx="3">
                  <c:v>0.67200000000000004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57472"/>
        <c:axId val="171056296"/>
      </c:scatterChart>
      <c:valAx>
        <c:axId val="17105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Q [</a:t>
                </a:r>
                <a:r>
                  <a:rPr lang="ru-RU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кН/</a:t>
                </a: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kN]</a:t>
                </a:r>
                <a:endParaRPr lang="ru-RU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7782976289974932"/>
              <c:y val="0.952449554883402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056296"/>
        <c:crosses val="autoZero"/>
        <c:crossBetween val="midCat"/>
      </c:valAx>
      <c:valAx>
        <c:axId val="17105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 [</a:t>
                </a:r>
                <a:r>
                  <a:rPr lang="ru-RU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кН/</a:t>
                </a: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kN]</a:t>
                </a:r>
                <a:endParaRPr lang="ru-RU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3535682341383307E-2"/>
              <c:y val="0.453829977218214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out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057472"/>
        <c:crosses val="autoZero"/>
        <c:crossBetween val="midCat"/>
        <c:minorUnit val="1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SHEAR - BENDING / </a:t>
            </a:r>
            <a:r>
              <a:rPr lang="ru-RU" sz="10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СРЕЗ - МОМЕНТ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9821624127137253E-2"/>
          <c:y val="0.10084370734457467"/>
          <c:w val="0.88530551334936614"/>
          <c:h val="0.767855997883511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2493438320209973E-3"/>
                  <c:y val="5.8688666444466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4.6310775447801497E-3"/>
                  <c:y val="-3.88349947612499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2.4813895781637717E-3"/>
                  <c:y val="-1.23520309364883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3.7046660841046838E-3"/>
                  <c:y val="4.047894360351748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Графики!$C$54:$C$60</c:f>
              <c:numCache>
                <c:formatCode>0.0</c:formatCode>
                <c:ptCount val="7"/>
                <c:pt idx="0">
                  <c:v>0</c:v>
                </c:pt>
                <c:pt idx="1">
                  <c:v>27.9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40.646000000000001</c:v>
                </c:pt>
                <c:pt idx="6">
                  <c:v>40.646000000000001</c:v>
                </c:pt>
              </c:numCache>
            </c:numRef>
          </c:xVal>
          <c:yVal>
            <c:numRef>
              <c:f>Графики!$D$54:$D$60</c:f>
              <c:numCache>
                <c:formatCode>0.00</c:formatCode>
                <c:ptCount val="7"/>
                <c:pt idx="0">
                  <c:v>3.5960000000000001</c:v>
                </c:pt>
                <c:pt idx="1">
                  <c:v>3.5960000000000001</c:v>
                </c:pt>
                <c:pt idx="2">
                  <c:v>3.077</c:v>
                </c:pt>
                <c:pt idx="3">
                  <c:v>1.82</c:v>
                </c:pt>
                <c:pt idx="4">
                  <c:v>0.56799999999999995</c:v>
                </c:pt>
                <c:pt idx="5">
                  <c:v>0.40646000000000004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54336"/>
        <c:axId val="171056688"/>
      </c:scatterChart>
      <c:valAx>
        <c:axId val="17105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Q [</a:t>
                </a:r>
                <a:r>
                  <a:rPr lang="ru-RU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кН/</a:t>
                </a:r>
                <a:r>
                  <a:rPr lang="en-US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kN]</a:t>
                </a:r>
                <a:endParaRPr lang="ru-RU" b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5908239123740818"/>
              <c:y val="0.935451709220763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056688"/>
        <c:crosses val="autoZero"/>
        <c:crossBetween val="midCat"/>
      </c:valAx>
      <c:valAx>
        <c:axId val="17105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 [</a:t>
                </a:r>
                <a:r>
                  <a:rPr lang="ru-RU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кНм/</a:t>
                </a:r>
                <a:r>
                  <a:rPr lang="en-US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kNm]</a:t>
                </a:r>
                <a:endParaRPr lang="ru-RU" b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2832118084734579E-2"/>
              <c:y val="0.380952695754227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05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TENSION - BENDING / </a:t>
            </a:r>
            <a:r>
              <a:rPr lang="ru-RU" sz="10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РАСТЯЖЕНИЕ - МОМЕНТ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4589748963683977E-2"/>
          <c:y val="0.10008998186831526"/>
          <c:w val="0.90093854917661564"/>
          <c:h val="0.7979540588813682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988308279646878E-3"/>
                  <c:y val="-2.96060521846533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6.1126371747005541E-3"/>
                  <c:y val="-2.38148326362128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6.0180015376865771E-2"/>
                  <c:y val="3.9520024702794504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Графики!$E$61:$E$69</c:f>
              <c:numCache>
                <c:formatCode>0.0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55.756999999999998</c:v>
                </c:pt>
                <c:pt idx="8">
                  <c:v>55.756999999999998</c:v>
                </c:pt>
              </c:numCache>
            </c:numRef>
          </c:xVal>
          <c:yVal>
            <c:numRef>
              <c:f>Графики!$D$61:$D$69</c:f>
              <c:numCache>
                <c:formatCode>0.00</c:formatCode>
                <c:ptCount val="9"/>
                <c:pt idx="0">
                  <c:v>3.5960000000000001</c:v>
                </c:pt>
                <c:pt idx="1">
                  <c:v>3.1960000000000002</c:v>
                </c:pt>
                <c:pt idx="2">
                  <c:v>2.7959999999999998</c:v>
                </c:pt>
                <c:pt idx="3">
                  <c:v>2.3959999999999999</c:v>
                </c:pt>
                <c:pt idx="4">
                  <c:v>1.996</c:v>
                </c:pt>
                <c:pt idx="5">
                  <c:v>1.794</c:v>
                </c:pt>
                <c:pt idx="6">
                  <c:v>1.2989999999999999</c:v>
                </c:pt>
                <c:pt idx="7">
                  <c:v>0.55757000000000001</c:v>
                </c:pt>
                <c:pt idx="8">
                  <c:v>0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1055512"/>
        <c:axId val="173007920"/>
      </c:scatterChart>
      <c:valAx>
        <c:axId val="17105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 [</a:t>
                </a:r>
                <a:r>
                  <a:rPr lang="ru-RU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кН/</a:t>
                </a: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kN]</a:t>
                </a:r>
                <a:endParaRPr lang="ru-RU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007920"/>
        <c:crosses val="autoZero"/>
        <c:crossBetween val="midCat"/>
        <c:minorUnit val="1"/>
      </c:valAx>
      <c:valAx>
        <c:axId val="1730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 [</a:t>
                </a:r>
                <a:r>
                  <a:rPr lang="ru-RU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кНм/</a:t>
                </a: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kNm]</a:t>
                </a:r>
                <a:endParaRPr lang="ru-RU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055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pn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2267</xdr:colOff>
      <xdr:row>182</xdr:row>
      <xdr:rowOff>46261</xdr:rowOff>
    </xdr:from>
    <xdr:to>
      <xdr:col>13</xdr:col>
      <xdr:colOff>601216</xdr:colOff>
      <xdr:row>225</xdr:row>
      <xdr:rowOff>2598</xdr:rowOff>
    </xdr:to>
    <xdr:graphicFrame macro="">
      <xdr:nvGraphicFramePr>
        <xdr:cNvPr id="8" name="Диаграмма 7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266700</xdr:colOff>
      <xdr:row>2</xdr:row>
      <xdr:rowOff>115558</xdr:rowOff>
    </xdr:from>
    <xdr:to>
      <xdr:col>14</xdr:col>
      <xdr:colOff>465529</xdr:colOff>
      <xdr:row>18</xdr:row>
      <xdr:rowOff>59532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67325" y="610858"/>
          <a:ext cx="4980379" cy="2991974"/>
        </a:xfrm>
        <a:prstGeom prst="rect">
          <a:avLst/>
        </a:prstGeom>
      </xdr:spPr>
    </xdr:pic>
    <xdr:clientData/>
  </xdr:twoCellAnchor>
  <xdr:twoCellAnchor editAs="oneCell">
    <xdr:from>
      <xdr:col>7</xdr:col>
      <xdr:colOff>855958</xdr:colOff>
      <xdr:row>27</xdr:row>
      <xdr:rowOff>22225</xdr:rowOff>
    </xdr:from>
    <xdr:to>
      <xdr:col>14</xdr:col>
      <xdr:colOff>446173</xdr:colOff>
      <xdr:row>38</xdr:row>
      <xdr:rowOff>88900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3708" y="5705475"/>
          <a:ext cx="4352715" cy="3257550"/>
        </a:xfrm>
        <a:prstGeom prst="rect">
          <a:avLst/>
        </a:prstGeom>
      </xdr:spPr>
    </xdr:pic>
    <xdr:clientData/>
  </xdr:twoCellAnchor>
  <xdr:twoCellAnchor>
    <xdr:from>
      <xdr:col>1</xdr:col>
      <xdr:colOff>1</xdr:colOff>
      <xdr:row>118</xdr:row>
      <xdr:rowOff>4761</xdr:rowOff>
    </xdr:from>
    <xdr:to>
      <xdr:col>13</xdr:col>
      <xdr:colOff>597634</xdr:colOff>
      <xdr:row>145</xdr:row>
      <xdr:rowOff>47625</xdr:rowOff>
    </xdr:to>
    <xdr:graphicFrame macro="">
      <xdr:nvGraphicFramePr>
        <xdr:cNvPr id="5" name="Диаграмма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32401</xdr:colOff>
      <xdr:row>148</xdr:row>
      <xdr:rowOff>163019</xdr:rowOff>
    </xdr:from>
    <xdr:to>
      <xdr:col>13</xdr:col>
      <xdr:colOff>611909</xdr:colOff>
      <xdr:row>176</xdr:row>
      <xdr:rowOff>150091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223451</xdr:colOff>
      <xdr:row>133</xdr:row>
      <xdr:rowOff>42347</xdr:rowOff>
    </xdr:from>
    <xdr:to>
      <xdr:col>12</xdr:col>
      <xdr:colOff>291236</xdr:colOff>
      <xdr:row>149</xdr:row>
      <xdr:rowOff>19050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8251" y="25455047"/>
          <a:ext cx="4430235" cy="2853253"/>
        </a:xfrm>
        <a:prstGeom prst="rect">
          <a:avLst/>
        </a:prstGeom>
      </xdr:spPr>
    </xdr:pic>
    <xdr:clientData/>
  </xdr:twoCellAnchor>
  <xdr:oneCellAnchor>
    <xdr:from>
      <xdr:col>1</xdr:col>
      <xdr:colOff>1162050</xdr:colOff>
      <xdr:row>146</xdr:row>
      <xdr:rowOff>119061</xdr:rowOff>
    </xdr:from>
    <xdr:ext cx="1514475" cy="465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562100" y="27674886"/>
              <a:ext cx="1514475" cy="46519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𝑎𝑛</m:t>
                        </m:r>
                      </m:sub>
                    </m:sSub>
                    <m:r>
                      <a:rPr lang="ru-RU" sz="12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  <m:r>
                      <a:rPr lang="ru-RU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ru-RU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2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2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𝜑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sSub>
                          <m:sSubPr>
                            <m:ctrlPr>
                              <a:rPr lang="ru-RU" sz="12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ru-RU" sz="12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𝜑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ru-RU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</m:t>
                            </m:r>
                          </m:sub>
                        </m:sSub>
                        <m:sSub>
                          <m:sSubPr>
                            <m:ctrlPr>
                              <a:rPr lang="ru-RU" sz="12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  <m:r>
                              <a:rPr lang="ru-RU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</m:t>
                            </m:r>
                          </m:sub>
                        </m:sSub>
                        <m:sSub>
                          <m:sSubPr>
                            <m:ctrlPr>
                              <a:rPr lang="ru-RU" sz="12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𝑏𝑡</m:t>
                            </m:r>
                          </m:sub>
                        </m:sSub>
                      </m:num>
                      <m:den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1+3,5</m:t>
                        </m:r>
                        <m:f>
                          <m:fPr>
                            <m:ctrlP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𝑒</m:t>
                            </m:r>
                          </m:num>
                          <m:den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den>
                        </m:f>
                      </m:den>
                    </m:f>
                  </m:oMath>
                </m:oMathPara>
              </a14:m>
              <a:endParaRPr lang="ru-RU" sz="12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562100" y="27674886"/>
              <a:ext cx="1514475" cy="46519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𝑁</a:t>
              </a:r>
              <a:r>
                <a:rPr lang="ru-RU" sz="1200" b="0" i="0">
                  <a:latin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 panose="02040503050406030204" pitchFamily="18" charset="0"/>
                </a:rPr>
                <a:t>𝑎𝑛</a:t>
              </a:r>
              <a:r>
                <a:rPr lang="ru-RU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</a:t>
              </a:r>
              <a:r>
                <a:rPr lang="ru-RU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ru-RU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(𝜑_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ru-RU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〖 </a:t>
              </a:r>
              <a:r>
                <a:rPr lang="ru-RU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𝜑〗_(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3</a:t>
              </a:r>
              <a:r>
                <a:rPr lang="ru-RU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) 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𝐴</a:t>
              </a:r>
              <a:r>
                <a:rPr lang="ru-RU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ru-RU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) 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𝑅</a:t>
              </a:r>
              <a:r>
                <a:rPr lang="ru-RU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𝑏𝑡</a:t>
              </a:r>
              <a:r>
                <a:rPr lang="ru-RU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)/(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1+3,5 𝑒/𝑎</a:t>
              </a:r>
              <a:r>
                <a:rPr lang="ru-RU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ru-RU" sz="1200"/>
            </a:p>
          </xdr:txBody>
        </xdr:sp>
      </mc:Fallback>
    </mc:AlternateContent>
    <xdr:clientData/>
  </xdr:oneCellAnchor>
  <xdr:twoCellAnchor editAs="oneCell">
    <xdr:from>
      <xdr:col>4</xdr:col>
      <xdr:colOff>133350</xdr:colOff>
      <xdr:row>2</xdr:row>
      <xdr:rowOff>2497</xdr:rowOff>
    </xdr:from>
    <xdr:to>
      <xdr:col>11</xdr:col>
      <xdr:colOff>295275</xdr:colOff>
      <xdr:row>17</xdr:row>
      <xdr:rowOff>155120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71875" y="1326472"/>
          <a:ext cx="4591050" cy="3010123"/>
        </a:xfrm>
        <a:prstGeom prst="rect">
          <a:avLst/>
        </a:prstGeom>
      </xdr:spPr>
    </xdr:pic>
    <xdr:clientData/>
  </xdr:twoCellAnchor>
  <xdr:twoCellAnchor editAs="oneCell">
    <xdr:from>
      <xdr:col>5</xdr:col>
      <xdr:colOff>257175</xdr:colOff>
      <xdr:row>164</xdr:row>
      <xdr:rowOff>47625</xdr:rowOff>
    </xdr:from>
    <xdr:to>
      <xdr:col>12</xdr:col>
      <xdr:colOff>266700</xdr:colOff>
      <xdr:row>183</xdr:row>
      <xdr:rowOff>28940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71975" y="30689550"/>
          <a:ext cx="4371975" cy="3410315"/>
        </a:xfrm>
        <a:prstGeom prst="rect">
          <a:avLst/>
        </a:prstGeom>
      </xdr:spPr>
    </xdr:pic>
    <xdr:clientData/>
  </xdr:twoCellAnchor>
  <xdr:oneCellAnchor>
    <xdr:from>
      <xdr:col>1</xdr:col>
      <xdr:colOff>1162050</xdr:colOff>
      <xdr:row>178</xdr:row>
      <xdr:rowOff>90486</xdr:rowOff>
    </xdr:from>
    <xdr:ext cx="1905000" cy="4956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1562100" y="33056511"/>
              <a:ext cx="1905000" cy="495649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</m:t>
                    </m:r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 </m:t>
                    </m:r>
                    <m:f>
                      <m:fPr>
                        <m:ctrlPr>
                          <a:rPr lang="ru-RU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2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2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𝜑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sSub>
                          <m:sSubPr>
                            <m:ctrlPr>
                              <a:rPr lang="ru-RU" sz="12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ru-RU" sz="12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𝜑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ru-RU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</m:t>
                            </m:r>
                          </m:sub>
                        </m:sSub>
                        <m:sSub>
                          <m:sSubPr>
                            <m:ctrlPr>
                              <a:rPr lang="ru-RU" sz="12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ru-RU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</m:t>
                            </m:r>
                          </m:sub>
                        </m:sSub>
                        <m:sSub>
                          <m:sSubPr>
                            <m:ctrlPr>
                              <a:rPr lang="ru-RU" sz="12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𝑏𝑡</m:t>
                            </m:r>
                          </m:sub>
                        </m:sSub>
                      </m:num>
                      <m:den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1+3,5</m:t>
                        </m:r>
                        <m:f>
                          <m:fPr>
                            <m:ctrlP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den>
                        </m:f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+3,5</m:t>
                        </m:r>
                        <m:f>
                          <m:fPr>
                            <m:ctrlP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den>
                        </m:f>
                      </m:den>
                    </m:f>
                  </m:oMath>
                </m:oMathPara>
              </a14:m>
              <a:endParaRPr lang="ru-RU" sz="12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562100" y="33056511"/>
              <a:ext cx="1905000" cy="495649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𝑁≤ </a:t>
              </a:r>
              <a:r>
                <a:rPr lang="ru-RU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(𝜑_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ru-RU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〖 </a:t>
              </a:r>
              <a:r>
                <a:rPr lang="ru-RU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𝜑〗_(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3</a:t>
              </a:r>
              <a:r>
                <a:rPr lang="ru-RU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) 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𝐴</a:t>
              </a:r>
              <a:r>
                <a:rPr lang="ru-RU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  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𝑅</a:t>
              </a:r>
              <a:r>
                <a:rPr lang="ru-RU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𝑏𝑡</a:t>
              </a:r>
              <a:r>
                <a:rPr lang="ru-RU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)/(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1+3,5 𝑒_1/𝑎_1 +3,5 𝑒_2/𝑎_2 </a:t>
              </a:r>
              <a:r>
                <a:rPr lang="ru-RU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ru-RU" sz="1200"/>
            </a:p>
          </xdr:txBody>
        </xdr:sp>
      </mc:Fallback>
    </mc:AlternateContent>
    <xdr:clientData/>
  </xdr:oneCellAnchor>
  <xdr:twoCellAnchor editAs="oneCell">
    <xdr:from>
      <xdr:col>5</xdr:col>
      <xdr:colOff>9924</xdr:colOff>
      <xdr:row>194</xdr:row>
      <xdr:rowOff>19051</xdr:rowOff>
    </xdr:from>
    <xdr:to>
      <xdr:col>13</xdr:col>
      <xdr:colOff>0</xdr:colOff>
      <xdr:row>208</xdr:row>
      <xdr:rowOff>48192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4724" y="35699701"/>
          <a:ext cx="4676376" cy="2553266"/>
        </a:xfrm>
        <a:prstGeom prst="rect">
          <a:avLst/>
        </a:prstGeom>
      </xdr:spPr>
    </xdr:pic>
    <xdr:clientData/>
  </xdr:twoCellAnchor>
  <xdr:oneCellAnchor>
    <xdr:from>
      <xdr:col>1</xdr:col>
      <xdr:colOff>1162050</xdr:colOff>
      <xdr:row>204</xdr:row>
      <xdr:rowOff>119061</xdr:rowOff>
    </xdr:from>
    <xdr:ext cx="1514475" cy="4810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1562100" y="37676136"/>
              <a:ext cx="1514475" cy="481029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200" b="0" i="1">
                        <a:latin typeface="Cambria Math" panose="02040503050406030204" pitchFamily="18" charset="0"/>
                      </a:rPr>
                      <m:t>Q</m:t>
                    </m:r>
                    <m:r>
                      <a:rPr lang="ru-RU" sz="12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  <m:r>
                      <a:rPr lang="ru-RU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ru-RU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2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2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𝜑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sSub>
                          <m:sSubPr>
                            <m:ctrlPr>
                              <a:rPr lang="ru-RU" sz="12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𝑏𝑡</m:t>
                            </m:r>
                          </m:sub>
                        </m:sSub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𝑏h</m:t>
                        </m:r>
                      </m:num>
                      <m:den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1+3,5</m:t>
                        </m:r>
                        <m:f>
                          <m:fPr>
                            <m:ctrlP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𝑒</m:t>
                            </m:r>
                          </m:num>
                          <m:den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𝑏</m:t>
                            </m:r>
                          </m:den>
                        </m:f>
                      </m:den>
                    </m:f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ru-RU" sz="12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1562100" y="37676136"/>
              <a:ext cx="1514475" cy="481029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Q</a:t>
              </a:r>
              <a:r>
                <a:rPr lang="ru-RU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</a:t>
              </a:r>
              <a:r>
                <a:rPr lang="ru-RU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ru-RU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 (𝜑_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ru-RU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𝑅</a:t>
              </a:r>
              <a:r>
                <a:rPr lang="ru-RU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𝑏𝑡 𝑏ℎ</a:t>
              </a:r>
              <a:r>
                <a:rPr lang="ru-RU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)/(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1+3,5 𝑒/𝑏</a:t>
              </a:r>
              <a:r>
                <a:rPr lang="ru-RU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〖∙𝛿〗_𝑛</a:t>
              </a:r>
              <a:endParaRPr lang="ru-RU" sz="1200"/>
            </a:p>
          </xdr:txBody>
        </xdr:sp>
      </mc:Fallback>
    </mc:AlternateContent>
    <xdr:clientData/>
  </xdr:oneCellAnchor>
  <xdr:oneCellAnchor>
    <xdr:from>
      <xdr:col>1</xdr:col>
      <xdr:colOff>1162050</xdr:colOff>
      <xdr:row>210</xdr:row>
      <xdr:rowOff>138112</xdr:rowOff>
    </xdr:from>
    <xdr:ext cx="1174937" cy="3466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1562100" y="38695312"/>
              <a:ext cx="1174937" cy="34663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  1−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0,3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𝑜𝑢𝑡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𝑏𝑡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1562100" y="38695312"/>
              <a:ext cx="1174937" cy="34663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𝛿_</a:t>
              </a:r>
              <a:r>
                <a:rPr lang="en-US" sz="1100" b="0" i="0">
                  <a:latin typeface="Cambria Math" panose="02040503050406030204" pitchFamily="18" charset="0"/>
                </a:rPr>
                <a:t>𝑛=  1−  0,3𝑁/(𝐴_𝑜𝑢𝑡 𝑅_𝑏𝑡 )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Z115"/>
  <sheetViews>
    <sheetView tabSelected="1" zoomScaleNormal="100" zoomScaleSheetLayoutView="40" zoomScalePageLayoutView="30" workbookViewId="0">
      <selection activeCell="G16" sqref="G16"/>
    </sheetView>
  </sheetViews>
  <sheetFormatPr defaultRowHeight="15" x14ac:dyDescent="0.25"/>
  <cols>
    <col min="1" max="1" width="2.7109375" customWidth="1"/>
    <col min="2" max="2" width="11.7109375" customWidth="1"/>
    <col min="3" max="3" width="13.7109375" customWidth="1"/>
    <col min="4" max="4" width="12.140625" customWidth="1"/>
    <col min="5" max="5" width="11.140625" customWidth="1"/>
    <col min="6" max="6" width="10.28515625" customWidth="1"/>
    <col min="7" max="7" width="11.140625" customWidth="1"/>
    <col min="8" max="8" width="13.140625" customWidth="1"/>
    <col min="9" max="9" width="11" customWidth="1"/>
    <col min="11" max="11" width="11.85546875" customWidth="1"/>
    <col min="12" max="12" width="8.140625" customWidth="1"/>
    <col min="13" max="13" width="9.28515625" customWidth="1"/>
    <col min="15" max="15" width="7.28515625" customWidth="1"/>
    <col min="16" max="16" width="3" customWidth="1"/>
    <col min="18" max="18" width="14.28515625" customWidth="1"/>
    <col min="19" max="19" width="14.7109375" customWidth="1"/>
    <col min="20" max="20" width="11" customWidth="1"/>
    <col min="21" max="21" width="8" customWidth="1"/>
    <col min="22" max="22" width="8.28515625" customWidth="1"/>
    <col min="24" max="24" width="10.42578125" customWidth="1"/>
    <col min="26" max="26" width="8.7109375" customWidth="1"/>
    <col min="28" max="28" width="8.140625" customWidth="1"/>
    <col min="29" max="29" width="8.5703125" customWidth="1"/>
    <col min="30" max="30" width="8" customWidth="1"/>
    <col min="31" max="31" width="7.85546875" customWidth="1"/>
  </cols>
  <sheetData>
    <row r="1" spans="2:12" ht="24" customHeight="1" x14ac:dyDescent="0.25">
      <c r="B1" s="131" t="s">
        <v>319</v>
      </c>
      <c r="C1" s="2"/>
      <c r="D1" s="2"/>
      <c r="E1" s="2"/>
      <c r="F1" s="2"/>
      <c r="G1" s="2"/>
      <c r="H1" s="2"/>
      <c r="I1" s="2"/>
      <c r="J1" s="2"/>
      <c r="K1" s="2"/>
      <c r="L1" s="2"/>
    </row>
    <row r="3" spans="2:12" x14ac:dyDescent="0.25">
      <c r="B3" s="203" t="s">
        <v>323</v>
      </c>
      <c r="C3" s="2"/>
      <c r="D3" s="2"/>
      <c r="E3" s="2"/>
      <c r="F3" s="2"/>
      <c r="G3" s="2"/>
      <c r="H3" s="2"/>
      <c r="I3" s="2"/>
      <c r="J3" s="2"/>
      <c r="K3" s="2"/>
    </row>
    <row r="4" spans="2:12" ht="15" customHeight="1" x14ac:dyDescent="0.25">
      <c r="B4" s="51"/>
      <c r="C4" s="57"/>
      <c r="D4" s="1"/>
      <c r="E4" s="2"/>
    </row>
    <row r="5" spans="2:12" ht="15" customHeight="1" x14ac:dyDescent="0.25">
      <c r="E5" s="57" t="s">
        <v>326</v>
      </c>
      <c r="F5" s="25" t="s">
        <v>8</v>
      </c>
    </row>
    <row r="6" spans="2:12" x14ac:dyDescent="0.25">
      <c r="C6" s="57"/>
      <c r="E6" s="2"/>
      <c r="F6" s="2"/>
    </row>
    <row r="7" spans="2:12" ht="15" customHeight="1" x14ac:dyDescent="0.25">
      <c r="E7" s="57" t="s">
        <v>325</v>
      </c>
      <c r="F7" s="143" t="s">
        <v>66</v>
      </c>
    </row>
    <row r="8" spans="2:12" ht="15" customHeight="1" x14ac:dyDescent="0.25">
      <c r="B8" s="2"/>
      <c r="C8" s="2"/>
      <c r="D8" s="2"/>
      <c r="E8" s="2"/>
    </row>
    <row r="9" spans="2:12" ht="15" customHeight="1" x14ac:dyDescent="0.25">
      <c r="B9" s="89" t="s">
        <v>328</v>
      </c>
      <c r="D9" s="1"/>
      <c r="E9" s="1"/>
      <c r="F9" s="2"/>
      <c r="G9" s="2"/>
    </row>
    <row r="10" spans="2:12" ht="15" customHeight="1" x14ac:dyDescent="0.25">
      <c r="E10" s="57" t="s">
        <v>327</v>
      </c>
      <c r="F10" s="25" t="s">
        <v>30</v>
      </c>
    </row>
    <row r="11" spans="2:12" ht="15" customHeight="1" x14ac:dyDescent="0.25">
      <c r="B11" s="89" t="s">
        <v>329</v>
      </c>
      <c r="E11" s="57"/>
    </row>
    <row r="12" spans="2:12" ht="15" customHeight="1" x14ac:dyDescent="0.25">
      <c r="B12" s="90" t="s">
        <v>330</v>
      </c>
      <c r="F12" s="2"/>
    </row>
    <row r="13" spans="2:12" ht="15" customHeight="1" x14ac:dyDescent="0.25">
      <c r="C13" s="217" t="s">
        <v>320</v>
      </c>
      <c r="D13" s="218"/>
      <c r="E13" s="218"/>
      <c r="F13" s="219"/>
    </row>
    <row r="14" spans="2:12" ht="15" customHeight="1" x14ac:dyDescent="0.25">
      <c r="B14" s="11"/>
      <c r="C14" s="217" t="s">
        <v>321</v>
      </c>
      <c r="D14" s="218"/>
      <c r="E14" s="218"/>
      <c r="F14" s="219"/>
    </row>
    <row r="15" spans="2:12" ht="15" customHeight="1" x14ac:dyDescent="0.25">
      <c r="C15" s="217" t="s">
        <v>322</v>
      </c>
      <c r="D15" s="218"/>
      <c r="E15" s="218"/>
      <c r="F15" s="219"/>
    </row>
    <row r="16" spans="2:12" ht="15" customHeight="1" x14ac:dyDescent="0.3">
      <c r="B16" s="1"/>
      <c r="C16" s="11" t="s">
        <v>75</v>
      </c>
      <c r="D16" s="204">
        <f>IF(C13="бетонный элемент / concrete",0.9,1)*IF(C14="длительные нагрузки / long-term load",0.9,1)*IF(C15="слой бетонированния &gt;1,5м / concreting layer &gt;1,5m",0.85,1)</f>
        <v>0.9</v>
      </c>
    </row>
    <row r="17" spans="2:15" ht="15" customHeight="1" x14ac:dyDescent="0.25">
      <c r="B17" s="1"/>
      <c r="C17" s="11"/>
      <c r="D17" s="205"/>
    </row>
    <row r="18" spans="2:15" ht="15" customHeight="1" x14ac:dyDescent="0.25">
      <c r="B18" s="203" t="s">
        <v>331</v>
      </c>
      <c r="C18" s="11"/>
      <c r="D18" s="205"/>
    </row>
    <row r="19" spans="2:15" ht="15" customHeight="1" thickBot="1" x14ac:dyDescent="0.3">
      <c r="B19" s="2"/>
      <c r="C19" s="2"/>
      <c r="D19" s="2"/>
      <c r="E19" s="2"/>
      <c r="F19" s="2"/>
      <c r="G19" s="1"/>
      <c r="H19" s="1"/>
    </row>
    <row r="20" spans="2:15" ht="23.25" customHeight="1" thickBot="1" x14ac:dyDescent="0.3">
      <c r="B20" s="248" t="s">
        <v>324</v>
      </c>
      <c r="C20" s="245" t="s">
        <v>239</v>
      </c>
      <c r="D20" s="246"/>
      <c r="E20" s="247"/>
      <c r="F20" s="245" t="s">
        <v>308</v>
      </c>
      <c r="G20" s="246"/>
      <c r="H20" s="246"/>
      <c r="I20" s="246"/>
      <c r="J20" s="246"/>
      <c r="K20" s="246"/>
      <c r="L20" s="246"/>
      <c r="M20" s="247"/>
      <c r="N20" s="144" t="s">
        <v>300</v>
      </c>
      <c r="O20" s="144" t="s">
        <v>299</v>
      </c>
    </row>
    <row r="21" spans="2:15" ht="23.25" customHeight="1" x14ac:dyDescent="0.25">
      <c r="B21" s="250"/>
      <c r="C21" s="129" t="s">
        <v>240</v>
      </c>
      <c r="D21" s="128" t="s">
        <v>241</v>
      </c>
      <c r="E21" s="128" t="s">
        <v>244</v>
      </c>
      <c r="F21" s="248" t="s">
        <v>245</v>
      </c>
      <c r="G21" s="248" t="s">
        <v>246</v>
      </c>
      <c r="H21" s="129" t="s">
        <v>270</v>
      </c>
      <c r="I21" s="129" t="s">
        <v>269</v>
      </c>
      <c r="J21" s="129" t="s">
        <v>268</v>
      </c>
      <c r="K21" s="129" t="s">
        <v>243</v>
      </c>
      <c r="L21" s="129" t="s">
        <v>247</v>
      </c>
      <c r="M21" s="145" t="s">
        <v>301</v>
      </c>
      <c r="N21" s="113" t="s">
        <v>266</v>
      </c>
      <c r="O21" s="113" t="s">
        <v>267</v>
      </c>
    </row>
    <row r="22" spans="2:15" ht="25.5" customHeight="1" thickBot="1" x14ac:dyDescent="0.3">
      <c r="B22" s="249"/>
      <c r="C22" s="114" t="s">
        <v>266</v>
      </c>
      <c r="D22" s="114" t="s">
        <v>266</v>
      </c>
      <c r="E22" s="114" t="s">
        <v>266</v>
      </c>
      <c r="F22" s="249"/>
      <c r="G22" s="249"/>
      <c r="H22" s="114" t="s">
        <v>266</v>
      </c>
      <c r="I22" s="114" t="s">
        <v>266</v>
      </c>
      <c r="J22" s="114" t="s">
        <v>266</v>
      </c>
      <c r="K22" s="114" t="s">
        <v>266</v>
      </c>
      <c r="L22" s="114" t="s">
        <v>266</v>
      </c>
      <c r="M22" s="114" t="s">
        <v>266</v>
      </c>
      <c r="N22" s="115"/>
      <c r="O22" s="115"/>
    </row>
    <row r="23" spans="2:15" ht="20.25" customHeight="1" thickBot="1" x14ac:dyDescent="0.3">
      <c r="B23" s="116" t="s">
        <v>242</v>
      </c>
      <c r="C23" s="114">
        <v>280</v>
      </c>
      <c r="D23" s="114">
        <v>280</v>
      </c>
      <c r="E23" s="114">
        <v>16</v>
      </c>
      <c r="F23" s="114">
        <v>2</v>
      </c>
      <c r="G23" s="114">
        <v>2</v>
      </c>
      <c r="H23" s="114">
        <v>80</v>
      </c>
      <c r="I23" s="114">
        <v>80</v>
      </c>
      <c r="J23" s="114">
        <v>10</v>
      </c>
      <c r="K23" s="114">
        <v>114</v>
      </c>
      <c r="L23" s="114">
        <v>40</v>
      </c>
      <c r="M23" s="114">
        <v>10</v>
      </c>
      <c r="N23" s="114">
        <v>200</v>
      </c>
      <c r="O23" s="114">
        <v>140</v>
      </c>
    </row>
    <row r="24" spans="2:15" x14ac:dyDescent="0.25">
      <c r="F24" s="117"/>
      <c r="G24" s="117"/>
    </row>
    <row r="25" spans="2:15" ht="15.75" x14ac:dyDescent="0.3">
      <c r="B25" s="89" t="s">
        <v>332</v>
      </c>
      <c r="G25" s="130"/>
      <c r="H25" s="117"/>
    </row>
    <row r="26" spans="2:15" x14ac:dyDescent="0.25">
      <c r="B26" s="89" t="s">
        <v>333</v>
      </c>
      <c r="G26" s="130"/>
      <c r="H26" s="117"/>
    </row>
    <row r="27" spans="2:15" x14ac:dyDescent="0.25">
      <c r="B27" s="89"/>
      <c r="G27" s="130"/>
      <c r="H27" s="117"/>
    </row>
    <row r="28" spans="2:15" x14ac:dyDescent="0.25">
      <c r="B28" s="207" t="s">
        <v>272</v>
      </c>
      <c r="J28" s="1"/>
      <c r="L28" s="2"/>
    </row>
    <row r="29" spans="2:15" ht="15.75" customHeight="1" x14ac:dyDescent="0.25">
      <c r="B29" s="51" t="s">
        <v>272</v>
      </c>
      <c r="J29" s="1"/>
      <c r="L29" s="2"/>
    </row>
    <row r="30" spans="2:15" ht="27" customHeight="1" x14ac:dyDescent="0.25">
      <c r="B30" s="223" t="s">
        <v>338</v>
      </c>
      <c r="C30" s="223"/>
      <c r="D30" s="223"/>
      <c r="E30" s="223"/>
      <c r="F30" s="223"/>
      <c r="G30" s="223"/>
      <c r="H30" s="223"/>
      <c r="K30" s="2"/>
      <c r="L30" s="2"/>
    </row>
    <row r="31" spans="2:15" ht="27.75" customHeight="1" x14ac:dyDescent="0.25">
      <c r="B31" s="223" t="s">
        <v>339</v>
      </c>
      <c r="C31" s="223"/>
      <c r="D31" s="223"/>
      <c r="E31" s="223"/>
      <c r="F31" s="223"/>
      <c r="G31" s="223"/>
      <c r="H31" s="223"/>
      <c r="L31" s="2"/>
    </row>
    <row r="32" spans="2:15" x14ac:dyDescent="0.25">
      <c r="B32" s="89"/>
      <c r="G32" s="130"/>
      <c r="H32" s="117"/>
    </row>
    <row r="33" spans="2:26" x14ac:dyDescent="0.25">
      <c r="B33" s="51" t="s">
        <v>334</v>
      </c>
    </row>
    <row r="34" spans="2:26" ht="28.5" customHeight="1" x14ac:dyDescent="0.25">
      <c r="B34" s="220" t="s">
        <v>318</v>
      </c>
      <c r="C34" s="220"/>
      <c r="D34" s="220"/>
      <c r="E34" s="220"/>
      <c r="F34" s="220"/>
      <c r="G34" s="220"/>
      <c r="H34" s="220"/>
    </row>
    <row r="35" spans="2:26" ht="28.5" customHeight="1" x14ac:dyDescent="0.25">
      <c r="B35" s="223" t="s">
        <v>318</v>
      </c>
      <c r="C35" s="223"/>
      <c r="D35" s="223"/>
      <c r="E35" s="223"/>
      <c r="F35" s="223"/>
      <c r="G35" s="223"/>
      <c r="H35" s="223"/>
    </row>
    <row r="36" spans="2:26" ht="30.75" customHeight="1" x14ac:dyDescent="0.25">
      <c r="B36" s="221" t="s">
        <v>337</v>
      </c>
      <c r="C36" s="221"/>
      <c r="D36" s="221"/>
      <c r="E36" s="221"/>
      <c r="F36" s="221"/>
      <c r="G36" s="221"/>
      <c r="H36" s="221"/>
      <c r="K36" s="1"/>
      <c r="L36" s="1"/>
    </row>
    <row r="37" spans="2:26" ht="27.75" customHeight="1" x14ac:dyDescent="0.25">
      <c r="B37" s="222" t="s">
        <v>336</v>
      </c>
      <c r="C37" s="222"/>
      <c r="D37" s="222"/>
      <c r="E37" s="222"/>
      <c r="F37" s="222"/>
      <c r="G37" s="222"/>
      <c r="H37" s="222"/>
      <c r="K37" s="1"/>
      <c r="L37" s="1"/>
    </row>
    <row r="38" spans="2:26" ht="18.75" x14ac:dyDescent="0.25">
      <c r="B38" s="206" t="s">
        <v>335</v>
      </c>
      <c r="C38" s="147"/>
      <c r="D38" s="147"/>
      <c r="E38" s="147"/>
      <c r="F38" s="147"/>
      <c r="G38" s="147"/>
      <c r="H38" s="147"/>
      <c r="J38" s="82"/>
      <c r="K38" s="82"/>
      <c r="L38" s="1"/>
    </row>
    <row r="39" spans="2:26" x14ac:dyDescent="0.25">
      <c r="B39" s="206"/>
      <c r="C39" s="147"/>
      <c r="D39" s="209" t="s">
        <v>341</v>
      </c>
      <c r="E39" s="147"/>
      <c r="G39" s="147"/>
      <c r="H39" s="147"/>
      <c r="J39" s="82"/>
      <c r="K39" s="82"/>
      <c r="L39" s="1"/>
    </row>
    <row r="40" spans="2:26" ht="15.75" x14ac:dyDescent="0.25">
      <c r="C40" s="82"/>
      <c r="D40" s="82"/>
      <c r="E40" s="82"/>
      <c r="F40" s="141" t="s">
        <v>340</v>
      </c>
      <c r="G40" s="78">
        <f>MAX($C$23/30,10)</f>
        <v>10</v>
      </c>
      <c r="H40" s="82" t="s">
        <v>273</v>
      </c>
      <c r="J40" s="1"/>
      <c r="L40" s="1"/>
    </row>
    <row r="42" spans="2:26" x14ac:dyDescent="0.25">
      <c r="B42" s="208" t="str">
        <f>CONCATENATE("Таблица 1. Предельно допустимые нагрузки на закладную деталь PQ001 при D1=",C45,"мм и D2=",F45,"мм. (Статические нагрузки)")</f>
        <v>Таблица 1. Предельно допустимые нагрузки на закладную деталь PQ001 при D1=100мм и D2=100мм. (Статические нагрузки)</v>
      </c>
      <c r="N42" s="142"/>
      <c r="O42" s="142"/>
      <c r="P42" s="142"/>
      <c r="R42" s="142"/>
      <c r="S42" s="142"/>
      <c r="T42" s="142"/>
    </row>
    <row r="43" spans="2:26" x14ac:dyDescent="0.25">
      <c r="B43" s="140" t="str">
        <f>CONCATENATE("Таблица 1. Предельно допустимые нагрузки на закладную деталь PQ001 при D1=",C45,"мм и D2=",F45,"мм. (Статические нагрузки)")</f>
        <v>Таблица 1. Предельно допустимые нагрузки на закладную деталь PQ001 при D1=100мм и D2=100мм. (Статические нагрузки)</v>
      </c>
      <c r="N43" s="142"/>
      <c r="O43" s="142"/>
      <c r="P43" s="142"/>
      <c r="R43" s="142"/>
      <c r="S43" s="142"/>
      <c r="T43" s="142"/>
    </row>
    <row r="44" spans="2:26" x14ac:dyDescent="0.25">
      <c r="B44" s="130"/>
      <c r="C44" s="117"/>
      <c r="D44" s="142"/>
      <c r="E44" s="130"/>
      <c r="F44" s="117"/>
      <c r="G44" s="142"/>
      <c r="H44" s="142"/>
      <c r="I44" s="142"/>
      <c r="J44" s="210" t="s">
        <v>271</v>
      </c>
      <c r="K44" s="142"/>
      <c r="L44" s="142"/>
      <c r="M44" s="142"/>
      <c r="N44" s="142"/>
      <c r="O44" s="142"/>
      <c r="P44" s="142"/>
      <c r="R44" s="142"/>
      <c r="S44" s="142"/>
      <c r="T44" s="142"/>
    </row>
    <row r="45" spans="2:26" x14ac:dyDescent="0.25">
      <c r="B45" s="11" t="s">
        <v>343</v>
      </c>
      <c r="C45" s="59">
        <v>100</v>
      </c>
      <c r="D45" s="142"/>
      <c r="E45" s="11" t="s">
        <v>342</v>
      </c>
      <c r="F45" s="59">
        <v>100</v>
      </c>
      <c r="G45" s="142"/>
      <c r="H45" s="142"/>
      <c r="I45" s="142"/>
      <c r="J45" s="11" t="s">
        <v>271</v>
      </c>
      <c r="K45" s="242" t="s">
        <v>344</v>
      </c>
      <c r="L45" s="243"/>
      <c r="M45" s="243"/>
      <c r="N45" s="243"/>
      <c r="O45" s="244"/>
      <c r="P45" s="142"/>
      <c r="R45" s="142"/>
      <c r="S45" s="142"/>
      <c r="T45" s="142"/>
    </row>
    <row r="46" spans="2:26" ht="15.75" thickBot="1" x14ac:dyDescent="0.3">
      <c r="H46" s="142"/>
      <c r="I46" s="142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</row>
    <row r="47" spans="2:26" ht="15.75" customHeight="1" x14ac:dyDescent="0.25">
      <c r="B47" s="224"/>
      <c r="C47" s="227" t="s">
        <v>303</v>
      </c>
      <c r="D47" s="229" t="s">
        <v>304</v>
      </c>
      <c r="E47" s="231" t="s">
        <v>309</v>
      </c>
      <c r="F47" s="233" t="s">
        <v>307</v>
      </c>
      <c r="G47" s="236" t="s">
        <v>346</v>
      </c>
      <c r="H47" s="236" t="s">
        <v>345</v>
      </c>
      <c r="I47" s="236" t="s">
        <v>349</v>
      </c>
      <c r="J47" s="236" t="s">
        <v>347</v>
      </c>
      <c r="K47" s="239" t="s">
        <v>348</v>
      </c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</row>
    <row r="48" spans="2:26" x14ac:dyDescent="0.25">
      <c r="B48" s="225"/>
      <c r="C48" s="228"/>
      <c r="D48" s="230"/>
      <c r="E48" s="232"/>
      <c r="F48" s="234"/>
      <c r="G48" s="237"/>
      <c r="H48" s="237"/>
      <c r="I48" s="237"/>
      <c r="J48" s="237"/>
      <c r="K48" s="240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  <c r="Z48" s="142"/>
    </row>
    <row r="49" spans="2:26" x14ac:dyDescent="0.25">
      <c r="B49" s="225"/>
      <c r="C49" s="228"/>
      <c r="D49" s="230"/>
      <c r="E49" s="232"/>
      <c r="F49" s="234"/>
      <c r="G49" s="237"/>
      <c r="H49" s="237"/>
      <c r="I49" s="237"/>
      <c r="J49" s="237"/>
      <c r="K49" s="240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</row>
    <row r="50" spans="2:26" x14ac:dyDescent="0.25">
      <c r="B50" s="225"/>
      <c r="C50" s="228"/>
      <c r="D50" s="230"/>
      <c r="E50" s="232"/>
      <c r="F50" s="234"/>
      <c r="G50" s="237"/>
      <c r="H50" s="237"/>
      <c r="I50" s="237"/>
      <c r="J50" s="237"/>
      <c r="K50" s="240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</row>
    <row r="51" spans="2:26" x14ac:dyDescent="0.25">
      <c r="B51" s="225"/>
      <c r="C51" s="228"/>
      <c r="D51" s="230"/>
      <c r="E51" s="232"/>
      <c r="F51" s="234"/>
      <c r="G51" s="237"/>
      <c r="H51" s="237"/>
      <c r="I51" s="237"/>
      <c r="J51" s="237"/>
      <c r="K51" s="240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</row>
    <row r="52" spans="2:26" x14ac:dyDescent="0.25">
      <c r="B52" s="225"/>
      <c r="C52" s="228"/>
      <c r="D52" s="230"/>
      <c r="E52" s="232"/>
      <c r="F52" s="234"/>
      <c r="G52" s="237"/>
      <c r="H52" s="237"/>
      <c r="I52" s="237"/>
      <c r="J52" s="237"/>
      <c r="K52" s="240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</row>
    <row r="53" spans="2:26" ht="15.75" thickBot="1" x14ac:dyDescent="0.3">
      <c r="B53" s="226"/>
      <c r="C53" s="169" t="s">
        <v>302</v>
      </c>
      <c r="D53" s="152" t="s">
        <v>306</v>
      </c>
      <c r="E53" s="170" t="s">
        <v>305</v>
      </c>
      <c r="F53" s="235"/>
      <c r="G53" s="238"/>
      <c r="H53" s="238"/>
      <c r="I53" s="238"/>
      <c r="J53" s="238"/>
      <c r="K53" s="241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</row>
    <row r="54" spans="2:26" x14ac:dyDescent="0.25">
      <c r="B54" s="214" t="s">
        <v>310</v>
      </c>
      <c r="C54" s="161">
        <v>0</v>
      </c>
      <c r="D54" s="153">
        <v>3.5960000000000001</v>
      </c>
      <c r="E54" s="171">
        <v>0</v>
      </c>
      <c r="F54" s="165">
        <v>0.99995283870927565</v>
      </c>
      <c r="G54" s="154">
        <v>0.65817409766454371</v>
      </c>
      <c r="H54" s="154">
        <v>0.59206887806169994</v>
      </c>
      <c r="I54" s="154">
        <v>0.99995283870927565</v>
      </c>
      <c r="J54" s="154" t="s">
        <v>46</v>
      </c>
      <c r="K54" s="155">
        <v>0</v>
      </c>
      <c r="O54" s="142"/>
      <c r="P54" s="142"/>
      <c r="Q54" s="142"/>
      <c r="R54" s="142"/>
      <c r="S54" s="142"/>
      <c r="T54" s="142"/>
      <c r="U54" s="142"/>
      <c r="V54" s="142"/>
    </row>
    <row r="55" spans="2:26" x14ac:dyDescent="0.25">
      <c r="B55" s="215"/>
      <c r="C55" s="163">
        <v>27.9</v>
      </c>
      <c r="D55" s="149">
        <v>3.5960000000000001</v>
      </c>
      <c r="E55" s="172">
        <v>0</v>
      </c>
      <c r="F55" s="166">
        <v>0.99995283870927565</v>
      </c>
      <c r="G55" s="150">
        <v>0.99921833103173052</v>
      </c>
      <c r="H55" s="150">
        <v>0.60440712553147669</v>
      </c>
      <c r="I55" s="150">
        <v>0.99995283870927565</v>
      </c>
      <c r="J55" s="150" t="s">
        <v>46</v>
      </c>
      <c r="K55" s="156">
        <v>0.56159420289855067</v>
      </c>
      <c r="O55" s="142"/>
      <c r="P55" s="142"/>
      <c r="Q55" s="142"/>
      <c r="R55" s="142"/>
      <c r="S55" s="142"/>
      <c r="T55" s="142"/>
      <c r="U55" s="142"/>
      <c r="V55" s="142"/>
    </row>
    <row r="56" spans="2:26" x14ac:dyDescent="0.25">
      <c r="B56" s="215"/>
      <c r="C56" s="162">
        <v>30</v>
      </c>
      <c r="D56" s="55">
        <v>3.077</v>
      </c>
      <c r="E56" s="173">
        <v>0</v>
      </c>
      <c r="F56" s="167">
        <v>0.99995617638828982</v>
      </c>
      <c r="G56" s="121">
        <v>0.99995617638828982</v>
      </c>
      <c r="H56" s="121">
        <v>0.52269012646441471</v>
      </c>
      <c r="I56" s="121">
        <v>0.85563261532492785</v>
      </c>
      <c r="J56" s="121" t="s">
        <v>46</v>
      </c>
      <c r="K56" s="157">
        <v>0.60386473429951693</v>
      </c>
    </row>
    <row r="57" spans="2:26" x14ac:dyDescent="0.25">
      <c r="B57" s="215"/>
      <c r="C57" s="162">
        <v>35</v>
      </c>
      <c r="D57" s="55">
        <v>1.82</v>
      </c>
      <c r="E57" s="173">
        <v>0</v>
      </c>
      <c r="F57" s="167">
        <v>0.99970553109636762</v>
      </c>
      <c r="G57" s="121">
        <v>0.99970553109636762</v>
      </c>
      <c r="H57" s="121">
        <v>0.32576061705520065</v>
      </c>
      <c r="I57" s="121">
        <v>0.50609403961370458</v>
      </c>
      <c r="J57" s="121" t="s">
        <v>46</v>
      </c>
      <c r="K57" s="157">
        <v>0.70450885668276975</v>
      </c>
    </row>
    <row r="58" spans="2:26" x14ac:dyDescent="0.25">
      <c r="B58" s="215"/>
      <c r="C58" s="162">
        <v>40</v>
      </c>
      <c r="D58" s="55">
        <v>0.56799999999999995</v>
      </c>
      <c r="E58" s="173">
        <v>0</v>
      </c>
      <c r="F58" s="167">
        <v>0.99992642740353188</v>
      </c>
      <c r="G58" s="121">
        <v>0.99992642740353188</v>
      </c>
      <c r="H58" s="121">
        <v>0.12943376462549994</v>
      </c>
      <c r="I58" s="121">
        <v>0.15794583214317812</v>
      </c>
      <c r="J58" s="121" t="s">
        <v>46</v>
      </c>
      <c r="K58" s="157">
        <v>0.80515297906602257</v>
      </c>
    </row>
    <row r="59" spans="2:26" x14ac:dyDescent="0.25">
      <c r="B59" s="215"/>
      <c r="C59" s="162">
        <v>40.646000000000001</v>
      </c>
      <c r="D59" s="55">
        <v>0.40646000000000004</v>
      </c>
      <c r="E59" s="173">
        <v>0</v>
      </c>
      <c r="F59" s="167">
        <v>0.99997556414346567</v>
      </c>
      <c r="G59" s="121">
        <v>0.99997556414346567</v>
      </c>
      <c r="H59" s="121">
        <v>0.10402390441197562</v>
      </c>
      <c r="I59" s="121">
        <v>0.11302581502273976</v>
      </c>
      <c r="J59" s="121" t="s">
        <v>46</v>
      </c>
      <c r="K59" s="157">
        <v>0.81815619967793884</v>
      </c>
    </row>
    <row r="60" spans="2:26" ht="15.75" thickBot="1" x14ac:dyDescent="0.3">
      <c r="B60" s="216"/>
      <c r="C60" s="164">
        <v>40.646000000000001</v>
      </c>
      <c r="D60" s="158">
        <v>0</v>
      </c>
      <c r="E60" s="174">
        <v>0</v>
      </c>
      <c r="F60" s="168"/>
      <c r="G60" s="159"/>
      <c r="H60" s="159"/>
      <c r="I60" s="159"/>
      <c r="J60" s="159"/>
      <c r="K60" s="160"/>
    </row>
    <row r="61" spans="2:26" ht="15" customHeight="1" x14ac:dyDescent="0.25">
      <c r="B61" s="212" t="s">
        <v>311</v>
      </c>
      <c r="C61" s="161">
        <v>0</v>
      </c>
      <c r="D61" s="153">
        <v>3.5960000000000001</v>
      </c>
      <c r="E61" s="171">
        <v>0</v>
      </c>
      <c r="F61" s="165">
        <v>0.99995283870927565</v>
      </c>
      <c r="G61" s="154">
        <v>0.65817409766454371</v>
      </c>
      <c r="H61" s="154">
        <v>0.59206887806169994</v>
      </c>
      <c r="I61" s="154">
        <v>0.99995283870927565</v>
      </c>
      <c r="J61" s="154" t="s">
        <v>46</v>
      </c>
      <c r="K61" s="155">
        <v>0</v>
      </c>
    </row>
    <row r="62" spans="2:26" x14ac:dyDescent="0.25">
      <c r="B62" s="212"/>
      <c r="C62" s="162">
        <v>0</v>
      </c>
      <c r="D62" s="55">
        <v>3.1960000000000002</v>
      </c>
      <c r="E62" s="173">
        <v>10</v>
      </c>
      <c r="F62" s="167">
        <v>0.99995283870927565</v>
      </c>
      <c r="G62" s="121">
        <v>0.65817409766454371</v>
      </c>
      <c r="H62" s="121">
        <v>0.59206887806169994</v>
      </c>
      <c r="I62" s="121">
        <v>0.99995283870927565</v>
      </c>
      <c r="J62" s="121" t="s">
        <v>46</v>
      </c>
      <c r="K62" s="157">
        <v>0</v>
      </c>
    </row>
    <row r="63" spans="2:26" x14ac:dyDescent="0.25">
      <c r="B63" s="212"/>
      <c r="C63" s="162">
        <v>0</v>
      </c>
      <c r="D63" s="55">
        <v>2.7959999999999998</v>
      </c>
      <c r="E63" s="173">
        <v>20</v>
      </c>
      <c r="F63" s="167">
        <v>0.99995283870927543</v>
      </c>
      <c r="G63" s="121">
        <v>0.6581740976645436</v>
      </c>
      <c r="H63" s="121">
        <v>0.59206887806169983</v>
      </c>
      <c r="I63" s="121">
        <v>0.99995283870927543</v>
      </c>
      <c r="J63" s="121" t="s">
        <v>46</v>
      </c>
      <c r="K63" s="157">
        <v>0</v>
      </c>
    </row>
    <row r="64" spans="2:26" x14ac:dyDescent="0.25">
      <c r="B64" s="212"/>
      <c r="C64" s="162">
        <v>0</v>
      </c>
      <c r="D64" s="55">
        <v>2.3959999999999999</v>
      </c>
      <c r="E64" s="173">
        <v>30</v>
      </c>
      <c r="F64" s="167">
        <v>0.99995283870927565</v>
      </c>
      <c r="G64" s="121">
        <v>0.65817409766454371</v>
      </c>
      <c r="H64" s="121">
        <v>0.59206887806169994</v>
      </c>
      <c r="I64" s="121">
        <v>0.99995283870927565</v>
      </c>
      <c r="J64" s="121" t="s">
        <v>46</v>
      </c>
      <c r="K64" s="157">
        <v>0</v>
      </c>
    </row>
    <row r="65" spans="2:11" x14ac:dyDescent="0.25">
      <c r="B65" s="212"/>
      <c r="C65" s="162">
        <v>0</v>
      </c>
      <c r="D65" s="55">
        <v>1.996</v>
      </c>
      <c r="E65" s="173">
        <v>40</v>
      </c>
      <c r="F65" s="167">
        <v>0.99995283870927565</v>
      </c>
      <c r="G65" s="121">
        <v>0.65817409766454371</v>
      </c>
      <c r="H65" s="121">
        <v>0.59206887806169994</v>
      </c>
      <c r="I65" s="121">
        <v>0.99995283870927565</v>
      </c>
      <c r="J65" s="121" t="s">
        <v>46</v>
      </c>
      <c r="K65" s="157">
        <v>0</v>
      </c>
    </row>
    <row r="66" spans="2:11" x14ac:dyDescent="0.25">
      <c r="B66" s="212"/>
      <c r="C66" s="163">
        <v>0</v>
      </c>
      <c r="D66" s="149">
        <v>1.794</v>
      </c>
      <c r="E66" s="172">
        <v>45</v>
      </c>
      <c r="F66" s="166">
        <v>0.99999680001024016</v>
      </c>
      <c r="G66" s="150">
        <v>0.65780803865583137</v>
      </c>
      <c r="H66" s="150">
        <v>0.59173958502607038</v>
      </c>
      <c r="I66" s="150" t="s">
        <v>46</v>
      </c>
      <c r="J66" s="150">
        <v>0.99999680001024016</v>
      </c>
      <c r="K66" s="156">
        <v>0</v>
      </c>
    </row>
    <row r="67" spans="2:11" x14ac:dyDescent="0.25">
      <c r="B67" s="212"/>
      <c r="C67" s="162">
        <v>0</v>
      </c>
      <c r="D67" s="55">
        <v>1.2989999999999999</v>
      </c>
      <c r="E67" s="175">
        <v>50</v>
      </c>
      <c r="F67" s="167">
        <v>0.99996312935949405</v>
      </c>
      <c r="G67" s="121">
        <v>0.60381433487078129</v>
      </c>
      <c r="H67" s="121">
        <v>0.54316886227073069</v>
      </c>
      <c r="I67" s="121" t="s">
        <v>46</v>
      </c>
      <c r="J67" s="121">
        <v>0.99996312935949405</v>
      </c>
      <c r="K67" s="157">
        <v>0</v>
      </c>
    </row>
    <row r="68" spans="2:11" x14ac:dyDescent="0.25">
      <c r="B68" s="212"/>
      <c r="C68" s="162">
        <v>0</v>
      </c>
      <c r="D68" s="55">
        <v>0.55757000000000001</v>
      </c>
      <c r="E68" s="173">
        <v>55.756999999999998</v>
      </c>
      <c r="F68" s="167">
        <v>0.99999067390371743</v>
      </c>
      <c r="G68" s="121">
        <v>0.51025880371915955</v>
      </c>
      <c r="H68" s="121">
        <v>0.45900979468974129</v>
      </c>
      <c r="I68" s="121" t="s">
        <v>46</v>
      </c>
      <c r="J68" s="121">
        <v>0.99999067390371743</v>
      </c>
      <c r="K68" s="157">
        <v>0</v>
      </c>
    </row>
    <row r="69" spans="2:11" ht="15.75" thickBot="1" x14ac:dyDescent="0.3">
      <c r="B69" s="213"/>
      <c r="C69" s="164">
        <v>0</v>
      </c>
      <c r="D69" s="158">
        <v>0</v>
      </c>
      <c r="E69" s="174">
        <v>55.756999999999998</v>
      </c>
      <c r="F69" s="168"/>
      <c r="G69" s="159"/>
      <c r="H69" s="159"/>
      <c r="I69" s="159"/>
      <c r="J69" s="159"/>
      <c r="K69" s="160"/>
    </row>
    <row r="70" spans="2:11" ht="15" customHeight="1" x14ac:dyDescent="0.25">
      <c r="B70" s="211" t="s">
        <v>316</v>
      </c>
      <c r="C70" s="161">
        <v>0</v>
      </c>
      <c r="D70" s="153">
        <v>0.55757000000000001</v>
      </c>
      <c r="E70" s="171">
        <v>55.756999999999998</v>
      </c>
      <c r="F70" s="165">
        <v>0.99999067390371743</v>
      </c>
      <c r="G70" s="154">
        <v>0.51025880371915955</v>
      </c>
      <c r="H70" s="154">
        <v>0.45900979468974129</v>
      </c>
      <c r="I70" s="154" t="s">
        <v>46</v>
      </c>
      <c r="J70" s="154">
        <v>0.99999067390371743</v>
      </c>
      <c r="K70" s="155">
        <v>0</v>
      </c>
    </row>
    <row r="71" spans="2:11" x14ac:dyDescent="0.25">
      <c r="B71" s="212"/>
      <c r="C71" s="162">
        <v>5</v>
      </c>
      <c r="D71" s="55">
        <v>0.60430000000000006</v>
      </c>
      <c r="E71" s="173">
        <v>55.43</v>
      </c>
      <c r="F71" s="167">
        <v>0.9999526680452222</v>
      </c>
      <c r="G71" s="121">
        <v>0.63471265925915621</v>
      </c>
      <c r="H71" s="121">
        <v>0.46929196972727</v>
      </c>
      <c r="I71" s="121" t="s">
        <v>46</v>
      </c>
      <c r="J71" s="121">
        <v>0.9999526680452222</v>
      </c>
      <c r="K71" s="157">
        <v>0.14113699966933618</v>
      </c>
    </row>
    <row r="72" spans="2:11" x14ac:dyDescent="0.25">
      <c r="B72" s="212"/>
      <c r="C72" s="162">
        <v>10</v>
      </c>
      <c r="D72" s="55">
        <v>0.65100000000000002</v>
      </c>
      <c r="E72" s="173">
        <v>55.1</v>
      </c>
      <c r="F72" s="167">
        <f t="shared" ref="F72" si="0">MAX(G72:K72)</f>
        <v>0.9999303897919497</v>
      </c>
      <c r="G72" s="121">
        <v>0.75913906037349943</v>
      </c>
      <c r="H72" s="121">
        <v>0.47954944778712649</v>
      </c>
      <c r="I72" s="121" t="s">
        <v>46</v>
      </c>
      <c r="J72" s="121">
        <v>0.9999303897919497</v>
      </c>
      <c r="K72" s="157">
        <v>0.28159948507522731</v>
      </c>
    </row>
    <row r="73" spans="2:11" x14ac:dyDescent="0.25">
      <c r="B73" s="212"/>
      <c r="C73" s="162">
        <v>15</v>
      </c>
      <c r="D73" s="55">
        <v>0.69771000000000005</v>
      </c>
      <c r="E73" s="173">
        <v>54.771000000000001</v>
      </c>
      <c r="F73" s="167">
        <v>0.99999810427666924</v>
      </c>
      <c r="G73" s="121">
        <v>0.88357461296306039</v>
      </c>
      <c r="H73" s="121">
        <v>0.48956790609814027</v>
      </c>
      <c r="I73" s="121" t="s">
        <v>46</v>
      </c>
      <c r="J73" s="121">
        <v>0.99999810427666924</v>
      </c>
      <c r="K73" s="157">
        <v>0.42139532419748271</v>
      </c>
    </row>
    <row r="74" spans="2:11" x14ac:dyDescent="0.25">
      <c r="B74" s="212"/>
      <c r="C74" s="163">
        <v>19.7</v>
      </c>
      <c r="D74" s="149">
        <v>0.74102000000000001</v>
      </c>
      <c r="E74" s="172">
        <v>54.402000000000001</v>
      </c>
      <c r="F74" s="166">
        <v>0.99999732326773616</v>
      </c>
      <c r="G74" s="150">
        <v>0.99999732326773616</v>
      </c>
      <c r="H74" s="150">
        <v>0.49754637496983262</v>
      </c>
      <c r="I74" s="150" t="s">
        <v>46</v>
      </c>
      <c r="J74" s="150">
        <v>0.99905901571703637</v>
      </c>
      <c r="K74" s="156">
        <v>0.55196120341151245</v>
      </c>
    </row>
    <row r="75" spans="2:11" x14ac:dyDescent="0.25">
      <c r="B75" s="212"/>
      <c r="C75" s="162">
        <v>20</v>
      </c>
      <c r="D75" s="55">
        <v>0.73565999999999998</v>
      </c>
      <c r="E75" s="173">
        <v>53.566000000000003</v>
      </c>
      <c r="F75" s="167">
        <v>0.99999347326182408</v>
      </c>
      <c r="G75" s="121">
        <v>0.99999347326182408</v>
      </c>
      <c r="H75" s="121">
        <v>0.49144796912191091</v>
      </c>
      <c r="I75" s="121" t="s">
        <v>46</v>
      </c>
      <c r="J75" s="121">
        <v>0.98443908235345601</v>
      </c>
      <c r="K75" s="157">
        <v>0.55701174339901305</v>
      </c>
    </row>
    <row r="76" spans="2:11" x14ac:dyDescent="0.25">
      <c r="B76" s="212"/>
      <c r="C76" s="162">
        <v>25</v>
      </c>
      <c r="D76" s="55">
        <v>0.64600000000000002</v>
      </c>
      <c r="E76" s="173">
        <v>39.6</v>
      </c>
      <c r="F76" s="167">
        <f>MAX(G76:K76)</f>
        <v>0.99963035830617686</v>
      </c>
      <c r="G76" s="121">
        <v>0.99963035830617686</v>
      </c>
      <c r="H76" s="121">
        <v>0.38976727124191501</v>
      </c>
      <c r="I76" s="121" t="s">
        <v>46</v>
      </c>
      <c r="J76" s="121">
        <v>0.74041310359858115</v>
      </c>
      <c r="K76" s="157">
        <v>0.63295717592592593</v>
      </c>
    </row>
    <row r="77" spans="2:11" x14ac:dyDescent="0.25">
      <c r="B77" s="212"/>
      <c r="C77" s="162">
        <v>30</v>
      </c>
      <c r="D77" s="55">
        <v>0.55699999999999994</v>
      </c>
      <c r="E77" s="173">
        <v>25.7</v>
      </c>
      <c r="F77" s="167">
        <f>MAX(G77:K77)</f>
        <v>0.99987124071490463</v>
      </c>
      <c r="G77" s="121">
        <v>0.99987124071490463</v>
      </c>
      <c r="H77" s="121">
        <v>0.2892206732230444</v>
      </c>
      <c r="I77" s="121" t="s">
        <v>46</v>
      </c>
      <c r="J77" s="121">
        <v>0.49851527600430451</v>
      </c>
      <c r="K77" s="157">
        <v>0.69651741293532343</v>
      </c>
    </row>
    <row r="78" spans="2:11" x14ac:dyDescent="0.25">
      <c r="B78" s="212"/>
      <c r="C78" s="162">
        <v>35</v>
      </c>
      <c r="D78" s="55">
        <v>0.46787000000000006</v>
      </c>
      <c r="E78" s="173">
        <v>11.787000000000001</v>
      </c>
      <c r="F78" s="167">
        <v>0.99999315394580102</v>
      </c>
      <c r="G78" s="121">
        <v>0.99999315394580102</v>
      </c>
      <c r="H78" s="121">
        <v>0.18785344450069422</v>
      </c>
      <c r="I78" s="121" t="s">
        <v>46</v>
      </c>
      <c r="J78" s="121">
        <v>0.26157043521166651</v>
      </c>
      <c r="K78" s="157">
        <v>0.75028311703742911</v>
      </c>
    </row>
    <row r="79" spans="2:11" x14ac:dyDescent="0.25">
      <c r="B79" s="212"/>
      <c r="C79" s="162">
        <v>40</v>
      </c>
      <c r="D79" s="55">
        <v>0.41347</v>
      </c>
      <c r="E79" s="173">
        <v>1.347</v>
      </c>
      <c r="F79" s="167">
        <v>0.99999488985982377</v>
      </c>
      <c r="G79" s="121">
        <v>0.99999488985982377</v>
      </c>
      <c r="H79" s="121">
        <v>0.113603274592249</v>
      </c>
      <c r="I79" s="121">
        <v>0.12995771945794771</v>
      </c>
      <c r="J79" s="121" t="s">
        <v>46</v>
      </c>
      <c r="K79" s="157">
        <v>0.81080595849715964</v>
      </c>
    </row>
    <row r="80" spans="2:11" ht="15.75" thickBot="1" x14ac:dyDescent="0.3">
      <c r="B80" s="213"/>
      <c r="C80" s="164">
        <v>40.646000000000001</v>
      </c>
      <c r="D80" s="158">
        <v>0.40646000000000004</v>
      </c>
      <c r="E80" s="174">
        <v>0</v>
      </c>
      <c r="F80" s="168">
        <v>0.99997556414346567</v>
      </c>
      <c r="G80" s="178">
        <v>0.99997556414346567</v>
      </c>
      <c r="H80" s="178">
        <v>0.10402390441197562</v>
      </c>
      <c r="I80" s="178">
        <v>0.11302581502273976</v>
      </c>
      <c r="J80" s="178" t="s">
        <v>46</v>
      </c>
      <c r="K80" s="179">
        <v>0.81815619967793884</v>
      </c>
    </row>
    <row r="81" spans="2:11" ht="17.25" customHeight="1" x14ac:dyDescent="0.25">
      <c r="B81" s="211" t="s">
        <v>315</v>
      </c>
      <c r="C81" s="161">
        <v>0</v>
      </c>
      <c r="D81" s="180">
        <v>1</v>
      </c>
      <c r="E81" s="171">
        <v>52.497999999999998</v>
      </c>
      <c r="F81" s="184">
        <v>0.99999071961125596</v>
      </c>
      <c r="G81" s="154">
        <v>0.56737682114356836</v>
      </c>
      <c r="H81" s="154">
        <v>0.51039103350417814</v>
      </c>
      <c r="I81" s="154" t="s">
        <v>46</v>
      </c>
      <c r="J81" s="154">
        <v>0.99999071961125596</v>
      </c>
      <c r="K81" s="155">
        <v>0</v>
      </c>
    </row>
    <row r="82" spans="2:11" x14ac:dyDescent="0.25">
      <c r="B82" s="212"/>
      <c r="C82" s="163">
        <v>18.285</v>
      </c>
      <c r="D82" s="149">
        <v>1</v>
      </c>
      <c r="E82" s="172">
        <v>52.497999999999998</v>
      </c>
      <c r="F82" s="185">
        <v>0.99999071961125596</v>
      </c>
      <c r="G82" s="150">
        <v>0.99998131695480752</v>
      </c>
      <c r="H82" s="150">
        <v>0.52629674650179015</v>
      </c>
      <c r="I82" s="150" t="s">
        <v>46</v>
      </c>
      <c r="J82" s="150">
        <v>0.99999071961125596</v>
      </c>
      <c r="K82" s="156">
        <v>0.50538253424495261</v>
      </c>
    </row>
    <row r="83" spans="2:11" x14ac:dyDescent="0.25">
      <c r="B83" s="212"/>
      <c r="C83" s="162">
        <v>20</v>
      </c>
      <c r="D83" s="146">
        <v>1</v>
      </c>
      <c r="E83" s="173">
        <v>46.96</v>
      </c>
      <c r="F83" s="186">
        <v>1.0000117762122598</v>
      </c>
      <c r="G83" s="121">
        <v>1.0000117762122598</v>
      </c>
      <c r="H83" s="121">
        <v>0.4914642015226332</v>
      </c>
      <c r="I83" s="121" t="s">
        <v>46</v>
      </c>
      <c r="J83" s="121">
        <v>0.90850369267271391</v>
      </c>
      <c r="K83" s="157">
        <v>0.53185023097495743</v>
      </c>
    </row>
    <row r="84" spans="2:11" x14ac:dyDescent="0.25">
      <c r="B84" s="212"/>
      <c r="C84" s="162">
        <v>25</v>
      </c>
      <c r="D84" s="146">
        <v>1</v>
      </c>
      <c r="E84" s="173">
        <v>30.8</v>
      </c>
      <c r="F84" s="186">
        <v>0.99999641731488897</v>
      </c>
      <c r="G84" s="121">
        <v>0.99999641731488897</v>
      </c>
      <c r="H84" s="121">
        <v>0.3900900058013797</v>
      </c>
      <c r="I84" s="121" t="s">
        <v>46</v>
      </c>
      <c r="J84" s="121">
        <v>0.64617421434441158</v>
      </c>
      <c r="K84" s="157">
        <v>0.59865900383141768</v>
      </c>
    </row>
    <row r="85" spans="2:11" x14ac:dyDescent="0.25">
      <c r="B85" s="212"/>
      <c r="C85" s="162">
        <v>30</v>
      </c>
      <c r="D85" s="146">
        <v>1</v>
      </c>
      <c r="E85" s="173">
        <v>18.024000000000001</v>
      </c>
      <c r="F85" s="186">
        <v>0.99999917279345074</v>
      </c>
      <c r="G85" s="121">
        <v>0.99999917279345074</v>
      </c>
      <c r="H85" s="121">
        <v>0.31035201764497194</v>
      </c>
      <c r="I85" s="121">
        <v>0.47855362550197855</v>
      </c>
      <c r="J85" s="121" t="s">
        <v>46</v>
      </c>
      <c r="K85" s="157">
        <v>0.66599686410619419</v>
      </c>
    </row>
    <row r="86" spans="2:11" x14ac:dyDescent="0.25">
      <c r="B86" s="212"/>
      <c r="C86" s="162">
        <v>35</v>
      </c>
      <c r="D86" s="146">
        <v>1</v>
      </c>
      <c r="E86" s="173">
        <v>7.141</v>
      </c>
      <c r="F86" s="186">
        <v>0.99999557562213115</v>
      </c>
      <c r="G86" s="121">
        <v>0.99999557562213115</v>
      </c>
      <c r="H86" s="121">
        <v>0.2423283624070823</v>
      </c>
      <c r="I86" s="121">
        <v>0.35750260499393577</v>
      </c>
      <c r="J86" s="121" t="s">
        <v>46</v>
      </c>
      <c r="K86" s="157">
        <v>0.73154811705486489</v>
      </c>
    </row>
    <row r="87" spans="2:11" ht="15.75" thickBot="1" x14ac:dyDescent="0.3">
      <c r="B87" s="213"/>
      <c r="C87" s="181">
        <v>38.280999999999999</v>
      </c>
      <c r="D87" s="182">
        <v>1</v>
      </c>
      <c r="E87" s="183">
        <v>0</v>
      </c>
      <c r="F87" s="187">
        <v>0.9999978305720113</v>
      </c>
      <c r="G87" s="178">
        <v>0.9999978305720113</v>
      </c>
      <c r="H87" s="178">
        <v>0.19739447311707106</v>
      </c>
      <c r="I87" s="178">
        <v>0.27807364813939811</v>
      </c>
      <c r="J87" s="178" t="s">
        <v>46</v>
      </c>
      <c r="K87" s="179">
        <v>0.77055152979066022</v>
      </c>
    </row>
    <row r="88" spans="2:11" ht="15" customHeight="1" x14ac:dyDescent="0.25">
      <c r="B88" s="214" t="s">
        <v>317</v>
      </c>
      <c r="C88" s="161">
        <v>0</v>
      </c>
      <c r="D88" s="180">
        <v>1.5</v>
      </c>
      <c r="E88" s="171">
        <v>48.134999999999998</v>
      </c>
      <c r="F88" s="184">
        <v>0.99999454326722947</v>
      </c>
      <c r="G88" s="154">
        <v>0.62694926422139252</v>
      </c>
      <c r="H88" s="154">
        <v>0.56398018212251011</v>
      </c>
      <c r="I88" s="154" t="s">
        <v>46</v>
      </c>
      <c r="J88" s="154">
        <v>0.99999454326722947</v>
      </c>
      <c r="K88" s="155">
        <v>0</v>
      </c>
    </row>
    <row r="89" spans="2:11" x14ac:dyDescent="0.25">
      <c r="B89" s="215"/>
      <c r="C89" s="163">
        <v>15.766999999999999</v>
      </c>
      <c r="D89" s="149">
        <v>1.5</v>
      </c>
      <c r="E89" s="172">
        <v>48.134999999999998</v>
      </c>
      <c r="F89" s="185">
        <v>0.99999454326722947</v>
      </c>
      <c r="G89" s="150">
        <v>0.99998044198763847</v>
      </c>
      <c r="H89" s="150">
        <v>0.57754272230202719</v>
      </c>
      <c r="I89" s="150" t="s">
        <v>46</v>
      </c>
      <c r="J89" s="150">
        <v>0.99999454326722947</v>
      </c>
      <c r="K89" s="156">
        <v>0.42268025444532525</v>
      </c>
    </row>
    <row r="90" spans="2:11" x14ac:dyDescent="0.25">
      <c r="B90" s="215"/>
      <c r="C90" s="162">
        <v>20</v>
      </c>
      <c r="D90" s="146">
        <v>1.5</v>
      </c>
      <c r="E90" s="173">
        <v>35.451000000000001</v>
      </c>
      <c r="F90" s="186">
        <v>0.99999547748013473</v>
      </c>
      <c r="G90" s="121">
        <v>0.99999547748013473</v>
      </c>
      <c r="H90" s="121">
        <v>0.49769408081589106</v>
      </c>
      <c r="I90" s="121">
        <v>0.81143002821668919</v>
      </c>
      <c r="J90" s="121" t="s">
        <v>46</v>
      </c>
      <c r="K90" s="157">
        <v>0.49304767559716878</v>
      </c>
    </row>
    <row r="91" spans="2:11" x14ac:dyDescent="0.25">
      <c r="B91" s="215"/>
      <c r="C91" s="162">
        <v>25</v>
      </c>
      <c r="D91" s="146">
        <v>1.5</v>
      </c>
      <c r="E91" s="173">
        <v>24.568000000000001</v>
      </c>
      <c r="F91" s="186">
        <v>0.99999188030881525</v>
      </c>
      <c r="G91" s="121">
        <v>0.99999188030881525</v>
      </c>
      <c r="H91" s="121">
        <v>0.42935455384550669</v>
      </c>
      <c r="I91" s="121">
        <v>0.69037900770864646</v>
      </c>
      <c r="J91" s="121" t="s">
        <v>46</v>
      </c>
      <c r="K91" s="157">
        <v>0.57653483456415289</v>
      </c>
    </row>
    <row r="92" spans="2:11" x14ac:dyDescent="0.25">
      <c r="B92" s="215"/>
      <c r="C92" s="162">
        <v>30</v>
      </c>
      <c r="D92" s="146">
        <v>1.5</v>
      </c>
      <c r="E92" s="173">
        <v>13.686</v>
      </c>
      <c r="F92" s="186">
        <v>0.99999915316505139</v>
      </c>
      <c r="G92" s="121">
        <v>0.99999915316505139</v>
      </c>
      <c r="H92" s="121">
        <v>0.36124180753912671</v>
      </c>
      <c r="I92" s="121">
        <v>0.56933911014652927</v>
      </c>
      <c r="J92" s="121" t="s">
        <v>46</v>
      </c>
      <c r="K92" s="157">
        <v>0.64990288594018664</v>
      </c>
    </row>
    <row r="93" spans="2:11" x14ac:dyDescent="0.25">
      <c r="B93" s="215"/>
      <c r="C93" s="176">
        <v>35</v>
      </c>
      <c r="D93" s="146">
        <v>1.5</v>
      </c>
      <c r="E93" s="175">
        <v>2.8029999999999999</v>
      </c>
      <c r="F93" s="196">
        <v>0.9999955559937318</v>
      </c>
      <c r="G93" s="148">
        <v>0.9999955559937318</v>
      </c>
      <c r="H93" s="148">
        <v>0.29343483216222899</v>
      </c>
      <c r="I93" s="148">
        <v>0.44828808963848643</v>
      </c>
      <c r="J93" s="148" t="s">
        <v>46</v>
      </c>
      <c r="K93" s="177">
        <v>0.71488054491988373</v>
      </c>
    </row>
    <row r="94" spans="2:11" ht="15.75" thickBot="1" x14ac:dyDescent="0.3">
      <c r="B94" s="216"/>
      <c r="C94" s="181">
        <v>36.287999999999997</v>
      </c>
      <c r="D94" s="182">
        <v>1.5</v>
      </c>
      <c r="E94" s="183">
        <v>0</v>
      </c>
      <c r="F94" s="187">
        <v>0.99999963827109761</v>
      </c>
      <c r="G94" s="178">
        <v>0.99999963827109761</v>
      </c>
      <c r="H94" s="178">
        <v>0.27603784716883945</v>
      </c>
      <c r="I94" s="178">
        <v>0.41711047220909714</v>
      </c>
      <c r="J94" s="178" t="s">
        <v>46</v>
      </c>
      <c r="K94" s="179">
        <v>0.73043478260869554</v>
      </c>
    </row>
    <row r="95" spans="2:11" x14ac:dyDescent="0.25">
      <c r="B95" s="214" t="s">
        <v>314</v>
      </c>
      <c r="C95" s="161">
        <v>0</v>
      </c>
      <c r="D95" s="180">
        <v>2</v>
      </c>
      <c r="E95" s="171">
        <v>39.9</v>
      </c>
      <c r="F95" s="184">
        <v>0.99995283870927565</v>
      </c>
      <c r="G95" s="154">
        <v>0.65817409766454371</v>
      </c>
      <c r="H95" s="154">
        <v>0.59206887806169994</v>
      </c>
      <c r="I95" s="154">
        <v>0.99995283870927565</v>
      </c>
      <c r="J95" s="154" t="s">
        <v>46</v>
      </c>
      <c r="K95" s="155">
        <v>0</v>
      </c>
    </row>
    <row r="96" spans="2:11" x14ac:dyDescent="0.25">
      <c r="B96" s="215"/>
      <c r="C96" s="163">
        <v>15.962999999999999</v>
      </c>
      <c r="D96" s="149">
        <v>2</v>
      </c>
      <c r="E96" s="172">
        <v>39.9</v>
      </c>
      <c r="F96" s="185">
        <v>0.99999907745567218</v>
      </c>
      <c r="G96" s="150">
        <v>0.99999907745567218</v>
      </c>
      <c r="H96" s="150">
        <v>0.60443044406374635</v>
      </c>
      <c r="I96" s="150">
        <v>0.99995283870927565</v>
      </c>
      <c r="J96" s="150" t="s">
        <v>46</v>
      </c>
      <c r="K96" s="156">
        <v>0.40494672754946726</v>
      </c>
    </row>
    <row r="97" spans="2:11" x14ac:dyDescent="0.25">
      <c r="B97" s="215"/>
      <c r="C97" s="162">
        <v>20</v>
      </c>
      <c r="D97" s="146">
        <v>2</v>
      </c>
      <c r="E97" s="173">
        <v>31.11</v>
      </c>
      <c r="F97" s="186">
        <v>0.99996284776906808</v>
      </c>
      <c r="G97" s="121">
        <v>0.99996284776906808</v>
      </c>
      <c r="H97" s="121">
        <v>0.54903538377938432</v>
      </c>
      <c r="I97" s="121">
        <v>0.9021821440234632</v>
      </c>
      <c r="J97" s="121" t="s">
        <v>46</v>
      </c>
      <c r="K97" s="157">
        <v>0.47984315983575659</v>
      </c>
    </row>
    <row r="98" spans="2:11" x14ac:dyDescent="0.25">
      <c r="B98" s="215"/>
      <c r="C98" s="162">
        <v>25</v>
      </c>
      <c r="D98" s="146">
        <v>2</v>
      </c>
      <c r="E98" s="173">
        <v>20.23</v>
      </c>
      <c r="F98" s="186">
        <v>0.9999918606804159</v>
      </c>
      <c r="G98" s="121">
        <v>0.9999918606804159</v>
      </c>
      <c r="H98" s="121">
        <v>0.48059054488471981</v>
      </c>
      <c r="I98" s="121">
        <v>0.78116449235319718</v>
      </c>
      <c r="J98" s="121" t="s">
        <v>46</v>
      </c>
      <c r="K98" s="157">
        <v>0.56207563289716267</v>
      </c>
    </row>
    <row r="99" spans="2:11" x14ac:dyDescent="0.25">
      <c r="B99" s="215"/>
      <c r="C99" s="162">
        <v>30</v>
      </c>
      <c r="D99" s="146">
        <v>2</v>
      </c>
      <c r="E99" s="173">
        <v>9.3480000000000008</v>
      </c>
      <c r="F99" s="186">
        <v>0.99999913353665204</v>
      </c>
      <c r="G99" s="121">
        <v>0.99999913353665204</v>
      </c>
      <c r="H99" s="121">
        <v>0.41230611380083365</v>
      </c>
      <c r="I99" s="121">
        <v>0.66012459479107988</v>
      </c>
      <c r="J99" s="121" t="s">
        <v>46</v>
      </c>
      <c r="K99" s="157">
        <v>0.63456838471524202</v>
      </c>
    </row>
    <row r="100" spans="2:11" x14ac:dyDescent="0.25">
      <c r="B100" s="215"/>
      <c r="C100" s="176">
        <v>34.293999999999997</v>
      </c>
      <c r="D100" s="146">
        <v>2</v>
      </c>
      <c r="E100" s="175">
        <v>0</v>
      </c>
      <c r="F100" s="196">
        <v>0.99997778698764006</v>
      </c>
      <c r="G100" s="148">
        <v>0.99997778698764006</v>
      </c>
      <c r="H100" s="148">
        <v>0.35383458180766431</v>
      </c>
      <c r="I100" s="148">
        <v>0.55614729627879622</v>
      </c>
      <c r="J100" s="148" t="s">
        <v>46</v>
      </c>
      <c r="K100" s="177">
        <v>0.69029790660225432</v>
      </c>
    </row>
    <row r="101" spans="2:11" ht="15.75" thickBot="1" x14ac:dyDescent="0.3">
      <c r="B101" s="216"/>
      <c r="C101" s="181"/>
      <c r="D101" s="182"/>
      <c r="E101" s="183"/>
      <c r="F101" s="187"/>
      <c r="G101" s="178"/>
      <c r="H101" s="178"/>
      <c r="I101" s="178"/>
      <c r="J101" s="178"/>
      <c r="K101" s="179"/>
    </row>
    <row r="102" spans="2:11" x14ac:dyDescent="0.25">
      <c r="B102" s="211" t="s">
        <v>313</v>
      </c>
      <c r="C102" s="161">
        <v>0</v>
      </c>
      <c r="D102" s="180">
        <v>2.5</v>
      </c>
      <c r="E102" s="171">
        <v>27.404</v>
      </c>
      <c r="F102" s="184">
        <v>0.99999733049297779</v>
      </c>
      <c r="G102" s="154">
        <v>0.65820338238524057</v>
      </c>
      <c r="H102" s="154">
        <v>0.59209522150455018</v>
      </c>
      <c r="I102" s="154">
        <v>0.99999733049297779</v>
      </c>
      <c r="J102" s="154" t="s">
        <v>46</v>
      </c>
      <c r="K102" s="155">
        <v>0</v>
      </c>
    </row>
    <row r="103" spans="2:11" x14ac:dyDescent="0.25">
      <c r="B103" s="212"/>
      <c r="C103" s="163">
        <v>19.710999999999999</v>
      </c>
      <c r="D103" s="149">
        <v>2.5</v>
      </c>
      <c r="E103" s="172">
        <v>27.404</v>
      </c>
      <c r="F103" s="185">
        <v>0.99999733049297779</v>
      </c>
      <c r="G103" s="150">
        <v>0.99999523960080783</v>
      </c>
      <c r="H103" s="150">
        <v>0.60445555381756355</v>
      </c>
      <c r="I103" s="150">
        <v>0.99999733049297779</v>
      </c>
      <c r="J103" s="150" t="s">
        <v>46</v>
      </c>
      <c r="K103" s="156">
        <v>0.46233859012816286</v>
      </c>
    </row>
    <row r="104" spans="2:11" x14ac:dyDescent="0.25">
      <c r="B104" s="212"/>
      <c r="C104" s="162">
        <v>20</v>
      </c>
      <c r="D104" s="146">
        <v>2.5</v>
      </c>
      <c r="E104" s="173">
        <v>26.774999999999999</v>
      </c>
      <c r="F104" s="186">
        <v>0.99999543822333625</v>
      </c>
      <c r="G104" s="121">
        <v>0.99999543822333625</v>
      </c>
      <c r="H104" s="121">
        <v>0.60048920671639516</v>
      </c>
      <c r="I104" s="121">
        <v>0.99300099750579063</v>
      </c>
      <c r="J104" s="121" t="s">
        <v>46</v>
      </c>
      <c r="K104" s="157">
        <v>0.46734431592475756</v>
      </c>
    </row>
    <row r="105" spans="2:11" x14ac:dyDescent="0.25">
      <c r="B105" s="212"/>
      <c r="C105" s="162">
        <v>25</v>
      </c>
      <c r="D105" s="146">
        <v>2.5</v>
      </c>
      <c r="E105" s="173">
        <v>15.891999999999999</v>
      </c>
      <c r="F105" s="186">
        <v>0.99999184105201655</v>
      </c>
      <c r="G105" s="121">
        <v>0.99999184105201655</v>
      </c>
      <c r="H105" s="121">
        <v>0.53192378834078968</v>
      </c>
      <c r="I105" s="121">
        <v>0.87194997699774779</v>
      </c>
      <c r="J105" s="121" t="s">
        <v>46</v>
      </c>
      <c r="K105" s="157">
        <v>0.54832394602737733</v>
      </c>
    </row>
    <row r="106" spans="2:11" x14ac:dyDescent="0.25">
      <c r="B106" s="212"/>
      <c r="C106" s="162">
        <v>30</v>
      </c>
      <c r="D106" s="146">
        <v>2.5</v>
      </c>
      <c r="E106" s="173">
        <v>5.01</v>
      </c>
      <c r="F106" s="186">
        <v>0.99999911390825291</v>
      </c>
      <c r="G106" s="121">
        <v>0.99999911390825291</v>
      </c>
      <c r="H106" s="121">
        <v>0.46350434670102647</v>
      </c>
      <c r="I106" s="121">
        <v>0.75091007943563071</v>
      </c>
      <c r="J106" s="121" t="s">
        <v>46</v>
      </c>
      <c r="K106" s="157">
        <v>0.61994083993127513</v>
      </c>
    </row>
    <row r="107" spans="2:11" x14ac:dyDescent="0.25">
      <c r="B107" s="212"/>
      <c r="C107" s="197">
        <v>32.301000000000002</v>
      </c>
      <c r="D107" s="198">
        <v>2.5</v>
      </c>
      <c r="E107" s="199">
        <v>0</v>
      </c>
      <c r="F107" s="200">
        <v>0.99997959468672648</v>
      </c>
      <c r="G107" s="201">
        <v>0.99997959468672648</v>
      </c>
      <c r="H107" s="201">
        <v>0.43206322188285406</v>
      </c>
      <c r="I107" s="201">
        <v>0.69518412034849519</v>
      </c>
      <c r="J107" s="201" t="s">
        <v>46</v>
      </c>
      <c r="K107" s="202">
        <v>0.65018115942028987</v>
      </c>
    </row>
    <row r="108" spans="2:11" ht="15.75" thickBot="1" x14ac:dyDescent="0.3">
      <c r="B108" s="213"/>
      <c r="C108" s="189"/>
      <c r="D108" s="190"/>
      <c r="E108" s="191"/>
      <c r="F108" s="189"/>
      <c r="G108" s="190"/>
      <c r="H108" s="190"/>
      <c r="I108" s="190"/>
      <c r="J108" s="190"/>
      <c r="K108" s="191"/>
    </row>
    <row r="109" spans="2:11" x14ac:dyDescent="0.25">
      <c r="B109" s="214" t="s">
        <v>312</v>
      </c>
      <c r="C109" s="192">
        <v>0</v>
      </c>
      <c r="D109" s="188">
        <v>3</v>
      </c>
      <c r="E109" s="193">
        <v>14.904</v>
      </c>
      <c r="F109" s="194">
        <v>0.99999733049297779</v>
      </c>
      <c r="G109" s="151">
        <v>0.65820338238524057</v>
      </c>
      <c r="H109" s="151">
        <v>0.59209522150455018</v>
      </c>
      <c r="I109" s="151">
        <v>0.99999733049297779</v>
      </c>
      <c r="J109" s="151" t="s">
        <v>46</v>
      </c>
      <c r="K109" s="195">
        <v>0</v>
      </c>
    </row>
    <row r="110" spans="2:11" x14ac:dyDescent="0.25">
      <c r="B110" s="215"/>
      <c r="C110" s="163">
        <v>23.460999999999999</v>
      </c>
      <c r="D110" s="149">
        <v>3</v>
      </c>
      <c r="E110" s="172">
        <v>14.904</v>
      </c>
      <c r="F110" s="185">
        <v>0.99999733049297779</v>
      </c>
      <c r="G110" s="150">
        <v>0.99999523960080783</v>
      </c>
      <c r="H110" s="150">
        <v>0.60445555381756355</v>
      </c>
      <c r="I110" s="150">
        <v>0.99999733049297779</v>
      </c>
      <c r="J110" s="150" t="s">
        <v>46</v>
      </c>
      <c r="K110" s="156">
        <v>0.51171771785246012</v>
      </c>
    </row>
    <row r="111" spans="2:11" x14ac:dyDescent="0.25">
      <c r="B111" s="215"/>
      <c r="C111" s="162">
        <v>25</v>
      </c>
      <c r="D111" s="146">
        <v>3</v>
      </c>
      <c r="E111" s="173">
        <v>11.554</v>
      </c>
      <c r="F111" s="186">
        <v>0.99999182142361731</v>
      </c>
      <c r="G111" s="121">
        <v>0.99999182142361731</v>
      </c>
      <c r="H111" s="121">
        <v>0.58333512970027346</v>
      </c>
      <c r="I111" s="121">
        <v>0.96273546164229851</v>
      </c>
      <c r="J111" s="121" t="s">
        <v>46</v>
      </c>
      <c r="K111" s="157">
        <v>0.53522908416492643</v>
      </c>
    </row>
    <row r="112" spans="2:11" x14ac:dyDescent="0.25">
      <c r="B112" s="215"/>
      <c r="C112" s="162">
        <v>30</v>
      </c>
      <c r="D112" s="146">
        <v>3</v>
      </c>
      <c r="E112" s="173">
        <v>0.67200000000000004</v>
      </c>
      <c r="F112" s="186">
        <v>0.99999909427985356</v>
      </c>
      <c r="G112" s="121">
        <v>0.99999909427985356</v>
      </c>
      <c r="H112" s="121">
        <v>0.51480759821467326</v>
      </c>
      <c r="I112" s="121">
        <v>0.84169556408018131</v>
      </c>
      <c r="J112" s="121" t="s">
        <v>46</v>
      </c>
      <c r="K112" s="157">
        <v>0.60597246461120813</v>
      </c>
    </row>
    <row r="113" spans="2:11" x14ac:dyDescent="0.25">
      <c r="B113" s="215"/>
      <c r="C113" s="162">
        <v>30.308</v>
      </c>
      <c r="D113" s="146">
        <v>3</v>
      </c>
      <c r="E113" s="173">
        <v>0</v>
      </c>
      <c r="F113" s="186">
        <v>0.99998140238581268</v>
      </c>
      <c r="G113" s="121">
        <v>0.99998140238581268</v>
      </c>
      <c r="H113" s="121">
        <v>0.51057973893533493</v>
      </c>
      <c r="I113" s="121">
        <v>0.83422094441819428</v>
      </c>
      <c r="J113" s="121" t="s">
        <v>46</v>
      </c>
      <c r="K113" s="157">
        <v>0.6100644122383253</v>
      </c>
    </row>
    <row r="114" spans="2:11" x14ac:dyDescent="0.25">
      <c r="B114" s="215"/>
      <c r="C114" s="197"/>
      <c r="D114" s="198"/>
      <c r="E114" s="199"/>
      <c r="F114" s="200"/>
      <c r="G114" s="201"/>
      <c r="H114" s="201"/>
      <c r="I114" s="201"/>
      <c r="J114" s="201"/>
      <c r="K114" s="202"/>
    </row>
    <row r="115" spans="2:11" ht="15.75" thickBot="1" x14ac:dyDescent="0.3">
      <c r="B115" s="216"/>
      <c r="C115" s="189"/>
      <c r="D115" s="190"/>
      <c r="E115" s="191"/>
      <c r="F115" s="189"/>
      <c r="G115" s="190"/>
      <c r="H115" s="190"/>
      <c r="I115" s="190"/>
      <c r="J115" s="190"/>
      <c r="K115" s="191"/>
    </row>
  </sheetData>
  <dataConsolidate/>
  <mergeCells count="33">
    <mergeCell ref="K45:O45"/>
    <mergeCell ref="B35:H35"/>
    <mergeCell ref="C20:E20"/>
    <mergeCell ref="F20:M20"/>
    <mergeCell ref="F21:F22"/>
    <mergeCell ref="G21:G22"/>
    <mergeCell ref="B20:B22"/>
    <mergeCell ref="G47:G53"/>
    <mergeCell ref="H47:H53"/>
    <mergeCell ref="I47:I53"/>
    <mergeCell ref="J47:J53"/>
    <mergeCell ref="K47:K53"/>
    <mergeCell ref="B109:B115"/>
    <mergeCell ref="B54:B60"/>
    <mergeCell ref="B47:B53"/>
    <mergeCell ref="B61:B69"/>
    <mergeCell ref="B70:B80"/>
    <mergeCell ref="B102:B108"/>
    <mergeCell ref="B95:B101"/>
    <mergeCell ref="B88:B94"/>
    <mergeCell ref="C13:F13"/>
    <mergeCell ref="C14:F14"/>
    <mergeCell ref="C15:F15"/>
    <mergeCell ref="B34:H34"/>
    <mergeCell ref="B36:H36"/>
    <mergeCell ref="B37:H37"/>
    <mergeCell ref="B30:H30"/>
    <mergeCell ref="B31:H31"/>
    <mergeCell ref="B81:B87"/>
    <mergeCell ref="C47:C52"/>
    <mergeCell ref="D47:D52"/>
    <mergeCell ref="E47:E52"/>
    <mergeCell ref="F47:F53"/>
  </mergeCells>
  <dataValidations count="4">
    <dataValidation type="list" allowBlank="1" showInputMessage="1" showErrorMessage="1" sqref="C15:F15">
      <mc:AlternateContent xmlns:x12ac="http://schemas.microsoft.com/office/spreadsheetml/2011/1/ac" xmlns:mc="http://schemas.openxmlformats.org/markup-compatibility/2006">
        <mc:Choice Requires="x12ac">
          <x12ac:list>"слой бетонированния &lt;1,5м/ concreting layer &lt;1,5m","слой бетонированния &gt;1,5м / concreting layer &gt;1,5m"</x12ac:list>
        </mc:Choice>
        <mc:Fallback>
          <formula1>"слой бетонированния &lt;1,5м/ concreting layer &lt;1,5m,слой бетонированния &gt;1,5м / concreting layer &gt;1,5m"</formula1>
        </mc:Fallback>
      </mc:AlternateContent>
    </dataValidation>
    <dataValidation type="list" allowBlank="1" showInputMessage="1" showErrorMessage="1" sqref="C13:F13">
      <formula1>"железобетонный элемент / reinforced concrete,бетонный элемент / concrete"</formula1>
    </dataValidation>
    <dataValidation type="list" allowBlank="1" showInputMessage="1" showErrorMessage="1" sqref="C14:F14">
      <formula1>"длительные нагрузки / long-term load,кратковременные нагрузки / short-term load"</formula1>
    </dataValidation>
    <dataValidation type="list" allowBlank="1" showInputMessage="1" showErrorMessage="1" sqref="K45:O45">
      <formula1>"compression zone of concrete / сжатая зона бетона,tensile zone of concrete / растянутая зона бетона"</formula1>
    </dataValidation>
  </dataValidations>
  <pageMargins left="0.78740157480314965" right="0.39370078740157483" top="0.39370078740157483" bottom="0.39370078740157483" header="0" footer="0"/>
  <pageSetup paperSize="9" scale="5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'Расчетные характеристики'!$A$44:$A$52</xm:f>
          </x14:formula1>
          <xm:sqref>C19 F7</xm:sqref>
        </x14:dataValidation>
        <x14:dataValidation type="list" allowBlank="1" showInputMessage="1" showErrorMessage="1">
          <x14:formula1>
            <xm:f>'Расчетные характеристики'!$A$4:$A$10</xm:f>
          </x14:formula1>
          <xm:sqref>F5</xm:sqref>
        </x14:dataValidation>
        <x14:dataValidation type="list" allowBlank="1" showInputMessage="1" showErrorMessage="1">
          <x14:formula1>
            <xm:f>'Расчетные характеристики'!$A$18:$A$39</xm:f>
          </x14:formula1>
          <xm:sqref>F10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2:AD53"/>
  <sheetViews>
    <sheetView topLeftCell="A18" workbookViewId="0">
      <selection activeCell="E55" sqref="E55"/>
    </sheetView>
  </sheetViews>
  <sheetFormatPr defaultRowHeight="15" x14ac:dyDescent="0.25"/>
  <cols>
    <col min="1" max="1" width="21" customWidth="1"/>
    <col min="2" max="2" width="17" customWidth="1"/>
    <col min="3" max="3" width="10.5703125" customWidth="1"/>
    <col min="4" max="4" width="13" customWidth="1"/>
    <col min="5" max="5" width="17" customWidth="1"/>
    <col min="8" max="8" width="15" customWidth="1"/>
    <col min="13" max="13" width="19.140625" bestFit="1" customWidth="1"/>
    <col min="14" max="14" width="19.140625" customWidth="1"/>
    <col min="15" max="15" width="16.7109375" customWidth="1"/>
    <col min="16" max="37" width="6.42578125" customWidth="1"/>
  </cols>
  <sheetData>
    <row r="2" spans="1:29" x14ac:dyDescent="0.25">
      <c r="A2" s="253" t="s">
        <v>6</v>
      </c>
      <c r="B2" s="254"/>
      <c r="C2" s="254"/>
      <c r="D2" s="254"/>
      <c r="E2" s="254"/>
      <c r="F2" s="255"/>
    </row>
    <row r="3" spans="1:29" x14ac:dyDescent="0.25">
      <c r="A3" s="4" t="s">
        <v>57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</row>
    <row r="4" spans="1:29" x14ac:dyDescent="0.25">
      <c r="A4" s="4" t="s">
        <v>0</v>
      </c>
      <c r="B4" s="4">
        <v>210</v>
      </c>
      <c r="C4" s="4">
        <v>210</v>
      </c>
      <c r="D4" s="4">
        <v>170</v>
      </c>
      <c r="E4" s="4">
        <v>240</v>
      </c>
      <c r="F4" s="4">
        <v>200000</v>
      </c>
    </row>
    <row r="5" spans="1:29" x14ac:dyDescent="0.25">
      <c r="A5" s="4" t="s">
        <v>7</v>
      </c>
      <c r="B5" s="4">
        <v>350</v>
      </c>
      <c r="C5" s="4">
        <v>350</v>
      </c>
      <c r="D5" s="4">
        <v>280</v>
      </c>
      <c r="E5" s="4">
        <v>400</v>
      </c>
      <c r="F5" s="4">
        <v>200000</v>
      </c>
    </row>
    <row r="6" spans="1:29" x14ac:dyDescent="0.25">
      <c r="A6" s="4" t="s">
        <v>8</v>
      </c>
      <c r="B6" s="4">
        <v>435</v>
      </c>
      <c r="C6" s="4">
        <v>435</v>
      </c>
      <c r="D6" s="4">
        <v>300</v>
      </c>
      <c r="E6" s="4">
        <v>500</v>
      </c>
      <c r="F6" s="4">
        <v>200000</v>
      </c>
    </row>
    <row r="7" spans="1:29" x14ac:dyDescent="0.25">
      <c r="A7" s="4" t="s">
        <v>9</v>
      </c>
      <c r="B7" s="4">
        <v>520</v>
      </c>
      <c r="C7" s="4">
        <v>470</v>
      </c>
      <c r="D7" s="4">
        <v>300</v>
      </c>
      <c r="E7" s="4">
        <v>600</v>
      </c>
      <c r="F7" s="4">
        <v>200000</v>
      </c>
    </row>
    <row r="8" spans="1:29" x14ac:dyDescent="0.25">
      <c r="A8" s="4" t="s">
        <v>10</v>
      </c>
      <c r="B8" s="4">
        <v>520</v>
      </c>
      <c r="C8" s="4">
        <v>500</v>
      </c>
      <c r="D8" s="4">
        <v>300</v>
      </c>
      <c r="E8" s="4">
        <v>600</v>
      </c>
      <c r="F8" s="4">
        <v>200000</v>
      </c>
    </row>
    <row r="9" spans="1:29" x14ac:dyDescent="0.25">
      <c r="A9" s="4" t="s">
        <v>11</v>
      </c>
      <c r="B9" s="4">
        <v>435</v>
      </c>
      <c r="C9" s="4">
        <v>415</v>
      </c>
      <c r="D9" s="4">
        <v>300</v>
      </c>
      <c r="E9" s="4">
        <v>500</v>
      </c>
      <c r="F9" s="4">
        <v>200000</v>
      </c>
    </row>
    <row r="10" spans="1:29" x14ac:dyDescent="0.25">
      <c r="A10" s="4" t="s">
        <v>12</v>
      </c>
      <c r="B10" s="4">
        <v>415</v>
      </c>
      <c r="C10" s="4">
        <v>390</v>
      </c>
      <c r="D10" s="4">
        <v>300</v>
      </c>
      <c r="E10" s="4">
        <v>500</v>
      </c>
      <c r="F10" s="4">
        <v>200000</v>
      </c>
    </row>
    <row r="14" spans="1:29" x14ac:dyDescent="0.25">
      <c r="A14" s="3"/>
      <c r="B14" s="253" t="s">
        <v>43</v>
      </c>
      <c r="C14" s="254"/>
      <c r="D14" s="254"/>
      <c r="E14" s="254"/>
      <c r="F14" s="254"/>
      <c r="G14" s="255"/>
      <c r="H14" s="251" t="s">
        <v>51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29" ht="15" customHeight="1" x14ac:dyDescent="0.25">
      <c r="A15" s="256" t="s">
        <v>18</v>
      </c>
      <c r="B15" s="258" t="s">
        <v>14</v>
      </c>
      <c r="C15" s="259"/>
      <c r="D15" s="260"/>
      <c r="E15" s="258" t="s">
        <v>41</v>
      </c>
      <c r="F15" s="259"/>
      <c r="G15" s="260"/>
      <c r="H15" s="252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15" customHeight="1" x14ac:dyDescent="0.25">
      <c r="A16" s="257"/>
      <c r="B16" s="258" t="s">
        <v>44</v>
      </c>
      <c r="C16" s="259"/>
      <c r="D16" s="260"/>
      <c r="E16" s="258" t="s">
        <v>45</v>
      </c>
      <c r="F16" s="259"/>
      <c r="G16" s="260"/>
      <c r="H16" s="5" t="s">
        <v>50</v>
      </c>
      <c r="K16" s="7"/>
      <c r="L16" s="7"/>
      <c r="M16" s="7"/>
      <c r="N16" s="7"/>
      <c r="O16" s="7"/>
      <c r="P16" s="7"/>
      <c r="Q16" s="7"/>
      <c r="R16" s="7"/>
      <c r="S16" s="7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30" ht="58.5" customHeight="1" x14ac:dyDescent="0.25">
      <c r="A17" s="9" t="s">
        <v>13</v>
      </c>
      <c r="B17" s="10" t="s">
        <v>15</v>
      </c>
      <c r="C17" s="10" t="s">
        <v>16</v>
      </c>
      <c r="D17" s="10" t="s">
        <v>17</v>
      </c>
      <c r="E17" s="10" t="s">
        <v>15</v>
      </c>
      <c r="F17" s="10" t="s">
        <v>16</v>
      </c>
      <c r="G17" s="10" t="s">
        <v>17</v>
      </c>
      <c r="H17" s="6" t="s">
        <v>42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  <c r="X17" s="8"/>
      <c r="Y17" s="8"/>
      <c r="Z17" s="8"/>
      <c r="AA17" s="8"/>
      <c r="AB17" s="8"/>
      <c r="AC17" s="8"/>
    </row>
    <row r="18" spans="1:30" x14ac:dyDescent="0.25">
      <c r="A18" s="5" t="s">
        <v>19</v>
      </c>
      <c r="B18" s="19"/>
      <c r="C18" s="19"/>
      <c r="D18" s="20">
        <v>0.95</v>
      </c>
      <c r="E18" s="19"/>
      <c r="F18" s="19"/>
      <c r="G18" s="20">
        <v>0.09</v>
      </c>
      <c r="H18" s="21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8"/>
      <c r="Y18" s="8"/>
      <c r="Z18" s="8"/>
      <c r="AA18" s="8"/>
      <c r="AB18" s="8"/>
      <c r="AC18" s="8"/>
    </row>
    <row r="19" spans="1:30" x14ac:dyDescent="0.25">
      <c r="A19" s="5" t="s">
        <v>20</v>
      </c>
      <c r="B19" s="19"/>
      <c r="C19" s="19"/>
      <c r="D19" s="20">
        <v>1.3</v>
      </c>
      <c r="E19" s="19"/>
      <c r="F19" s="19"/>
      <c r="G19" s="20">
        <v>0.12</v>
      </c>
      <c r="H19" s="21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1:30" x14ac:dyDescent="0.25">
      <c r="A20" s="5" t="s">
        <v>22</v>
      </c>
      <c r="B20" s="19"/>
      <c r="C20" s="20">
        <v>1.5</v>
      </c>
      <c r="D20" s="20">
        <v>1.6</v>
      </c>
      <c r="E20" s="19"/>
      <c r="F20" s="20">
        <v>0.2</v>
      </c>
      <c r="G20" s="20">
        <v>0.14000000000000001</v>
      </c>
      <c r="H20" s="2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30" x14ac:dyDescent="0.25">
      <c r="A21" s="5" t="s">
        <v>23</v>
      </c>
      <c r="B21" s="20">
        <v>2.1</v>
      </c>
      <c r="C21" s="20">
        <v>2.1</v>
      </c>
      <c r="D21" s="20">
        <v>2.2000000000000002</v>
      </c>
      <c r="E21" s="20">
        <v>0.26</v>
      </c>
      <c r="F21" s="20">
        <v>0.26</v>
      </c>
      <c r="G21" s="20">
        <v>0.18</v>
      </c>
      <c r="H21" s="22">
        <v>9.5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 spans="1:30" x14ac:dyDescent="0.25">
      <c r="A22" s="5" t="s">
        <v>21</v>
      </c>
      <c r="B22" s="20">
        <v>2.8</v>
      </c>
      <c r="C22" s="20">
        <v>2.8</v>
      </c>
      <c r="D22" s="20">
        <v>3.1</v>
      </c>
      <c r="E22" s="20">
        <v>0.37</v>
      </c>
      <c r="F22" s="20">
        <v>0.37</v>
      </c>
      <c r="G22" s="20">
        <v>0.24</v>
      </c>
      <c r="H22" s="22">
        <v>13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30" x14ac:dyDescent="0.25">
      <c r="A23" s="5" t="s">
        <v>24</v>
      </c>
      <c r="B23" s="20">
        <v>4.5</v>
      </c>
      <c r="C23" s="20">
        <v>4.5</v>
      </c>
      <c r="D23" s="20">
        <v>4.5999999999999996</v>
      </c>
      <c r="E23" s="20">
        <v>0.48</v>
      </c>
      <c r="F23" s="20">
        <v>0.48</v>
      </c>
      <c r="G23" s="20">
        <v>0.28000000000000003</v>
      </c>
      <c r="H23" s="22">
        <v>16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30" x14ac:dyDescent="0.25">
      <c r="A24" s="5" t="s">
        <v>25</v>
      </c>
      <c r="B24" s="20">
        <v>6</v>
      </c>
      <c r="C24" s="20">
        <v>6</v>
      </c>
      <c r="D24" s="20">
        <v>6</v>
      </c>
      <c r="E24" s="20">
        <v>0.56000000000000005</v>
      </c>
      <c r="F24" s="20">
        <v>0.56000000000000005</v>
      </c>
      <c r="G24" s="20">
        <v>0.39</v>
      </c>
      <c r="H24" s="22">
        <v>19</v>
      </c>
      <c r="K24" s="8"/>
      <c r="L24" s="7"/>
      <c r="M24" s="7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30" x14ac:dyDescent="0.25">
      <c r="A25" s="5" t="s">
        <v>26</v>
      </c>
      <c r="B25" s="20">
        <v>7.5</v>
      </c>
      <c r="C25" s="20">
        <v>7.5</v>
      </c>
      <c r="D25" s="20">
        <v>7</v>
      </c>
      <c r="E25" s="20">
        <v>0.66</v>
      </c>
      <c r="F25" s="20">
        <v>0.66</v>
      </c>
      <c r="G25" s="20">
        <v>0.44</v>
      </c>
      <c r="H25" s="22">
        <v>21.5</v>
      </c>
      <c r="K25" s="8"/>
      <c r="L25" s="7"/>
      <c r="M25" s="7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30" x14ac:dyDescent="0.25">
      <c r="A26" s="5" t="s">
        <v>27</v>
      </c>
      <c r="B26" s="20">
        <v>8.5</v>
      </c>
      <c r="C26" s="20">
        <v>8.5</v>
      </c>
      <c r="D26" s="20">
        <v>7.7</v>
      </c>
      <c r="E26" s="20">
        <v>0.75</v>
      </c>
      <c r="F26" s="20">
        <v>0.75</v>
      </c>
      <c r="G26" s="20">
        <v>0.46</v>
      </c>
      <c r="H26" s="22">
        <v>24</v>
      </c>
      <c r="K26" s="8"/>
      <c r="L26" s="7"/>
      <c r="M26" s="7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30" x14ac:dyDescent="0.25">
      <c r="A27" s="5" t="s">
        <v>28</v>
      </c>
      <c r="B27" s="20">
        <v>11.5</v>
      </c>
      <c r="C27" s="20">
        <v>11.5</v>
      </c>
      <c r="D27" s="19"/>
      <c r="E27" s="20">
        <v>0.9</v>
      </c>
      <c r="F27" s="20">
        <v>0.9</v>
      </c>
      <c r="G27" s="19"/>
      <c r="H27" s="22">
        <v>27.5</v>
      </c>
      <c r="K27" s="8"/>
      <c r="L27" s="7"/>
      <c r="M27" s="7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30" x14ac:dyDescent="0.25">
      <c r="A28" s="5" t="s">
        <v>29</v>
      </c>
      <c r="B28" s="20">
        <v>14.5</v>
      </c>
      <c r="C28" s="20">
        <v>14.5</v>
      </c>
      <c r="D28" s="19"/>
      <c r="E28" s="20">
        <v>1.05</v>
      </c>
      <c r="F28" s="20">
        <v>1.05</v>
      </c>
      <c r="G28" s="19"/>
      <c r="H28" s="22">
        <v>30</v>
      </c>
      <c r="K28" s="8"/>
      <c r="L28" s="7"/>
      <c r="M28" s="7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30" x14ac:dyDescent="0.25">
      <c r="A29" s="5" t="s">
        <v>30</v>
      </c>
      <c r="B29" s="20">
        <v>17</v>
      </c>
      <c r="C29" s="20">
        <v>17</v>
      </c>
      <c r="D29" s="19"/>
      <c r="E29" s="20">
        <v>1.1499999999999999</v>
      </c>
      <c r="F29" s="20">
        <v>1.1499999999999999</v>
      </c>
      <c r="G29" s="19"/>
      <c r="H29" s="22">
        <v>32.5</v>
      </c>
      <c r="K29" s="8"/>
      <c r="L29" s="7"/>
      <c r="M29" s="7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30" x14ac:dyDescent="0.25">
      <c r="A30" s="5" t="s">
        <v>31</v>
      </c>
      <c r="B30" s="20">
        <v>19.5</v>
      </c>
      <c r="C30" s="20">
        <v>19.5</v>
      </c>
      <c r="D30" s="19"/>
      <c r="E30" s="20">
        <v>1.3</v>
      </c>
      <c r="F30" s="20">
        <v>1.3</v>
      </c>
      <c r="G30" s="19"/>
      <c r="H30" s="22">
        <v>34.5</v>
      </c>
      <c r="K30" s="8"/>
      <c r="L30" s="7"/>
      <c r="M30" s="7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30" x14ac:dyDescent="0.25">
      <c r="A31" s="5" t="s">
        <v>32</v>
      </c>
      <c r="B31" s="20">
        <v>22</v>
      </c>
      <c r="C31" s="20">
        <v>22</v>
      </c>
      <c r="D31" s="19"/>
      <c r="E31" s="20">
        <v>1.4</v>
      </c>
      <c r="F31" s="20">
        <v>1.4</v>
      </c>
      <c r="G31" s="19"/>
      <c r="H31" s="22">
        <v>36</v>
      </c>
      <c r="K31" s="8"/>
      <c r="L31" s="7"/>
      <c r="M31" s="7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30" x14ac:dyDescent="0.25">
      <c r="A32" s="5" t="s">
        <v>33</v>
      </c>
      <c r="B32" s="20">
        <v>25</v>
      </c>
      <c r="C32" s="19"/>
      <c r="D32" s="19"/>
      <c r="E32" s="20">
        <v>1.5</v>
      </c>
      <c r="F32" s="19"/>
      <c r="G32" s="19"/>
      <c r="H32" s="22">
        <v>37</v>
      </c>
      <c r="K32" s="8"/>
      <c r="L32" s="7"/>
      <c r="M32" s="7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 x14ac:dyDescent="0.25">
      <c r="A33" s="5" t="s">
        <v>34</v>
      </c>
      <c r="B33" s="20">
        <v>27.5</v>
      </c>
      <c r="C33" s="19"/>
      <c r="D33" s="19"/>
      <c r="E33" s="20">
        <v>1.6</v>
      </c>
      <c r="F33" s="19"/>
      <c r="G33" s="19"/>
      <c r="H33" s="22">
        <v>38</v>
      </c>
      <c r="K33" s="8"/>
      <c r="L33" s="7"/>
      <c r="M33" s="7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 x14ac:dyDescent="0.25">
      <c r="A34" s="5" t="s">
        <v>35</v>
      </c>
      <c r="B34" s="20">
        <v>30</v>
      </c>
      <c r="C34" s="19"/>
      <c r="D34" s="19"/>
      <c r="E34" s="20">
        <v>1.7</v>
      </c>
      <c r="F34" s="19"/>
      <c r="G34" s="19"/>
      <c r="H34" s="22">
        <v>39</v>
      </c>
      <c r="K34" s="8"/>
      <c r="L34" s="7"/>
      <c r="M34" s="7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 x14ac:dyDescent="0.25">
      <c r="A35" s="5" t="s">
        <v>36</v>
      </c>
      <c r="B35" s="20">
        <v>33</v>
      </c>
      <c r="C35" s="19"/>
      <c r="D35" s="19"/>
      <c r="E35" s="20">
        <v>1.8</v>
      </c>
      <c r="F35" s="19"/>
      <c r="G35" s="19"/>
      <c r="H35" s="22">
        <v>39.5</v>
      </c>
      <c r="K35" s="8"/>
      <c r="L35" s="7"/>
      <c r="M35" s="7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 x14ac:dyDescent="0.25">
      <c r="A36" s="5" t="s">
        <v>37</v>
      </c>
      <c r="B36" s="20">
        <v>37</v>
      </c>
      <c r="C36" s="19"/>
      <c r="D36" s="19"/>
      <c r="E36" s="20">
        <v>1.9</v>
      </c>
      <c r="F36" s="19"/>
      <c r="G36" s="19"/>
      <c r="H36" s="22">
        <v>41</v>
      </c>
      <c r="K36" s="8"/>
      <c r="L36" s="7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 x14ac:dyDescent="0.25">
      <c r="A37" s="5" t="s">
        <v>38</v>
      </c>
      <c r="B37" s="20">
        <v>41</v>
      </c>
      <c r="C37" s="19"/>
      <c r="D37" s="19"/>
      <c r="E37" s="20">
        <v>2.1</v>
      </c>
      <c r="F37" s="19"/>
      <c r="G37" s="19"/>
      <c r="H37" s="22">
        <v>42</v>
      </c>
      <c r="K37" s="8"/>
      <c r="L37" s="7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 x14ac:dyDescent="0.25">
      <c r="A38" s="5" t="s">
        <v>39</v>
      </c>
      <c r="B38" s="20">
        <v>44</v>
      </c>
      <c r="C38" s="19"/>
      <c r="D38" s="19"/>
      <c r="E38" s="20">
        <v>2.15</v>
      </c>
      <c r="F38" s="19"/>
      <c r="G38" s="19"/>
      <c r="H38" s="22">
        <v>42.5</v>
      </c>
      <c r="K38" s="8"/>
      <c r="L38" s="7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x14ac:dyDescent="0.25">
      <c r="A39" s="5" t="s">
        <v>40</v>
      </c>
      <c r="B39" s="20">
        <v>47.5</v>
      </c>
      <c r="C39" s="19"/>
      <c r="D39" s="19"/>
      <c r="E39" s="20">
        <v>2.2000000000000002</v>
      </c>
      <c r="F39" s="19"/>
      <c r="G39" s="19"/>
      <c r="H39" s="22">
        <v>43</v>
      </c>
      <c r="K39" s="8"/>
      <c r="L39" s="7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x14ac:dyDescent="0.25">
      <c r="K40" s="8"/>
      <c r="L40" s="7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ht="15.75" thickBot="1" x14ac:dyDescent="0.3">
      <c r="A41" s="269" t="s">
        <v>56</v>
      </c>
      <c r="B41" s="269"/>
      <c r="C41" s="269"/>
      <c r="D41" s="269"/>
      <c r="E41" s="269"/>
      <c r="K41" s="8"/>
      <c r="L41" s="7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x14ac:dyDescent="0.25">
      <c r="A42" s="263" t="s">
        <v>58</v>
      </c>
      <c r="B42" s="261" t="s">
        <v>61</v>
      </c>
      <c r="C42" s="262"/>
      <c r="D42" s="265" t="s">
        <v>60</v>
      </c>
      <c r="E42" s="267" t="s">
        <v>59</v>
      </c>
      <c r="G42" s="8"/>
      <c r="H42" s="8"/>
      <c r="I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ht="15.75" thickBot="1" x14ac:dyDescent="0.3">
      <c r="A43" s="264"/>
      <c r="B43" s="28" t="s">
        <v>62</v>
      </c>
      <c r="C43" s="29" t="s">
        <v>63</v>
      </c>
      <c r="D43" s="266"/>
      <c r="E43" s="268"/>
      <c r="G43" s="8"/>
      <c r="H43" s="53"/>
      <c r="I43" s="8"/>
    </row>
    <row r="44" spans="1:29" ht="15.75" thickBot="1" x14ac:dyDescent="0.3">
      <c r="A44" s="44" t="s">
        <v>72</v>
      </c>
      <c r="B44" s="30">
        <v>2</v>
      </c>
      <c r="C44" s="26">
        <v>8</v>
      </c>
      <c r="D44" s="36">
        <v>230</v>
      </c>
      <c r="E44" s="33">
        <v>350</v>
      </c>
      <c r="G44" s="8"/>
      <c r="H44" s="54"/>
      <c r="I44" s="8"/>
    </row>
    <row r="45" spans="1:29" x14ac:dyDescent="0.25">
      <c r="A45" s="45" t="s">
        <v>64</v>
      </c>
      <c r="B45" s="42">
        <v>2</v>
      </c>
      <c r="C45" s="39">
        <v>20</v>
      </c>
      <c r="D45" s="40">
        <v>240</v>
      </c>
      <c r="E45" s="41">
        <v>360</v>
      </c>
      <c r="G45" s="8"/>
      <c r="H45" s="54"/>
      <c r="I45" s="8"/>
    </row>
    <row r="46" spans="1:29" ht="15.75" thickBot="1" x14ac:dyDescent="0.3">
      <c r="A46" s="46" t="s">
        <v>65</v>
      </c>
      <c r="B46" s="43">
        <v>20</v>
      </c>
      <c r="C46" s="32">
        <v>30</v>
      </c>
      <c r="D46" s="38">
        <v>230</v>
      </c>
      <c r="E46" s="35">
        <v>360</v>
      </c>
      <c r="G46" s="8"/>
      <c r="H46" s="54"/>
      <c r="I46" s="8"/>
    </row>
    <row r="47" spans="1:29" x14ac:dyDescent="0.25">
      <c r="A47" s="45" t="s">
        <v>66</v>
      </c>
      <c r="B47" s="42">
        <v>2</v>
      </c>
      <c r="C47" s="39">
        <v>20</v>
      </c>
      <c r="D47" s="40">
        <v>240</v>
      </c>
      <c r="E47" s="41">
        <v>360</v>
      </c>
      <c r="G47" s="8"/>
      <c r="H47" s="54"/>
      <c r="I47" s="8"/>
    </row>
    <row r="48" spans="1:29" ht="15.75" thickBot="1" x14ac:dyDescent="0.3">
      <c r="A48" s="46" t="s">
        <v>67</v>
      </c>
      <c r="B48" s="43">
        <v>20</v>
      </c>
      <c r="C48" s="32">
        <v>40</v>
      </c>
      <c r="D48" s="38">
        <v>230</v>
      </c>
      <c r="E48" s="35">
        <v>360</v>
      </c>
      <c r="G48" s="8"/>
      <c r="H48" s="54"/>
      <c r="I48" s="8"/>
    </row>
    <row r="49" spans="1:9" x14ac:dyDescent="0.25">
      <c r="A49" s="45" t="s">
        <v>68</v>
      </c>
      <c r="B49" s="42">
        <v>2</v>
      </c>
      <c r="C49" s="39">
        <v>20</v>
      </c>
      <c r="D49" s="40">
        <v>320</v>
      </c>
      <c r="E49" s="41">
        <v>460</v>
      </c>
      <c r="G49" s="8"/>
      <c r="H49" s="54"/>
      <c r="I49" s="8"/>
    </row>
    <row r="50" spans="1:9" x14ac:dyDescent="0.25">
      <c r="A50" s="47" t="s">
        <v>69</v>
      </c>
      <c r="B50" s="27">
        <v>20</v>
      </c>
      <c r="C50" s="31">
        <v>40</v>
      </c>
      <c r="D50" s="37">
        <v>300</v>
      </c>
      <c r="E50" s="34">
        <v>450</v>
      </c>
      <c r="G50" s="8"/>
      <c r="H50" s="54"/>
      <c r="I50" s="8"/>
    </row>
    <row r="51" spans="1:9" x14ac:dyDescent="0.25">
      <c r="A51" s="47" t="s">
        <v>70</v>
      </c>
      <c r="B51" s="27">
        <v>40</v>
      </c>
      <c r="C51" s="31">
        <v>80</v>
      </c>
      <c r="D51" s="37">
        <v>280</v>
      </c>
      <c r="E51" s="34">
        <v>440</v>
      </c>
      <c r="G51" s="8"/>
      <c r="H51" s="54"/>
      <c r="I51" s="8"/>
    </row>
    <row r="52" spans="1:9" ht="15.75" thickBot="1" x14ac:dyDescent="0.3">
      <c r="A52" s="46" t="s">
        <v>71</v>
      </c>
      <c r="B52" s="43">
        <v>80</v>
      </c>
      <c r="C52" s="32">
        <v>100</v>
      </c>
      <c r="D52" s="38">
        <v>260</v>
      </c>
      <c r="E52" s="35">
        <v>420</v>
      </c>
      <c r="G52" s="8"/>
      <c r="H52" s="8"/>
      <c r="I52" s="8"/>
    </row>
    <row r="53" spans="1:9" x14ac:dyDescent="0.25">
      <c r="G53" s="8"/>
      <c r="H53" s="8"/>
      <c r="I53" s="8"/>
    </row>
  </sheetData>
  <mergeCells count="13">
    <mergeCell ref="B42:C42"/>
    <mergeCell ref="A42:A43"/>
    <mergeCell ref="D42:D43"/>
    <mergeCell ref="E42:E43"/>
    <mergeCell ref="A41:E41"/>
    <mergeCell ref="H14:H15"/>
    <mergeCell ref="A2:F2"/>
    <mergeCell ref="A15:A16"/>
    <mergeCell ref="B16:D16"/>
    <mergeCell ref="B15:D15"/>
    <mergeCell ref="B14:G14"/>
    <mergeCell ref="E15:G15"/>
    <mergeCell ref="E16:G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E19"/>
  <sheetViews>
    <sheetView workbookViewId="0">
      <selection activeCell="G26" sqref="G26"/>
    </sheetView>
  </sheetViews>
  <sheetFormatPr defaultRowHeight="15" x14ac:dyDescent="0.25"/>
  <sheetData>
    <row r="1" spans="1:5" ht="17.25" x14ac:dyDescent="0.25">
      <c r="A1" s="4" t="s">
        <v>47</v>
      </c>
      <c r="B1" s="4" t="s">
        <v>48</v>
      </c>
      <c r="C1" s="4" t="s">
        <v>49</v>
      </c>
    </row>
    <row r="2" spans="1:5" x14ac:dyDescent="0.25">
      <c r="A2" s="3">
        <v>3</v>
      </c>
      <c r="B2" s="3">
        <v>7.1</v>
      </c>
      <c r="C2" s="3">
        <f>B2/100</f>
        <v>7.0999999999999994E-2</v>
      </c>
      <c r="E2" s="18"/>
    </row>
    <row r="3" spans="1:5" x14ac:dyDescent="0.25">
      <c r="A3" s="3">
        <v>4</v>
      </c>
      <c r="B3" s="3">
        <v>12.6</v>
      </c>
      <c r="C3" s="3">
        <f t="shared" ref="C3:C19" si="0">B3/100</f>
        <v>0.126</v>
      </c>
      <c r="E3" s="18"/>
    </row>
    <row r="4" spans="1:5" x14ac:dyDescent="0.25">
      <c r="A4" s="3">
        <v>5</v>
      </c>
      <c r="B4" s="3">
        <v>19.600000000000001</v>
      </c>
      <c r="C4" s="3">
        <f t="shared" si="0"/>
        <v>0.19600000000000001</v>
      </c>
      <c r="E4" s="18"/>
    </row>
    <row r="5" spans="1:5" x14ac:dyDescent="0.25">
      <c r="A5" s="3">
        <v>6</v>
      </c>
      <c r="B5" s="3">
        <v>28.3</v>
      </c>
      <c r="C5" s="3">
        <f t="shared" si="0"/>
        <v>0.28300000000000003</v>
      </c>
      <c r="E5" s="18"/>
    </row>
    <row r="6" spans="1:5" x14ac:dyDescent="0.25">
      <c r="A6" s="3">
        <v>7</v>
      </c>
      <c r="B6" s="3">
        <v>38.5</v>
      </c>
      <c r="C6" s="3">
        <f t="shared" si="0"/>
        <v>0.38500000000000001</v>
      </c>
      <c r="E6" s="18"/>
    </row>
    <row r="7" spans="1:5" x14ac:dyDescent="0.25">
      <c r="A7" s="3">
        <v>8</v>
      </c>
      <c r="B7" s="3">
        <v>50.3</v>
      </c>
      <c r="C7" s="3">
        <f t="shared" si="0"/>
        <v>0.503</v>
      </c>
      <c r="E7" s="18"/>
    </row>
    <row r="8" spans="1:5" x14ac:dyDescent="0.25">
      <c r="A8" s="3">
        <v>10</v>
      </c>
      <c r="B8" s="3">
        <v>78.5</v>
      </c>
      <c r="C8" s="3">
        <f t="shared" si="0"/>
        <v>0.78500000000000003</v>
      </c>
      <c r="E8" s="18"/>
    </row>
    <row r="9" spans="1:5" x14ac:dyDescent="0.25">
      <c r="A9" s="3">
        <v>12</v>
      </c>
      <c r="B9" s="3">
        <v>113.1</v>
      </c>
      <c r="C9" s="3">
        <f t="shared" si="0"/>
        <v>1.131</v>
      </c>
      <c r="E9" s="18"/>
    </row>
    <row r="10" spans="1:5" x14ac:dyDescent="0.25">
      <c r="A10" s="3">
        <v>14</v>
      </c>
      <c r="B10" s="3">
        <v>153.9</v>
      </c>
      <c r="C10" s="3">
        <f t="shared" si="0"/>
        <v>1.5390000000000001</v>
      </c>
      <c r="E10" s="18"/>
    </row>
    <row r="11" spans="1:5" x14ac:dyDescent="0.25">
      <c r="A11" s="3">
        <v>16</v>
      </c>
      <c r="B11" s="3">
        <v>201.1</v>
      </c>
      <c r="C11" s="3">
        <f t="shared" si="0"/>
        <v>2.0110000000000001</v>
      </c>
      <c r="E11" s="18"/>
    </row>
    <row r="12" spans="1:5" x14ac:dyDescent="0.25">
      <c r="A12" s="3">
        <v>18</v>
      </c>
      <c r="B12" s="3">
        <v>254.5</v>
      </c>
      <c r="C12" s="3">
        <f t="shared" si="0"/>
        <v>2.5449999999999999</v>
      </c>
      <c r="E12" s="18"/>
    </row>
    <row r="13" spans="1:5" x14ac:dyDescent="0.25">
      <c r="A13" s="3">
        <v>20</v>
      </c>
      <c r="B13" s="3">
        <v>314.2</v>
      </c>
      <c r="C13" s="3">
        <f t="shared" si="0"/>
        <v>3.1419999999999999</v>
      </c>
      <c r="E13" s="18"/>
    </row>
    <row r="14" spans="1:5" x14ac:dyDescent="0.25">
      <c r="A14" s="3">
        <v>22</v>
      </c>
      <c r="B14" s="3">
        <v>380.1</v>
      </c>
      <c r="C14" s="3">
        <f t="shared" si="0"/>
        <v>3.8010000000000002</v>
      </c>
      <c r="E14" s="18"/>
    </row>
    <row r="15" spans="1:5" x14ac:dyDescent="0.25">
      <c r="A15" s="3">
        <v>25</v>
      </c>
      <c r="B15" s="3">
        <v>490.9</v>
      </c>
      <c r="C15" s="3">
        <f t="shared" si="0"/>
        <v>4.9089999999999998</v>
      </c>
      <c r="E15" s="18"/>
    </row>
    <row r="16" spans="1:5" x14ac:dyDescent="0.25">
      <c r="A16" s="3">
        <v>28</v>
      </c>
      <c r="B16" s="3">
        <v>615.79999999999995</v>
      </c>
      <c r="C16" s="3">
        <f t="shared" si="0"/>
        <v>6.1579999999999995</v>
      </c>
      <c r="E16" s="18"/>
    </row>
    <row r="17" spans="1:5" x14ac:dyDescent="0.25">
      <c r="A17" s="3">
        <v>32</v>
      </c>
      <c r="B17" s="3">
        <v>804.3</v>
      </c>
      <c r="C17" s="3">
        <f t="shared" si="0"/>
        <v>8.0429999999999993</v>
      </c>
      <c r="E17" s="18"/>
    </row>
    <row r="18" spans="1:5" x14ac:dyDescent="0.25">
      <c r="A18" s="3">
        <v>36</v>
      </c>
      <c r="B18" s="3">
        <v>1017.9</v>
      </c>
      <c r="C18" s="3">
        <f t="shared" si="0"/>
        <v>10.179</v>
      </c>
      <c r="E18" s="18"/>
    </row>
    <row r="19" spans="1:5" x14ac:dyDescent="0.25">
      <c r="A19" s="3">
        <v>40</v>
      </c>
      <c r="B19" s="3">
        <v>1256.5999999999999</v>
      </c>
      <c r="C19" s="3">
        <f t="shared" si="0"/>
        <v>12.565999999999999</v>
      </c>
      <c r="E19" s="1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I223"/>
  <sheetViews>
    <sheetView topLeftCell="A7" workbookViewId="0">
      <selection activeCell="I26" sqref="I26"/>
    </sheetView>
  </sheetViews>
  <sheetFormatPr defaultRowHeight="12.75" x14ac:dyDescent="0.2"/>
  <cols>
    <col min="1" max="1" width="6" style="2" customWidth="1"/>
    <col min="2" max="2" width="22.5703125" style="2" customWidth="1"/>
    <col min="3" max="3" width="13.85546875" style="2" bestFit="1" customWidth="1"/>
    <col min="4" max="4" width="9.140625" style="2"/>
    <col min="5" max="5" width="10.140625" style="2" customWidth="1"/>
    <col min="6" max="6" width="9.7109375" style="2" bestFit="1" customWidth="1"/>
    <col min="7" max="7" width="9.140625" style="2"/>
    <col min="8" max="8" width="9.140625" style="2" customWidth="1"/>
    <col min="9" max="10" width="9.140625" style="2"/>
    <col min="11" max="11" width="10" style="2" customWidth="1"/>
    <col min="12" max="12" width="9.140625" style="2" customWidth="1"/>
    <col min="13" max="13" width="4.85546875" style="2" bestFit="1" customWidth="1"/>
    <col min="14" max="14" width="10.7109375" style="2" customWidth="1"/>
    <col min="15" max="15" width="10.140625" style="2" customWidth="1"/>
    <col min="16" max="16" width="9.85546875" style="2" customWidth="1"/>
    <col min="17" max="17" width="9.140625" style="2" customWidth="1"/>
    <col min="18" max="18" width="15.7109375" style="2" customWidth="1"/>
    <col min="19" max="19" width="11.42578125" style="2" customWidth="1"/>
    <col min="20" max="20" width="9.85546875" style="2" customWidth="1"/>
    <col min="21" max="21" width="9.42578125" style="2" customWidth="1"/>
    <col min="22" max="22" width="26.7109375" style="2" bestFit="1" customWidth="1"/>
    <col min="23" max="23" width="9.140625" style="2" customWidth="1"/>
    <col min="24" max="24" width="11.5703125" style="2" customWidth="1"/>
    <col min="25" max="25" width="10.28515625" style="2" bestFit="1" customWidth="1"/>
    <col min="26" max="26" width="5.5703125" style="2" customWidth="1"/>
    <col min="27" max="27" width="5.140625" style="2" bestFit="1" customWidth="1"/>
    <col min="28" max="28" width="9.140625" style="2" customWidth="1"/>
    <col min="29" max="29" width="9.42578125" style="2" customWidth="1"/>
    <col min="30" max="30" width="4" style="2" customWidth="1"/>
    <col min="31" max="31" width="10.28515625" style="2" bestFit="1" customWidth="1"/>
    <col min="32" max="32" width="7" style="2" customWidth="1"/>
    <col min="33" max="16384" width="9.140625" style="2"/>
  </cols>
  <sheetData>
    <row r="1" spans="1:35" ht="18" x14ac:dyDescent="0.25">
      <c r="A1" s="24" t="s">
        <v>274</v>
      </c>
    </row>
    <row r="2" spans="1:35" ht="86.25" customHeight="1" x14ac:dyDescent="0.2">
      <c r="A2" s="272" t="s">
        <v>275</v>
      </c>
      <c r="B2" s="272"/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2"/>
    </row>
    <row r="3" spans="1:35" ht="15" x14ac:dyDescent="0.25">
      <c r="B3" s="58" t="s">
        <v>52</v>
      </c>
    </row>
    <row r="4" spans="1:35" x14ac:dyDescent="0.2">
      <c r="B4" s="51" t="s">
        <v>74</v>
      </c>
      <c r="C4" s="1"/>
      <c r="D4" s="1"/>
    </row>
    <row r="5" spans="1:35" x14ac:dyDescent="0.2">
      <c r="B5" s="52" t="s">
        <v>252</v>
      </c>
      <c r="C5" s="1"/>
      <c r="D5" s="1"/>
    </row>
    <row r="6" spans="1:35" x14ac:dyDescent="0.2">
      <c r="B6" s="57" t="s">
        <v>53</v>
      </c>
      <c r="C6" s="25" t="s">
        <v>30</v>
      </c>
      <c r="AG6" s="16"/>
      <c r="AH6" s="17"/>
      <c r="AI6" s="16"/>
    </row>
    <row r="7" spans="1:35" ht="16.5" x14ac:dyDescent="0.3">
      <c r="B7" s="11" t="s">
        <v>75</v>
      </c>
      <c r="C7" s="25">
        <v>0.9</v>
      </c>
      <c r="AG7" s="16"/>
      <c r="AH7" s="16"/>
      <c r="AI7" s="16"/>
    </row>
    <row r="8" spans="1:35" ht="16.5" x14ac:dyDescent="0.3">
      <c r="B8" s="11" t="s">
        <v>76</v>
      </c>
      <c r="C8" s="50">
        <f>$C$7*VLOOKUP($C$6,'Расчетные характеристики'!A18:B39,2,FALSE)</f>
        <v>15.3</v>
      </c>
    </row>
    <row r="9" spans="1:35" ht="16.5" x14ac:dyDescent="0.3">
      <c r="B9" s="11" t="s">
        <v>77</v>
      </c>
      <c r="C9" s="55">
        <f>C7*VLOOKUP($C$6,'Расчетные характеристики'!A18:E39,5,FALSE)</f>
        <v>1.0349999999999999</v>
      </c>
      <c r="D9" s="1"/>
      <c r="G9" s="1"/>
      <c r="H9" s="1"/>
      <c r="I9" s="1"/>
      <c r="J9" s="1"/>
      <c r="K9" s="1"/>
      <c r="L9" s="1"/>
      <c r="AD9" s="1"/>
      <c r="AE9" s="1"/>
      <c r="AF9" s="1"/>
    </row>
    <row r="10" spans="1:35" x14ac:dyDescent="0.2">
      <c r="B10" s="51" t="s">
        <v>82</v>
      </c>
      <c r="C10" s="56"/>
      <c r="D10" s="1"/>
      <c r="G10" s="1"/>
      <c r="H10" s="1"/>
      <c r="I10" s="1"/>
      <c r="J10" s="1"/>
      <c r="K10" s="1"/>
      <c r="L10" s="1"/>
      <c r="M10" s="12"/>
      <c r="N10" s="12"/>
      <c r="O10" s="12"/>
      <c r="P10" s="14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D10" s="1"/>
      <c r="AE10" s="1"/>
      <c r="AF10" s="1"/>
    </row>
    <row r="11" spans="1:35" x14ac:dyDescent="0.2">
      <c r="B11" s="57" t="s">
        <v>54</v>
      </c>
      <c r="C11" s="25" t="s">
        <v>8</v>
      </c>
      <c r="D11" s="1"/>
      <c r="G11" s="1"/>
      <c r="H11" s="1"/>
      <c r="I11" s="1"/>
      <c r="J11" s="1"/>
      <c r="K11" s="1"/>
      <c r="L11" s="1"/>
      <c r="M11" s="12"/>
      <c r="N11" s="12"/>
      <c r="O11" s="12"/>
      <c r="P11" s="14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D11" s="1"/>
      <c r="AE11" s="1"/>
      <c r="AF11" s="1"/>
    </row>
    <row r="12" spans="1:35" ht="15.75" x14ac:dyDescent="0.3">
      <c r="B12" s="57" t="s">
        <v>108</v>
      </c>
      <c r="C12" s="25">
        <v>10</v>
      </c>
      <c r="G12" s="1"/>
      <c r="H12" s="1"/>
      <c r="I12" s="1"/>
      <c r="J12" s="1"/>
      <c r="K12" s="1"/>
      <c r="L12" s="1"/>
      <c r="M12" s="12"/>
      <c r="N12" s="12"/>
      <c r="O12" s="12"/>
      <c r="P12" s="14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D12" s="1"/>
      <c r="AE12" s="1"/>
      <c r="AF12" s="1"/>
    </row>
    <row r="13" spans="1:35" x14ac:dyDescent="0.2">
      <c r="B13" s="11" t="s">
        <v>73</v>
      </c>
      <c r="C13" s="49">
        <f>VLOOKUP($C$11,'Расчетные характеристики'!A4:F10,2,FALSE)</f>
        <v>435</v>
      </c>
      <c r="G13" s="1"/>
      <c r="H13" s="1"/>
      <c r="I13" s="1"/>
      <c r="J13" s="1"/>
      <c r="K13" s="1"/>
      <c r="L13" s="1"/>
      <c r="M13" s="12"/>
      <c r="N13" s="12"/>
      <c r="O13" s="12"/>
      <c r="P13" s="14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D13" s="1"/>
      <c r="AE13" s="1"/>
      <c r="AF13" s="1"/>
    </row>
    <row r="14" spans="1:35" ht="15.75" x14ac:dyDescent="0.3">
      <c r="B14" s="11" t="s">
        <v>81</v>
      </c>
      <c r="C14" s="49">
        <f>VLOOKUP($C$12,'Сортамент арматуры'!A2:C19,3,FALSE)</f>
        <v>0.78500000000000003</v>
      </c>
      <c r="D14" s="1"/>
      <c r="G14" s="1"/>
      <c r="H14" s="1"/>
      <c r="I14" s="1"/>
      <c r="J14" s="1"/>
      <c r="K14" s="1"/>
      <c r="L14" s="1"/>
      <c r="M14" s="12"/>
      <c r="N14" s="12"/>
      <c r="O14" s="12"/>
      <c r="P14" s="14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D14" s="1"/>
      <c r="AE14" s="1"/>
      <c r="AF14" s="1"/>
    </row>
    <row r="15" spans="1:35" x14ac:dyDescent="0.2">
      <c r="B15" s="51" t="s">
        <v>78</v>
      </c>
      <c r="C15" s="56"/>
      <c r="D15" s="1"/>
      <c r="G15" s="1"/>
      <c r="H15" s="1"/>
      <c r="I15" s="1"/>
      <c r="J15" s="1"/>
      <c r="K15" s="1"/>
      <c r="L15" s="1"/>
      <c r="M15" s="12"/>
      <c r="N15" s="12"/>
      <c r="O15" s="12"/>
      <c r="P15" s="14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D15" s="1"/>
      <c r="AE15" s="1"/>
      <c r="AF15" s="1"/>
    </row>
    <row r="16" spans="1:35" x14ac:dyDescent="0.2">
      <c r="B16" s="52" t="s">
        <v>253</v>
      </c>
      <c r="D16" s="1"/>
      <c r="G16" s="1"/>
      <c r="H16" s="1"/>
      <c r="I16" s="1"/>
      <c r="J16" s="1"/>
      <c r="K16" s="1"/>
      <c r="L16" s="1"/>
      <c r="M16" s="12"/>
      <c r="N16" s="12"/>
      <c r="O16" s="12"/>
      <c r="P16" s="14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D16" s="1"/>
      <c r="AE16" s="1"/>
      <c r="AF16" s="1"/>
    </row>
    <row r="17" spans="2:32" x14ac:dyDescent="0.2">
      <c r="B17" s="57" t="s">
        <v>55</v>
      </c>
      <c r="C17" s="25" t="s">
        <v>66</v>
      </c>
      <c r="G17" s="1"/>
      <c r="H17" s="1"/>
      <c r="I17" s="1"/>
      <c r="J17" s="1"/>
      <c r="K17" s="1"/>
      <c r="L17" s="1"/>
      <c r="M17" s="12"/>
      <c r="N17" s="12"/>
      <c r="O17" s="12"/>
      <c r="P17" s="14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D17" s="1"/>
      <c r="AE17" s="1"/>
      <c r="AF17" s="1"/>
    </row>
    <row r="18" spans="2:32" x14ac:dyDescent="0.2">
      <c r="B18" s="57" t="s">
        <v>115</v>
      </c>
      <c r="C18" s="25">
        <v>16</v>
      </c>
      <c r="D18" s="1"/>
      <c r="G18" s="1"/>
      <c r="H18" s="1"/>
      <c r="I18" s="1"/>
      <c r="J18" s="1"/>
      <c r="K18" s="1"/>
      <c r="L18" s="1"/>
      <c r="M18" s="12"/>
      <c r="N18" s="12"/>
      <c r="O18" s="12"/>
      <c r="P18" s="14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D18" s="1"/>
      <c r="AE18" s="1"/>
      <c r="AF18" s="1"/>
    </row>
    <row r="19" spans="2:32" x14ac:dyDescent="0.2">
      <c r="B19" s="11" t="s">
        <v>79</v>
      </c>
      <c r="C19" s="49">
        <f>VLOOKUP($C$17, 'Расчетные характеристики'!A44:E52,4,FALSE)</f>
        <v>240</v>
      </c>
      <c r="D19" s="1"/>
      <c r="G19" s="1"/>
      <c r="I19" s="1"/>
      <c r="J19" s="1"/>
      <c r="K19" s="1"/>
      <c r="L19" s="1"/>
      <c r="M19" s="12"/>
      <c r="N19" s="12"/>
      <c r="O19" s="12"/>
      <c r="P19" s="14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D19" s="1"/>
      <c r="AE19" s="1"/>
      <c r="AF19" s="1"/>
    </row>
    <row r="20" spans="2:32" x14ac:dyDescent="0.2">
      <c r="B20" s="11" t="s">
        <v>80</v>
      </c>
      <c r="C20" s="49">
        <f>0.58*C19</f>
        <v>139.19999999999999</v>
      </c>
      <c r="D20" s="1"/>
      <c r="G20" s="1"/>
      <c r="H20" s="72" t="s">
        <v>276</v>
      </c>
      <c r="J20" s="1"/>
      <c r="K20" s="1"/>
      <c r="L20" s="1"/>
      <c r="M20" s="12"/>
      <c r="N20" s="12"/>
      <c r="O20" s="12"/>
      <c r="P20" s="14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D20" s="1"/>
      <c r="AE20" s="1"/>
      <c r="AF20" s="1"/>
    </row>
    <row r="21" spans="2:32" ht="15" x14ac:dyDescent="0.25">
      <c r="G21" s="1"/>
      <c r="H21" s="1"/>
      <c r="I21" s="1"/>
      <c r="J21" s="1"/>
      <c r="K21" s="1"/>
      <c r="L21" s="1"/>
      <c r="M21" s="12"/>
      <c r="N21" s="107" t="s">
        <v>219</v>
      </c>
      <c r="O21" s="12"/>
      <c r="P21" s="14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D21" s="1"/>
      <c r="AE21" s="1"/>
      <c r="AF21" s="1"/>
    </row>
    <row r="22" spans="2:32" x14ac:dyDescent="0.2">
      <c r="B22" s="51" t="s">
        <v>277</v>
      </c>
      <c r="G22" s="76" t="s">
        <v>278</v>
      </c>
      <c r="K22" s="1"/>
      <c r="L22" s="1"/>
      <c r="M22" s="12"/>
      <c r="O22" s="12"/>
      <c r="P22" s="14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D22" s="1"/>
      <c r="AE22" s="1"/>
      <c r="AF22" s="1"/>
    </row>
    <row r="23" spans="2:32" ht="14.25" x14ac:dyDescent="0.2">
      <c r="B23" s="2" t="s">
        <v>279</v>
      </c>
      <c r="K23" s="1"/>
      <c r="L23" s="1"/>
      <c r="M23" s="12"/>
      <c r="N23" s="273" t="s">
        <v>221</v>
      </c>
      <c r="O23" s="273"/>
      <c r="P23" s="273"/>
      <c r="Q23" s="273"/>
      <c r="R23" s="273"/>
      <c r="S23" s="273"/>
      <c r="T23" s="273"/>
      <c r="U23" s="127" t="s">
        <v>222</v>
      </c>
      <c r="V23" s="127" t="s">
        <v>223</v>
      </c>
      <c r="W23" s="1"/>
      <c r="X23" s="1"/>
      <c r="Y23" s="1"/>
      <c r="Z23" s="1"/>
      <c r="AA23" s="1"/>
      <c r="AB23" s="1"/>
      <c r="AD23" s="1"/>
      <c r="AE23" s="1"/>
      <c r="AF23" s="1"/>
    </row>
    <row r="24" spans="2:32" x14ac:dyDescent="0.2">
      <c r="B24" s="57" t="s">
        <v>86</v>
      </c>
      <c r="C24" s="13">
        <v>2</v>
      </c>
      <c r="H24" s="60" t="s">
        <v>87</v>
      </c>
      <c r="I24" s="61">
        <v>15</v>
      </c>
      <c r="J24" s="62"/>
      <c r="K24" s="1"/>
      <c r="L24" s="1"/>
      <c r="N24" s="274" t="s">
        <v>220</v>
      </c>
      <c r="O24" s="274"/>
      <c r="P24" s="274"/>
      <c r="Q24" s="274"/>
      <c r="R24" s="274"/>
      <c r="S24" s="274"/>
      <c r="T24" s="274"/>
      <c r="U24" s="49" t="s">
        <v>46</v>
      </c>
      <c r="V24" s="126" t="str">
        <f>IF($E$49="Конструктивные требования выполняются","Условия выполняются","Условия НЕ ВЫПОЛНЯЮТСЯ")</f>
        <v>Условия выполняются</v>
      </c>
      <c r="W24" s="90" t="s">
        <v>280</v>
      </c>
      <c r="X24" s="1"/>
      <c r="Y24" s="1"/>
      <c r="Z24" s="1"/>
      <c r="AA24" s="1"/>
      <c r="AB24" s="1"/>
      <c r="AC24" s="1"/>
      <c r="AE24" s="1"/>
      <c r="AF24" s="1"/>
    </row>
    <row r="25" spans="2:32" x14ac:dyDescent="0.2">
      <c r="B25" s="2" t="s">
        <v>281</v>
      </c>
      <c r="H25" s="60" t="s">
        <v>88</v>
      </c>
      <c r="I25" s="61">
        <v>15</v>
      </c>
      <c r="J25" s="62"/>
      <c r="K25" s="1"/>
      <c r="L25" s="1"/>
      <c r="N25" s="274" t="s">
        <v>282</v>
      </c>
      <c r="O25" s="274"/>
      <c r="P25" s="274"/>
      <c r="Q25" s="274"/>
      <c r="R25" s="274"/>
      <c r="S25" s="274"/>
      <c r="T25" s="274"/>
      <c r="U25" s="106">
        <f>$D$56</f>
        <v>0.48828125000000006</v>
      </c>
      <c r="V25" s="126" t="str">
        <f>$C$60</f>
        <v>Условия выполняются</v>
      </c>
      <c r="W25" s="90" t="s">
        <v>229</v>
      </c>
      <c r="X25" s="1"/>
      <c r="Y25" s="1"/>
      <c r="Z25" s="1"/>
      <c r="AA25" s="1"/>
      <c r="AB25" s="1"/>
      <c r="AC25" s="1"/>
      <c r="AE25" s="1"/>
      <c r="AF25" s="1"/>
    </row>
    <row r="26" spans="2:32" x14ac:dyDescent="0.2">
      <c r="B26" s="57" t="s">
        <v>85</v>
      </c>
      <c r="C26" s="13">
        <v>2</v>
      </c>
      <c r="H26" s="60" t="s">
        <v>89</v>
      </c>
      <c r="I26" s="103">
        <v>2</v>
      </c>
      <c r="J26" s="62"/>
      <c r="K26" s="1"/>
      <c r="L26" s="1"/>
      <c r="N26" s="274" t="s">
        <v>283</v>
      </c>
      <c r="O26" s="274"/>
      <c r="P26" s="274"/>
      <c r="Q26" s="274"/>
      <c r="R26" s="274"/>
      <c r="S26" s="274"/>
      <c r="T26" s="274"/>
      <c r="U26" s="106">
        <f>$D$84</f>
        <v>0.70655179112677269</v>
      </c>
      <c r="V26" s="126" t="str">
        <f>$C$86</f>
        <v>Условие выполняется</v>
      </c>
      <c r="W26" s="90" t="s">
        <v>230</v>
      </c>
    </row>
    <row r="27" spans="2:32" x14ac:dyDescent="0.2">
      <c r="B27" s="2" t="s">
        <v>84</v>
      </c>
      <c r="G27" s="1"/>
      <c r="H27" s="1"/>
      <c r="I27" s="1"/>
      <c r="J27" s="1"/>
      <c r="K27" s="1"/>
      <c r="L27" s="1"/>
      <c r="N27" s="274" t="s">
        <v>224</v>
      </c>
      <c r="O27" s="274"/>
      <c r="P27" s="274"/>
      <c r="Q27" s="274"/>
      <c r="R27" s="274"/>
      <c r="S27" s="274"/>
      <c r="T27" s="274"/>
      <c r="U27" s="106">
        <f>$D$127</f>
        <v>0.43732749475872207</v>
      </c>
      <c r="V27" s="108" t="str">
        <f>$C$128</f>
        <v>Условие выполняется</v>
      </c>
      <c r="W27" s="111" t="s">
        <v>231</v>
      </c>
    </row>
    <row r="28" spans="2:32" x14ac:dyDescent="0.2">
      <c r="B28" s="57" t="s">
        <v>83</v>
      </c>
      <c r="C28" s="13">
        <v>80</v>
      </c>
      <c r="J28" s="1"/>
      <c r="K28" s="1"/>
      <c r="L28" s="1"/>
      <c r="N28" s="274" t="s">
        <v>226</v>
      </c>
      <c r="O28" s="274"/>
      <c r="P28" s="274"/>
      <c r="Q28" s="274"/>
      <c r="R28" s="274"/>
      <c r="S28" s="274"/>
      <c r="T28" s="274"/>
      <c r="U28" s="106">
        <f>IF($D$74&gt;=0,$D$158,"-")</f>
        <v>0.72299148516243505</v>
      </c>
      <c r="V28" s="108" t="str">
        <f>$C$159</f>
        <v>Условие выполняется</v>
      </c>
      <c r="W28" s="111" t="s">
        <v>232</v>
      </c>
    </row>
    <row r="29" spans="2:32" x14ac:dyDescent="0.2">
      <c r="B29" s="89" t="s">
        <v>188</v>
      </c>
      <c r="J29" s="1"/>
      <c r="K29" s="1"/>
      <c r="L29" s="1"/>
      <c r="N29" s="108" t="s">
        <v>225</v>
      </c>
      <c r="O29" s="108"/>
      <c r="P29" s="108"/>
      <c r="Q29" s="108"/>
      <c r="R29" s="108"/>
      <c r="S29" s="108"/>
      <c r="T29" s="108"/>
      <c r="U29" s="106" t="str">
        <f>IF($D$74&lt;0,$D$190,"-")</f>
        <v>-</v>
      </c>
      <c r="V29" s="108" t="str">
        <f>$C$191</f>
        <v>Проверка не требуется</v>
      </c>
      <c r="W29" s="111" t="s">
        <v>233</v>
      </c>
    </row>
    <row r="30" spans="2:32" x14ac:dyDescent="0.2">
      <c r="B30" s="57" t="s">
        <v>189</v>
      </c>
      <c r="C30" s="49">
        <f>C28/(C24-1)</f>
        <v>80</v>
      </c>
      <c r="E30" s="77"/>
      <c r="F30" s="105" t="str">
        <f>IF($C$11="А240","принимается не менее 6dan","принимается не менее 7dan")</f>
        <v>принимается не менее 7dan</v>
      </c>
      <c r="G30" s="50">
        <f xml:space="preserve"> IF($C$11="А240",6*$C$12,7*$C$12)</f>
        <v>70</v>
      </c>
      <c r="H30" s="91" t="str">
        <f>IF(C30&lt;G30,"Условие НЕ ВЫПОЛНЯЕТСЯ","условие  выполняется")</f>
        <v>условие  выполняется</v>
      </c>
      <c r="I30" s="1"/>
      <c r="J30" s="1"/>
      <c r="K30" s="1"/>
      <c r="N30" s="275" t="s">
        <v>265</v>
      </c>
      <c r="O30" s="276"/>
      <c r="P30" s="276"/>
      <c r="Q30" s="276"/>
      <c r="R30" s="276"/>
      <c r="S30" s="276"/>
      <c r="T30" s="277"/>
      <c r="U30" s="106">
        <f>$D$222</f>
        <v>0.32734754956977175</v>
      </c>
      <c r="V30" s="126" t="str">
        <f>$C$223</f>
        <v>Условие выполняется</v>
      </c>
      <c r="W30" s="111" t="s">
        <v>234</v>
      </c>
    </row>
    <row r="31" spans="2:32" ht="15" customHeight="1" x14ac:dyDescent="0.2">
      <c r="B31" s="89" t="s">
        <v>140</v>
      </c>
      <c r="C31" s="57"/>
      <c r="J31" s="1"/>
      <c r="K31" s="60"/>
      <c r="L31" s="1"/>
      <c r="N31" s="278" t="s">
        <v>249</v>
      </c>
      <c r="O31" s="279"/>
      <c r="P31" s="279"/>
      <c r="Q31" s="279"/>
      <c r="R31" s="279"/>
      <c r="S31" s="279"/>
      <c r="T31" s="280"/>
      <c r="U31" s="106">
        <f>MAX(U25:U30)</f>
        <v>0.72299148516243505</v>
      </c>
    </row>
    <row r="32" spans="2:32" ht="15.75" x14ac:dyDescent="0.3">
      <c r="B32" s="57" t="s">
        <v>141</v>
      </c>
      <c r="C32" s="13">
        <v>114</v>
      </c>
      <c r="E32" s="77"/>
      <c r="F32" s="92" t="s">
        <v>142</v>
      </c>
      <c r="G32" s="50">
        <f>10*$C$12</f>
        <v>100</v>
      </c>
      <c r="H32" s="91" t="str">
        <f>IF(C32&lt;G32,"Условие НЕ ВЫПОЛНЯЕТСЯ","условие  выполняется")</f>
        <v>условие  выполняется</v>
      </c>
      <c r="I32" s="1"/>
      <c r="J32" s="1"/>
      <c r="K32" s="1"/>
      <c r="L32" s="1"/>
    </row>
    <row r="33" spans="2:18" x14ac:dyDescent="0.2">
      <c r="B33" s="89" t="s">
        <v>136</v>
      </c>
      <c r="J33" s="1"/>
      <c r="K33" s="1"/>
      <c r="L33" s="1"/>
    </row>
    <row r="34" spans="2:18" ht="15.75" x14ac:dyDescent="0.3">
      <c r="B34" s="57" t="s">
        <v>139</v>
      </c>
      <c r="C34" s="13">
        <v>40</v>
      </c>
      <c r="E34" s="77"/>
      <c r="F34" s="92" t="str">
        <f>IF(C11="А240","принимается не менее 2dan","принимается не менее 3dan")</f>
        <v>принимается не менее 3dan</v>
      </c>
      <c r="G34" s="50">
        <f xml:space="preserve"> IF($C$11="А240",2*$C$12,3*$C$12)</f>
        <v>30</v>
      </c>
      <c r="H34" s="91" t="str">
        <f>IF(C34&lt;G34,"Условие НЕ ВЫПОЛНЯЕТСЯ","условие  выполняется")</f>
        <v>условие  выполняется</v>
      </c>
      <c r="I34" s="1"/>
      <c r="J34" s="1"/>
      <c r="K34" s="1"/>
      <c r="L34" s="1"/>
      <c r="R34" s="1"/>
    </row>
    <row r="35" spans="2:18" x14ac:dyDescent="0.2">
      <c r="B35" s="89" t="s">
        <v>135</v>
      </c>
      <c r="C35" s="89"/>
      <c r="J35" s="1"/>
      <c r="R35" s="1"/>
    </row>
    <row r="36" spans="2:18" ht="15.75" x14ac:dyDescent="0.3">
      <c r="B36" s="57" t="s">
        <v>138</v>
      </c>
      <c r="C36" s="13">
        <v>10</v>
      </c>
      <c r="E36" s="77"/>
      <c r="F36" s="92" t="s">
        <v>137</v>
      </c>
      <c r="G36" s="50">
        <f>0.2*$C$34</f>
        <v>8</v>
      </c>
      <c r="H36" s="91" t="str">
        <f>IF(C36&lt;G36,"Условие НЕ ВЫПОЛНЯЕТСЯ","условие  выполняется")</f>
        <v>условие  выполняется</v>
      </c>
      <c r="I36" s="1"/>
      <c r="J36" s="1"/>
    </row>
    <row r="37" spans="2:18" x14ac:dyDescent="0.2">
      <c r="B37" s="2" t="s">
        <v>284</v>
      </c>
      <c r="G37" s="1"/>
      <c r="H37" s="1"/>
      <c r="I37" s="1"/>
      <c r="J37" s="1"/>
      <c r="K37" s="1"/>
      <c r="L37" s="1"/>
    </row>
    <row r="38" spans="2:18" ht="15.75" x14ac:dyDescent="0.3">
      <c r="B38" s="11" t="s">
        <v>91</v>
      </c>
      <c r="C38" s="49">
        <f>$C$14*$C$26/10000</f>
        <v>1.5699999999999999E-4</v>
      </c>
      <c r="G38" s="1"/>
      <c r="H38" s="1"/>
      <c r="I38" s="1"/>
      <c r="J38" s="1"/>
      <c r="K38" s="1"/>
      <c r="L38" s="1"/>
      <c r="M38" s="1"/>
      <c r="N38" s="11"/>
    </row>
    <row r="39" spans="2:18" x14ac:dyDescent="0.2">
      <c r="B39" s="90" t="s">
        <v>285</v>
      </c>
      <c r="G39" s="1"/>
      <c r="H39" s="1"/>
      <c r="I39" s="1"/>
      <c r="J39" s="1"/>
      <c r="K39" s="1"/>
      <c r="L39" s="1"/>
      <c r="M39" s="1"/>
      <c r="N39" s="11"/>
    </row>
    <row r="40" spans="2:18" x14ac:dyDescent="0.2">
      <c r="B40" s="11" t="s">
        <v>187</v>
      </c>
      <c r="C40" s="59">
        <v>80</v>
      </c>
      <c r="G40" s="1"/>
      <c r="H40" s="1"/>
      <c r="I40" s="1"/>
      <c r="J40" s="1"/>
      <c r="K40" s="1"/>
      <c r="L40" s="1"/>
      <c r="N40" s="11"/>
    </row>
    <row r="41" spans="2:18" x14ac:dyDescent="0.2">
      <c r="B41" s="89" t="s">
        <v>190</v>
      </c>
      <c r="J41" s="1"/>
      <c r="K41" s="1"/>
      <c r="L41" s="1"/>
      <c r="N41" s="11"/>
    </row>
    <row r="42" spans="2:18" x14ac:dyDescent="0.2">
      <c r="B42" s="57" t="s">
        <v>248</v>
      </c>
      <c r="C42" s="49">
        <f>C40/(C26-1)</f>
        <v>80</v>
      </c>
      <c r="E42" s="77"/>
      <c r="F42" s="105" t="str">
        <f>IF($C$11="А240","принимается не менее 4dan","принимается не менее 5dan")</f>
        <v>принимается не менее 5dan</v>
      </c>
      <c r="G42" s="50">
        <f xml:space="preserve"> IF($C$11="А240",6*$C$12,5*$C$12)</f>
        <v>50</v>
      </c>
      <c r="H42" s="91" t="str">
        <f>IF(C42&lt;G42,"Условие НЕ ВЫПОЛНЯЕТСЯ","условие  выполняется")</f>
        <v>условие  выполняется</v>
      </c>
      <c r="I42" s="1"/>
      <c r="J42" s="1"/>
      <c r="K42" s="1"/>
      <c r="L42" s="1"/>
      <c r="N42" s="11"/>
    </row>
    <row r="43" spans="2:18" ht="26.25" customHeight="1" x14ac:dyDescent="0.2">
      <c r="B43" s="223" t="s">
        <v>173</v>
      </c>
      <c r="C43" s="223"/>
      <c r="D43" s="223"/>
      <c r="E43" s="223"/>
      <c r="G43" s="1"/>
      <c r="H43" s="1"/>
      <c r="I43" s="1"/>
      <c r="J43" s="1"/>
      <c r="K43" s="1"/>
      <c r="L43" s="1"/>
    </row>
    <row r="44" spans="2:18" x14ac:dyDescent="0.2">
      <c r="B44" s="11" t="s">
        <v>174</v>
      </c>
      <c r="C44" s="59">
        <v>200</v>
      </c>
      <c r="E44" s="77"/>
      <c r="F44" s="105" t="str">
        <f>IF($C$11="А240","принимается не менее 3dan","принимается не менее 3,5dan")</f>
        <v>принимается не менее 3,5dan</v>
      </c>
      <c r="G44" s="50">
        <f xml:space="preserve"> IF($C$11="А240",3*$C$12,3.5*$C$12)</f>
        <v>35</v>
      </c>
      <c r="H44" s="91" t="str">
        <f>IF(C44&lt;G44,"Условие НЕ ВЫПОЛНЯЕТСЯ","условие  выполняется")</f>
        <v>условие  выполняется</v>
      </c>
      <c r="I44" s="1"/>
      <c r="J44" s="1"/>
      <c r="K44" s="1"/>
      <c r="L44" s="1"/>
    </row>
    <row r="45" spans="2:18" ht="28.5" customHeight="1" x14ac:dyDescent="0.2">
      <c r="B45" s="223" t="s">
        <v>175</v>
      </c>
      <c r="C45" s="223"/>
      <c r="D45" s="223"/>
      <c r="E45" s="223"/>
      <c r="G45" s="1"/>
      <c r="H45" s="1"/>
      <c r="I45" s="1"/>
      <c r="J45" s="1"/>
      <c r="K45" s="1"/>
      <c r="L45" s="1"/>
    </row>
    <row r="46" spans="2:18" x14ac:dyDescent="0.2">
      <c r="B46" s="11" t="s">
        <v>176</v>
      </c>
      <c r="C46" s="59">
        <v>200</v>
      </c>
      <c r="D46" s="62"/>
      <c r="F46" s="105" t="s">
        <v>191</v>
      </c>
      <c r="G46" s="50">
        <f xml:space="preserve"> 8*$C$12</f>
        <v>80</v>
      </c>
      <c r="H46" s="91" t="str">
        <f>IF(C46&lt;G46,"Условие НЕ ВЫПОЛНЯЕТСЯ","условие  выполняется")</f>
        <v>условие  выполняется</v>
      </c>
      <c r="I46" s="1"/>
      <c r="J46" s="1"/>
      <c r="K46" s="1"/>
    </row>
    <row r="47" spans="2:18" x14ac:dyDescent="0.2">
      <c r="B47" s="223" t="s">
        <v>228</v>
      </c>
      <c r="C47" s="223"/>
      <c r="D47" s="223"/>
      <c r="E47" s="223"/>
      <c r="G47" s="1"/>
      <c r="H47" s="1"/>
      <c r="I47" s="1"/>
      <c r="J47" s="1"/>
    </row>
    <row r="48" spans="2:18" ht="15.75" x14ac:dyDescent="0.3">
      <c r="B48" s="11" t="s">
        <v>210</v>
      </c>
      <c r="C48" s="59">
        <v>200</v>
      </c>
      <c r="G48" s="105" t="s">
        <v>209</v>
      </c>
      <c r="H48" s="50">
        <f>$C$32+$C$18+$C$36+60</f>
        <v>200</v>
      </c>
      <c r="I48" s="91" t="str">
        <f>IF(C48&lt;H48,"Условие НЕ ВЫПОЛНЯЕТСЯ","условие  выполняется")</f>
        <v>условие  выполняется</v>
      </c>
      <c r="J48" s="1"/>
    </row>
    <row r="49" spans="1:11" x14ac:dyDescent="0.2">
      <c r="E49" s="71" t="str">
        <f>IF( AND(H30="условие  выполняется",H32="условие  выполняется",H34="условие  выполняется",H36="условие  выполняется",H42="условие  выполняется",H44="условие  выполняется",H46="условие  выполняется",I48="условие  выполняется"),"Конструктивные требования выполняются", "Конструктивные требования НЕ ВЫПОЛНЯЮТСЯ")</f>
        <v>Конструктивные требования выполняются</v>
      </c>
      <c r="G49" s="1"/>
      <c r="H49" s="1"/>
      <c r="I49" s="1"/>
      <c r="J49" s="1"/>
      <c r="K49" s="1"/>
    </row>
    <row r="50" spans="1:11" ht="15" x14ac:dyDescent="0.25">
      <c r="B50" s="58" t="s">
        <v>90</v>
      </c>
      <c r="G50" s="1"/>
      <c r="H50" s="1"/>
      <c r="I50" s="1"/>
      <c r="J50" s="1"/>
      <c r="K50" s="1"/>
    </row>
    <row r="51" spans="1:11" x14ac:dyDescent="0.2">
      <c r="G51" s="1"/>
      <c r="H51" s="1"/>
      <c r="I51" s="1"/>
      <c r="J51" s="1"/>
      <c r="K51" s="1"/>
    </row>
    <row r="52" spans="1:11" x14ac:dyDescent="0.2">
      <c r="A52" s="23" t="s">
        <v>286</v>
      </c>
      <c r="I52" s="1"/>
      <c r="J52" s="1"/>
      <c r="K52" s="1"/>
    </row>
    <row r="53" spans="1:11" x14ac:dyDescent="0.2">
      <c r="I53" s="1"/>
      <c r="J53" s="1"/>
      <c r="K53" s="1"/>
    </row>
    <row r="54" spans="1:11" x14ac:dyDescent="0.2">
      <c r="B54" s="223" t="s">
        <v>287</v>
      </c>
      <c r="C54" s="223"/>
      <c r="D54" s="223"/>
      <c r="E54" s="223"/>
      <c r="F54" s="223"/>
      <c r="G54" s="223"/>
      <c r="H54" s="223"/>
      <c r="I54" s="1"/>
      <c r="J54" s="1"/>
      <c r="K54" s="1"/>
    </row>
    <row r="55" spans="1:11" ht="16.5" x14ac:dyDescent="0.3">
      <c r="B55" s="11" t="s">
        <v>109</v>
      </c>
      <c r="C55" s="67">
        <f>$C$18</f>
        <v>16</v>
      </c>
      <c r="D55" s="75" t="s">
        <v>110</v>
      </c>
      <c r="F55" s="64" t="s">
        <v>107</v>
      </c>
      <c r="G55" s="78">
        <f>0.25*$C$12*$C$13/$C$20</f>
        <v>7.8125000000000009</v>
      </c>
      <c r="H55" s="2" t="s">
        <v>111</v>
      </c>
      <c r="I55" s="1"/>
      <c r="J55" s="1"/>
      <c r="K55" s="1"/>
    </row>
    <row r="56" spans="1:11" x14ac:dyDescent="0.2">
      <c r="C56" s="11" t="s">
        <v>170</v>
      </c>
      <c r="D56" s="106">
        <f>G55/C55</f>
        <v>0.48828125000000006</v>
      </c>
      <c r="G56" s="119"/>
      <c r="I56" s="1"/>
      <c r="J56" s="1"/>
      <c r="K56" s="1"/>
    </row>
    <row r="57" spans="1:11" ht="15.75" customHeight="1" x14ac:dyDescent="0.2">
      <c r="B57" s="2" t="s">
        <v>112</v>
      </c>
      <c r="G57" s="79"/>
      <c r="I57" s="1"/>
      <c r="J57" s="1"/>
      <c r="K57" s="1"/>
    </row>
    <row r="58" spans="1:11" ht="18.75" x14ac:dyDescent="0.35">
      <c r="B58" s="11"/>
      <c r="D58" s="75" t="s">
        <v>110</v>
      </c>
      <c r="F58" s="64" t="s">
        <v>113</v>
      </c>
      <c r="G58" s="78">
        <f>0.75*$C$12</f>
        <v>7.5</v>
      </c>
      <c r="H58" s="2" t="s">
        <v>111</v>
      </c>
      <c r="I58" s="1"/>
      <c r="J58" s="1"/>
      <c r="K58" s="1"/>
    </row>
    <row r="59" spans="1:11" ht="16.5" x14ac:dyDescent="0.3">
      <c r="D59" s="75" t="s">
        <v>110</v>
      </c>
      <c r="F59" s="64" t="s">
        <v>114</v>
      </c>
      <c r="G59" s="78">
        <v>8</v>
      </c>
      <c r="H59" s="2" t="s">
        <v>111</v>
      </c>
      <c r="I59" s="1"/>
      <c r="J59" s="1"/>
      <c r="K59" s="1"/>
    </row>
    <row r="60" spans="1:11" ht="15" x14ac:dyDescent="0.25">
      <c r="B60" s="11"/>
      <c r="C60" s="71" t="str">
        <f>IF( AND(C55&gt;=G55, C55&gt;=G58,C55&gt;=G59),"Условия выполняются", "Условия НЕ ВЫПОЛНЯЮТСЯ")</f>
        <v>Условия выполняются</v>
      </c>
      <c r="D60" s="73"/>
      <c r="E60" s="48"/>
      <c r="G60" s="1"/>
      <c r="H60" s="1"/>
      <c r="I60" s="1"/>
      <c r="J60" s="1"/>
      <c r="K60" s="1"/>
    </row>
    <row r="61" spans="1:11" x14ac:dyDescent="0.2">
      <c r="I61" s="1"/>
      <c r="J61" s="1"/>
      <c r="K61" s="1"/>
    </row>
    <row r="62" spans="1:11" x14ac:dyDescent="0.2">
      <c r="A62" s="23" t="s">
        <v>288</v>
      </c>
      <c r="F62" s="1"/>
      <c r="H62" s="1"/>
      <c r="I62" s="1"/>
      <c r="J62" s="1"/>
      <c r="K62" s="1"/>
    </row>
    <row r="63" spans="1:11" x14ac:dyDescent="0.2">
      <c r="B63" s="2" t="s">
        <v>96</v>
      </c>
      <c r="D63" s="1"/>
      <c r="G63" s="1"/>
      <c r="H63" s="1"/>
      <c r="I63" s="1"/>
      <c r="J63" s="1"/>
      <c r="K63" s="1"/>
    </row>
    <row r="64" spans="1:11" ht="16.5" x14ac:dyDescent="0.3">
      <c r="B64" s="118" t="s">
        <v>250</v>
      </c>
      <c r="C64" s="12">
        <v>1.65</v>
      </c>
      <c r="G64" s="1"/>
      <c r="H64" s="1"/>
      <c r="I64" s="1"/>
      <c r="J64" s="1"/>
      <c r="K64" s="1"/>
    </row>
    <row r="65" spans="2:33" ht="16.5" x14ac:dyDescent="0.3">
      <c r="C65" s="63" t="s">
        <v>251</v>
      </c>
      <c r="D65" s="67">
        <f>$C$64*$C$38*SQRT($C$13*$C$8)*1000</f>
        <v>21.133622254330895</v>
      </c>
      <c r="E65" s="66" t="s">
        <v>92</v>
      </c>
      <c r="G65" s="1"/>
      <c r="H65" s="1"/>
      <c r="I65" s="1"/>
      <c r="J65" s="1"/>
      <c r="K65" s="1"/>
    </row>
    <row r="66" spans="2:33" x14ac:dyDescent="0.2">
      <c r="B66" s="2" t="s">
        <v>95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2:33" ht="16.5" x14ac:dyDescent="0.2">
      <c r="B67" s="1"/>
      <c r="C67" s="65" t="s">
        <v>93</v>
      </c>
      <c r="D67" s="67">
        <f>$C$13*$C$38*1000</f>
        <v>68.294999999999987</v>
      </c>
      <c r="E67" s="66" t="s">
        <v>92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2:33" x14ac:dyDescent="0.2"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2:33" x14ac:dyDescent="0.2">
      <c r="B69" s="2" t="s">
        <v>94</v>
      </c>
      <c r="E69" s="1"/>
      <c r="F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2:33" ht="16.5" x14ac:dyDescent="0.2">
      <c r="B70" s="15"/>
      <c r="C70" s="65" t="s">
        <v>97</v>
      </c>
      <c r="D70" s="68">
        <f>$I$26/($C$28/1000)+$I$24/$C$24</f>
        <v>32.5</v>
      </c>
      <c r="E70" s="66" t="s">
        <v>92</v>
      </c>
      <c r="F70" s="91" t="str">
        <f>IF(D70&gt;=0,"Верхний ряд анкеров РАСТЯНУТ","Все анкера СЖАТЫ")</f>
        <v>Верхний ряд анкеров РАСТЯНУТ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2:33" x14ac:dyDescent="0.2">
      <c r="B71" s="62" t="s">
        <v>104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2:33" ht="16.5" x14ac:dyDescent="0.3">
      <c r="C72" s="80" t="s">
        <v>116</v>
      </c>
      <c r="D72" s="81">
        <f>IF(D70&gt;0, D70,0)</f>
        <v>32.5</v>
      </c>
      <c r="E72" s="66" t="s">
        <v>92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2:33" x14ac:dyDescent="0.2">
      <c r="B73" s="2" t="s">
        <v>99</v>
      </c>
      <c r="E73" s="1"/>
      <c r="F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2:33" ht="16.5" x14ac:dyDescent="0.2">
      <c r="B74" s="15"/>
      <c r="C74" s="65" t="s">
        <v>98</v>
      </c>
      <c r="D74" s="68">
        <f>$I$26/($C$28/1000)-$I$24/$C$24</f>
        <v>17.5</v>
      </c>
      <c r="E74" s="66" t="s">
        <v>92</v>
      </c>
      <c r="F74" s="91" t="str">
        <f>IF(D74&gt;=0,"Нижний ряд анкеров СЖАТ","Все анкера РАСТЯНУТЫ")</f>
        <v>Нижний ряд анкеров СЖАТ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2:33" x14ac:dyDescent="0.2">
      <c r="B75" s="62" t="s">
        <v>100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2:33" ht="16.5" x14ac:dyDescent="0.3">
      <c r="B76" s="11"/>
      <c r="C76" s="80" t="s">
        <v>117</v>
      </c>
      <c r="D76" s="81">
        <f>IF(D70&gt;0,IF(D74&gt;0,D74,0),ABS(I24))</f>
        <v>17.5</v>
      </c>
      <c r="E76" s="66" t="s">
        <v>92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2:33" x14ac:dyDescent="0.2">
      <c r="B77" s="2" t="s">
        <v>101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2:33" ht="16.5" x14ac:dyDescent="0.2">
      <c r="C78" s="65" t="s">
        <v>102</v>
      </c>
      <c r="D78" s="68">
        <f>(I25-0.3*D76)/C24</f>
        <v>4.875</v>
      </c>
      <c r="E78" s="66" t="s">
        <v>92</v>
      </c>
      <c r="F78" s="1"/>
      <c r="G78" s="1"/>
      <c r="H78" s="1"/>
      <c r="K78" s="1"/>
      <c r="L78" s="1"/>
      <c r="M78" s="1"/>
      <c r="N78" s="1"/>
      <c r="O78" s="1"/>
      <c r="P78" s="1"/>
      <c r="Q78" s="1"/>
      <c r="AB78" s="1"/>
      <c r="AC78" s="1"/>
      <c r="AD78" s="1"/>
      <c r="AE78" s="1"/>
      <c r="AF78" s="1"/>
      <c r="AG78" s="1"/>
    </row>
    <row r="79" spans="2:33" x14ac:dyDescent="0.2">
      <c r="B79" s="62" t="s">
        <v>103</v>
      </c>
      <c r="D79" s="1"/>
      <c r="E79" s="1"/>
      <c r="F79" s="1"/>
      <c r="G79" s="1"/>
      <c r="H79" s="1"/>
      <c r="K79" s="1"/>
      <c r="L79" s="1"/>
      <c r="M79" s="1"/>
      <c r="N79" s="1"/>
      <c r="O79" s="1"/>
      <c r="P79" s="1"/>
      <c r="Q79" s="1"/>
      <c r="AB79" s="1"/>
      <c r="AC79" s="1"/>
      <c r="AD79" s="1"/>
      <c r="AE79" s="1"/>
      <c r="AF79" s="1"/>
      <c r="AG79" s="1"/>
    </row>
    <row r="80" spans="2:33" ht="16.5" x14ac:dyDescent="0.3">
      <c r="B80" s="11"/>
      <c r="C80" s="80" t="s">
        <v>118</v>
      </c>
      <c r="D80" s="81">
        <f>IF(D78&gt;0, D78,0)</f>
        <v>4.875</v>
      </c>
      <c r="E80" s="66" t="s">
        <v>92</v>
      </c>
      <c r="F80" s="1"/>
      <c r="G80" s="1"/>
      <c r="H80" s="1"/>
      <c r="K80" s="1"/>
      <c r="L80" s="1"/>
      <c r="M80" s="1"/>
      <c r="N80" s="1"/>
      <c r="O80" s="1"/>
      <c r="P80" s="1"/>
      <c r="Q80" s="1"/>
      <c r="AB80" s="1"/>
      <c r="AC80" s="1"/>
      <c r="AD80" s="1"/>
      <c r="AE80" s="1"/>
      <c r="AF80" s="1"/>
      <c r="AG80" s="1"/>
    </row>
    <row r="81" spans="1:33" x14ac:dyDescent="0.2">
      <c r="D81" s="1"/>
      <c r="E81" s="1"/>
      <c r="F81" s="1"/>
      <c r="G81" s="1"/>
      <c r="H81" s="1"/>
      <c r="K81" s="1"/>
      <c r="L81" s="1"/>
      <c r="M81" s="1"/>
      <c r="N81" s="1"/>
      <c r="O81" s="1"/>
      <c r="P81" s="1"/>
      <c r="Q81" s="1"/>
      <c r="AB81" s="1"/>
      <c r="AC81" s="1"/>
      <c r="AD81" s="1"/>
      <c r="AE81" s="1"/>
      <c r="AF81" s="1"/>
      <c r="AG81" s="1"/>
    </row>
    <row r="82" spans="1:33" x14ac:dyDescent="0.2">
      <c r="B82" s="69" t="s">
        <v>289</v>
      </c>
      <c r="C82" s="1"/>
      <c r="D82" s="1"/>
      <c r="E82" s="1"/>
      <c r="F82" s="1"/>
      <c r="G82" s="1"/>
      <c r="H82" s="1"/>
      <c r="AB82" s="1"/>
      <c r="AC82" s="1"/>
      <c r="AD82" s="1"/>
      <c r="AE82" s="1"/>
      <c r="AF82" s="1"/>
      <c r="AG82" s="1"/>
    </row>
    <row r="83" spans="1:33" x14ac:dyDescent="0.2">
      <c r="B83" s="1"/>
      <c r="C83" s="1"/>
      <c r="D83" s="1"/>
      <c r="E83" s="1"/>
      <c r="F83" s="1"/>
      <c r="G83" s="1"/>
      <c r="H83" s="1"/>
      <c r="AB83" s="1"/>
      <c r="AC83" s="1"/>
      <c r="AD83" s="1"/>
      <c r="AE83" s="1"/>
      <c r="AF83" s="1"/>
      <c r="AG83" s="1"/>
    </row>
    <row r="84" spans="1:33" ht="16.5" x14ac:dyDescent="0.2">
      <c r="C84" s="65" t="s">
        <v>105</v>
      </c>
      <c r="D84" s="70">
        <f>D80/D65+D72/D67</f>
        <v>0.70655179112677269</v>
      </c>
      <c r="E84" s="74" t="s">
        <v>106</v>
      </c>
      <c r="F84" s="99">
        <v>1</v>
      </c>
      <c r="G84" s="1"/>
      <c r="H84" s="1"/>
      <c r="AB84" s="1"/>
      <c r="AC84" s="1"/>
      <c r="AD84" s="1"/>
      <c r="AE84" s="1"/>
      <c r="AF84" s="1"/>
      <c r="AG84" s="1"/>
    </row>
    <row r="85" spans="1:33" x14ac:dyDescent="0.2">
      <c r="B85" s="1"/>
      <c r="C85" s="1"/>
      <c r="D85" s="1"/>
      <c r="E85" s="1"/>
      <c r="F85" s="1"/>
      <c r="G85" s="1"/>
      <c r="H85" s="1"/>
      <c r="L85" s="1"/>
      <c r="M85" s="1"/>
      <c r="N85" s="1"/>
      <c r="O85" s="1"/>
      <c r="P85" s="1"/>
      <c r="Q85" s="1"/>
      <c r="AB85" s="1"/>
      <c r="AC85" s="1"/>
      <c r="AD85" s="1"/>
      <c r="AE85" s="1"/>
      <c r="AF85" s="1"/>
      <c r="AG85" s="1"/>
    </row>
    <row r="86" spans="1:33" x14ac:dyDescent="0.2">
      <c r="C86" s="71" t="str">
        <f>IF(D84&gt;F84,"Условие НЕ ВЫПОЛНЯЕТСЯ", "Условие выполняется")</f>
        <v>Условие выполняется</v>
      </c>
      <c r="D86" s="1"/>
      <c r="E86" s="1"/>
      <c r="F86" s="1"/>
      <c r="G86" s="1"/>
      <c r="H86" s="1"/>
      <c r="L86" s="1"/>
      <c r="M86" s="1"/>
      <c r="N86" s="1"/>
      <c r="O86" s="1"/>
      <c r="P86" s="1"/>
      <c r="Q86" s="1"/>
      <c r="AB86" s="1"/>
      <c r="AC86" s="1"/>
      <c r="AD86" s="1"/>
      <c r="AE86" s="1"/>
      <c r="AF86" s="1"/>
      <c r="AG86" s="1"/>
    </row>
    <row r="87" spans="1:33" x14ac:dyDescent="0.2">
      <c r="L87" s="1"/>
      <c r="M87" s="1"/>
      <c r="N87" s="1"/>
      <c r="O87" s="1"/>
      <c r="P87" s="1"/>
      <c r="Q87" s="1"/>
      <c r="AB87" s="1"/>
      <c r="AC87" s="1"/>
      <c r="AD87" s="1"/>
      <c r="AE87" s="1"/>
      <c r="AF87" s="1"/>
      <c r="AG87" s="1"/>
    </row>
    <row r="88" spans="1:33" x14ac:dyDescent="0.2">
      <c r="A88" s="23" t="s">
        <v>119</v>
      </c>
      <c r="L88" s="1"/>
      <c r="M88" s="1"/>
      <c r="N88" s="1"/>
      <c r="O88" s="1"/>
      <c r="AB88" s="1"/>
      <c r="AC88" s="1"/>
      <c r="AD88" s="1"/>
      <c r="AE88" s="1"/>
      <c r="AF88" s="1"/>
      <c r="AG88" s="1"/>
    </row>
    <row r="89" spans="1:33" x14ac:dyDescent="0.2">
      <c r="L89" s="1"/>
      <c r="M89" s="1"/>
      <c r="N89" s="1"/>
      <c r="O89" s="1"/>
      <c r="AB89" s="1"/>
      <c r="AC89" s="1"/>
      <c r="AD89" s="1"/>
      <c r="AE89" s="1"/>
      <c r="AF89" s="1"/>
      <c r="AG89" s="1"/>
    </row>
    <row r="90" spans="1:33" ht="18" customHeight="1" x14ac:dyDescent="0.2">
      <c r="B90" s="82" t="s">
        <v>120</v>
      </c>
      <c r="L90" s="1"/>
      <c r="M90" s="1"/>
      <c r="N90" s="1"/>
      <c r="O90" s="1"/>
      <c r="AB90" s="1"/>
      <c r="AC90" s="1"/>
      <c r="AD90" s="1"/>
      <c r="AE90" s="1"/>
      <c r="AF90" s="1"/>
      <c r="AG90" s="1"/>
    </row>
    <row r="91" spans="1:33" ht="14.25" x14ac:dyDescent="0.2">
      <c r="B91" s="83" t="s">
        <v>126</v>
      </c>
      <c r="C91" s="67">
        <f>$D$72/$C$26</f>
        <v>16.25</v>
      </c>
      <c r="D91" s="82"/>
      <c r="E91" s="83" t="s">
        <v>127</v>
      </c>
      <c r="F91" s="67">
        <f>$D$80/$C$26</f>
        <v>2.4375</v>
      </c>
      <c r="G91" s="82"/>
      <c r="L91" s="1"/>
      <c r="M91" s="1"/>
      <c r="N91" s="1"/>
      <c r="O91" s="1"/>
      <c r="AB91" s="1"/>
      <c r="AC91" s="1"/>
      <c r="AD91" s="1"/>
      <c r="AE91" s="1"/>
      <c r="AF91" s="1"/>
      <c r="AG91" s="1"/>
    </row>
    <row r="92" spans="1:33" ht="15.75" x14ac:dyDescent="0.3">
      <c r="B92" s="2" t="s">
        <v>147</v>
      </c>
      <c r="L92" s="1"/>
      <c r="M92" s="1"/>
      <c r="O92" s="132"/>
      <c r="V92" s="132"/>
      <c r="W92" s="132"/>
      <c r="AB92" s="1"/>
      <c r="AC92" s="1"/>
      <c r="AD92" s="1"/>
      <c r="AE92" s="1"/>
      <c r="AF92" s="1"/>
      <c r="AG92" s="1"/>
    </row>
    <row r="93" spans="1:33" ht="18.75" x14ac:dyDescent="0.2">
      <c r="C93" s="134" t="s">
        <v>290</v>
      </c>
      <c r="E93" s="82" t="s">
        <v>148</v>
      </c>
      <c r="L93" s="1"/>
      <c r="M93" s="1"/>
      <c r="O93" s="133"/>
      <c r="V93" s="135"/>
      <c r="W93" s="135"/>
      <c r="AB93" s="1"/>
      <c r="AC93" s="1"/>
      <c r="AD93" s="1"/>
      <c r="AE93" s="1"/>
      <c r="AF93" s="1"/>
      <c r="AG93" s="1"/>
    </row>
    <row r="94" spans="1:33" ht="15.75" x14ac:dyDescent="0.3">
      <c r="C94" s="11" t="s">
        <v>291</v>
      </c>
      <c r="D94" s="55">
        <f>IF(C91&lt;=0,0.7,0.3/(1+F91/C91)+0.7)</f>
        <v>0.96086956521739131</v>
      </c>
      <c r="E94" s="82" t="s">
        <v>292</v>
      </c>
      <c r="L94" s="1"/>
      <c r="M94" s="1"/>
      <c r="O94" s="133"/>
      <c r="V94" s="135"/>
      <c r="W94" s="135"/>
      <c r="AB94" s="1"/>
      <c r="AC94" s="1"/>
      <c r="AD94" s="1"/>
      <c r="AE94" s="1"/>
      <c r="AF94" s="1"/>
      <c r="AG94" s="1"/>
    </row>
    <row r="95" spans="1:33" ht="18.75" customHeight="1" x14ac:dyDescent="0.2">
      <c r="B95" s="2" t="s">
        <v>123</v>
      </c>
      <c r="L95" s="1"/>
      <c r="M95" s="1"/>
      <c r="O95" s="133"/>
      <c r="V95" s="135"/>
      <c r="W95" s="135"/>
      <c r="AB95" s="1"/>
      <c r="AC95" s="1"/>
      <c r="AD95" s="1"/>
      <c r="AE95" s="1"/>
      <c r="AF95" s="1"/>
      <c r="AG95" s="1"/>
    </row>
    <row r="96" spans="1:33" ht="18" customHeight="1" x14ac:dyDescent="0.2">
      <c r="B96" s="137" t="s">
        <v>121</v>
      </c>
      <c r="C96" s="82"/>
      <c r="D96" s="82"/>
      <c r="E96" s="82"/>
      <c r="F96" s="137" t="s">
        <v>122</v>
      </c>
      <c r="G96" s="82"/>
      <c r="H96" s="82"/>
      <c r="I96" s="82"/>
      <c r="L96" s="1"/>
      <c r="M96" s="1"/>
      <c r="O96" s="136"/>
      <c r="V96" s="135"/>
      <c r="W96" s="135"/>
      <c r="AB96" s="1"/>
      <c r="AC96" s="1"/>
      <c r="AD96" s="1"/>
      <c r="AE96" s="1"/>
      <c r="AF96" s="1"/>
      <c r="AG96" s="1"/>
    </row>
    <row r="97" spans="1:23" ht="15.75" x14ac:dyDescent="0.25">
      <c r="B97" s="64" t="s">
        <v>124</v>
      </c>
      <c r="C97" s="95">
        <v>0.7</v>
      </c>
      <c r="F97" s="64" t="s">
        <v>124</v>
      </c>
      <c r="G97" s="95">
        <v>0.5</v>
      </c>
      <c r="H97" s="1"/>
      <c r="L97" s="1"/>
      <c r="M97" s="1"/>
      <c r="O97" s="133"/>
      <c r="V97" s="132"/>
      <c r="W97" s="132"/>
    </row>
    <row r="98" spans="1:23" ht="15" x14ac:dyDescent="0.25">
      <c r="B98" s="64" t="s">
        <v>125</v>
      </c>
      <c r="C98" s="95">
        <v>11</v>
      </c>
      <c r="F98" s="64" t="s">
        <v>125</v>
      </c>
      <c r="G98" s="95">
        <v>8</v>
      </c>
      <c r="H98" s="1"/>
      <c r="L98" s="1"/>
      <c r="M98" s="1"/>
      <c r="O98" s="133"/>
      <c r="V98" s="132"/>
      <c r="W98" s="132"/>
    </row>
    <row r="99" spans="1:23" x14ac:dyDescent="0.2">
      <c r="B99" s="11" t="s">
        <v>133</v>
      </c>
      <c r="C99" s="87">
        <f>$D$84</f>
        <v>0.70655179112677269</v>
      </c>
      <c r="F99" s="11" t="s">
        <v>133</v>
      </c>
      <c r="G99" s="87">
        <f>$D$84</f>
        <v>0.70655179112677269</v>
      </c>
      <c r="H99" s="1"/>
      <c r="L99" s="1"/>
      <c r="M99" s="1"/>
      <c r="O99" s="133"/>
      <c r="V99" s="132"/>
      <c r="W99" s="132"/>
    </row>
    <row r="100" spans="1:23" ht="15.75" x14ac:dyDescent="0.3">
      <c r="B100" s="11" t="s">
        <v>128</v>
      </c>
      <c r="C100" s="78">
        <f>$D$94*(C97*C99*$C$13/($C$8/$C$7) + C98)*$C$12</f>
        <v>227.2993593554491</v>
      </c>
      <c r="F100" s="11" t="s">
        <v>128</v>
      </c>
      <c r="G100" s="78">
        <f>$D$94*(G97*G99*$C$13/($C$8/$C$7) + G98)*$C$12</f>
        <v>163.72935606134564</v>
      </c>
      <c r="H100" s="1"/>
      <c r="L100" s="1"/>
      <c r="M100" s="1"/>
      <c r="O100" s="132"/>
      <c r="V100" s="132"/>
      <c r="W100" s="132"/>
    </row>
    <row r="101" spans="1:23" x14ac:dyDescent="0.2">
      <c r="B101" s="11" t="s">
        <v>130</v>
      </c>
      <c r="C101" s="85">
        <f xml:space="preserve"> 20*$C$12</f>
        <v>200</v>
      </c>
      <c r="F101" s="11" t="s">
        <v>131</v>
      </c>
      <c r="G101" s="85">
        <f xml:space="preserve"> 12*$C$12</f>
        <v>120</v>
      </c>
      <c r="H101" s="1"/>
      <c r="L101" s="1"/>
      <c r="M101" s="1"/>
      <c r="O101" s="133"/>
      <c r="V101" s="132"/>
      <c r="W101" s="132"/>
    </row>
    <row r="102" spans="1:23" x14ac:dyDescent="0.2">
      <c r="B102" s="11" t="s">
        <v>129</v>
      </c>
      <c r="C102" s="85">
        <v>250</v>
      </c>
      <c r="F102" s="11" t="s">
        <v>129</v>
      </c>
      <c r="G102" s="85">
        <v>200</v>
      </c>
      <c r="H102" s="1"/>
      <c r="L102" s="1"/>
      <c r="M102" s="1"/>
      <c r="O102" s="133"/>
      <c r="V102" s="132"/>
      <c r="W102" s="132"/>
    </row>
    <row r="103" spans="1:23" x14ac:dyDescent="0.2">
      <c r="B103" s="86" t="s">
        <v>132</v>
      </c>
      <c r="C103" s="84">
        <f>IF(AND(C100&gt;C101,C100&gt;C102),C100,IF(C101&gt;C102,C101,C102))</f>
        <v>250</v>
      </c>
      <c r="F103" s="86" t="s">
        <v>132</v>
      </c>
      <c r="G103" s="84">
        <f>IF(AND(G100&gt;G101,G100&gt;G102),G100,IF(G101&gt;G102,G101,G102))</f>
        <v>200</v>
      </c>
      <c r="L103" s="1"/>
      <c r="M103" s="1"/>
      <c r="N103" s="1"/>
      <c r="O103" s="1"/>
    </row>
    <row r="105" spans="1:23" x14ac:dyDescent="0.2">
      <c r="A105" s="69" t="s">
        <v>134</v>
      </c>
      <c r="B105" s="88"/>
    </row>
    <row r="107" spans="1:23" x14ac:dyDescent="0.2">
      <c r="B107" s="90" t="s">
        <v>143</v>
      </c>
    </row>
    <row r="108" spans="1:23" ht="14.25" x14ac:dyDescent="0.2">
      <c r="B108" s="11" t="s">
        <v>144</v>
      </c>
      <c r="C108" s="93">
        <f>($C$34/1000)^2-$C$14/10000</f>
        <v>1.5215000000000001E-3</v>
      </c>
    </row>
    <row r="109" spans="1:23" x14ac:dyDescent="0.2">
      <c r="B109" s="11" t="s">
        <v>141</v>
      </c>
      <c r="C109" s="78">
        <f>$C$32</f>
        <v>114</v>
      </c>
      <c r="D109" s="1" t="str">
        <f>IF(C109&lt;F109,"&lt;","&gt;=")</f>
        <v>&lt;</v>
      </c>
      <c r="E109" s="11" t="s">
        <v>154</v>
      </c>
      <c r="F109" s="78">
        <f>15*$C$12</f>
        <v>150</v>
      </c>
    </row>
    <row r="110" spans="1:23" x14ac:dyDescent="0.2">
      <c r="B110" s="2" t="s">
        <v>145</v>
      </c>
    </row>
    <row r="111" spans="1:23" ht="27.75" customHeight="1" x14ac:dyDescent="0.2">
      <c r="B111" s="270" t="s">
        <v>293</v>
      </c>
      <c r="C111" s="270"/>
      <c r="D111" s="270"/>
      <c r="F111" s="270" t="s">
        <v>294</v>
      </c>
      <c r="G111" s="270"/>
      <c r="H111" s="270"/>
      <c r="I111" s="270"/>
      <c r="J111" s="270"/>
      <c r="K111" s="270"/>
    </row>
    <row r="112" spans="1:23" x14ac:dyDescent="0.2">
      <c r="B112" s="11" t="s">
        <v>146</v>
      </c>
      <c r="G112" s="11" t="s">
        <v>146</v>
      </c>
    </row>
    <row r="113" spans="2:13" ht="15.75" x14ac:dyDescent="0.3">
      <c r="B113" s="11" t="s">
        <v>152</v>
      </c>
      <c r="C113" s="55">
        <f>$C$91</f>
        <v>16.25</v>
      </c>
      <c r="D113" s="2" t="s">
        <v>149</v>
      </c>
      <c r="H113" s="11" t="s">
        <v>153</v>
      </c>
      <c r="I113" s="55">
        <f xml:space="preserve"> IF($C$11="А240","-",IF(C109&lt;G103,$C$91*(G103-C109)/G103,0))</f>
        <v>6.9874999999999998</v>
      </c>
      <c r="J113" s="2" t="s">
        <v>150</v>
      </c>
    </row>
    <row r="114" spans="2:13" x14ac:dyDescent="0.2">
      <c r="B114" s="11" t="s">
        <v>151</v>
      </c>
      <c r="G114" s="11" t="s">
        <v>151</v>
      </c>
    </row>
    <row r="115" spans="2:13" ht="15.75" x14ac:dyDescent="0.3">
      <c r="C115" s="11" t="s">
        <v>155</v>
      </c>
      <c r="D115" s="55">
        <f>IF($C$109&lt;$F$109,$C$113+$F$91*($F$109-$C$109)/$C$103,"-")</f>
        <v>16.600999999999999</v>
      </c>
      <c r="I115" s="11" t="s">
        <v>155</v>
      </c>
      <c r="J115" s="55">
        <f>IF(OR($C$11="А240",$C$109&gt;=$F$109),"-",$I$113+$F$91*($F$109-$C$109)/$G$103)</f>
        <v>7.4262499999999996</v>
      </c>
    </row>
    <row r="116" spans="2:13" ht="14.25" x14ac:dyDescent="0.25">
      <c r="B116" s="86" t="s">
        <v>165</v>
      </c>
      <c r="C116" s="94">
        <f>IF($C$109&lt;$F$109,D115,C113)</f>
        <v>16.600999999999999</v>
      </c>
      <c r="H116" s="86" t="s">
        <v>156</v>
      </c>
      <c r="I116" s="94">
        <f>IF($C$109&lt;$F$109,J115,I113)</f>
        <v>7.4262499999999996</v>
      </c>
    </row>
    <row r="118" spans="2:13" x14ac:dyDescent="0.2">
      <c r="B118" s="2" t="s">
        <v>157</v>
      </c>
    </row>
    <row r="119" spans="2:13" x14ac:dyDescent="0.2">
      <c r="C119" s="11" t="s">
        <v>160</v>
      </c>
      <c r="D119" s="85">
        <f>MIN($C$30,$C$42)</f>
        <v>80</v>
      </c>
      <c r="E119" s="62" t="s">
        <v>172</v>
      </c>
    </row>
    <row r="120" spans="2:13" ht="15.75" x14ac:dyDescent="0.3">
      <c r="B120" s="11" t="s">
        <v>161</v>
      </c>
      <c r="C120" s="78">
        <f>IF(3*$C$34&gt;$C$34+($D$119-$C$34),$C$34+($D$119-$C$34),3*$C$34)</f>
        <v>80</v>
      </c>
      <c r="D120" s="48"/>
    </row>
    <row r="121" spans="2:13" ht="15.75" x14ac:dyDescent="0.3">
      <c r="B121" s="11" t="s">
        <v>159</v>
      </c>
      <c r="C121" s="93">
        <f>($C$120)^2/1000000-$C$14/10000</f>
        <v>6.3215000000000007E-3</v>
      </c>
    </row>
    <row r="122" spans="2:13" ht="18.75" x14ac:dyDescent="0.35">
      <c r="B122" s="97" t="s">
        <v>158</v>
      </c>
      <c r="C122" s="55">
        <f>IF(0.8*SQRT($C$121/$C$108)&gt;1,IF(0.8*SQRT($C$121/$C$108)&lt;2.5,0.8*SQRT($C$121/$C$108),2.5),1)</f>
        <v>1.6306624843975805</v>
      </c>
      <c r="D122" s="2" t="s">
        <v>162</v>
      </c>
    </row>
    <row r="123" spans="2:13" ht="18.75" x14ac:dyDescent="0.35">
      <c r="B123" s="96" t="s">
        <v>168</v>
      </c>
      <c r="C123" s="94">
        <f>$C$122*$C$8</f>
        <v>24.949136011282985</v>
      </c>
      <c r="D123" s="2" t="s">
        <v>163</v>
      </c>
    </row>
    <row r="125" spans="2:13" x14ac:dyDescent="0.2">
      <c r="B125" s="2" t="s">
        <v>164</v>
      </c>
    </row>
    <row r="126" spans="2:13" ht="15.75" x14ac:dyDescent="0.3">
      <c r="B126" s="11" t="s">
        <v>166</v>
      </c>
      <c r="C126" s="94">
        <f>$C$116</f>
        <v>16.600999999999999</v>
      </c>
      <c r="D126" s="98" t="s">
        <v>106</v>
      </c>
      <c r="E126" s="11" t="s">
        <v>167</v>
      </c>
      <c r="F126" s="94">
        <f>$C$123*$C$108*1000</f>
        <v>37.96011044116706</v>
      </c>
      <c r="G126" s="2" t="s">
        <v>92</v>
      </c>
      <c r="H126" s="11" t="s">
        <v>166</v>
      </c>
      <c r="I126" s="94">
        <f>$I$116</f>
        <v>7.4262499999999996</v>
      </c>
      <c r="J126" s="98" t="s">
        <v>106</v>
      </c>
      <c r="K126" s="11" t="s">
        <v>167</v>
      </c>
      <c r="L126" s="94">
        <f>$C$123*$C$108*1000</f>
        <v>37.96011044116706</v>
      </c>
      <c r="M126" s="2" t="s">
        <v>92</v>
      </c>
    </row>
    <row r="127" spans="2:13" x14ac:dyDescent="0.2">
      <c r="C127" s="11" t="s">
        <v>170</v>
      </c>
      <c r="D127" s="106">
        <f>C126/F126</f>
        <v>0.43732749475872207</v>
      </c>
      <c r="I127" s="11" t="s">
        <v>170</v>
      </c>
      <c r="J127" s="106">
        <f>IF($C$11="А240","-",I126/L126)</f>
        <v>0.19563299246743932</v>
      </c>
    </row>
    <row r="128" spans="2:13" x14ac:dyDescent="0.2">
      <c r="C128" s="71" t="str">
        <f>IF(C126&gt;F126,"Условие НЕ ВЫПОЛНЯЕТСЯ", "Условие выполняется")</f>
        <v>Условие выполняется</v>
      </c>
      <c r="I128" s="71" t="str">
        <f>IF($C$11="А240","Не требуется",IF(I126&gt;L126,"Условие НЕ ВЫПОЛНЯЕТСЯ", "Условие выполняется"))</f>
        <v>Условие выполняется</v>
      </c>
    </row>
    <row r="130" spans="1:16" x14ac:dyDescent="0.2">
      <c r="A130" s="69" t="s">
        <v>227</v>
      </c>
    </row>
    <row r="131" spans="1:16" ht="15" x14ac:dyDescent="0.25">
      <c r="A131" s="69"/>
      <c r="B131" s="109" t="str">
        <f>IF($D$74&gt;=0,"Требуется проверка","Проверка не требуется")</f>
        <v>Требуется проверка</v>
      </c>
    </row>
    <row r="132" spans="1:16" ht="16.5" customHeight="1" x14ac:dyDescent="0.2">
      <c r="B132" s="271" t="s">
        <v>295</v>
      </c>
      <c r="C132" s="271"/>
      <c r="D132" s="271"/>
      <c r="E132" s="271"/>
      <c r="F132" s="271"/>
      <c r="G132" s="271"/>
      <c r="H132" s="271"/>
      <c r="I132" s="271"/>
      <c r="J132" s="271"/>
      <c r="K132" s="271"/>
    </row>
    <row r="133" spans="1:16" ht="15.75" x14ac:dyDescent="0.3">
      <c r="B133" s="2" t="s">
        <v>171</v>
      </c>
    </row>
    <row r="134" spans="1:16" x14ac:dyDescent="0.2">
      <c r="B134" s="11"/>
    </row>
    <row r="135" spans="1:16" x14ac:dyDescent="0.2">
      <c r="B135" s="2" t="s">
        <v>296</v>
      </c>
    </row>
    <row r="136" spans="1:16" x14ac:dyDescent="0.2">
      <c r="B136" s="11" t="s">
        <v>196</v>
      </c>
      <c r="C136" s="100">
        <f>IF(($C$46-$C$34/2)&lt;$C$32,IF($C$32&lt;($C$28+$C$46),($C$46+$C$34/2+$C$32)/1000,(2*$C$46+$C$28)/1000),($C$34+2*$C$32)/1000)</f>
        <v>0.26800000000000002</v>
      </c>
      <c r="D136" s="62" t="s">
        <v>185</v>
      </c>
      <c r="N136" s="124" t="s">
        <v>235</v>
      </c>
      <c r="O136" s="125">
        <f>MIN($C$24-1,INT($C$32/$C$30))</f>
        <v>1</v>
      </c>
    </row>
    <row r="137" spans="1:16" x14ac:dyDescent="0.2">
      <c r="B137" s="11" t="s">
        <v>195</v>
      </c>
      <c r="C137" s="100">
        <f>IF(($C$44-$C$34/2)&lt;$C$32,($C$40+2*$C$44)/1000,($C$40+$C$34+2*$C$32)/1000)</f>
        <v>0.34799999999999998</v>
      </c>
      <c r="D137" s="62" t="s">
        <v>184</v>
      </c>
      <c r="N137" s="124" t="s">
        <v>238</v>
      </c>
      <c r="O137" s="125">
        <f>$C$32-O136*$C$30</f>
        <v>34</v>
      </c>
    </row>
    <row r="138" spans="1:16" x14ac:dyDescent="0.2">
      <c r="B138" s="2" t="s">
        <v>207</v>
      </c>
      <c r="N138" s="124" t="s">
        <v>264</v>
      </c>
      <c r="O138" s="125">
        <f>IF(AND(O137&gt;($C$30-$C$34),$C$32&lt;=$C$28),O137-$C$30+$C$34,0)</f>
        <v>0</v>
      </c>
      <c r="P138" s="1"/>
    </row>
    <row r="139" spans="1:16" ht="14.25" x14ac:dyDescent="0.2">
      <c r="B139" s="11" t="s">
        <v>208</v>
      </c>
      <c r="C139" s="49">
        <f>($C$34^2*($O$136+1)+$O$138*$C$34)*$C$26/1000000</f>
        <v>6.4000000000000003E-3</v>
      </c>
      <c r="N139" s="11"/>
      <c r="O139" s="1"/>
    </row>
    <row r="141" spans="1:16" ht="14.25" x14ac:dyDescent="0.25">
      <c r="B141" s="86" t="s">
        <v>178</v>
      </c>
      <c r="C141" s="101">
        <f>$C$137*$C$136-$C$139</f>
        <v>8.6863999999999997E-2</v>
      </c>
    </row>
    <row r="142" spans="1:16" x14ac:dyDescent="0.2">
      <c r="B142" s="86"/>
      <c r="C142" s="104"/>
    </row>
    <row r="144" spans="1:16" x14ac:dyDescent="0.2">
      <c r="B144" s="86"/>
      <c r="C144" s="104"/>
    </row>
    <row r="146" spans="2:12" x14ac:dyDescent="0.2">
      <c r="B146" s="2" t="s">
        <v>179</v>
      </c>
    </row>
    <row r="151" spans="2:12" ht="15.75" x14ac:dyDescent="0.3">
      <c r="B151" s="11" t="s">
        <v>180</v>
      </c>
      <c r="C151" s="85">
        <v>0.5</v>
      </c>
      <c r="D151" s="62" t="s">
        <v>181</v>
      </c>
    </row>
    <row r="152" spans="2:12" x14ac:dyDescent="0.2">
      <c r="B152" s="11" t="s">
        <v>206</v>
      </c>
      <c r="C152" s="102">
        <v>0</v>
      </c>
      <c r="D152" s="62" t="s">
        <v>201</v>
      </c>
    </row>
    <row r="153" spans="2:12" x14ac:dyDescent="0.2">
      <c r="B153" s="11"/>
    </row>
    <row r="154" spans="2:12" x14ac:dyDescent="0.2">
      <c r="B154" s="23" t="s">
        <v>121</v>
      </c>
      <c r="H154" s="23" t="s">
        <v>122</v>
      </c>
    </row>
    <row r="155" spans="2:12" ht="15.75" x14ac:dyDescent="0.3">
      <c r="B155" s="11" t="s">
        <v>182</v>
      </c>
      <c r="C155" s="85">
        <v>1</v>
      </c>
      <c r="H155" s="11" t="s">
        <v>182</v>
      </c>
      <c r="I155" s="85">
        <v>1.2</v>
      </c>
    </row>
    <row r="157" spans="2:12" ht="14.25" x14ac:dyDescent="0.25">
      <c r="B157" s="86" t="s">
        <v>183</v>
      </c>
      <c r="C157" s="94">
        <f>$D$72</f>
        <v>32.5</v>
      </c>
      <c r="D157" s="98" t="s">
        <v>106</v>
      </c>
      <c r="E157" s="94">
        <f>$C$151*$C$155*$C$141*$C$9*1000/(1+3.5*$C$152/1000/$C$137)</f>
        <v>44.952120000000001</v>
      </c>
      <c r="F157" s="2" t="s">
        <v>169</v>
      </c>
      <c r="H157" s="86" t="s">
        <v>183</v>
      </c>
      <c r="I157" s="94">
        <f>$D$72</f>
        <v>32.5</v>
      </c>
      <c r="J157" s="98" t="s">
        <v>106</v>
      </c>
      <c r="K157" s="94">
        <f>$C$151*$I$155*$C$141*$C$9*1000/(1+3.5*$C$152/$C$137)</f>
        <v>53.942543999999991</v>
      </c>
      <c r="L157" s="2" t="s">
        <v>169</v>
      </c>
    </row>
    <row r="158" spans="2:12" x14ac:dyDescent="0.2">
      <c r="C158" s="11" t="s">
        <v>170</v>
      </c>
      <c r="D158" s="106">
        <f>C157/E157</f>
        <v>0.72299148516243505</v>
      </c>
      <c r="I158" s="11" t="s">
        <v>170</v>
      </c>
      <c r="J158" s="106">
        <f>I157/K157</f>
        <v>0.60249290430202929</v>
      </c>
    </row>
    <row r="159" spans="2:12" x14ac:dyDescent="0.2">
      <c r="C159" s="71" t="str">
        <f>IF($D$74&gt;=0,IF(C157&gt;E157,"Условие НЕ ВЫПОЛНЯЕТСЯ", "Условие выполняется"),"Проверка не требуется")</f>
        <v>Условие выполняется</v>
      </c>
      <c r="I159" s="71" t="str">
        <f>IF($D$74&gt;=0,IF(I157&gt;K157,"Условие НЕ ВЫПОЛНЯЕТСЯ", "Условие выполняется"),"Проверка не требуется")</f>
        <v>Условие выполняется</v>
      </c>
    </row>
    <row r="161" spans="1:15" x14ac:dyDescent="0.2">
      <c r="A161" s="69" t="s">
        <v>186</v>
      </c>
    </row>
    <row r="162" spans="1:15" ht="15" x14ac:dyDescent="0.25">
      <c r="A162" s="69"/>
      <c r="B162" s="109" t="str">
        <f>IF($D$74&lt;0,"Требуется проверка","Проверка не требуется")</f>
        <v>Проверка не требуется</v>
      </c>
    </row>
    <row r="163" spans="1:15" ht="16.5" customHeight="1" x14ac:dyDescent="0.2">
      <c r="B163" s="271" t="s">
        <v>297</v>
      </c>
      <c r="C163" s="271"/>
      <c r="D163" s="271"/>
      <c r="E163" s="271"/>
      <c r="F163" s="271"/>
      <c r="G163" s="271"/>
      <c r="H163" s="271"/>
      <c r="I163" s="271"/>
      <c r="J163" s="271"/>
      <c r="K163" s="271"/>
    </row>
    <row r="164" spans="1:15" x14ac:dyDescent="0.2">
      <c r="B164" s="2" t="s">
        <v>193</v>
      </c>
    </row>
    <row r="165" spans="1:15" ht="15.75" x14ac:dyDescent="0.3">
      <c r="B165" s="11" t="s">
        <v>192</v>
      </c>
      <c r="C165" s="55">
        <f>IF($I$24=0,0,IF($I$26/$I$24*1000&lt;=$C$28/2,$I$26/$I$24*1000,$C$28/2))</f>
        <v>40</v>
      </c>
    </row>
    <row r="166" spans="1:15" x14ac:dyDescent="0.2">
      <c r="B166" s="2" t="s">
        <v>296</v>
      </c>
    </row>
    <row r="167" spans="1:15" x14ac:dyDescent="0.2">
      <c r="B167" s="11" t="s">
        <v>177</v>
      </c>
      <c r="C167" s="100">
        <f>IF(($C$46-$C$34/2)&lt;$C$32,IF($C$32&lt;($C$46-$C$34/2+2*$C$165),($C$46+$C$28+$C$34/2-2*$C$165+$C$32)/1000,(2*$C$46+$C$28)/1000),($C$28+$C$34-2*$C$165+2*$C$32)/1000)</f>
        <v>0.26800000000000002</v>
      </c>
      <c r="D167" s="62" t="s">
        <v>185</v>
      </c>
    </row>
    <row r="168" spans="1:15" x14ac:dyDescent="0.2">
      <c r="B168" s="11" t="s">
        <v>200</v>
      </c>
      <c r="C168" s="100">
        <f>IF(($C$44-$C$34/2)&lt;$C$32,($C$40+2*$C$44)/1000,($C$40+$C$34+2*$C$32)/1000)</f>
        <v>0.34799999999999998</v>
      </c>
      <c r="D168" s="62" t="s">
        <v>184</v>
      </c>
    </row>
    <row r="169" spans="1:15" x14ac:dyDescent="0.2">
      <c r="B169" s="2" t="s">
        <v>199</v>
      </c>
      <c r="N169" s="124" t="s">
        <v>237</v>
      </c>
      <c r="O169" s="125">
        <f>($C$28+$C$32-2*$C$165)</f>
        <v>114</v>
      </c>
    </row>
    <row r="170" spans="1:15" x14ac:dyDescent="0.2">
      <c r="B170" s="11" t="s">
        <v>197</v>
      </c>
      <c r="C170" s="95">
        <f>IF($C$32&lt;($C$46-$C$34/2),$C$167*1000/2-($C$32+$C$34/2+$C$28/2-$C$165),$C$167*1000/2-($C$46+$C$28/2-$C$165))</f>
        <v>0</v>
      </c>
      <c r="D170" s="62" t="s">
        <v>203</v>
      </c>
      <c r="N170" s="124" t="s">
        <v>235</v>
      </c>
      <c r="O170" s="125">
        <f>MIN($C$24-1,INT(O169/$C$30))</f>
        <v>1</v>
      </c>
    </row>
    <row r="171" spans="1:15" x14ac:dyDescent="0.2">
      <c r="B171" s="11" t="s">
        <v>198</v>
      </c>
      <c r="C171" s="102">
        <v>0</v>
      </c>
      <c r="D171" s="62" t="s">
        <v>202</v>
      </c>
      <c r="N171" s="124" t="s">
        <v>236</v>
      </c>
      <c r="O171" s="125">
        <f>O169-O170*$C$30</f>
        <v>34</v>
      </c>
    </row>
    <row r="172" spans="1:15" x14ac:dyDescent="0.2">
      <c r="B172" s="2" t="s">
        <v>207</v>
      </c>
      <c r="N172" s="124" t="s">
        <v>264</v>
      </c>
      <c r="O172" s="125">
        <f>IF(AND(O171&gt;($C$30-$C$34),O169&lt;=$C$28),O171-$C$30+$C$34,0)</f>
        <v>0</v>
      </c>
    </row>
    <row r="173" spans="1:15" ht="14.25" x14ac:dyDescent="0.2">
      <c r="B173" s="11" t="s">
        <v>208</v>
      </c>
      <c r="C173" s="112">
        <f>($C$34^2*(O170+1)+O172*$C$34)*$C$26/1000000</f>
        <v>6.4000000000000003E-3</v>
      </c>
      <c r="N173" s="11"/>
    </row>
    <row r="175" spans="1:15" x14ac:dyDescent="0.2">
      <c r="B175" s="86" t="s">
        <v>194</v>
      </c>
      <c r="C175" s="101">
        <f>$C$168*$C$167-$C$173</f>
        <v>8.6863999999999997E-2</v>
      </c>
    </row>
    <row r="178" spans="2:12" x14ac:dyDescent="0.2">
      <c r="B178" s="2" t="s">
        <v>204</v>
      </c>
    </row>
    <row r="183" spans="2:12" ht="15.75" x14ac:dyDescent="0.3">
      <c r="B183" s="11" t="s">
        <v>180</v>
      </c>
      <c r="C183" s="85">
        <v>0.5</v>
      </c>
      <c r="D183" s="62" t="s">
        <v>181</v>
      </c>
    </row>
    <row r="186" spans="2:12" x14ac:dyDescent="0.2">
      <c r="B186" s="23" t="s">
        <v>121</v>
      </c>
      <c r="H186" s="23" t="s">
        <v>122</v>
      </c>
    </row>
    <row r="187" spans="2:12" ht="15.75" x14ac:dyDescent="0.3">
      <c r="B187" s="11" t="s">
        <v>182</v>
      </c>
      <c r="C187" s="85">
        <v>1</v>
      </c>
      <c r="H187" s="11" t="s">
        <v>182</v>
      </c>
      <c r="I187" s="85">
        <v>1.2</v>
      </c>
    </row>
    <row r="189" spans="2:12" x14ac:dyDescent="0.2">
      <c r="B189" s="86" t="s">
        <v>205</v>
      </c>
      <c r="C189" s="94">
        <f>$I$24</f>
        <v>15</v>
      </c>
      <c r="D189" s="98" t="s">
        <v>106</v>
      </c>
      <c r="E189" s="94">
        <f>$C$183*$C$187*$C$175*$C$9*1000/(1+3.5*$C$170/1000/$C$167+3.5*$C$171/1000/$C$168)</f>
        <v>44.952120000000001</v>
      </c>
      <c r="F189" s="2" t="s">
        <v>169</v>
      </c>
      <c r="H189" s="86" t="s">
        <v>205</v>
      </c>
      <c r="I189" s="94">
        <f>$I$24</f>
        <v>15</v>
      </c>
      <c r="J189" s="98" t="s">
        <v>106</v>
      </c>
      <c r="K189" s="94">
        <f>$C$183*$I$187*$C$175*$C$9*1000/(1+3.5*$C$170/1000/$C$167+3.5*$C$171/1000/$C$168)</f>
        <v>53.942543999999991</v>
      </c>
      <c r="L189" s="2" t="s">
        <v>169</v>
      </c>
    </row>
    <row r="190" spans="2:12" x14ac:dyDescent="0.2">
      <c r="C190" s="11" t="s">
        <v>170</v>
      </c>
      <c r="D190" s="106">
        <f>C189/E189</f>
        <v>0.33368837776727772</v>
      </c>
      <c r="I190" s="11" t="s">
        <v>170</v>
      </c>
      <c r="J190" s="106">
        <f>I189/K189</f>
        <v>0.27807364813939817</v>
      </c>
    </row>
    <row r="191" spans="2:12" x14ac:dyDescent="0.2">
      <c r="C191" s="71" t="str">
        <f>IF($D$74&lt;0,IF(C189&gt;E189,"Условие НЕ ВЫПОЛНЯЕТСЯ", "Условие выполняется"),"Проверка не требуется")</f>
        <v>Проверка не требуется</v>
      </c>
      <c r="I191" s="71" t="str">
        <f>IF($D$74&lt;0,IF(I189&gt;K189,"Условие НЕ ВЫПОЛНЯЕТСЯ", "Условие выполняется"),"Проверка не требуется")</f>
        <v>Проверка не требуется</v>
      </c>
    </row>
    <row r="193" spans="1:11" x14ac:dyDescent="0.2">
      <c r="A193" s="69" t="s">
        <v>263</v>
      </c>
    </row>
    <row r="194" spans="1:11" ht="16.5" customHeight="1" x14ac:dyDescent="0.2">
      <c r="B194" s="271" t="s">
        <v>298</v>
      </c>
      <c r="C194" s="271"/>
      <c r="D194" s="271"/>
      <c r="E194" s="271"/>
      <c r="F194" s="271"/>
      <c r="G194" s="271"/>
      <c r="H194" s="271"/>
      <c r="I194" s="271"/>
      <c r="J194" s="271"/>
      <c r="K194" s="271"/>
    </row>
    <row r="195" spans="1:11" ht="12.75" customHeight="1" x14ac:dyDescent="0.2">
      <c r="B195" s="123"/>
      <c r="C195" s="122"/>
      <c r="D195" s="122"/>
      <c r="E195" s="122"/>
      <c r="F195" s="122"/>
      <c r="G195" s="122"/>
      <c r="H195" s="122"/>
      <c r="I195" s="122"/>
      <c r="J195" s="122"/>
      <c r="K195" s="122"/>
    </row>
    <row r="196" spans="1:11" x14ac:dyDescent="0.2">
      <c r="B196" s="2" t="s">
        <v>211</v>
      </c>
    </row>
    <row r="197" spans="1:11" ht="30" customHeight="1" x14ac:dyDescent="0.2">
      <c r="B197" s="222" t="s">
        <v>212</v>
      </c>
      <c r="C197" s="222"/>
      <c r="D197" s="222"/>
      <c r="E197" s="222"/>
    </row>
    <row r="198" spans="1:11" ht="15.75" x14ac:dyDescent="0.3">
      <c r="B198" s="11" t="s">
        <v>215</v>
      </c>
      <c r="C198" s="85">
        <f>IF($C$40+$C$46&gt;$C$48, $C$48,$C$40+$C$46)</f>
        <v>200</v>
      </c>
      <c r="D198" s="62" t="s">
        <v>213</v>
      </c>
    </row>
    <row r="199" spans="1:11" x14ac:dyDescent="0.2">
      <c r="B199" s="2" t="s">
        <v>214</v>
      </c>
      <c r="D199" s="62"/>
    </row>
    <row r="200" spans="1:11" x14ac:dyDescent="0.2">
      <c r="B200" s="11" t="s">
        <v>216</v>
      </c>
      <c r="C200" s="85">
        <f>IF($C$44&lt;$C$198,$C$40+2*$C$44,$C$40+2*$C$198)</f>
        <v>480</v>
      </c>
      <c r="D200" s="62" t="s">
        <v>217</v>
      </c>
    </row>
    <row r="201" spans="1:11" x14ac:dyDescent="0.2">
      <c r="B201" s="11"/>
      <c r="C201" s="110"/>
      <c r="D201" s="62"/>
    </row>
    <row r="202" spans="1:11" x14ac:dyDescent="0.2">
      <c r="B202" s="11"/>
      <c r="C202" s="110"/>
      <c r="D202" s="62"/>
    </row>
    <row r="204" spans="1:11" x14ac:dyDescent="0.2">
      <c r="B204" s="2" t="s">
        <v>218</v>
      </c>
    </row>
    <row r="210" spans="2:16" ht="15" x14ac:dyDescent="0.25">
      <c r="B210" s="2" t="s">
        <v>254</v>
      </c>
    </row>
    <row r="212" spans="2:16" x14ac:dyDescent="0.2">
      <c r="D212" s="62" t="s">
        <v>255</v>
      </c>
    </row>
    <row r="213" spans="2:16" x14ac:dyDescent="0.2">
      <c r="D213" s="62" t="s">
        <v>261</v>
      </c>
      <c r="N213" s="124" t="s">
        <v>257</v>
      </c>
      <c r="O213" s="138">
        <f>($C$200^2-$C$40^2)/4/1000000</f>
        <v>5.6000000000000001E-2</v>
      </c>
      <c r="P213" s="120"/>
    </row>
    <row r="214" spans="2:16" x14ac:dyDescent="0.2">
      <c r="D214" s="62"/>
      <c r="N214" s="124" t="s">
        <v>259</v>
      </c>
      <c r="O214" s="139">
        <f>($C$200-$C$40)/2</f>
        <v>200</v>
      </c>
    </row>
    <row r="215" spans="2:16" ht="15.75" x14ac:dyDescent="0.3">
      <c r="B215" s="11" t="s">
        <v>256</v>
      </c>
      <c r="C215" s="112">
        <f>O213+O215</f>
        <v>5.6000000000000001E-2</v>
      </c>
      <c r="D215" s="62"/>
      <c r="N215" s="124" t="s">
        <v>258</v>
      </c>
      <c r="O215" s="138">
        <f>IF($O$214&lt;$C$198,$C$200*($C$198-$O$214)/1000000,0)</f>
        <v>0</v>
      </c>
    </row>
    <row r="216" spans="2:16" ht="15" x14ac:dyDescent="0.25">
      <c r="B216" s="11" t="s">
        <v>260</v>
      </c>
      <c r="C216" s="121">
        <f>IF(I24&gt;0,MAX(0.2,1-0.3*$I$24/($C$215*$C$9*1000)),1)</f>
        <v>0.92236024844720499</v>
      </c>
      <c r="D216" s="62"/>
    </row>
    <row r="217" spans="2:16" x14ac:dyDescent="0.2">
      <c r="D217" s="62"/>
    </row>
    <row r="218" spans="2:16" ht="15.75" x14ac:dyDescent="0.3">
      <c r="B218" s="11" t="s">
        <v>262</v>
      </c>
      <c r="C218" s="85">
        <v>0.5</v>
      </c>
      <c r="D218" s="62" t="s">
        <v>181</v>
      </c>
    </row>
    <row r="219" spans="2:16" x14ac:dyDescent="0.2">
      <c r="B219" s="11" t="s">
        <v>206</v>
      </c>
      <c r="C219" s="102">
        <v>0</v>
      </c>
      <c r="D219" s="62" t="s">
        <v>201</v>
      </c>
    </row>
    <row r="221" spans="2:16" x14ac:dyDescent="0.2">
      <c r="B221" s="86" t="s">
        <v>88</v>
      </c>
      <c r="C221" s="94">
        <f>$I$25</f>
        <v>15</v>
      </c>
      <c r="D221" s="98" t="s">
        <v>106</v>
      </c>
      <c r="E221" s="94">
        <f>$C$218*$C$9*1000*($C$200/1000)*($C$198/1000)/(1+3.5*$C$219/$C$200)*$C$216</f>
        <v>45.822857142857146</v>
      </c>
      <c r="F221" s="2" t="s">
        <v>169</v>
      </c>
    </row>
    <row r="222" spans="2:16" x14ac:dyDescent="0.2">
      <c r="C222" s="11" t="s">
        <v>170</v>
      </c>
      <c r="D222" s="94">
        <f>C221/E221</f>
        <v>0.32734754956977175</v>
      </c>
    </row>
    <row r="223" spans="2:16" x14ac:dyDescent="0.2">
      <c r="C223" s="71" t="str">
        <f>IF(C221&gt;E221,"Условие НЕ ВЫПОЛНЯЕТСЯ", "Условие выполняется")</f>
        <v>Условие выполняется</v>
      </c>
    </row>
  </sheetData>
  <mergeCells count="19">
    <mergeCell ref="B47:E47"/>
    <mergeCell ref="A2:M2"/>
    <mergeCell ref="N23:T23"/>
    <mergeCell ref="N24:T24"/>
    <mergeCell ref="N25:T25"/>
    <mergeCell ref="N26:T26"/>
    <mergeCell ref="N27:T27"/>
    <mergeCell ref="N28:T28"/>
    <mergeCell ref="N30:T30"/>
    <mergeCell ref="N31:T31"/>
    <mergeCell ref="B43:E43"/>
    <mergeCell ref="B45:E45"/>
    <mergeCell ref="B197:E197"/>
    <mergeCell ref="B54:H54"/>
    <mergeCell ref="B111:D111"/>
    <mergeCell ref="F111:K111"/>
    <mergeCell ref="B132:K132"/>
    <mergeCell ref="B163:K163"/>
    <mergeCell ref="B194:K194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'Расчетные характеристики'!$A$44:$A$52</xm:f>
          </x14:formula1>
          <xm:sqref>C17</xm:sqref>
        </x14:dataValidation>
        <x14:dataValidation type="list" allowBlank="1" showInputMessage="1" showErrorMessage="1">
          <x14:formula1>
            <xm:f>'Сортамент арматуры'!$A$2:$A$19</xm:f>
          </x14:formula1>
          <xm:sqref>C12</xm:sqref>
        </x14:dataValidation>
        <x14:dataValidation type="list" allowBlank="1" showInputMessage="1" showErrorMessage="1">
          <x14:formula1>
            <xm:f>'Расчетные характеристики'!$A$18:$A$39</xm:f>
          </x14:formula1>
          <xm:sqref>C6</xm:sqref>
        </x14:dataValidation>
        <x14:dataValidation type="list" allowBlank="1" showInputMessage="1" showErrorMessage="1">
          <x14:formula1>
            <xm:f>'Расчетные характеристики'!$A$4:$A$10</xm:f>
          </x14:formula1>
          <xm:sqref>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Графики</vt:lpstr>
      <vt:lpstr>Расчетные характеристики</vt:lpstr>
      <vt:lpstr>Сортамент арматуры</vt:lpstr>
      <vt:lpstr>Расчет закладной</vt:lpstr>
      <vt:lpstr>Графики!Область_печати</vt:lpstr>
    </vt:vector>
  </TitlesOfParts>
  <Company>ОАО НИИК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Жегалин Владислав Вадимович</dc:creator>
  <cp:lastModifiedBy>Смекалов Вадим Игоревич</cp:lastModifiedBy>
  <dcterms:created xsi:type="dcterms:W3CDTF">2017-11-08T11:17:10Z</dcterms:created>
  <dcterms:modified xsi:type="dcterms:W3CDTF">2018-01-29T06:00:14Z</dcterms:modified>
</cp:coreProperties>
</file>