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5848561fbbb173/Documents/AAU/MSc/Courses/VT1/Design for Manufacturing/Exam/"/>
    </mc:Choice>
  </mc:AlternateContent>
  <xr:revisionPtr revIDLastSave="2876" documentId="13_ncr:1_{6C31A46D-B6F3-43D5-89A2-FF3DE3BA613C}" xr6:coauthVersionLast="47" xr6:coauthVersionMax="47" xr10:uidLastSave="{34D28AE0-6C13-4F18-8A4E-B4252016A8C5}"/>
  <bookViews>
    <workbookView xWindow="-98" yWindow="-98" windowWidth="22695" windowHeight="14595" xr2:uid="{3BE59DB7-DB58-4ABC-A5EE-7E54EFD7E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16" i="1"/>
  <c r="B30" i="1"/>
  <c r="F2" i="1"/>
  <c r="F3" i="1"/>
  <c r="F4" i="1"/>
  <c r="A15" i="1"/>
  <c r="I8" i="1"/>
  <c r="A14" i="1"/>
  <c r="A30" i="1"/>
  <c r="J2" i="1"/>
  <c r="J3" i="1"/>
  <c r="J4" i="1"/>
  <c r="J5" i="1"/>
  <c r="J6" i="1"/>
  <c r="J7" i="1"/>
  <c r="J8" i="1"/>
  <c r="J9" i="1"/>
  <c r="C3" i="1"/>
  <c r="M3" i="1"/>
  <c r="M4" i="1"/>
  <c r="M5" i="1"/>
  <c r="M6" i="1"/>
  <c r="M7" i="1"/>
  <c r="M8" i="1"/>
  <c r="M9" i="1"/>
  <c r="M2" i="1"/>
  <c r="C2" i="1"/>
  <c r="Y2" i="1"/>
  <c r="Y3" i="1"/>
  <c r="Y4" i="1"/>
  <c r="Y5" i="1"/>
  <c r="Y6" i="1"/>
  <c r="Y7" i="1"/>
  <c r="Y8" i="1"/>
  <c r="Y9" i="1"/>
  <c r="V2" i="1"/>
  <c r="V3" i="1"/>
  <c r="V4" i="1"/>
  <c r="V5" i="1"/>
  <c r="V6" i="1"/>
  <c r="V7" i="1"/>
  <c r="V8" i="1"/>
  <c r="V9" i="1"/>
  <c r="T3" i="1"/>
  <c r="T4" i="1"/>
  <c r="T5" i="1"/>
  <c r="T6" i="1"/>
  <c r="T7" i="1"/>
  <c r="T8" i="1"/>
  <c r="T9" i="1"/>
  <c r="T2" i="1"/>
  <c r="Q3" i="1"/>
  <c r="Q4" i="1"/>
  <c r="Q5" i="1"/>
  <c r="Q6" i="1"/>
  <c r="Q7" i="1"/>
  <c r="Q8" i="1"/>
  <c r="Q9" i="1"/>
  <c r="Q2" i="1"/>
  <c r="K3" i="1"/>
  <c r="K4" i="1"/>
  <c r="K5" i="1"/>
  <c r="K6" i="1"/>
  <c r="K7" i="1"/>
  <c r="K8" i="1"/>
  <c r="K9" i="1"/>
  <c r="K2" i="1"/>
  <c r="I4" i="1"/>
  <c r="I5" i="1"/>
  <c r="I2" i="1"/>
  <c r="I9" i="1"/>
  <c r="I7" i="1"/>
  <c r="I6" i="1"/>
  <c r="B13" i="1"/>
  <c r="I3" i="1" s="1"/>
  <c r="Z2" i="1"/>
  <c r="Z3" i="1" s="1"/>
  <c r="W2" i="1"/>
  <c r="U2" i="1"/>
  <c r="R2" i="1"/>
  <c r="AJ2" i="1"/>
  <c r="AJ3" i="1"/>
  <c r="AJ4" i="1"/>
  <c r="AJ5" i="1"/>
  <c r="AJ6" i="1"/>
  <c r="AJ7" i="1"/>
  <c r="AJ8" i="1"/>
  <c r="AJ9" i="1"/>
  <c r="AI2" i="1"/>
  <c r="AI3" i="1"/>
  <c r="AI4" i="1"/>
  <c r="AI5" i="1"/>
  <c r="AI6" i="1"/>
  <c r="AI7" i="1"/>
  <c r="AI8" i="1"/>
  <c r="AI9" i="1"/>
  <c r="AH3" i="1"/>
  <c r="AH2" i="1"/>
  <c r="AH4" i="1"/>
  <c r="AH5" i="1"/>
  <c r="AH6" i="1"/>
  <c r="AH7" i="1"/>
  <c r="AH8" i="1"/>
  <c r="AH9" i="1"/>
  <c r="S2" i="1"/>
  <c r="S3" i="1"/>
  <c r="S4" i="1"/>
  <c r="S5" i="1"/>
  <c r="S6" i="1"/>
  <c r="S7" i="1"/>
  <c r="S8" i="1"/>
  <c r="S9" i="1"/>
  <c r="AE2" i="1"/>
  <c r="AE3" i="1"/>
  <c r="AE4" i="1"/>
  <c r="AE5" i="1"/>
  <c r="AE6" i="1"/>
  <c r="AE7" i="1"/>
  <c r="AE8" i="1"/>
  <c r="AE9" i="1"/>
  <c r="AO2" i="1"/>
  <c r="AO3" i="1"/>
  <c r="AO4" i="1"/>
  <c r="AO5" i="1"/>
  <c r="AO6" i="1"/>
  <c r="AO7" i="1"/>
  <c r="AO8" i="1"/>
  <c r="AO9" i="1"/>
  <c r="AN2" i="1"/>
  <c r="AN3" i="1"/>
  <c r="AN4" i="1"/>
  <c r="AN5" i="1"/>
  <c r="AN6" i="1"/>
  <c r="AN7" i="1"/>
  <c r="AN8" i="1"/>
  <c r="AN9" i="1"/>
  <c r="N3" i="1"/>
  <c r="N2" i="1"/>
  <c r="N4" i="1"/>
  <c r="N5" i="1"/>
  <c r="N6" i="1"/>
  <c r="N7" i="1"/>
  <c r="N8" i="1"/>
  <c r="N9" i="1"/>
  <c r="B3" i="1"/>
  <c r="B4" i="1" s="1"/>
  <c r="B5" i="1" s="1"/>
  <c r="B6" i="1" s="1"/>
  <c r="B7" i="1" s="1"/>
  <c r="B8" i="1" s="1"/>
  <c r="B9" i="1" s="1"/>
  <c r="G2" i="1"/>
  <c r="H2" i="1"/>
  <c r="L2" i="1"/>
  <c r="G3" i="1"/>
  <c r="H3" i="1"/>
  <c r="L3" i="1"/>
  <c r="G4" i="1"/>
  <c r="H4" i="1"/>
  <c r="L4" i="1"/>
  <c r="G5" i="1"/>
  <c r="H5" i="1"/>
  <c r="L5" i="1"/>
  <c r="G6" i="1"/>
  <c r="H6" i="1"/>
  <c r="L6" i="1"/>
  <c r="G7" i="1"/>
  <c r="H7" i="1"/>
  <c r="L7" i="1"/>
  <c r="G8" i="1"/>
  <c r="H8" i="1"/>
  <c r="L8" i="1"/>
  <c r="G9" i="1"/>
  <c r="H9" i="1"/>
  <c r="L9" i="1"/>
  <c r="C4" i="1" l="1"/>
  <c r="C6" i="1"/>
  <c r="AD2" i="1"/>
  <c r="BP2" i="1" s="1"/>
  <c r="BF3" i="1"/>
  <c r="Z4" i="1"/>
  <c r="Z5" i="1" s="1"/>
  <c r="Z6" i="1" s="1"/>
  <c r="U3" i="1"/>
  <c r="U4" i="1" s="1"/>
  <c r="U5" i="1" s="1"/>
  <c r="U6" i="1" s="1"/>
  <c r="U7" i="1" s="1"/>
  <c r="U8" i="1" s="1"/>
  <c r="U9" i="1" s="1"/>
  <c r="W3" i="1"/>
  <c r="R3" i="1"/>
  <c r="BR3" i="1"/>
  <c r="BR2" i="1"/>
  <c r="BQ2" i="1"/>
  <c r="W4" i="1"/>
  <c r="BF9" i="1"/>
  <c r="X9" i="1"/>
  <c r="AA9" i="1"/>
  <c r="AF9" i="1"/>
  <c r="AK9" i="1"/>
  <c r="AL9" i="1"/>
  <c r="AM9" i="1"/>
  <c r="AP9" i="1"/>
  <c r="AQ9" i="1"/>
  <c r="AR9" i="1"/>
  <c r="AS9" i="1"/>
  <c r="AT9" i="1"/>
  <c r="AU9" i="1"/>
  <c r="AV9" i="1"/>
  <c r="AW9" i="1"/>
  <c r="BE9" i="1"/>
  <c r="BF8" i="1"/>
  <c r="X8" i="1"/>
  <c r="AA8" i="1"/>
  <c r="AF8" i="1"/>
  <c r="AK8" i="1"/>
  <c r="AL8" i="1"/>
  <c r="AM8" i="1"/>
  <c r="AP8" i="1"/>
  <c r="AQ8" i="1"/>
  <c r="AR8" i="1"/>
  <c r="AS8" i="1"/>
  <c r="AT8" i="1"/>
  <c r="AU8" i="1"/>
  <c r="AV8" i="1"/>
  <c r="AW8" i="1"/>
  <c r="BF7" i="1"/>
  <c r="X7" i="1"/>
  <c r="AA7" i="1"/>
  <c r="AF7" i="1"/>
  <c r="AK7" i="1"/>
  <c r="AL7" i="1"/>
  <c r="AM7" i="1"/>
  <c r="AP7" i="1"/>
  <c r="AQ7" i="1"/>
  <c r="AR7" i="1"/>
  <c r="AS7" i="1"/>
  <c r="AT7" i="1"/>
  <c r="AU7" i="1"/>
  <c r="AV7" i="1"/>
  <c r="AW7" i="1"/>
  <c r="BF2" i="1"/>
  <c r="BH2" i="1" s="1"/>
  <c r="AW2" i="1"/>
  <c r="BN2" i="1" s="1"/>
  <c r="AW3" i="1"/>
  <c r="AW4" i="1"/>
  <c r="AW5" i="1"/>
  <c r="AW6" i="1"/>
  <c r="AV2" i="1"/>
  <c r="AV3" i="1"/>
  <c r="AV4" i="1"/>
  <c r="AV5" i="1"/>
  <c r="AV6" i="1"/>
  <c r="AU2" i="1"/>
  <c r="AU3" i="1"/>
  <c r="AU4" i="1"/>
  <c r="AU5" i="1"/>
  <c r="AU6" i="1"/>
  <c r="AT2" i="1"/>
  <c r="AT3" i="1"/>
  <c r="AT4" i="1"/>
  <c r="AT5" i="1"/>
  <c r="AT6" i="1"/>
  <c r="AS2" i="1"/>
  <c r="AS3" i="1"/>
  <c r="AS4" i="1"/>
  <c r="AS5" i="1"/>
  <c r="AS6" i="1"/>
  <c r="AQ2" i="1"/>
  <c r="AQ3" i="1"/>
  <c r="AQ4" i="1"/>
  <c r="AQ5" i="1"/>
  <c r="AQ6" i="1"/>
  <c r="AP2" i="1"/>
  <c r="AP3" i="1"/>
  <c r="AP4" i="1"/>
  <c r="AP5" i="1"/>
  <c r="AP6" i="1"/>
  <c r="AR2" i="1"/>
  <c r="AR3" i="1"/>
  <c r="AR4" i="1"/>
  <c r="AR5" i="1"/>
  <c r="AR6" i="1"/>
  <c r="AK2" i="1"/>
  <c r="AK3" i="1"/>
  <c r="AK4" i="1"/>
  <c r="AK5" i="1"/>
  <c r="AK6" i="1"/>
  <c r="AL2" i="1"/>
  <c r="E2" i="1" s="1"/>
  <c r="AL3" i="1"/>
  <c r="AL4" i="1"/>
  <c r="AL5" i="1"/>
  <c r="AL6" i="1"/>
  <c r="AM2" i="1"/>
  <c r="AM3" i="1"/>
  <c r="AM4" i="1"/>
  <c r="AM5" i="1"/>
  <c r="AM6" i="1"/>
  <c r="X2" i="1"/>
  <c r="X3" i="1"/>
  <c r="X4" i="1"/>
  <c r="X5" i="1"/>
  <c r="X6" i="1"/>
  <c r="AA2" i="1"/>
  <c r="AA3" i="1"/>
  <c r="AA4" i="1"/>
  <c r="AA5" i="1"/>
  <c r="AA6" i="1"/>
  <c r="AF2" i="1"/>
  <c r="AF3" i="1"/>
  <c r="AF4" i="1"/>
  <c r="AF5" i="1"/>
  <c r="AF6" i="1"/>
  <c r="BF4" i="1"/>
  <c r="BF5" i="1"/>
  <c r="BF6" i="1"/>
  <c r="BX2" i="1"/>
  <c r="BX3" i="1"/>
  <c r="Z7" i="1" l="1"/>
  <c r="C5" i="1"/>
  <c r="BR4" i="1"/>
  <c r="R4" i="1"/>
  <c r="R5" i="1" s="1"/>
  <c r="AD5" i="1" s="1"/>
  <c r="AD3" i="1"/>
  <c r="D2" i="1"/>
  <c r="BQ3" i="1"/>
  <c r="E3" i="1"/>
  <c r="D3" i="1" s="1"/>
  <c r="O3" i="1"/>
  <c r="P2" i="1"/>
  <c r="AB2" i="1" s="1"/>
  <c r="BO2" i="1" s="1"/>
  <c r="BS2" i="1" s="1"/>
  <c r="CB2" i="1"/>
  <c r="CB3" i="1" s="1"/>
  <c r="W5" i="1"/>
  <c r="F5" i="1" s="1"/>
  <c r="P3" i="1"/>
  <c r="BK3" i="1"/>
  <c r="BL3" i="1" s="1"/>
  <c r="AG8" i="1"/>
  <c r="BE7" i="1"/>
  <c r="BW7" i="1" s="1"/>
  <c r="AG9" i="1"/>
  <c r="AG7" i="1"/>
  <c r="BE8" i="1"/>
  <c r="BW8" i="1" s="1"/>
  <c r="BH3" i="1"/>
  <c r="BW9" i="1"/>
  <c r="AG5" i="1"/>
  <c r="BE5" i="1"/>
  <c r="BE4" i="1"/>
  <c r="AG2" i="1"/>
  <c r="BE3" i="1"/>
  <c r="BG3" i="1" s="1"/>
  <c r="AG4" i="1"/>
  <c r="AG3" i="1"/>
  <c r="BE2" i="1"/>
  <c r="BG2" i="1" s="1"/>
  <c r="BE6" i="1"/>
  <c r="AG6" i="1"/>
  <c r="BK2" i="1"/>
  <c r="BL2" i="1" s="1"/>
  <c r="Z8" i="1" l="1"/>
  <c r="C7" i="1"/>
  <c r="C8" i="1"/>
  <c r="C9" i="1"/>
  <c r="BQ4" i="1"/>
  <c r="E5" i="1"/>
  <c r="P4" i="1"/>
  <c r="AB4" i="1" s="1"/>
  <c r="BO4" i="1" s="1"/>
  <c r="R6" i="1"/>
  <c r="E6" i="1" s="1"/>
  <c r="BP3" i="1"/>
  <c r="AC2" i="1"/>
  <c r="BV2" i="1" s="1"/>
  <c r="BZ2" i="1" s="1"/>
  <c r="O4" i="1"/>
  <c r="BN4" i="1" s="1"/>
  <c r="E4" i="1"/>
  <c r="D4" i="1" s="1"/>
  <c r="AD4" i="1"/>
  <c r="AC3" i="1" s="1"/>
  <c r="BV3" i="1" s="1"/>
  <c r="BP5" i="1"/>
  <c r="BI2" i="1"/>
  <c r="BJ2" i="1" s="1"/>
  <c r="BM2" i="1" s="1"/>
  <c r="BT2" i="1" s="1"/>
  <c r="CC2" i="1" s="1"/>
  <c r="BR5" i="1"/>
  <c r="BN3" i="1"/>
  <c r="W6" i="1"/>
  <c r="F6" i="1" s="1"/>
  <c r="P5" i="1"/>
  <c r="AB5" i="1" s="1"/>
  <c r="BQ5" i="1"/>
  <c r="BI3" i="1"/>
  <c r="BJ3" i="1" s="1"/>
  <c r="BM3" i="1" s="1"/>
  <c r="AB3" i="1"/>
  <c r="BO3" i="1" s="1"/>
  <c r="BG4" i="1"/>
  <c r="BU2" i="1"/>
  <c r="BU3" i="1"/>
  <c r="BW5" i="1"/>
  <c r="BW2" i="1"/>
  <c r="BW4" i="1"/>
  <c r="BW3" i="1"/>
  <c r="BW6" i="1"/>
  <c r="BK4" i="1"/>
  <c r="BL4" i="1" s="1"/>
  <c r="Z9" i="1" l="1"/>
  <c r="AD6" i="1"/>
  <c r="BP6" i="1" s="1"/>
  <c r="R7" i="1"/>
  <c r="R8" i="1" s="1"/>
  <c r="AC4" i="1"/>
  <c r="BV4" i="1" s="1"/>
  <c r="BZ3" i="1"/>
  <c r="BP4" i="1"/>
  <c r="BS4" i="1" s="1"/>
  <c r="AY2" i="1"/>
  <c r="AY3" i="1" s="1"/>
  <c r="BI4" i="1"/>
  <c r="BJ4" i="1" s="1"/>
  <c r="O5" i="1"/>
  <c r="BN5" i="1" s="1"/>
  <c r="AX2" i="1"/>
  <c r="CI2" i="1" s="1"/>
  <c r="D5" i="1"/>
  <c r="BS3" i="1"/>
  <c r="BT3" i="1" s="1"/>
  <c r="CC3" i="1" s="1"/>
  <c r="BR6" i="1"/>
  <c r="D6" i="1"/>
  <c r="BY2" i="1"/>
  <c r="W7" i="1"/>
  <c r="F7" i="1" s="1"/>
  <c r="P6" i="1"/>
  <c r="AB6" i="1" s="1"/>
  <c r="BQ6" i="1"/>
  <c r="BO5" i="1"/>
  <c r="BX4" i="1"/>
  <c r="BH4" i="1"/>
  <c r="BU4" i="1" l="1"/>
  <c r="AY4" i="1" s="1"/>
  <c r="E7" i="1"/>
  <c r="AD7" i="1"/>
  <c r="AC6" i="1" s="1"/>
  <c r="BV6" i="1" s="1"/>
  <c r="BZ4" i="1"/>
  <c r="AC5" i="1"/>
  <c r="BV5" i="1" s="1"/>
  <c r="O6" i="1"/>
  <c r="O7" i="1" s="1"/>
  <c r="BM4" i="1"/>
  <c r="BY4" i="1" s="1"/>
  <c r="R9" i="1"/>
  <c r="AD8" i="1"/>
  <c r="E8" i="1"/>
  <c r="BY3" i="1"/>
  <c r="BB3" i="1" s="1"/>
  <c r="AX3" i="1" s="1"/>
  <c r="CI3" i="1" s="1"/>
  <c r="BR7" i="1"/>
  <c r="CB4" i="1"/>
  <c r="CA2" i="1"/>
  <c r="BB2" i="1"/>
  <c r="BC2" i="1" s="1"/>
  <c r="BD2" i="1" s="1"/>
  <c r="W8" i="1"/>
  <c r="F8" i="1" s="1"/>
  <c r="P7" i="1"/>
  <c r="AB7" i="1" s="1"/>
  <c r="BO7" i="1" s="1"/>
  <c r="BQ7" i="1"/>
  <c r="BO6" i="1"/>
  <c r="BZ5" i="1" l="1"/>
  <c r="BZ6" i="1" s="1"/>
  <c r="BT4" i="1"/>
  <c r="CC4" i="1" s="1"/>
  <c r="BP7" i="1"/>
  <c r="D7" i="1"/>
  <c r="BN6" i="1"/>
  <c r="BP8" i="1"/>
  <c r="AC7" i="1"/>
  <c r="BV7" i="1" s="1"/>
  <c r="AD9" i="1"/>
  <c r="E9" i="1"/>
  <c r="CA3" i="1"/>
  <c r="CD3" i="1" s="1"/>
  <c r="CD2" i="1"/>
  <c r="CE2" i="1" s="1"/>
  <c r="BR8" i="1"/>
  <c r="D8" i="1"/>
  <c r="BC3" i="1"/>
  <c r="BD3" i="1" s="1"/>
  <c r="O8" i="1"/>
  <c r="BN7" i="1"/>
  <c r="BB4" i="1"/>
  <c r="W9" i="1"/>
  <c r="F9" i="1" s="1"/>
  <c r="P8" i="1"/>
  <c r="AB8" i="1" s="1"/>
  <c r="BO8" i="1" s="1"/>
  <c r="BQ8" i="1"/>
  <c r="BX5" i="1"/>
  <c r="BH5" i="1"/>
  <c r="BG5" i="1"/>
  <c r="BI5" i="1"/>
  <c r="BJ5" i="1" s="1"/>
  <c r="BK5" i="1"/>
  <c r="BL5" i="1" s="1"/>
  <c r="BZ7" i="1" l="1"/>
  <c r="BP9" i="1"/>
  <c r="AC8" i="1"/>
  <c r="BV8" i="1" s="1"/>
  <c r="AC9" i="1"/>
  <c r="BV9" i="1" s="1"/>
  <c r="CF2" i="1"/>
  <c r="CE3" i="1"/>
  <c r="CA4" i="1"/>
  <c r="CD4" i="1" s="1"/>
  <c r="CE4" i="1" s="1"/>
  <c r="CF4" i="1" s="1"/>
  <c r="BC4" i="1"/>
  <c r="BD4" i="1" s="1"/>
  <c r="BR9" i="1"/>
  <c r="D9" i="1"/>
  <c r="CB5" i="1"/>
  <c r="O9" i="1"/>
  <c r="BN8" i="1"/>
  <c r="AX4" i="1"/>
  <c r="CI4" i="1" s="1"/>
  <c r="P9" i="1"/>
  <c r="AB9" i="1" s="1"/>
  <c r="BO9" i="1" s="1"/>
  <c r="BQ9" i="1"/>
  <c r="BU5" i="1"/>
  <c r="AY5" i="1" s="1"/>
  <c r="BS5" i="1"/>
  <c r="BM5" i="1"/>
  <c r="BZ8" i="1" l="1"/>
  <c r="BZ9" i="1" s="1"/>
  <c r="CF3" i="1"/>
  <c r="BN9" i="1"/>
  <c r="BT5" i="1"/>
  <c r="CC5" i="1" s="1"/>
  <c r="BK7" i="1"/>
  <c r="BL7" i="1" s="1"/>
  <c r="BI7" i="1"/>
  <c r="BJ7" i="1" s="1"/>
  <c r="BY5" i="1"/>
  <c r="BK6" i="1"/>
  <c r="BL6" i="1" s="1"/>
  <c r="BI6" i="1"/>
  <c r="BJ6" i="1" s="1"/>
  <c r="CA5" i="1" l="1"/>
  <c r="CD5" i="1" s="1"/>
  <c r="CE5" i="1" s="1"/>
  <c r="BB5" i="1"/>
  <c r="BC5" i="1" s="1"/>
  <c r="BX6" i="1"/>
  <c r="BH6" i="1"/>
  <c r="BG6" i="1"/>
  <c r="BU7" i="1"/>
  <c r="BS7" i="1"/>
  <c r="BS6" i="1"/>
  <c r="BU6" i="1"/>
  <c r="AY6" i="1" s="1"/>
  <c r="AY7" i="1" l="1"/>
  <c r="CF5" i="1"/>
  <c r="CB6" i="1"/>
  <c r="BD5" i="1"/>
  <c r="AX5" i="1"/>
  <c r="CI5" i="1" s="1"/>
  <c r="BM6" i="1"/>
  <c r="BI8" i="1"/>
  <c r="BJ8" i="1" s="1"/>
  <c r="BK8" i="1"/>
  <c r="BL8" i="1" s="1"/>
  <c r="BX7" i="1"/>
  <c r="BG7" i="1"/>
  <c r="BH7" i="1"/>
  <c r="BY6" i="1" l="1"/>
  <c r="CA6" i="1" s="1"/>
  <c r="CD6" i="1" s="1"/>
  <c r="CE6" i="1" s="1"/>
  <c r="BT6" i="1"/>
  <c r="CC6" i="1" s="1"/>
  <c r="CB7" i="1"/>
  <c r="BM7" i="1"/>
  <c r="BT7" i="1" s="1"/>
  <c r="BU8" i="1"/>
  <c r="AY8" i="1" s="1"/>
  <c r="BS8" i="1"/>
  <c r="BX8" i="1"/>
  <c r="BH8" i="1"/>
  <c r="BG8" i="1"/>
  <c r="BI9" i="1"/>
  <c r="BJ9" i="1" s="1"/>
  <c r="BK9" i="1"/>
  <c r="BL9" i="1" s="1"/>
  <c r="BB6" i="1" l="1"/>
  <c r="BC6" i="1" s="1"/>
  <c r="BD6" i="1" s="1"/>
  <c r="CF6" i="1"/>
  <c r="CC7" i="1"/>
  <c r="CB8" i="1"/>
  <c r="BY7" i="1"/>
  <c r="CA7" i="1" s="1"/>
  <c r="CD7" i="1" s="1"/>
  <c r="CE7" i="1" s="1"/>
  <c r="CF7" i="1" s="1"/>
  <c r="BM8" i="1"/>
  <c r="BS9" i="1"/>
  <c r="BU9" i="1"/>
  <c r="AY9" i="1" s="1"/>
  <c r="BX9" i="1"/>
  <c r="BH9" i="1"/>
  <c r="BG9" i="1"/>
  <c r="AX6" i="1" l="1"/>
  <c r="CI6" i="1" s="1"/>
  <c r="BY8" i="1"/>
  <c r="CA8" i="1" s="1"/>
  <c r="CD8" i="1" s="1"/>
  <c r="CE8" i="1" s="1"/>
  <c r="CF8" i="1" s="1"/>
  <c r="BT8" i="1"/>
  <c r="CC8" i="1" s="1"/>
  <c r="CB9" i="1"/>
  <c r="BB7" i="1"/>
  <c r="BC7" i="1" s="1"/>
  <c r="BD7" i="1" s="1"/>
  <c r="BM9" i="1"/>
  <c r="BB8" i="1" l="1"/>
  <c r="BC8" i="1" s="1"/>
  <c r="BD8" i="1" s="1"/>
  <c r="BY9" i="1"/>
  <c r="CA9" i="1" s="1"/>
  <c r="BT9" i="1"/>
  <c r="CC9" i="1" s="1"/>
  <c r="AX7" i="1"/>
  <c r="CI7" i="1" s="1"/>
  <c r="AX8" i="1" l="1"/>
  <c r="CI8" i="1" s="1"/>
  <c r="CD9" i="1"/>
  <c r="CE9" i="1" s="1"/>
  <c r="BB9" i="1"/>
  <c r="BA5" i="1"/>
  <c r="AX9" i="1" l="1"/>
  <c r="CI9" i="1" s="1"/>
  <c r="CG2" i="1"/>
  <c r="BC9" i="1"/>
  <c r="BA6" i="1"/>
  <c r="BD9" i="1" l="1"/>
  <c r="CF9" i="1"/>
  <c r="CG3" i="1" s="1"/>
  <c r="G25" i="1" s="1"/>
  <c r="BA7" i="1"/>
  <c r="BA9" i="1" l="1"/>
  <c r="BA8" i="1"/>
  <c r="BA3" i="1"/>
  <c r="BA2" i="1"/>
  <c r="BA4" i="1" l="1"/>
  <c r="CH4" i="1"/>
  <c r="CH9" i="1"/>
  <c r="CH8" i="1"/>
  <c r="CH3" i="1"/>
  <c r="CH6" i="1"/>
  <c r="CH5" i="1"/>
  <c r="CH7" i="1"/>
  <c r="CH2" i="1"/>
  <c r="G24" i="1" l="1"/>
  <c r="D10" i="1"/>
</calcChain>
</file>

<file path=xl/sharedStrings.xml><?xml version="1.0" encoding="utf-8"?>
<sst xmlns="http://schemas.openxmlformats.org/spreadsheetml/2006/main" count="102" uniqueCount="92">
  <si>
    <t>Units in series</t>
  </si>
  <si>
    <t>Cost per color [$]</t>
  </si>
  <si>
    <t>Elements per unit</t>
  </si>
  <si>
    <t>Cycle time per element [s]</t>
  </si>
  <si>
    <t>Cash [€]</t>
  </si>
  <si>
    <t>Production size [m2]</t>
  </si>
  <si>
    <t>No. blue collar workers</t>
  </si>
  <si>
    <t>No. storage racks</t>
  </si>
  <si>
    <t>No. one-color UB decorator machines</t>
  </si>
  <si>
    <t>No. one-color head decorator machines</t>
  </si>
  <si>
    <t>No.  White collar employees</t>
  </si>
  <si>
    <t>Offer per unit [€]</t>
  </si>
  <si>
    <r>
      <t>Space requrement per injection modling machine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</si>
  <si>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Wage pr blue collar worker [€/hr]</t>
  </si>
  <si>
    <t>Rent [(€/m2)/year]</t>
  </si>
  <si>
    <t>Capital stock [€]</t>
  </si>
  <si>
    <t>Machines/equipment [€]</t>
  </si>
  <si>
    <t>Total assets [€]</t>
  </si>
  <si>
    <t>Total liabilities [€]</t>
  </si>
  <si>
    <t>Materials cost [€]</t>
  </si>
  <si>
    <t>Color cost [€]</t>
  </si>
  <si>
    <t>Labor cost [€]</t>
  </si>
  <si>
    <t>Operations cost [€]</t>
  </si>
  <si>
    <t>Material cost per unit [€]</t>
  </si>
  <si>
    <t>Color cost per unit [€]</t>
  </si>
  <si>
    <t>Rent [€]</t>
  </si>
  <si>
    <t>Administration [€]</t>
  </si>
  <si>
    <t>Wage pr white collar worker [€/year]</t>
  </si>
  <si>
    <t>Depr. Moulds [€]</t>
  </si>
  <si>
    <t>No. injection moulding machines</t>
  </si>
  <si>
    <t>No. moulds</t>
  </si>
  <si>
    <t>Capacity per injection moulding machine [parts/hr]</t>
  </si>
  <si>
    <t>Man power per injection moulding machine</t>
  </si>
  <si>
    <t>Depriciation per injection moulding machine [€/year]</t>
  </si>
  <si>
    <t>Depr. Inj. Mach. [€]</t>
  </si>
  <si>
    <t>Depr. Deco [€]</t>
  </si>
  <si>
    <t>Cost of operations per injection moulding machine [€/hr]</t>
  </si>
  <si>
    <r>
      <t>Space requrement per decorating machine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</si>
  <si>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Capacity per decoration machine [parts/hr]</t>
  </si>
  <si>
    <t>Man power needed per decoration machine</t>
  </si>
  <si>
    <t>Capacity per storage rack</t>
  </si>
  <si>
    <t>Cost per part [$]</t>
  </si>
  <si>
    <t>Cost per storage rack [€]</t>
  </si>
  <si>
    <t>Normal yearly production time [hrs]</t>
  </si>
  <si>
    <t>Indirect cost [€]</t>
  </si>
  <si>
    <t>Labor cost per hour [€/hr]</t>
  </si>
  <si>
    <t>Operations cost per hour [€/hrs]</t>
  </si>
  <si>
    <t>Direct cost [€]</t>
  </si>
  <si>
    <t>Material &amp; color cost per unit [€]</t>
  </si>
  <si>
    <t>Cost mould development per mould [€]</t>
  </si>
  <si>
    <t>Cost material &amp; production per mould [€]</t>
  </si>
  <si>
    <t>Total sales [€]</t>
  </si>
  <si>
    <t>Net income [€]</t>
  </si>
  <si>
    <t>No. new injection moulding machines</t>
  </si>
  <si>
    <t>No. new storage racks</t>
  </si>
  <si>
    <t>No. new one-color head decorator machines</t>
  </si>
  <si>
    <t>No. new one-color UB decorator machines</t>
  </si>
  <si>
    <t>Total investment</t>
  </si>
  <si>
    <t>No. new moulds</t>
  </si>
  <si>
    <t>Cost per new one-color UB decorator machines [€]</t>
  </si>
  <si>
    <t>Cost per new injection moulding machine [€]</t>
  </si>
  <si>
    <t>Cost per new one-color head decorator machines [€]</t>
  </si>
  <si>
    <t>Depreciation per decoration machine [€/year]</t>
  </si>
  <si>
    <t>Total depreciation [€]</t>
  </si>
  <si>
    <t>Total cost per new mould [€]</t>
  </si>
  <si>
    <t>Year / series</t>
  </si>
  <si>
    <t>Retained earnings [€]</t>
  </si>
  <si>
    <t>Cost of operations per decorator machine [€/hr]</t>
  </si>
  <si>
    <t>Depr. Per mould [€/year]</t>
  </si>
  <si>
    <t>Cumulative retained earnings [€]</t>
  </si>
  <si>
    <t>Accumulated net income [€]</t>
  </si>
  <si>
    <t>Accumulated investment (negative) [€]</t>
  </si>
  <si>
    <t>Accumulated total sales [€]</t>
  </si>
  <si>
    <t>Total cost [$]</t>
  </si>
  <si>
    <t>Accumulated operating cost (negative) [€]</t>
  </si>
  <si>
    <t>Max capacity</t>
  </si>
  <si>
    <t>Capacity moulding</t>
  </si>
  <si>
    <t>Capacity decorating</t>
  </si>
  <si>
    <t>Colors per unit</t>
  </si>
  <si>
    <t>Decision</t>
  </si>
  <si>
    <t>Break even [€]</t>
  </si>
  <si>
    <t>Break even point</t>
  </si>
  <si>
    <t>Coordinates for break even point</t>
  </si>
  <si>
    <t>Year for break even</t>
  </si>
  <si>
    <t>Capacity check</t>
  </si>
  <si>
    <t>Error:</t>
  </si>
  <si>
    <t>Baseline numbers</t>
  </si>
  <si>
    <t>Check values</t>
  </si>
  <si>
    <t>Game parameters - You input these parameters</t>
  </si>
  <si>
    <t>Cash check</t>
  </si>
  <si>
    <t>No. different elements</t>
  </si>
  <si>
    <t>Year of break even: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</si>
</sst>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€-2]\ * #,##0.00_-;\-[$€-2]\ * #,##0.00_-;_-[$€-2]\ * &quot;-&quot;??_-;_-@_-"/>
    <numFmt numFmtId="166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Segoe UI"/>
      <family val="2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3" borderId="1" applyNumberFormat="0" applyAlignment="0" applyProtection="0"/>
    <xf numFmtId="0" fontId="9" fillId="4" borderId="1" applyNumberFormat="0" applyAlignment="0" applyProtection="0"/>
    <xf numFmtId="0" fontId="10" fillId="5" borderId="5" applyNumberFormat="0" applyAlignment="0" applyProtection="0"/>
  </cellStyleXfs>
  <cellXfs count="31">
    <xf numFmtId="0" fontId="0" fillId="0" borderId="0" xfId="0"/>
    <xf numFmtId="3" fontId="0" fillId="0" borderId="0" xfId="0" applyNumberFormat="1"/>
    <xf numFmtId="4" fontId="0" fillId="0" borderId="0" xfId="0" applyNumberFormat="1"/>
    <xf numFmtId="4" fontId="4" fillId="2" borderId="0" xfId="2" applyNumberFormat="1"/>
    <xf numFmtId="4" fontId="7" fillId="2" borderId="2" xfId="2" applyNumberFormat="1" applyFont="1" applyBorder="1"/>
    <xf numFmtId="4" fontId="5" fillId="0" borderId="0" xfId="0" applyNumberFormat="1" applyFont="1" applyAlignment="1">
      <alignment vertical="center" wrapText="1"/>
    </xf>
    <xf numFmtId="3" fontId="4" fillId="2" borderId="3" xfId="2" applyNumberFormat="1" applyBorder="1"/>
    <xf numFmtId="3" fontId="4" fillId="2" borderId="4" xfId="2" applyNumberFormat="1" applyBorder="1"/>
    <xf numFmtId="3" fontId="4" fillId="2" borderId="0" xfId="2" applyNumberFormat="1"/>
    <xf numFmtId="3" fontId="6" fillId="3" borderId="1" xfId="3" applyNumberFormat="1"/>
    <xf numFmtId="4" fontId="4" fillId="2" borderId="3" xfId="2" applyNumberFormat="1" applyBorder="1"/>
    <xf numFmtId="4" fontId="6" fillId="3" borderId="1" xfId="3" applyNumberFormat="1"/>
    <xf numFmtId="164" fontId="0" fillId="0" borderId="0" xfId="0" applyNumberFormat="1"/>
    <xf numFmtId="4" fontId="8" fillId="0" borderId="0" xfId="0" applyNumberFormat="1" applyFont="1" applyAlignment="1">
      <alignment horizontal="center"/>
    </xf>
    <xf numFmtId="4" fontId="0" fillId="0" borderId="0" xfId="0" applyNumberFormat="1" applyAlignment="1">
      <alignment horizontal="right"/>
    </xf>
    <xf numFmtId="4" fontId="9" fillId="4" borderId="1" xfId="4" applyNumberFormat="1"/>
    <xf numFmtId="3" fontId="9" fillId="4" borderId="1" xfId="4" applyNumberFormat="1"/>
    <xf numFmtId="4" fontId="10" fillId="5" borderId="5" xfId="5" applyNumberFormat="1"/>
    <xf numFmtId="0" fontId="10" fillId="5" borderId="5" xfId="5"/>
    <xf numFmtId="4" fontId="8" fillId="0" borderId="0" xfId="0" applyNumberFormat="1" applyFont="1" applyAlignment="1">
      <alignment horizontal="center" wrapText="1"/>
    </xf>
    <xf numFmtId="2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4" fillId="2" borderId="0" xfId="2" applyNumberFormat="1"/>
    <xf numFmtId="166" fontId="9" fillId="4" borderId="1" xfId="4" applyNumberFormat="1"/>
    <xf numFmtId="2" fontId="10" fillId="5" borderId="5" xfId="5" applyNumberFormat="1"/>
    <xf numFmtId="4" fontId="7" fillId="6" borderId="0" xfId="2" applyNumberFormat="1" applyFont="1" applyFill="1" applyBorder="1"/>
    <xf numFmtId="3" fontId="6" fillId="6" borderId="0" xfId="3" applyNumberFormat="1" applyFill="1" applyBorder="1"/>
    <xf numFmtId="4" fontId="6" fillId="6" borderId="0" xfId="3" applyNumberFormat="1" applyFill="1" applyBorder="1"/>
    <xf numFmtId="3" fontId="4" fillId="6" borderId="0" xfId="2" applyNumberFormat="1" applyFill="1" applyBorder="1"/>
    <xf numFmtId="4" fontId="4" fillId="6" borderId="0" xfId="2" applyNumberFormat="1" applyFill="1" applyBorder="1"/>
  </cellXfs>
  <cellStyles count="6">
    <cellStyle name="Calculation" xfId="3" builtinId="22"/>
    <cellStyle name="Check Cell" xfId="5" builtinId="23"/>
    <cellStyle name="Comma" xfId="1" builtinId="3"/>
    <cellStyle name="Good" xfId="2" builtinId="26"/>
    <cellStyle name="Input" xfId="4" builtinId="20"/>
    <cellStyle name="Normal" xfId="0" builtinId="0"/>
  </cellStyles>
  <dxfs count="93">
    <dxf>
      <numFmt numFmtId="2" formatCode="0.00"/>
    </dxf>
    <dxf>
      <numFmt numFmtId="4" formatCode="#,##0.00"/>
      <border outline="0">
        <left style="double">
          <color rgb="FF3F3F3F"/>
        </left>
      </border>
    </dxf>
    <dxf>
      <numFmt numFmtId="164" formatCode="_-[$€-2]\ * #,##0.00_-;\-[$€-2]\ * #,##0.00_-;_-[$€-2]\ * &quot;-&quot;??_-;_-@_-"/>
      <border outline="0">
        <right style="double">
          <color rgb="FF3F3F3F"/>
        </right>
      </border>
    </dxf>
    <dxf>
      <numFmt numFmtId="166" formatCode="#,##0.000"/>
    </dxf>
    <dxf>
      <numFmt numFmtId="164" formatCode="_-[$€-2]\ * #,##0.00_-;\-[$€-2]\ * #,##0.00_-;_-[$€-2]\ * &quot;-&quot;??_-;_-@_-"/>
    </dxf>
    <dxf>
      <numFmt numFmtId="4" formatCode="#,##0.00"/>
    </dxf>
    <dxf>
      <numFmt numFmtId="166" formatCode="#,##0.000"/>
    </dxf>
    <dxf>
      <numFmt numFmtId="4" formatCode="#,##0.00"/>
    </dxf>
    <dxf>
      <numFmt numFmtId="166" formatCode="#,##0.000"/>
    </dxf>
    <dxf>
      <numFmt numFmtId="4" formatCode="#,##0.00"/>
    </dxf>
    <dxf>
      <numFmt numFmtId="166" formatCode="#,##0.000"/>
    </dxf>
    <dxf>
      <numFmt numFmtId="4" formatCode="#,##0.00"/>
    </dxf>
    <dxf>
      <numFmt numFmtId="3" formatCode="#,##0"/>
    </dxf>
    <dxf>
      <numFmt numFmtId="166" formatCode="#,##0.000"/>
    </dxf>
    <dxf>
      <numFmt numFmtId="3" formatCode="#,##0"/>
    </dxf>
    <dxf>
      <numFmt numFmtId="166" formatCode="#,##0.0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75307701614959"/>
          <c:y val="7.2727307433694793E-2"/>
          <c:w val="0.49964458789323024"/>
          <c:h val="0.86666660303822618"/>
        </c:manualLayout>
      </c:layout>
      <c:lineChart>
        <c:grouping val="standard"/>
        <c:varyColors val="0"/>
        <c:ser>
          <c:idx val="77"/>
          <c:order val="76"/>
          <c:tx>
            <c:strRef>
              <c:f>Sheet1!$CB$1</c:f>
              <c:strCache>
                <c:ptCount val="1"/>
                <c:pt idx="0">
                  <c:v>Accumulated total sales [€]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Sheet1!$B$2:$B$9</c:f>
              <c:numCache>
                <c:formatCode>#,##0</c:formatCode>
                <c:ptCount val="8"/>
                <c:pt idx="0" formatCode="#,##0.0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Sheet1!$CB$2:$CB$9</c:f>
              <c:numCache>
                <c:formatCode>_-[$€-2]\ * #,##0.00_-;\-[$€-2]\ * #,##0.00_-;_-[$€-2]\ * "-"??_-;_-@_-</c:formatCode>
                <c:ptCount val="8"/>
                <c:pt idx="0">
                  <c:v>0</c:v>
                </c:pt>
                <c:pt idx="1">
                  <c:v>2500000</c:v>
                </c:pt>
                <c:pt idx="2">
                  <c:v>5250000</c:v>
                </c:pt>
                <c:pt idx="3">
                  <c:v>8275000</c:v>
                </c:pt>
                <c:pt idx="4">
                  <c:v>15837500</c:v>
                </c:pt>
                <c:pt idx="5">
                  <c:v>17168500</c:v>
                </c:pt>
                <c:pt idx="6">
                  <c:v>25487250</c:v>
                </c:pt>
                <c:pt idx="7">
                  <c:v>33806000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4FA-4877-AAE0-377665A024D6}"/>
            </c:ext>
          </c:extLst>
        </c:ser>
        <c:ser>
          <c:idx val="75"/>
          <c:order val="74"/>
          <c:tx>
            <c:strRef>
              <c:f>Sheet1!$BZ$1</c:f>
              <c:strCache>
                <c:ptCount val="1"/>
                <c:pt idx="0">
                  <c:v>Accumulated investment (negative) [€]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Sheet1!$B$2:$B$9</c:f>
              <c:numCache>
                <c:formatCode>#,##0</c:formatCode>
                <c:ptCount val="8"/>
                <c:pt idx="0" formatCode="#,##0.0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Sheet1!$BZ$2:$BZ$9</c:f>
              <c:numCache>
                <c:formatCode>_-[$€-2]\ * #,##0.00_-;\-[$€-2]\ * #,##0.00_-;_-[$€-2]\ * "-"??_-;_-@_-</c:formatCode>
                <c:ptCount val="8"/>
                <c:pt idx="0">
                  <c:v>-580000</c:v>
                </c:pt>
                <c:pt idx="1">
                  <c:v>-580000</c:v>
                </c:pt>
                <c:pt idx="2">
                  <c:v>-640000</c:v>
                </c:pt>
                <c:pt idx="3">
                  <c:v>-2280000</c:v>
                </c:pt>
                <c:pt idx="4">
                  <c:v>-2280000</c:v>
                </c:pt>
                <c:pt idx="5">
                  <c:v>-2480000</c:v>
                </c:pt>
                <c:pt idx="6">
                  <c:v>-2480000</c:v>
                </c:pt>
                <c:pt idx="7">
                  <c:v>-2480000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4FA-4877-AAE0-377665A024D6}"/>
            </c:ext>
          </c:extLst>
        </c:ser>
        <c:ser>
          <c:idx val="76"/>
          <c:order val="75"/>
          <c:tx>
            <c:strRef>
              <c:f>Sheet1!$CA$1</c:f>
              <c:strCache>
                <c:ptCount val="1"/>
                <c:pt idx="0">
                  <c:v>Accumulated net income [€]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Sheet1!$B$2:$B$9</c:f>
              <c:numCache>
                <c:formatCode>#,##0</c:formatCode>
                <c:ptCount val="8"/>
                <c:pt idx="0" formatCode="#,##0.0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Sheet1!$CA$2:$CA$9</c:f>
              <c:numCache>
                <c:formatCode>_-[$€-2]\ * #,##0.00_-;\-[$€-2]\ * #,##0.00_-;_-[$€-2]\ * "-"??_-;_-@_-</c:formatCode>
                <c:ptCount val="8"/>
                <c:pt idx="0">
                  <c:v>-119999.7</c:v>
                </c:pt>
                <c:pt idx="1">
                  <c:v>292227.3</c:v>
                </c:pt>
                <c:pt idx="2">
                  <c:v>928454.3</c:v>
                </c:pt>
                <c:pt idx="3">
                  <c:v>1768541.3</c:v>
                </c:pt>
                <c:pt idx="4">
                  <c:v>3764222.1</c:v>
                </c:pt>
                <c:pt idx="5">
                  <c:v>276182.89999999991</c:v>
                </c:pt>
                <c:pt idx="6">
                  <c:v>740247.10000000079</c:v>
                </c:pt>
                <c:pt idx="7">
                  <c:v>1204311.3000000017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4FA-4877-AAE0-377665A024D6}"/>
            </c:ext>
          </c:extLst>
        </c:ser>
        <c:ser>
          <c:idx val="78"/>
          <c:order val="77"/>
          <c:tx>
            <c:strRef>
              <c:f>Sheet1!$CC$1</c:f>
              <c:strCache>
                <c:ptCount val="1"/>
                <c:pt idx="0">
                  <c:v>Accumulated operating cost (negative) [€]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Sheet1!$B$2:$B$9</c:f>
              <c:numCache>
                <c:formatCode>#,##0</c:formatCode>
                <c:ptCount val="8"/>
                <c:pt idx="0" formatCode="#,##0.0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Sheet1!$CC$2:$CC$9</c:f>
              <c:numCache>
                <c:formatCode>0.00</c:formatCode>
                <c:ptCount val="8"/>
                <c:pt idx="0">
                  <c:v>-119999.7</c:v>
                </c:pt>
                <c:pt idx="1">
                  <c:v>-2207772.7000000002</c:v>
                </c:pt>
                <c:pt idx="2">
                  <c:v>-4321545.7</c:v>
                </c:pt>
                <c:pt idx="3">
                  <c:v>-6506458.7000000002</c:v>
                </c:pt>
                <c:pt idx="4">
                  <c:v>-12073277.9</c:v>
                </c:pt>
                <c:pt idx="5">
                  <c:v>-16892317.100000001</c:v>
                </c:pt>
                <c:pt idx="6">
                  <c:v>-24747002.900000002</c:v>
                </c:pt>
                <c:pt idx="7">
                  <c:v>-32601688.700000003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4FA-4877-AAE0-377665A0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004224"/>
        <c:axId val="977002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Units in series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10000000</c:v>
                      </c:pt>
                      <c:pt idx="2">
                        <c:v>11000000</c:v>
                      </c:pt>
                      <c:pt idx="3">
                        <c:v>12100000</c:v>
                      </c:pt>
                      <c:pt idx="4">
                        <c:v>30250000</c:v>
                      </c:pt>
                      <c:pt idx="5">
                        <c:v>5324000</c:v>
                      </c:pt>
                      <c:pt idx="6">
                        <c:v>33275000.000000004</c:v>
                      </c:pt>
                      <c:pt idx="7">
                        <c:v>33275000.000000004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4FA-4877-AAE0-377665A024D6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Capacity moulding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11037600</c:v>
                      </c:pt>
                      <c:pt idx="2">
                        <c:v>11037600</c:v>
                      </c:pt>
                      <c:pt idx="3">
                        <c:v>12614400</c:v>
                      </c:pt>
                      <c:pt idx="4">
                        <c:v>31536000</c:v>
                      </c:pt>
                      <c:pt idx="5">
                        <c:v>31536000</c:v>
                      </c:pt>
                      <c:pt idx="6">
                        <c:v>34164000</c:v>
                      </c:pt>
                      <c:pt idx="7">
                        <c:v>34164000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FA-4877-AAE0-377665A024D6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Capacity decorating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17520000</c:v>
                      </c:pt>
                      <c:pt idx="2">
                        <c:v>17520000</c:v>
                      </c:pt>
                      <c:pt idx="3">
                        <c:v>17520000</c:v>
                      </c:pt>
                      <c:pt idx="4">
                        <c:v>35040000</c:v>
                      </c:pt>
                      <c:pt idx="5">
                        <c:v>35040000</c:v>
                      </c:pt>
                      <c:pt idx="6">
                        <c:v>35040000</c:v>
                      </c:pt>
                      <c:pt idx="7">
                        <c:v>35040000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FA-4877-AAE0-377665A024D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Cost per part [$]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Sheet1!$G$2:$G$9</c15:sqref>
                        </c15:formulaRef>
                      </c:ext>
                    </c:extLst>
                    <c:numCache>
                      <c:formatCode>#,##0.000</c:formatCode>
                      <c:ptCount val="8"/>
                      <c:pt idx="0">
                        <c:v>2E-3</c:v>
                      </c:pt>
                      <c:pt idx="1">
                        <c:v>2E-3</c:v>
                      </c:pt>
                      <c:pt idx="2">
                        <c:v>2E-3</c:v>
                      </c:pt>
                      <c:pt idx="3">
                        <c:v>2E-3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2E-3</c:v>
                      </c:pt>
                      <c:pt idx="7">
                        <c:v>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FA-4877-AAE0-377665A024D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Cost per color [$]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Sheet1!$H$2:$H$9</c15:sqref>
                        </c15:formulaRef>
                      </c:ext>
                    </c:extLst>
                    <c:numCache>
                      <c:formatCode>#,##0.000</c:formatCode>
                      <c:ptCount val="8"/>
                      <c:pt idx="0">
                        <c:v>3.0000000000000001E-3</c:v>
                      </c:pt>
                      <c:pt idx="1">
                        <c:v>3.0000000000000001E-3</c:v>
                      </c:pt>
                      <c:pt idx="2">
                        <c:v>3.0000000000000001E-3</c:v>
                      </c:pt>
                      <c:pt idx="3">
                        <c:v>3.0000000000000001E-3</c:v>
                      </c:pt>
                      <c:pt idx="4">
                        <c:v>3.0000000000000001E-3</c:v>
                      </c:pt>
                      <c:pt idx="5">
                        <c:v>3.0000000000000001E-3</c:v>
                      </c:pt>
                      <c:pt idx="6">
                        <c:v>3.0000000000000001E-3</c:v>
                      </c:pt>
                      <c:pt idx="7">
                        <c:v>3.0000000000000001E-3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FA-4877-AAE0-377665A024D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Elements per unit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FA-4877-AAE0-377665A024D6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No. different elements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FA-4877-AAE0-377665A024D6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Colors per unit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20</c:v>
                      </c:pt>
                      <c:pt idx="7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FA-4877-AAE0-377665A024D6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Cycle time per element [s]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FA-4877-AAE0-377665A024D6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Offer per unit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0.4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0.25</c:v>
                      </c:pt>
                      <c:pt idx="5">
                        <c:v>0.25</c:v>
                      </c:pt>
                      <c:pt idx="6">
                        <c:v>0.25</c:v>
                      </c:pt>
                      <c:pt idx="7">
                        <c:v>0.25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FA-4877-AAE0-377665A024D6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Normal yearly production time [hrs]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1924</c:v>
                      </c:pt>
                      <c:pt idx="1">
                        <c:v>8760</c:v>
                      </c:pt>
                      <c:pt idx="2">
                        <c:v>8760</c:v>
                      </c:pt>
                      <c:pt idx="3">
                        <c:v>8760</c:v>
                      </c:pt>
                      <c:pt idx="4">
                        <c:v>8760</c:v>
                      </c:pt>
                      <c:pt idx="5">
                        <c:v>8760</c:v>
                      </c:pt>
                      <c:pt idx="6">
                        <c:v>8760</c:v>
                      </c:pt>
                      <c:pt idx="7">
                        <c:v>8760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FA-4877-AAE0-377665A024D6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Production size [m2]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FA-4877-AAE0-377665A024D6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No. blue collar workers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FA-4877-AAE0-377665A024D6}"/>
                  </c:ext>
                </c:extLst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No. new injection moulding machines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7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16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FA-4877-AAE0-377665A024D6}"/>
                  </c:ext>
                </c:extLst>
              </c15:ser>
            </c15:filteredLineSeries>
            <c15:filteredLineSeries>
              <c15:ser>
                <c:idx val="1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No. injection moulding machines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0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4FA-4877-AAE0-377665A024D6}"/>
                  </c:ext>
                </c:extLst>
              </c15:ser>
            </c15:filteredLineSeries>
            <c15:filteredLineSeries>
              <c15:ser>
                <c:idx val="1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Cost per new injection moulding machine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60000</c:v>
                      </c:pt>
                      <c:pt idx="1">
                        <c:v>60000</c:v>
                      </c:pt>
                      <c:pt idx="2">
                        <c:v>60000</c:v>
                      </c:pt>
                      <c:pt idx="3">
                        <c:v>60000</c:v>
                      </c:pt>
                      <c:pt idx="4">
                        <c:v>60000</c:v>
                      </c:pt>
                      <c:pt idx="5">
                        <c:v>60000</c:v>
                      </c:pt>
                      <c:pt idx="6">
                        <c:v>60000</c:v>
                      </c:pt>
                      <c:pt idx="7">
                        <c:v>60000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4FA-4877-AAE0-377665A024D6}"/>
                  </c:ext>
                </c:extLst>
              </c15:ser>
            </c15:filteredLineSeries>
            <c15:filteredLineSeries>
              <c15:ser>
                <c:idx val="17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No. new storage racks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4FA-4877-AAE0-377665A024D6}"/>
                  </c:ext>
                </c:extLst>
              </c15:ser>
            </c15:filteredLineSeries>
            <c15:filteredLineSeries>
              <c15:ser>
                <c:idx val="1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No. storage racks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4FA-4877-AAE0-377665A024D6}"/>
                  </c:ext>
                </c:extLst>
              </c15:ser>
            </c15:filteredLineSeries>
            <c15:filteredLineSeries>
              <c15:ser>
                <c:idx val="19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No. new one-color head decorator machines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4FA-4877-AAE0-377665A024D6}"/>
                  </c:ext>
                </c:extLst>
              </c15:ser>
            </c15:filteredLineSeries>
            <c15:filteredLineSeries>
              <c15:ser>
                <c:idx val="20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No. one-color head decorator machines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Sheet1!$W$2:$W$9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4FA-4877-AAE0-377665A024D6}"/>
                  </c:ext>
                </c:extLst>
              </c15:ser>
            </c15:filteredLineSeries>
            <c15:filteredLineSeries>
              <c15:ser>
                <c:idx val="21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Cost per new one-color head decorator machines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60000</c:v>
                      </c:pt>
                      <c:pt idx="1">
                        <c:v>60000</c:v>
                      </c:pt>
                      <c:pt idx="2">
                        <c:v>60000</c:v>
                      </c:pt>
                      <c:pt idx="3">
                        <c:v>60000</c:v>
                      </c:pt>
                      <c:pt idx="4">
                        <c:v>60000</c:v>
                      </c:pt>
                      <c:pt idx="5">
                        <c:v>60000</c:v>
                      </c:pt>
                      <c:pt idx="6">
                        <c:v>60000</c:v>
                      </c:pt>
                      <c:pt idx="7">
                        <c:v>60000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4FA-4877-AAE0-377665A024D6}"/>
                  </c:ext>
                </c:extLst>
              </c15:ser>
            </c15:filteredLineSeries>
            <c15:filteredLineSeries>
              <c15:ser>
                <c:idx val="22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No. new one-color UB decorator machines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Sheet1!$Y$2:$Y$9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4FA-4877-AAE0-377665A024D6}"/>
                  </c:ext>
                </c:extLst>
              </c15:ser>
            </c15:filteredLineSeries>
            <c15:filteredLineSeries>
              <c15:ser>
                <c:idx val="23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No. one-color UB decorator machines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4FA-4877-AAE0-377665A024D6}"/>
                  </c:ext>
                </c:extLst>
              </c15:ser>
            </c15:filteredLineSeries>
            <c15:filteredLineSeries>
              <c15:ser>
                <c:idx val="24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Cost per new one-color UB decorator machines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60000</c:v>
                      </c:pt>
                      <c:pt idx="1">
                        <c:v>60000</c:v>
                      </c:pt>
                      <c:pt idx="2">
                        <c:v>60000</c:v>
                      </c:pt>
                      <c:pt idx="3">
                        <c:v>60000</c:v>
                      </c:pt>
                      <c:pt idx="4">
                        <c:v>60000</c:v>
                      </c:pt>
                      <c:pt idx="5">
                        <c:v>60000</c:v>
                      </c:pt>
                      <c:pt idx="6">
                        <c:v>60000</c:v>
                      </c:pt>
                      <c:pt idx="7">
                        <c:v>60000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4FA-4877-AAE0-377665A024D6}"/>
                  </c:ext>
                </c:extLst>
              </c15:ser>
            </c15:filteredLineSeries>
            <c15:filteredLineSeries>
              <c15:ser>
                <c:idx val="25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No.  White collar employees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4FA-4877-AAE0-377665A024D6}"/>
                  </c:ext>
                </c:extLst>
              </c15:ser>
            </c15:filteredLineSeries>
            <c15:filteredLineSeries>
              <c15:ser>
                <c:idx val="26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No. new moulds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14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4FA-4877-AAE0-377665A024D6}"/>
                  </c:ext>
                </c:extLst>
              </c15:ser>
            </c15:filteredLineSeries>
            <c15:filteredLine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No. moulds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4FA-4877-AAE0-377665A024D6}"/>
                  </c:ext>
                </c:extLst>
              </c15:ser>
            </c15:filteredLineSeries>
            <c15:filteredLine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Cost mould development per mould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4FA-4877-AAE0-377665A024D6}"/>
                  </c:ext>
                </c:extLst>
              </c15:ser>
            </c15:filteredLineSeries>
            <c15:filteredLineSeries>
              <c15:ser>
                <c:idx val="29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Cost material &amp; production per mould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  <c:pt idx="6">
                        <c:v>30000</c:v>
                      </c:pt>
                      <c:pt idx="7">
                        <c:v>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4FA-4877-AAE0-377665A024D6}"/>
                  </c:ext>
                </c:extLst>
              </c15:ser>
            </c15:filteredLineSeries>
            <c15:filteredLineSeries>
              <c15:ser>
                <c:idx val="30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Total cost per new mould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40000</c:v>
                      </c:pt>
                      <c:pt idx="1">
                        <c:v>40000</c:v>
                      </c:pt>
                      <c:pt idx="2">
                        <c:v>40000</c:v>
                      </c:pt>
                      <c:pt idx="3">
                        <c:v>40000</c:v>
                      </c:pt>
                      <c:pt idx="4">
                        <c:v>40000</c:v>
                      </c:pt>
                      <c:pt idx="5">
                        <c:v>40000</c:v>
                      </c:pt>
                      <c:pt idx="6">
                        <c:v>40000</c:v>
                      </c:pt>
                      <c:pt idx="7">
                        <c:v>40000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4FA-4877-AAE0-377665A024D6}"/>
                  </c:ext>
                </c:extLst>
              </c15:ser>
            </c15:filteredLineSeries>
            <c15:filteredLineSeries>
              <c15:ser>
                <c:idx val="31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Depr. Per mould [€/year]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13333.3</c:v>
                      </c:pt>
                      <c:pt idx="1">
                        <c:v>13333.3</c:v>
                      </c:pt>
                      <c:pt idx="2">
                        <c:v>13333.3</c:v>
                      </c:pt>
                      <c:pt idx="3">
                        <c:v>13333.3</c:v>
                      </c:pt>
                      <c:pt idx="4">
                        <c:v>13333.3</c:v>
                      </c:pt>
                      <c:pt idx="5">
                        <c:v>13333.3</c:v>
                      </c:pt>
                      <c:pt idx="6">
                        <c:v>13333.3</c:v>
                      </c:pt>
                      <c:pt idx="7">
                        <c:v>13333.3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4FA-4877-AAE0-377665A024D6}"/>
                  </c:ext>
                </c:extLst>
              </c15:ser>
            </c15:filteredLineSeries>
            <c15:filteredLineSeries>
              <c15:ser>
                <c:idx val="32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Cost of operations per decorator machine [€/hr]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84FA-4877-AAE0-377665A024D6}"/>
                  </c:ext>
                </c:extLst>
              </c15:ser>
            </c15:filteredLineSeries>
            <c15:filteredLineSeries>
              <c15:ser>
                <c:idx val="33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Cost of operations per injection moulding machine [€/hr]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4FA-4877-AAE0-377665A024D6}"/>
                  </c:ext>
                </c:extLst>
              </c15:ser>
            </c15:filteredLineSeries>
            <c15:filteredLineSeries>
              <c15:ser>
                <c:idx val="34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Space requrement per injection modling machine [m2]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Sheet1!$AK$2:$AK$9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18</c:v>
                      </c:pt>
                      <c:pt idx="3">
                        <c:v>18</c:v>
                      </c:pt>
                      <c:pt idx="4">
                        <c:v>18</c:v>
                      </c:pt>
                      <c:pt idx="5">
                        <c:v>18</c:v>
                      </c:pt>
                      <c:pt idx="6">
                        <c:v>18</c:v>
                      </c:pt>
                      <c:pt idx="7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4FA-4877-AAE0-377665A024D6}"/>
                  </c:ext>
                </c:extLst>
              </c15:ser>
            </c15:filteredLineSeries>
            <c15:filteredLineSeries>
              <c15:ser>
                <c:idx val="35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Capacity per injection moulding machine [parts/hr]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Sheet1!$AL$2:$AL$9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4FA-4877-AAE0-377665A024D6}"/>
                  </c:ext>
                </c:extLst>
              </c15:ser>
            </c15:filteredLineSeries>
            <c15:filteredLineSeries>
              <c15:ser>
                <c:idx val="36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Man power per injection moulding machine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Sheet1!$AM$2:$AM$9</c15:sqref>
                        </c15:formulaRef>
                      </c:ext>
                    </c:extLst>
                    <c:numCache>
                      <c:formatCode>#,##0.000</c:formatCode>
                      <c:ptCount val="8"/>
                      <c:pt idx="0">
                        <c:v>0.33333333333333331</c:v>
                      </c:pt>
                      <c:pt idx="1">
                        <c:v>0.33333333333333331</c:v>
                      </c:pt>
                      <c:pt idx="2">
                        <c:v>0.33333333333333331</c:v>
                      </c:pt>
                      <c:pt idx="3">
                        <c:v>0.33333333333333331</c:v>
                      </c:pt>
                      <c:pt idx="4">
                        <c:v>0.33333333333333331</c:v>
                      </c:pt>
                      <c:pt idx="5">
                        <c:v>0.33333333333333331</c:v>
                      </c:pt>
                      <c:pt idx="6">
                        <c:v>0.33333333333333331</c:v>
                      </c:pt>
                      <c:pt idx="7">
                        <c:v>0.33333333333333331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84FA-4877-AAE0-377665A024D6}"/>
                  </c:ext>
                </c:extLst>
              </c15:ser>
            </c15:filteredLineSeries>
            <c15:filteredLineSeries>
              <c15:ser>
                <c:idx val="37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Depriciation per injection moulding machine [€/year]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Sheet1!$AN$2:$AN$9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7500</c:v>
                      </c:pt>
                      <c:pt idx="1">
                        <c:v>7500</c:v>
                      </c:pt>
                      <c:pt idx="2">
                        <c:v>7500</c:v>
                      </c:pt>
                      <c:pt idx="3">
                        <c:v>7500</c:v>
                      </c:pt>
                      <c:pt idx="4">
                        <c:v>7500</c:v>
                      </c:pt>
                      <c:pt idx="5">
                        <c:v>7500</c:v>
                      </c:pt>
                      <c:pt idx="6">
                        <c:v>7500</c:v>
                      </c:pt>
                      <c:pt idx="7">
                        <c:v>7500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4FA-4877-AAE0-377665A024D6}"/>
                  </c:ext>
                </c:extLst>
              </c15:ser>
            </c15:filteredLineSeries>
            <c15:filteredLineSeries>
              <c15:ser>
                <c:idx val="38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Depreciation per decoration machine [€/year]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Sheet1!$AO$2:$AO$9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15000</c:v>
                      </c:pt>
                      <c:pt idx="1">
                        <c:v>15000</c:v>
                      </c:pt>
                      <c:pt idx="2">
                        <c:v>15000</c:v>
                      </c:pt>
                      <c:pt idx="3">
                        <c:v>15000</c:v>
                      </c:pt>
                      <c:pt idx="4">
                        <c:v>15000</c:v>
                      </c:pt>
                      <c:pt idx="5">
                        <c:v>15000</c:v>
                      </c:pt>
                      <c:pt idx="6">
                        <c:v>15000</c:v>
                      </c:pt>
                      <c:pt idx="7">
                        <c:v>15000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84FA-4877-AAE0-377665A024D6}"/>
                  </c:ext>
                </c:extLst>
              </c15:ser>
            </c15:filteredLineSeries>
            <c15:filteredLineSeries>
              <c15:ser>
                <c:idx val="39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Space requrement per decorating machine [m2]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Sheet1!$AP$2:$AP$9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18</c:v>
                      </c:pt>
                      <c:pt idx="3">
                        <c:v>18</c:v>
                      </c:pt>
                      <c:pt idx="4">
                        <c:v>18</c:v>
                      </c:pt>
                      <c:pt idx="5">
                        <c:v>18</c:v>
                      </c:pt>
                      <c:pt idx="6">
                        <c:v>18</c:v>
                      </c:pt>
                      <c:pt idx="7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84FA-4877-AAE0-377665A024D6}"/>
                  </c:ext>
                </c:extLst>
              </c15:ser>
            </c15:filteredLineSeries>
            <c15:filteredLineSeries>
              <c15:ser>
                <c:idx val="40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Capacity per decoration machine [parts/hr]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Sheet1!$AQ$2:$AQ$9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4FA-4877-AAE0-377665A024D6}"/>
                  </c:ext>
                </c:extLst>
              </c15:ser>
            </c15:filteredLineSeries>
            <c15:filteredLineSeries>
              <c15:ser>
                <c:idx val="41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</c15:sqref>
                        </c15:formulaRef>
                      </c:ext>
                    </c:extLst>
                    <c:strCache>
                      <c:ptCount val="1"/>
                      <c:pt idx="0">
                        <c:v>Man power needed per decoration machine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Sheet1!$AR$2:$AR$9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84FA-4877-AAE0-377665A024D6}"/>
                  </c:ext>
                </c:extLst>
              </c15:ser>
            </c15:filteredLineSeries>
            <c15:filteredLineSeries>
              <c15:ser>
                <c:idx val="42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</c15:sqref>
                        </c15:formulaRef>
                      </c:ext>
                    </c:extLst>
                    <c:strCache>
                      <c:ptCount val="1"/>
                      <c:pt idx="0">
                        <c:v>Cost per storage rack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Sheet1!$AS$2:$AS$9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60000</c:v>
                      </c:pt>
                      <c:pt idx="1">
                        <c:v>60000</c:v>
                      </c:pt>
                      <c:pt idx="2">
                        <c:v>60000</c:v>
                      </c:pt>
                      <c:pt idx="3">
                        <c:v>60000</c:v>
                      </c:pt>
                      <c:pt idx="4">
                        <c:v>60000</c:v>
                      </c:pt>
                      <c:pt idx="5">
                        <c:v>60000</c:v>
                      </c:pt>
                      <c:pt idx="6">
                        <c:v>60000</c:v>
                      </c:pt>
                      <c:pt idx="7">
                        <c:v>60000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84FA-4877-AAE0-377665A024D6}"/>
                  </c:ext>
                </c:extLst>
              </c15:ser>
            </c15:filteredLineSeries>
            <c15:filteredLineSeries>
              <c15:ser>
                <c:idx val="43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Capacity per storage rack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Sheet1!$AT$2:$AT$9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80000000</c:v>
                      </c:pt>
                      <c:pt idx="1">
                        <c:v>80000000</c:v>
                      </c:pt>
                      <c:pt idx="2">
                        <c:v>80000000</c:v>
                      </c:pt>
                      <c:pt idx="3">
                        <c:v>80000000</c:v>
                      </c:pt>
                      <c:pt idx="4">
                        <c:v>80000000</c:v>
                      </c:pt>
                      <c:pt idx="5">
                        <c:v>80000000</c:v>
                      </c:pt>
                      <c:pt idx="6">
                        <c:v>80000000</c:v>
                      </c:pt>
                      <c:pt idx="7">
                        <c:v>80000000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84FA-4877-AAE0-377665A024D6}"/>
                  </c:ext>
                </c:extLst>
              </c15:ser>
            </c15:filteredLineSeries>
            <c15:filteredLineSeries>
              <c15:ser>
                <c:idx val="44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Wage pr blue collar worker [€/hr]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Sheet1!$AU$2:$AU$9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84FA-4877-AAE0-377665A024D6}"/>
                  </c:ext>
                </c:extLst>
              </c15:ser>
            </c15:filteredLineSeries>
            <c15:filteredLineSeries>
              <c15:ser>
                <c:idx val="45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Wage pr white collar worker [€/year]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Sheet1!$AV$2:$AV$9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52000</c:v>
                      </c:pt>
                      <c:pt idx="1">
                        <c:v>52000</c:v>
                      </c:pt>
                      <c:pt idx="2">
                        <c:v>52000</c:v>
                      </c:pt>
                      <c:pt idx="3">
                        <c:v>52000</c:v>
                      </c:pt>
                      <c:pt idx="4">
                        <c:v>52000</c:v>
                      </c:pt>
                      <c:pt idx="5">
                        <c:v>52000</c:v>
                      </c:pt>
                      <c:pt idx="6">
                        <c:v>52000</c:v>
                      </c:pt>
                      <c:pt idx="7">
                        <c:v>52000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84FA-4877-AAE0-377665A024D6}"/>
                  </c:ext>
                </c:extLst>
              </c15:ser>
            </c15:filteredLineSeries>
            <c15:filteredLineSeries>
              <c15:ser>
                <c:idx val="46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Rent [(€/m2)/year]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Sheet1!$AW$2:$AW$9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55</c:v>
                      </c:pt>
                      <c:pt idx="1">
                        <c:v>55</c:v>
                      </c:pt>
                      <c:pt idx="2">
                        <c:v>55</c:v>
                      </c:pt>
                      <c:pt idx="3">
                        <c:v>55</c:v>
                      </c:pt>
                      <c:pt idx="4">
                        <c:v>55</c:v>
                      </c:pt>
                      <c:pt idx="5">
                        <c:v>55</c:v>
                      </c:pt>
                      <c:pt idx="6">
                        <c:v>55</c:v>
                      </c:pt>
                      <c:pt idx="7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84FA-4877-AAE0-377665A024D6}"/>
                  </c:ext>
                </c:extLst>
              </c15:ser>
            </c15:filteredLineSeries>
            <c15:filteredLineSeries>
              <c15:ser>
                <c:idx val="47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</c15:sqref>
                        </c15:formulaRef>
                      </c:ext>
                    </c:extLst>
                    <c:strCache>
                      <c:ptCount val="1"/>
                      <c:pt idx="0">
                        <c:v>Cash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Sheet1!$AX$2:$AX$9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420000</c:v>
                      </c:pt>
                      <c:pt idx="1">
                        <c:v>1048060</c:v>
                      </c:pt>
                      <c:pt idx="2">
                        <c:v>1840120</c:v>
                      </c:pt>
                      <c:pt idx="3">
                        <c:v>1263540</c:v>
                      </c:pt>
                      <c:pt idx="4">
                        <c:v>3819220</c:v>
                      </c:pt>
                      <c:pt idx="5">
                        <c:v>691179.99999999977</c:v>
                      </c:pt>
                      <c:pt idx="6">
                        <c:v>1756910.0000000007</c:v>
                      </c:pt>
                      <c:pt idx="7">
                        <c:v>2822640.0000000019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84FA-4877-AAE0-377665A024D6}"/>
                  </c:ext>
                </c:extLst>
              </c15:ser>
            </c15:filteredLineSeries>
            <c15:filteredLineSeries>
              <c15:ser>
                <c:idx val="48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</c15:sqref>
                        </c15:formulaRef>
                      </c:ext>
                    </c:extLst>
                    <c:strCache>
                      <c:ptCount val="1"/>
                      <c:pt idx="0">
                        <c:v>Machines/equipment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Sheet1!$AY$2:$AY$9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460000.3</c:v>
                      </c:pt>
                      <c:pt idx="1">
                        <c:v>244167.3</c:v>
                      </c:pt>
                      <c:pt idx="2">
                        <c:v>88334.299999999988</c:v>
                      </c:pt>
                      <c:pt idx="3">
                        <c:v>1505001.3</c:v>
                      </c:pt>
                      <c:pt idx="4">
                        <c:v>945002.10000000009</c:v>
                      </c:pt>
                      <c:pt idx="5">
                        <c:v>585002.90000000014</c:v>
                      </c:pt>
                      <c:pt idx="6">
                        <c:v>-16662.899999999907</c:v>
                      </c:pt>
                      <c:pt idx="7">
                        <c:v>-618328.69999999995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84FA-4877-AAE0-377665A024D6}"/>
                  </c:ext>
                </c:extLst>
              </c15:ser>
            </c15:filteredLineSeries>
            <c15:filteredLineSeries>
              <c15:ser>
                <c:idx val="49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Sheet1!$AZ$1</c15:sqref>
                        </c15:formulaRef>
                      </c:ext>
                    </c:extLst>
                    <c:strCache>
                      <c:ptCount val="1"/>
                      <c:pt idx="0">
                        <c:v>Capital stock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Sheet1!$AZ$2:$AZ$9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1000000</c:v>
                      </c:pt>
                      <c:pt idx="1">
                        <c:v>1000000</c:v>
                      </c:pt>
                      <c:pt idx="2">
                        <c:v>1000000</c:v>
                      </c:pt>
                      <c:pt idx="3">
                        <c:v>1000000</c:v>
                      </c:pt>
                      <c:pt idx="4">
                        <c:v>1000000</c:v>
                      </c:pt>
                      <c:pt idx="5">
                        <c:v>1000000</c:v>
                      </c:pt>
                      <c:pt idx="6">
                        <c:v>1000000</c:v>
                      </c:pt>
                      <c:pt idx="7">
                        <c:v>1000000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4FA-4877-AAE0-377665A024D6}"/>
                  </c:ext>
                </c:extLst>
              </c15:ser>
            </c15:filteredLineSeries>
            <c15:filteredLineSeries>
              <c15:ser>
                <c:idx val="50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Sheet1!$BA$1</c15:sqref>
                        </c15:formulaRef>
                      </c:ext>
                    </c:extLst>
                    <c:strCache>
                      <c:ptCount val="1"/>
                      <c:pt idx="0">
                        <c:v>Total assets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Sheet1!$BA$2:$BA$9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880000.3</c:v>
                      </c:pt>
                      <c:pt idx="1">
                        <c:v>1292227.3</c:v>
                      </c:pt>
                      <c:pt idx="2">
                        <c:v>1928454.3</c:v>
                      </c:pt>
                      <c:pt idx="3">
                        <c:v>2768541.3</c:v>
                      </c:pt>
                      <c:pt idx="4">
                        <c:v>4764222.0999999996</c:v>
                      </c:pt>
                      <c:pt idx="5">
                        <c:v>1276182.8999999999</c:v>
                      </c:pt>
                      <c:pt idx="6">
                        <c:v>1740247.1000000008</c:v>
                      </c:pt>
                      <c:pt idx="7">
                        <c:v>2204311.3000000017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84FA-4877-AAE0-377665A024D6}"/>
                  </c:ext>
                </c:extLst>
              </c15:ser>
            </c15:filteredLineSeries>
            <c15:filteredLineSeries>
              <c15:ser>
                <c:idx val="51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Sheet1!$BB$1</c15:sqref>
                        </c15:formulaRef>
                      </c:ext>
                    </c:extLst>
                    <c:strCache>
                      <c:ptCount val="1"/>
                      <c:pt idx="0">
                        <c:v>Retained earnings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Sheet1!$BB$2:$BB$9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-119999.7</c:v>
                      </c:pt>
                      <c:pt idx="1">
                        <c:v>412227</c:v>
                      </c:pt>
                      <c:pt idx="2">
                        <c:v>636227</c:v>
                      </c:pt>
                      <c:pt idx="3">
                        <c:v>840087</c:v>
                      </c:pt>
                      <c:pt idx="4">
                        <c:v>1995680.8</c:v>
                      </c:pt>
                      <c:pt idx="5">
                        <c:v>-3488039.2</c:v>
                      </c:pt>
                      <c:pt idx="6">
                        <c:v>464064.20000000088</c:v>
                      </c:pt>
                      <c:pt idx="7">
                        <c:v>464064.20000000088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84FA-4877-AAE0-377665A024D6}"/>
                  </c:ext>
                </c:extLst>
              </c15:ser>
            </c15:filteredLineSeries>
            <c15:filteredLineSeries>
              <c15:ser>
                <c:idx val="52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Sheet1!$BC$1</c15:sqref>
                        </c15:formulaRef>
                      </c:ext>
                    </c:extLst>
                    <c:strCache>
                      <c:ptCount val="1"/>
                      <c:pt idx="0">
                        <c:v>Cumulative retained earnings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Sheet1!$BC$2:$BC$9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-119999.7</c:v>
                      </c:pt>
                      <c:pt idx="1">
                        <c:v>292227.3</c:v>
                      </c:pt>
                      <c:pt idx="2">
                        <c:v>928454.3</c:v>
                      </c:pt>
                      <c:pt idx="3">
                        <c:v>1768541.3</c:v>
                      </c:pt>
                      <c:pt idx="4">
                        <c:v>3764222.1</c:v>
                      </c:pt>
                      <c:pt idx="5">
                        <c:v>276182.89999999991</c:v>
                      </c:pt>
                      <c:pt idx="6">
                        <c:v>740247.10000000079</c:v>
                      </c:pt>
                      <c:pt idx="7">
                        <c:v>1204311.3000000017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84FA-4877-AAE0-377665A024D6}"/>
                  </c:ext>
                </c:extLst>
              </c15:ser>
            </c15:filteredLineSeries>
            <c15:filteredLineSeries>
              <c15:ser>
                <c:idx val="53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Sheet1!$BD$1</c15:sqref>
                        </c15:formulaRef>
                      </c:ext>
                    </c:extLst>
                    <c:strCache>
                      <c:ptCount val="1"/>
                      <c:pt idx="0">
                        <c:v>Total liabilities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Sheet1!$BD$2:$BD$9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880000.3</c:v>
                      </c:pt>
                      <c:pt idx="1">
                        <c:v>1292227.3</c:v>
                      </c:pt>
                      <c:pt idx="2">
                        <c:v>1928454.3</c:v>
                      </c:pt>
                      <c:pt idx="3">
                        <c:v>2768541.3</c:v>
                      </c:pt>
                      <c:pt idx="4">
                        <c:v>4764222.0999999996</c:v>
                      </c:pt>
                      <c:pt idx="5">
                        <c:v>1276182.8999999999</c:v>
                      </c:pt>
                      <c:pt idx="6">
                        <c:v>1740247.1000000008</c:v>
                      </c:pt>
                      <c:pt idx="7">
                        <c:v>2204311.3000000017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84FA-4877-AAE0-377665A024D6}"/>
                  </c:ext>
                </c:extLst>
              </c15:ser>
            </c15:filteredLineSeries>
            <c15:filteredLineSeries>
              <c15:ser>
                <c:idx val="54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Sheet1!$BE$1</c15:sqref>
                        </c15:formulaRef>
                      </c:ext>
                    </c:extLst>
                    <c:strCache>
                      <c:ptCount val="1"/>
                      <c:pt idx="0">
                        <c:v>Material cost per unit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Sheet1!$BE$2:$BE$9</c15:sqref>
                        </c15:formulaRef>
                      </c:ext>
                    </c:extLst>
                    <c:numCache>
                      <c:formatCode>#,##0.000</c:formatCode>
                      <c:ptCount val="8"/>
                      <c:pt idx="0">
                        <c:v>1.8000000000000002E-2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2.4E-2</c:v>
                      </c:pt>
                      <c:pt idx="5">
                        <c:v>2.4E-2</c:v>
                      </c:pt>
                      <c:pt idx="6">
                        <c:v>2.4E-2</c:v>
                      </c:pt>
                      <c:pt idx="7">
                        <c:v>2.4E-2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84FA-4877-AAE0-377665A024D6}"/>
                  </c:ext>
                </c:extLst>
              </c15:ser>
            </c15:filteredLineSeries>
            <c15:filteredLineSeries>
              <c15:ser>
                <c:idx val="55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Sheet1!$BF$1</c15:sqref>
                        </c15:formulaRef>
                      </c:ext>
                    </c:extLst>
                    <c:strCache>
                      <c:ptCount val="1"/>
                      <c:pt idx="0">
                        <c:v>Color cost per unit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Sheet1!$BF$2:$BF$9</c15:sqref>
                        </c15:formulaRef>
                      </c:ext>
                    </c:extLst>
                    <c:numCache>
                      <c:formatCode>#,##0.000</c:formatCode>
                      <c:ptCount val="8"/>
                      <c:pt idx="0">
                        <c:v>6.0000000000000001E-3</c:v>
                      </c:pt>
                      <c:pt idx="1">
                        <c:v>6.0000000000000001E-3</c:v>
                      </c:pt>
                      <c:pt idx="2">
                        <c:v>6.0000000000000001E-3</c:v>
                      </c:pt>
                      <c:pt idx="3">
                        <c:v>6.0000000000000001E-3</c:v>
                      </c:pt>
                      <c:pt idx="4">
                        <c:v>6.0000000000000001E-3</c:v>
                      </c:pt>
                      <c:pt idx="5">
                        <c:v>6.0000000000000001E-3</c:v>
                      </c:pt>
                      <c:pt idx="6">
                        <c:v>0.06</c:v>
                      </c:pt>
                      <c:pt idx="7">
                        <c:v>0.06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84FA-4877-AAE0-377665A024D6}"/>
                  </c:ext>
                </c:extLst>
              </c15:ser>
            </c15:filteredLineSeries>
            <c15:filteredLineSeries>
              <c15:ser>
                <c:idx val="56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Sheet1!$BG$1</c15:sqref>
                        </c15:formulaRef>
                      </c:ext>
                    </c:extLst>
                    <c:strCache>
                      <c:ptCount val="1"/>
                      <c:pt idx="0">
                        <c:v>Materials cost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Sheet1!$BG$2:$BG$9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</c:v>
                      </c:pt>
                      <c:pt idx="1">
                        <c:v>200000</c:v>
                      </c:pt>
                      <c:pt idx="2">
                        <c:v>220000</c:v>
                      </c:pt>
                      <c:pt idx="3">
                        <c:v>242000</c:v>
                      </c:pt>
                      <c:pt idx="4">
                        <c:v>726000</c:v>
                      </c:pt>
                      <c:pt idx="5">
                        <c:v>127776</c:v>
                      </c:pt>
                      <c:pt idx="6">
                        <c:v>798600.00000000012</c:v>
                      </c:pt>
                      <c:pt idx="7">
                        <c:v>798600.00000000012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84FA-4877-AAE0-377665A024D6}"/>
                  </c:ext>
                </c:extLst>
              </c15:ser>
            </c15:filteredLineSeries>
            <c15:filteredLineSeries>
              <c15:ser>
                <c:idx val="57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Sheet1!$BH$1</c15:sqref>
                        </c15:formulaRef>
                      </c:ext>
                    </c:extLst>
                    <c:strCache>
                      <c:ptCount val="1"/>
                      <c:pt idx="0">
                        <c:v>Color cost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Sheet1!$BH$2:$BH$9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</c:v>
                      </c:pt>
                      <c:pt idx="1">
                        <c:v>60000</c:v>
                      </c:pt>
                      <c:pt idx="2">
                        <c:v>66000</c:v>
                      </c:pt>
                      <c:pt idx="3">
                        <c:v>72600</c:v>
                      </c:pt>
                      <c:pt idx="4">
                        <c:v>181500</c:v>
                      </c:pt>
                      <c:pt idx="5">
                        <c:v>31944</c:v>
                      </c:pt>
                      <c:pt idx="6">
                        <c:v>1996500.0000000002</c:v>
                      </c:pt>
                      <c:pt idx="7">
                        <c:v>1996500.0000000002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84FA-4877-AAE0-377665A024D6}"/>
                  </c:ext>
                </c:extLst>
              </c15:ser>
            </c15:filteredLineSeries>
            <c15:filteredLineSeries>
              <c15:ser>
                <c:idx val="58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Sheet1!$BI$1</c15:sqref>
                        </c15:formulaRef>
                      </c:ext>
                    </c:extLst>
                    <c:strCache>
                      <c:ptCount val="1"/>
                      <c:pt idx="0">
                        <c:v>Labor cost per hour [€/hr]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Sheet1!$BI$2:$BI$9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</c:v>
                      </c:pt>
                      <c:pt idx="1">
                        <c:v>135</c:v>
                      </c:pt>
                      <c:pt idx="2">
                        <c:v>135</c:v>
                      </c:pt>
                      <c:pt idx="3">
                        <c:v>135</c:v>
                      </c:pt>
                      <c:pt idx="4">
                        <c:v>324</c:v>
                      </c:pt>
                      <c:pt idx="5">
                        <c:v>324</c:v>
                      </c:pt>
                      <c:pt idx="6">
                        <c:v>351</c:v>
                      </c:pt>
                      <c:pt idx="7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84FA-4877-AAE0-377665A024D6}"/>
                  </c:ext>
                </c:extLst>
              </c15:ser>
            </c15:filteredLineSeries>
            <c15:filteredLineSeries>
              <c15:ser>
                <c:idx val="59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Sheet1!$BJ$1</c15:sqref>
                        </c15:formulaRef>
                      </c:ext>
                    </c:extLst>
                    <c:strCache>
                      <c:ptCount val="1"/>
                      <c:pt idx="0">
                        <c:v>Labor cost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Sheet1!$BJ$2:$BJ$9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</c:v>
                      </c:pt>
                      <c:pt idx="1">
                        <c:v>1182600</c:v>
                      </c:pt>
                      <c:pt idx="2">
                        <c:v>1182600</c:v>
                      </c:pt>
                      <c:pt idx="3">
                        <c:v>1182600</c:v>
                      </c:pt>
                      <c:pt idx="4">
                        <c:v>2838240</c:v>
                      </c:pt>
                      <c:pt idx="5">
                        <c:v>2838240</c:v>
                      </c:pt>
                      <c:pt idx="6">
                        <c:v>3074760</c:v>
                      </c:pt>
                      <c:pt idx="7">
                        <c:v>3074760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84FA-4877-AAE0-377665A024D6}"/>
                  </c:ext>
                </c:extLst>
              </c15:ser>
            </c15:filteredLineSeries>
            <c15:filteredLineSeries>
              <c15:ser>
                <c:idx val="60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Sheet1!$BK$1</c15:sqref>
                        </c15:formulaRef>
                      </c:ext>
                    </c:extLst>
                    <c:strCache>
                      <c:ptCount val="1"/>
                      <c:pt idx="0">
                        <c:v>Operations cost per hour [€/hrs]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Sheet1!$BK$2:$BK$9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38</c:v>
                      </c:pt>
                      <c:pt idx="4">
                        <c:v>108</c:v>
                      </c:pt>
                      <c:pt idx="5">
                        <c:v>108</c:v>
                      </c:pt>
                      <c:pt idx="6">
                        <c:v>116</c:v>
                      </c:pt>
                      <c:pt idx="7">
                        <c:v>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84FA-4877-AAE0-377665A024D6}"/>
                  </c:ext>
                </c:extLst>
              </c15:ser>
            </c15:filteredLineSeries>
            <c15:filteredLineSeries>
              <c15:ser>
                <c:idx val="61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Sheet1!$BL$1</c15:sqref>
                        </c15:formulaRef>
                      </c:ext>
                    </c:extLst>
                    <c:strCache>
                      <c:ptCount val="1"/>
                      <c:pt idx="0">
                        <c:v>Operations cost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Sheet1!$BL$2:$BL$9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</c:v>
                      </c:pt>
                      <c:pt idx="1">
                        <c:v>297840</c:v>
                      </c:pt>
                      <c:pt idx="2">
                        <c:v>297840</c:v>
                      </c:pt>
                      <c:pt idx="3">
                        <c:v>332880</c:v>
                      </c:pt>
                      <c:pt idx="4">
                        <c:v>946080</c:v>
                      </c:pt>
                      <c:pt idx="5">
                        <c:v>946080</c:v>
                      </c:pt>
                      <c:pt idx="6">
                        <c:v>1016160</c:v>
                      </c:pt>
                      <c:pt idx="7">
                        <c:v>1016160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84FA-4877-AAE0-377665A024D6}"/>
                  </c:ext>
                </c:extLst>
              </c15:ser>
            </c15:filteredLineSeries>
            <c15:filteredLineSeries>
              <c15:ser>
                <c:idx val="62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Sheet1!$BM$1</c15:sqref>
                        </c15:formulaRef>
                      </c:ext>
                    </c:extLst>
                    <c:strCache>
                      <c:ptCount val="1"/>
                      <c:pt idx="0">
                        <c:v>Direct cost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Sheet1!$BM$2:$BM$9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</c:v>
                      </c:pt>
                      <c:pt idx="1">
                        <c:v>1740440</c:v>
                      </c:pt>
                      <c:pt idx="2">
                        <c:v>1766440</c:v>
                      </c:pt>
                      <c:pt idx="3">
                        <c:v>1830080</c:v>
                      </c:pt>
                      <c:pt idx="4">
                        <c:v>4691820</c:v>
                      </c:pt>
                      <c:pt idx="5">
                        <c:v>3944040</c:v>
                      </c:pt>
                      <c:pt idx="6">
                        <c:v>6886020</c:v>
                      </c:pt>
                      <c:pt idx="7">
                        <c:v>6886020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84FA-4877-AAE0-377665A024D6}"/>
                  </c:ext>
                </c:extLst>
              </c15:ser>
            </c15:filteredLineSeries>
            <c15:filteredLineSeries>
              <c15:ser>
                <c:idx val="63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Sheet1!$BN$1</c15:sqref>
                        </c15:formulaRef>
                      </c:ext>
                    </c:extLst>
                    <c:strCache>
                      <c:ptCount val="1"/>
                      <c:pt idx="0">
                        <c:v>Rent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Sheet1!$BN$2:$BN$9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</c:v>
                      </c:pt>
                      <c:pt idx="1">
                        <c:v>27500</c:v>
                      </c:pt>
                      <c:pt idx="2">
                        <c:v>27500</c:v>
                      </c:pt>
                      <c:pt idx="3">
                        <c:v>27500</c:v>
                      </c:pt>
                      <c:pt idx="4">
                        <c:v>55000</c:v>
                      </c:pt>
                      <c:pt idx="5">
                        <c:v>55000</c:v>
                      </c:pt>
                      <c:pt idx="6">
                        <c:v>55000</c:v>
                      </c:pt>
                      <c:pt idx="7">
                        <c:v>55000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84FA-4877-AAE0-377665A024D6}"/>
                  </c:ext>
                </c:extLst>
              </c15:ser>
            </c15:filteredLineSeries>
            <c15:filteredLineSeries>
              <c15:ser>
                <c:idx val="64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Sheet1!$BO$1</c15:sqref>
                        </c15:formulaRef>
                      </c:ext>
                    </c:extLst>
                    <c:strCache>
                      <c:ptCount val="1"/>
                      <c:pt idx="0">
                        <c:v>Administration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Sheet1!$BO$2:$BO$9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</c:v>
                      </c:pt>
                      <c:pt idx="1">
                        <c:v>104000</c:v>
                      </c:pt>
                      <c:pt idx="2">
                        <c:v>104000</c:v>
                      </c:pt>
                      <c:pt idx="3">
                        <c:v>104000</c:v>
                      </c:pt>
                      <c:pt idx="4">
                        <c:v>260000</c:v>
                      </c:pt>
                      <c:pt idx="5">
                        <c:v>260000</c:v>
                      </c:pt>
                      <c:pt idx="6">
                        <c:v>312000</c:v>
                      </c:pt>
                      <c:pt idx="7">
                        <c:v>312000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84FA-4877-AAE0-377665A024D6}"/>
                  </c:ext>
                </c:extLst>
              </c15:ser>
            </c15:filteredLineSeries>
            <c15:filteredLineSeries>
              <c15:ser>
                <c:idx val="65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Sheet1!$BP$1</c15:sqref>
                        </c15:formulaRef>
                      </c:ext>
                    </c:extLst>
                    <c:strCache>
                      <c:ptCount val="1"/>
                      <c:pt idx="0">
                        <c:v>Depr. Moulds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Sheet1!$BP$2:$BP$9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119999.7</c:v>
                      </c:pt>
                      <c:pt idx="1">
                        <c:v>133333</c:v>
                      </c:pt>
                      <c:pt idx="2">
                        <c:v>133333</c:v>
                      </c:pt>
                      <c:pt idx="3">
                        <c:v>133333</c:v>
                      </c:pt>
                      <c:pt idx="4">
                        <c:v>319999.19999999995</c:v>
                      </c:pt>
                      <c:pt idx="5">
                        <c:v>319999.19999999995</c:v>
                      </c:pt>
                      <c:pt idx="6">
                        <c:v>346665.8</c:v>
                      </c:pt>
                      <c:pt idx="7">
                        <c:v>346665.8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84FA-4877-AAE0-377665A024D6}"/>
                  </c:ext>
                </c:extLst>
              </c15:ser>
            </c15:filteredLineSeries>
            <c15:filteredLineSeries>
              <c15:ser>
                <c:idx val="66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Sheet1!$BQ$1</c15:sqref>
                        </c15:formulaRef>
                      </c:ext>
                    </c:extLst>
                    <c:strCache>
                      <c:ptCount val="1"/>
                      <c:pt idx="0">
                        <c:v>Depr. Inj. Mach.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Sheet1!$BQ$2:$BQ$9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</c:v>
                      </c:pt>
                      <c:pt idx="1">
                        <c:v>52500</c:v>
                      </c:pt>
                      <c:pt idx="2">
                        <c:v>52500</c:v>
                      </c:pt>
                      <c:pt idx="3">
                        <c:v>60000</c:v>
                      </c:pt>
                      <c:pt idx="4">
                        <c:v>180000</c:v>
                      </c:pt>
                      <c:pt idx="5">
                        <c:v>180000</c:v>
                      </c:pt>
                      <c:pt idx="6">
                        <c:v>195000</c:v>
                      </c:pt>
                      <c:pt idx="7">
                        <c:v>195000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84FA-4877-AAE0-377665A024D6}"/>
                  </c:ext>
                </c:extLst>
              </c15:ser>
            </c15:filteredLineSeries>
            <c15:filteredLineSeries>
              <c15:ser>
                <c:idx val="67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Sheet1!$BR$1</c15:sqref>
                        </c15:formulaRef>
                      </c:ext>
                    </c:extLst>
                    <c:strCache>
                      <c:ptCount val="1"/>
                      <c:pt idx="0">
                        <c:v>Depr. Deco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Sheet1!$BR$2:$BR$9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60000</c:v>
                      </c:pt>
                      <c:pt idx="5">
                        <c:v>60000</c:v>
                      </c:pt>
                      <c:pt idx="6">
                        <c:v>60000</c:v>
                      </c:pt>
                      <c:pt idx="7">
                        <c:v>60000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84FA-4877-AAE0-377665A024D6}"/>
                  </c:ext>
                </c:extLst>
              </c15:ser>
            </c15:filteredLineSeries>
            <c15:filteredLineSeries>
              <c15:ser>
                <c:idx val="68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Sheet1!$BS$1</c15:sqref>
                        </c15:formulaRef>
                      </c:ext>
                    </c:extLst>
                    <c:strCache>
                      <c:ptCount val="1"/>
                      <c:pt idx="0">
                        <c:v>Indirect cost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Sheet1!$BS$2:$BS$9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119999.7</c:v>
                      </c:pt>
                      <c:pt idx="1">
                        <c:v>347333</c:v>
                      </c:pt>
                      <c:pt idx="2">
                        <c:v>347333</c:v>
                      </c:pt>
                      <c:pt idx="3">
                        <c:v>354833</c:v>
                      </c:pt>
                      <c:pt idx="4">
                        <c:v>874999.2</c:v>
                      </c:pt>
                      <c:pt idx="5">
                        <c:v>874999.2</c:v>
                      </c:pt>
                      <c:pt idx="6">
                        <c:v>968665.8</c:v>
                      </c:pt>
                      <c:pt idx="7">
                        <c:v>968665.8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84FA-4877-AAE0-377665A024D6}"/>
                  </c:ext>
                </c:extLst>
              </c15:ser>
            </c15:filteredLineSeries>
            <c15:filteredLineSeries>
              <c15:ser>
                <c:idx val="69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Sheet1!$BT$1</c15:sqref>
                        </c15:formulaRef>
                      </c:ext>
                    </c:extLst>
                    <c:strCache>
                      <c:ptCount val="1"/>
                      <c:pt idx="0">
                        <c:v>Total cost [$]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Sheet1!$BT$2:$BT$9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119999.7</c:v>
                      </c:pt>
                      <c:pt idx="1">
                        <c:v>2087773</c:v>
                      </c:pt>
                      <c:pt idx="2">
                        <c:v>2113773</c:v>
                      </c:pt>
                      <c:pt idx="3">
                        <c:v>2184913</c:v>
                      </c:pt>
                      <c:pt idx="4">
                        <c:v>5566819.2000000002</c:v>
                      </c:pt>
                      <c:pt idx="5">
                        <c:v>4819039.2</c:v>
                      </c:pt>
                      <c:pt idx="6">
                        <c:v>7854685.7999999998</c:v>
                      </c:pt>
                      <c:pt idx="7">
                        <c:v>7854685.7999999998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84FA-4877-AAE0-377665A024D6}"/>
                  </c:ext>
                </c:extLst>
              </c15:ser>
            </c15:filteredLineSeries>
            <c15:filteredLineSeries>
              <c15:ser>
                <c:idx val="70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Sheet1!$BU$1</c15:sqref>
                        </c15:formulaRef>
                      </c:ext>
                    </c:extLst>
                    <c:strCache>
                      <c:ptCount val="1"/>
                      <c:pt idx="0">
                        <c:v>Total depreciation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Sheet1!$BU$2:$BU$9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119999.7</c:v>
                      </c:pt>
                      <c:pt idx="1">
                        <c:v>215833</c:v>
                      </c:pt>
                      <c:pt idx="2">
                        <c:v>215833</c:v>
                      </c:pt>
                      <c:pt idx="3">
                        <c:v>223333</c:v>
                      </c:pt>
                      <c:pt idx="4">
                        <c:v>559999.19999999995</c:v>
                      </c:pt>
                      <c:pt idx="5">
                        <c:v>559999.19999999995</c:v>
                      </c:pt>
                      <c:pt idx="6">
                        <c:v>601665.80000000005</c:v>
                      </c:pt>
                      <c:pt idx="7">
                        <c:v>601665.80000000005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84FA-4877-AAE0-377665A024D6}"/>
                  </c:ext>
                </c:extLst>
              </c15:ser>
            </c15:filteredLineSeries>
            <c15:filteredLineSeries>
              <c15:ser>
                <c:idx val="71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Sheet1!$BV$1</c15:sqref>
                        </c15:formulaRef>
                      </c:ext>
                    </c:extLst>
                    <c:strCache>
                      <c:ptCount val="1"/>
                      <c:pt idx="0">
                        <c:v>Total investment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Sheet1!$BV$2:$BV$9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580000</c:v>
                      </c:pt>
                      <c:pt idx="1">
                        <c:v>0</c:v>
                      </c:pt>
                      <c:pt idx="2">
                        <c:v>60000</c:v>
                      </c:pt>
                      <c:pt idx="3">
                        <c:v>1640000</c:v>
                      </c:pt>
                      <c:pt idx="4">
                        <c:v>0</c:v>
                      </c:pt>
                      <c:pt idx="5">
                        <c:v>200000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84FA-4877-AAE0-377665A024D6}"/>
                  </c:ext>
                </c:extLst>
              </c15:ser>
            </c15:filteredLineSeries>
            <c15:filteredLineSeries>
              <c15:ser>
                <c:idx val="72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Sheet1!$BW$1</c15:sqref>
                        </c15:formulaRef>
                      </c:ext>
                    </c:extLst>
                    <c:strCache>
                      <c:ptCount val="1"/>
                      <c:pt idx="0">
                        <c:v>Material &amp; color cost per unit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Sheet1!$BW$2:$BW$9</c15:sqref>
                        </c15:formulaRef>
                      </c:ext>
                    </c:extLst>
                    <c:numCache>
                      <c:formatCode>#,##0.000</c:formatCode>
                      <c:ptCount val="8"/>
                      <c:pt idx="0">
                        <c:v>2.4E-2</c:v>
                      </c:pt>
                      <c:pt idx="1">
                        <c:v>2.6000000000000002E-2</c:v>
                      </c:pt>
                      <c:pt idx="2">
                        <c:v>2.6000000000000002E-2</c:v>
                      </c:pt>
                      <c:pt idx="3">
                        <c:v>2.6000000000000002E-2</c:v>
                      </c:pt>
                      <c:pt idx="4">
                        <c:v>0.03</c:v>
                      </c:pt>
                      <c:pt idx="5">
                        <c:v>0.03</c:v>
                      </c:pt>
                      <c:pt idx="6">
                        <c:v>8.3999999999999991E-2</c:v>
                      </c:pt>
                      <c:pt idx="7">
                        <c:v>8.3999999999999991E-2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84FA-4877-AAE0-377665A024D6}"/>
                  </c:ext>
                </c:extLst>
              </c15:ser>
            </c15:filteredLineSeries>
            <c15:filteredLineSeries>
              <c15:ser>
                <c:idx val="73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Sheet1!$BX$1</c15:sqref>
                        </c15:formulaRef>
                      </c:ext>
                    </c:extLst>
                    <c:strCache>
                      <c:ptCount val="1"/>
                      <c:pt idx="0">
                        <c:v>Total sales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Sheet1!$BX$2:$BX$9</c15:sqref>
                        </c15:formulaRef>
                      </c:ext>
                    </c:extLst>
                    <c:numCache>
                      <c:formatCode>_-[$€-2]\ * #,##0.00_-;\-[$€-2]\ * #,##0.00_-;_-[$€-2]\ * "-"??_-;_-@_-</c:formatCode>
                      <c:ptCount val="8"/>
                      <c:pt idx="0">
                        <c:v>0</c:v>
                      </c:pt>
                      <c:pt idx="1">
                        <c:v>2500000</c:v>
                      </c:pt>
                      <c:pt idx="2">
                        <c:v>2750000</c:v>
                      </c:pt>
                      <c:pt idx="3">
                        <c:v>3025000</c:v>
                      </c:pt>
                      <c:pt idx="4">
                        <c:v>7562500</c:v>
                      </c:pt>
                      <c:pt idx="5">
                        <c:v>1331000</c:v>
                      </c:pt>
                      <c:pt idx="6">
                        <c:v>8318750.0000000009</c:v>
                      </c:pt>
                      <c:pt idx="7">
                        <c:v>8318750.0000000009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84FA-4877-AAE0-377665A024D6}"/>
                  </c:ext>
                </c:extLst>
              </c15:ser>
            </c15:filteredLineSeries>
            <c15:filteredLineSeries>
              <c15:ser>
                <c:idx val="74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Sheet1!$BY$1</c15:sqref>
                        </c15:formulaRef>
                      </c:ext>
                    </c:extLst>
                    <c:strCache>
                      <c:ptCount val="1"/>
                      <c:pt idx="0">
                        <c:v>Net income [€]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#,##0.00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Sheet1!$BY$2:$BY$9</c15:sqref>
                        </c15:formulaRef>
                      </c:ext>
                    </c:extLst>
                    <c:numCache>
                      <c:formatCode>_-[$€-2]\ * #,##0.00_-;\-[$€-2]\ * #,##0.00_-;_-[$€-2]\ * "-"??_-;_-@_-</c:formatCode>
                      <c:ptCount val="8"/>
                      <c:pt idx="0">
                        <c:v>-119999.7</c:v>
                      </c:pt>
                      <c:pt idx="1">
                        <c:v>412227</c:v>
                      </c:pt>
                      <c:pt idx="2">
                        <c:v>636227</c:v>
                      </c:pt>
                      <c:pt idx="3">
                        <c:v>840087</c:v>
                      </c:pt>
                      <c:pt idx="4">
                        <c:v>1995680.8</c:v>
                      </c:pt>
                      <c:pt idx="5">
                        <c:v>-3488039.2</c:v>
                      </c:pt>
                      <c:pt idx="6">
                        <c:v>464064.20000000088</c:v>
                      </c:pt>
                      <c:pt idx="7">
                        <c:v>464064.20000000088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84FA-4877-AAE0-377665A024D6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1"/>
          <c:order val="78"/>
          <c:tx>
            <c:v>Break even point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Sheet1!$CC$9</c:f>
                <c:numCache>
                  <c:formatCode>General</c:formatCode>
                  <c:ptCount val="1"/>
                  <c:pt idx="0">
                    <c:v>-32601688.700000003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  <a:round/>
              </a:ln>
              <a:effectLst/>
            </c:spPr>
          </c:errBars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Sheet1!$CG$3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  <a:round/>
              </a:ln>
              <a:effectLst/>
            </c:spPr>
          </c:errBars>
          <c:xVal>
            <c:numRef>
              <c:f>Sheet1!$CG$3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Sheet1!$CG$2:$CG$3</c:f>
              <c:numCache>
                <c:formatCode>General</c:formatCode>
                <c:ptCount val="2"/>
                <c:pt idx="0" formatCode="#,##0.00">
                  <c:v>1484222.1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84FA-4877-AAE0-377665A0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04224"/>
        <c:axId val="977002560"/>
      </c:scatterChart>
      <c:catAx>
        <c:axId val="9770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02560"/>
        <c:crosses val="autoZero"/>
        <c:auto val="1"/>
        <c:lblAlgn val="ctr"/>
        <c:lblOffset val="100"/>
        <c:noMultiLvlLbl val="0"/>
      </c:catAx>
      <c:valAx>
        <c:axId val="9770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62891517234187"/>
          <c:y val="0.17847291438111682"/>
          <c:w val="0.2513710325209968"/>
          <c:h val="0.82152716801402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3661</xdr:colOff>
      <xdr:row>19</xdr:row>
      <xdr:rowOff>109904</xdr:rowOff>
    </xdr:from>
    <xdr:to>
      <xdr:col>4</xdr:col>
      <xdr:colOff>1102702</xdr:colOff>
      <xdr:row>27</xdr:row>
      <xdr:rowOff>102577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FE0A986-9674-1769-7127-50ABF92E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B69715-0E2D-42FA-BC33-B2DA51C6BBBE}" name="Table1" displayName="Table1" ref="A1:CI9" headerRowDxfId="92" dataDxfId="91" totalsRowDxfId="90">
  <autoFilter ref="A1:CI9" xr:uid="{2FB69715-0E2D-42FA-BC33-B2DA51C6BB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</autoFilter>
  <tableColumns count="87">
    <tableColumn id="80" xr3:uid="{27F758FD-448B-42F1-8630-29B6117C18E3}" name="Decision" dataDxfId="89"/>
    <tableColumn id="77" xr3:uid="{A2328BBB-1918-4922-A147-4CE5A4705BE4}" name="Year / series" totalsRowLabel="Total" dataDxfId="88"/>
    <tableColumn id="1" xr3:uid="{349CB9AA-1D6F-4223-A1D5-6F751354136B}" name="Units in series" dataDxfId="87" dataCellStyle="Good">
      <calculatedColumnFormula>A12</calculatedColumnFormula>
    </tableColumn>
    <tableColumn id="71" xr3:uid="{40D0243B-D639-4956-B3C3-12EC07689AA6}" name="Max capacity" dataDxfId="86" dataCellStyle="Input">
      <calculatedColumnFormula>IF(Table1[[#This Row],[Capacity moulding]]&lt;Table1[[#This Row],[Capacity decorating]],Table1[[#This Row],[Capacity moulding]],Table1[[#This Row],[Capacity decorating]])</calculatedColumnFormula>
    </tableColumn>
    <tableColumn id="75" xr3:uid="{41A4EAA7-49C2-4CA0-A844-8DD5AF3ECD82}" name="Capacity moulding" dataDxfId="85">
      <calculatedColumnFormula>Table1[[#This Row],[Capacity per injection moulding machine '[parts/hr']]]* Table1[[#This Row],[No. injection moulding machines]]*Table1[[#This Row],[Normal yearly production time '[hrs']]]/Table1[[#This Row],[Elements per unit]]</calculatedColumnFormula>
    </tableColumn>
    <tableColumn id="79" xr3:uid="{B89A10EF-797D-4649-A046-19C55ADA13CD}" name="Capacity decorating" dataDxfId="16">
      <calculatedColumnFormula>IF((Table1[[#This Row],[Capacity per decoration machine '[parts/hr']]]*Table1[[#This Row],[No. one-color head decorator machines]]*Table1[[#This Row],[Normal yearly production time '[hrs']]])&lt;(Table1[[#This Row],[Capacity per decoration machine '[parts/hr']]]*Table1[[#This Row],[No. one-color UB decorator machines]]*Table1[[#This Row],[Normal yearly production time '[hrs']]]), Table1[[#This Row],[Capacity per decoration machine '[parts/hr']]]*Table1[[#This Row],[No. one-color head decorator machines]]*Table1[[#This Row],[Normal yearly production time '[hrs']]], Table1[[#This Row],[Capacity per decoration machine '[parts/hr']]]*Table1[[#This Row],[No. one-color UB decorator machines]]*Table1[[#This Row],[Normal yearly production time '[hrs']]])</calculatedColumnFormula>
    </tableColumn>
    <tableColumn id="2" xr3:uid="{315234EC-F863-4F52-A4A0-5D707E5D866D}" name="Cost per part [$]" dataDxfId="15">
      <calculatedColumnFormula>0.002</calculatedColumnFormula>
    </tableColumn>
    <tableColumn id="3" xr3:uid="{47836EAD-C143-4744-8FC3-EEB5B6FD583A}" name="Cost per color [$]" dataDxfId="13">
      <calculatedColumnFormula>0.003</calculatedColumnFormula>
    </tableColumn>
    <tableColumn id="4" xr3:uid="{1B5E5F1B-D7FA-4115-8F1A-68ACCE2FE1CF}" name="Elements per unit" dataDxfId="14" dataCellStyle="Good">
      <calculatedColumnFormula>B12</calculatedColumnFormula>
    </tableColumn>
    <tableColumn id="88" xr3:uid="{EDB5668C-D06E-432B-8859-C2DBCB86E3D2}" name="No. different elements" dataDxfId="84" dataCellStyle="Good">
      <calculatedColumnFormula>C12</calculatedColumnFormula>
    </tableColumn>
    <tableColumn id="5" xr3:uid="{6CB322C7-01FB-44E9-8EFD-6569DF2AF557}" name="Colors per unit" dataDxfId="83" dataCellStyle="Good">
      <calculatedColumnFormula>D12</calculatedColumnFormula>
    </tableColumn>
    <tableColumn id="6" xr3:uid="{98828953-F9E4-428E-B0B9-8F3DE5EE6725}" name="Cycle time per element [s]" dataDxfId="82">
      <calculatedColumnFormula>12</calculatedColumnFormula>
    </tableColumn>
    <tableColumn id="7" xr3:uid="{B19EBD6A-2EC5-4AA4-9B3B-091966F07675}" name="Offer per unit [€]" dataDxfId="81" dataCellStyle="Good">
      <calculatedColumnFormula>E12</calculatedColumnFormula>
    </tableColumn>
    <tableColumn id="55" xr3:uid="{5BC0E4F7-1BAF-4C08-8654-1CF1BE6A58BF}" name="Normal yearly production time [hrs]" dataDxfId="80">
      <calculatedColumnFormula>24*365</calculatedColumnFormula>
    </tableColumn>
    <tableColumn id="8" xr3:uid="{0C1878C3-72EC-4A60-98D7-545350022232}" name="Production size [m2]" dataDxfId="79">
      <calculatedColumnFormula>IF(O1&lt;Table1[[#This Row],[Space requrement per injection modling machine '[m2']]]*Table1[[#This Row],[No. injection moulding machines]]+Table1[[#This Row],[Space requrement per decorating machine '[m2']]]*(Table1[[#This Row],[No. one-color head decorator machines]]+Table1[[#This Row],[No. one-color UB decorator machines]]),O1+500,O1)</calculatedColumnFormula>
    </tableColumn>
    <tableColumn id="9" xr3:uid="{88606EAB-7576-4C95-949C-5EB2B3289DDD}" name="No. blue collar workers" dataDxfId="78">
      <calculatedColumnFormula>ROUNDUP(Table1[[#This Row],[Man power per injection moulding machine]]*(Table1[[#This Row],[No. injection moulding machines]])+Table1[[#This Row],[Man power needed per decoration machine]]*(Table1[[#This Row],[No. one-color head decorator machines]]+Table1[[#This Row],[No. one-color UB decorator machines]]),0)</calculatedColumnFormula>
    </tableColumn>
    <tableColumn id="66" xr3:uid="{8840BCFE-CEFE-45A8-880A-93760B90A752}" name="No. new injection moulding machines" dataDxfId="77" dataCellStyle="Good">
      <calculatedColumnFormula>F12</calculatedColumnFormula>
    </tableColumn>
    <tableColumn id="10" xr3:uid="{F44D8FE3-58F1-4433-8B76-9F7DDAF9A5B0}" name="No. injection moulding machines" dataDxfId="76">
      <calculatedColumnFormula>SUM(Q1,R1)</calculatedColumnFormula>
    </tableColumn>
    <tableColumn id="63" xr3:uid="{7632D804-E530-468F-9271-E512A6AFA313}" name="Cost per new injection moulding machine [€]" dataDxfId="75">
      <calculatedColumnFormula>50000+10000</calculatedColumnFormula>
    </tableColumn>
    <tableColumn id="67" xr3:uid="{B38BB96B-2525-45E3-ADCE-DD939FC6B892}" name="No. new storage racks" dataDxfId="74" dataCellStyle="Good">
      <calculatedColumnFormula>G12</calculatedColumnFormula>
    </tableColumn>
    <tableColumn id="11" xr3:uid="{1D6270D5-E69D-40E8-90FF-7F1539B619B6}" name="No. storage racks" dataDxfId="73">
      <calculatedColumnFormula>SUM(T1,U1)</calculatedColumnFormula>
    </tableColumn>
    <tableColumn id="68" xr3:uid="{9F52F3BF-3840-43BF-842D-243DBCFDB7C9}" name="No. new one-color head decorator machines" dataDxfId="72" dataCellStyle="Good">
      <calculatedColumnFormula>H12</calculatedColumnFormula>
    </tableColumn>
    <tableColumn id="12" xr3:uid="{8947CF57-C79B-4423-9E27-C65463ED3CBC}" name="No. one-color head decorator machines" dataDxfId="71">
      <calculatedColumnFormula>SUM(V1,W1)</calculatedColumnFormula>
    </tableColumn>
    <tableColumn id="74" xr3:uid="{C411B062-CDF3-447C-B4DE-A93A0B6F9B16}" name="Cost per new one-color head decorator machines [€]" dataDxfId="70">
      <calculatedColumnFormula>60000</calculatedColumnFormula>
    </tableColumn>
    <tableColumn id="69" xr3:uid="{7974CDCE-1844-44F8-B732-F2E6E5472674}" name="No. new one-color UB decorator machines" dataDxfId="69" dataCellStyle="Good">
      <calculatedColumnFormula>I12</calculatedColumnFormula>
    </tableColumn>
    <tableColumn id="13" xr3:uid="{83F528A4-1D18-4756-833C-06C480EB8B71}" name="No. one-color UB decorator machines" dataDxfId="68">
      <calculatedColumnFormula>SUM(Y1,Z1)</calculatedColumnFormula>
    </tableColumn>
    <tableColumn id="73" xr3:uid="{2E65FC5E-3359-450E-AF25-BF75A19BE3C2}" name="Cost per new one-color UB decorator machines [€]" dataDxfId="67">
      <calculatedColumnFormula>60000</calculatedColumnFormula>
    </tableColumn>
    <tableColumn id="14" xr3:uid="{3AEA2E19-A4D9-43D1-B02D-3855CD5BD165}" name="No.  White collar employees" dataDxfId="66">
      <calculatedColumnFormula>ROUNDUP(Table1[[#This Row],[No. blue collar workers]]/2.5,0)</calculatedColumnFormula>
    </tableColumn>
    <tableColumn id="72" xr3:uid="{366D4767-A5B9-4CE7-A9E2-F6DF1368613B}" name="No. new moulds" dataDxfId="65" dataCellStyle="Normal">
      <calculatedColumnFormula>IF(AD3-Table1[[#This Row],[No. moulds]]&gt;0,AD3-Table1[[#This Row],[No. moulds]],0)</calculatedColumnFormula>
    </tableColumn>
    <tableColumn id="16" xr3:uid="{C06F7AAA-1D70-437B-8B9B-7FD4F1606233}" name="No. moulds" dataDxfId="64">
      <calculatedColumnFormula>IF(Table1[[#This Row],[No. different elements]]&gt;Table1[[#This Row],[No. injection moulding machines]],Table1[[#This Row],[No. different elements]],Table1[[#This Row],[No. injection moulding machines]])</calculatedColumnFormula>
    </tableColumn>
    <tableColumn id="60" xr3:uid="{25AEB39A-23BD-4302-A036-520568BC0359}" name="Cost mould development per mould [€]" dataDxfId="63">
      <calculatedColumnFormula>10000</calculatedColumnFormula>
    </tableColumn>
    <tableColumn id="61" xr3:uid="{65153B6F-2DDB-4E4A-A0DE-4165CCDA3698}" name="Cost material &amp; production per mould [€]" dataDxfId="62">
      <calculatedColumnFormula>30000</calculatedColumnFormula>
    </tableColumn>
    <tableColumn id="62" xr3:uid="{FE856F32-A5F5-4847-87B6-1ABEF9C3F860}" name="Total cost per new mould [€]" dataDxfId="61">
      <calculatedColumnFormula>Table1[[#This Row],[Cost material &amp; production per mould '[€']]]+Table1[[#This Row],[Cost mould development per mould '[€']]]</calculatedColumnFormula>
    </tableColumn>
    <tableColumn id="17" xr3:uid="{E27AF758-660B-451C-8B74-4940FDA271B6}" name="Depr. Per mould [€/year]" dataDxfId="60">
      <calculatedColumnFormula>133333/10</calculatedColumnFormula>
    </tableColumn>
    <tableColumn id="18" xr3:uid="{D3291662-CCC4-4F2A-A8E1-81A995662266}" name="Cost of operations per decorator machine [€/hr]" dataDxfId="59">
      <calculatedColumnFormula>3</calculatedColumnFormula>
    </tableColumn>
    <tableColumn id="19" xr3:uid="{ED10E50E-1A67-42EF-9D64-62727424ED5F}" name="Cost of operations per injection moulding machine [€/hr]" dataDxfId="58">
      <calculatedColumnFormula>4</calculatedColumnFormula>
    </tableColumn>
    <tableColumn id="20" xr3:uid="{68CDF301-E174-4F24-A9D5-4EEE29060D9E}" name="Space requrement per injection modling machine [m2]" dataDxfId="57">
      <calculatedColumnFormula>18</calculatedColumnFormula>
    </tableColumn>
    <tableColumn id="21" xr3:uid="{E3C89ACF-87D2-4A86-921E-A9F3F537B39E}" name="Capacity per injection moulding machine [parts/hr]" dataDxfId="12">
      <calculatedColumnFormula>1800</calculatedColumnFormula>
    </tableColumn>
    <tableColumn id="22" xr3:uid="{9A9772C1-D612-4A35-ADF4-35C73B171DCB}" name="Man power per injection moulding machine" dataDxfId="10">
      <calculatedColumnFormula>1/3</calculatedColumnFormula>
    </tableColumn>
    <tableColumn id="23" xr3:uid="{2BB6423D-9C36-4C9A-9C25-549A04008126}" name="Depriciation per injection moulding machine [€/year]" dataDxfId="11">
      <calculatedColumnFormula>7500</calculatedColumnFormula>
    </tableColumn>
    <tableColumn id="25" xr3:uid="{23D3FE54-AA33-4F7A-9741-98AF8C2B25B0}" name="Depreciation per decoration machine [€/year]" dataDxfId="56">
      <calculatedColumnFormula>15000</calculatedColumnFormula>
    </tableColumn>
    <tableColumn id="26" xr3:uid="{7711CF3E-8802-4C8F-8394-5E635043487C}" name="Space requrement per decorating machine [m2]" dataDxfId="55">
      <calculatedColumnFormula>18</calculatedColumnFormula>
    </tableColumn>
    <tableColumn id="27" xr3:uid="{B959116A-F052-49DF-A18A-723BA6334E89}" name="Capacity per decoration machine [parts/hr]" dataDxfId="54">
      <calculatedColumnFormula>2000</calculatedColumnFormula>
    </tableColumn>
    <tableColumn id="28" xr3:uid="{F0F4CC13-5416-4183-B557-AFC524978AED}" name="Man power needed per decoration machine" dataDxfId="53">
      <calculatedColumnFormula>1</calculatedColumnFormula>
    </tableColumn>
    <tableColumn id="52" xr3:uid="{C52A5DAD-9BBC-4158-8AF5-3469D7502F77}" name="Cost per storage rack [€]" dataDxfId="52">
      <calculatedColumnFormula>60000</calculatedColumnFormula>
    </tableColumn>
    <tableColumn id="50" xr3:uid="{06EAFEC5-D5ED-4CAD-8B6E-42A4CC9EA23A}" name="Capacity per storage rack" dataDxfId="51">
      <calculatedColumnFormula>80000000</calculatedColumnFormula>
    </tableColumn>
    <tableColumn id="30" xr3:uid="{C68B3FE8-A496-49BB-B1F9-11BEAB9134E4}" name="Wage pr blue collar worker [€/hr]" dataDxfId="50">
      <calculatedColumnFormula>27</calculatedColumnFormula>
    </tableColumn>
    <tableColumn id="31" xr3:uid="{92BAFCB7-1959-4BBB-9E3C-22F3933F4B90}" name="Wage pr white collar worker [€/year]" dataDxfId="49">
      <calculatedColumnFormula>52000</calculatedColumnFormula>
    </tableColumn>
    <tableColumn id="32" xr3:uid="{C0E928B2-6CD8-4440-9EC2-92DDBA89ED13}" name="Rent [(€/m2)/year]" dataDxfId="48">
      <calculatedColumnFormula>55</calculatedColumnFormula>
    </tableColumn>
    <tableColumn id="33" xr3:uid="{73FBB3D9-F67A-4C83-9C95-E35D7435DFC8}" name="Cash [€]" dataDxfId="47">
      <calculatedColumnFormula>AX1+Table1[[#This Row],[Retained earnings '[€']]]-Table1[[#This Row],[Total investment]]</calculatedColumnFormula>
    </tableColumn>
    <tableColumn id="34" xr3:uid="{B4B8C52C-E372-48E8-AC77-B602EC15192E}" name="Machines/equipment [€]" dataDxfId="46">
      <calculatedColumnFormula>SUM(Table1[[#This Row],[Total investment]],AY1)-Table1[[#This Row],[Total depreciation '[€']]]</calculatedColumnFormula>
    </tableColumn>
    <tableColumn id="35" xr3:uid="{98F60F33-8EE0-41A9-80AA-213B7533F8B7}" name="Capital stock [€]" dataDxfId="45"/>
    <tableColumn id="36" xr3:uid="{6ECF3920-C19D-4DB2-90DE-EF82DC15CEEB}" name="Total assets [€]" dataDxfId="44">
      <calculatedColumnFormula>Table1[[#This Row],[Machines/equipment '[€']]]+Table1[[#This Row],[Cash '[€']]]</calculatedColumnFormula>
    </tableColumn>
    <tableColumn id="78" xr3:uid="{8C4E8BE4-F42A-495C-A666-292C4C6C8179}" name="Retained earnings [€]" dataDxfId="43">
      <calculatedColumnFormula>Table1[[#This Row],[Net income '[€']]]</calculatedColumnFormula>
    </tableColumn>
    <tableColumn id="15" xr3:uid="{F99241CB-D7BE-43FB-A9C0-9C63CA6CD507}" name="Cumulative retained earnings [€]" dataDxfId="42">
      <calculatedColumnFormula>SUM(Table1[[#This Row],[Retained earnings '[€']]],BC1)</calculatedColumnFormula>
    </tableColumn>
    <tableColumn id="37" xr3:uid="{C260870F-141A-4D83-89B5-3549C54C3906}" name="Total liabilities [€]" dataDxfId="9">
      <calculatedColumnFormula>Table1[[#This Row],[Capital stock '[€']]]+Table1[[#This Row],[Cumulative retained earnings '[€']]]</calculatedColumnFormula>
    </tableColumn>
    <tableColumn id="38" xr3:uid="{3ACB58A3-EABE-445F-A684-85E6E1A5D291}" name="Material cost per unit [€]" dataDxfId="8">
      <calculatedColumnFormula>Table1[[#This Row],[Cost per part '[$']]]*Table1[[#This Row],[Elements per unit]]</calculatedColumnFormula>
    </tableColumn>
    <tableColumn id="39" xr3:uid="{3F65BE07-9A69-4298-A09C-5191E312A28B}" name="Color cost per unit [€]" dataDxfId="6">
      <calculatedColumnFormula>Table1[[#This Row],[Cost per color '[$']]]*Table1[[#This Row],[Colors per unit]]</calculatedColumnFormula>
    </tableColumn>
    <tableColumn id="40" xr3:uid="{203909EE-D25E-45AB-81F8-8F4C08D620B5}" name="Materials cost [€]" dataDxfId="7">
      <calculatedColumnFormula>Table1[[#This Row],[Material cost per unit '[€']]]*Table1[[#This Row],[Units in series]]</calculatedColumnFormula>
    </tableColumn>
    <tableColumn id="41" xr3:uid="{A8060756-70E8-4E45-B761-4E0FF7B1C6C3}" name="Color cost [€]" dataDxfId="41">
      <calculatedColumnFormula>Table1[[#This Row],[Color cost per unit '[€']]]*Table1[[#This Row],[Units in series]]</calculatedColumnFormula>
    </tableColumn>
    <tableColumn id="42" xr3:uid="{62227CDE-745D-40ED-BB07-3F674143CC60}" name="Labor cost per hour [€/hr]" dataDxfId="40">
      <calculatedColumnFormula>Table1[[#This Row],[No. blue collar workers]]*Table1[[#This Row],[Wage pr blue collar worker '[€/hr']]]</calculatedColumnFormula>
    </tableColumn>
    <tableColumn id="56" xr3:uid="{03169453-6FA6-4762-973A-498548D4D865}" name="Labor cost [€]" dataDxfId="39">
      <calculatedColumnFormula>Table1[[#This Row],[Labor cost per hour '[€/hr']]]*Table1[[#This Row],[Normal yearly production time '[hrs']]]</calculatedColumnFormula>
    </tableColumn>
    <tableColumn id="54" xr3:uid="{FA4A377A-91FB-46A7-B41B-3FA4B695E3C1}" name="Operations cost per hour [€/hrs]" dataDxfId="38">
      <calculatedColumnFormula>Table1[[#This Row],[Cost of operations per decorator machine '[€/hr']]]*(Table1[[#This Row],[No. one-color head decorator machines]]+Table1[[#This Row],[No. one-color UB decorator machines]])+Table1[[#This Row],[Cost of operations per injection moulding machine '[€/hr']]]*Table1[[#This Row],[No. injection moulding machines]]</calculatedColumnFormula>
    </tableColumn>
    <tableColumn id="43" xr3:uid="{A53710A3-1B7C-4ADA-B773-7F21B0B37C45}" name="Operations cost [€]" dataDxfId="37">
      <calculatedColumnFormula>Table1[[#This Row],[Operations cost per hour '[€/hrs']]]*Table1[[#This Row],[Normal yearly production time '[hrs']]]</calculatedColumnFormula>
    </tableColumn>
    <tableColumn id="58" xr3:uid="{67708EF1-1019-41BF-A303-41701E6A1515}" name="Direct cost [€]" dataDxfId="36">
      <calculatedColumnFormula>Table1[[#This Row],[Operations cost '[€']]]+Table1[[#This Row],[Labor cost '[€']]]+Table1[[#This Row],[Color cost '[€']]]+Table1[[#This Row],[Materials cost '[€']]]</calculatedColumnFormula>
    </tableColumn>
    <tableColumn id="44" xr3:uid="{21F7BA60-8189-4586-AC8C-9D837323746C}" name="Rent [€]" dataDxfId="35">
      <calculatedColumnFormula>Table1[[#This Row],[Rent '[(€/m2)/year']]]*Table1[[#This Row],[Production size '[m2']]]</calculatedColumnFormula>
    </tableColumn>
    <tableColumn id="45" xr3:uid="{AB2D9CC3-E834-448E-B6A1-1EF5211AC2B9}" name="Administration [€]" dataDxfId="34">
      <calculatedColumnFormula>Table1[[#This Row],[Wage pr white collar worker '[€/year']]]*Table1[[#This Row],[No.  White collar employees]]</calculatedColumnFormula>
    </tableColumn>
    <tableColumn id="46" xr3:uid="{A4C961AC-A7E8-4BAA-95BF-D526011802C6}" name="Depr. Moulds [€]" dataDxfId="33">
      <calculatedColumnFormula>Table1[[#This Row],[Depr. Per mould '[€/year']]]*Table1[[#This Row],[No. moulds]]</calculatedColumnFormula>
    </tableColumn>
    <tableColumn id="47" xr3:uid="{2882AD13-5311-4136-BA19-E87A7321DB77}" name="Depr. Inj. Mach. [€]" dataDxfId="32">
      <calculatedColumnFormula>Table1[[#This Row],[Depriciation per injection moulding machine '[€/year']]]*Table1[[#This Row],[No. injection moulding machines]]</calculatedColumnFormula>
    </tableColumn>
    <tableColumn id="48" xr3:uid="{6C765607-4170-4E3B-BA5E-F1B2B23B0E21}" name="Depr. Deco [€]" dataDxfId="31">
      <calculatedColumnFormula>Table1[[#This Row],[Depreciation per decoration machine '[€/year']]]*(Table1[[#This Row],[No. one-color head decorator machines]]+Table1[[#This Row],[No. one-color UB decorator machines]])</calculatedColumnFormula>
    </tableColumn>
    <tableColumn id="57" xr3:uid="{43A508A6-46F9-40AC-B1ED-9DD192BF8013}" name="Indirect cost [€]" dataDxfId="30">
      <calculatedColumnFormula>Table1[[#This Row],[Depr. Deco '[€']]]+Table1[[#This Row],[Depr. Inj. Mach. '[€']]]+Table1[[#This Row],[Depr. Moulds '[€']]]+Table1[[#This Row],[Administration '[€']]]+Table1[[#This Row],[Rent '[€']]]</calculatedColumnFormula>
    </tableColumn>
    <tableColumn id="53" xr3:uid="{B7DAF86F-F013-4B10-897F-A15798ACB292}" name="Total cost [$]" dataDxfId="29">
      <calculatedColumnFormula>Table1[[#This Row],[Indirect cost '[€']]]+Table1[[#This Row],[Direct cost '[€']]]</calculatedColumnFormula>
    </tableColumn>
    <tableColumn id="76" xr3:uid="{CBA91F2C-FED8-408D-9B33-FA0EE3EFA607}" name="Total depreciation [€]" dataDxfId="28">
      <calculatedColumnFormula>Table1[[#This Row],[Depr. Deco '[€']]]+Table1[[#This Row],[Depr. Inj. Mach. '[€']]]+Table1[[#This Row],[Depr. Moulds '[€']]]</calculatedColumnFormula>
    </tableColumn>
    <tableColumn id="70" xr3:uid="{79C12DAC-9EC4-4873-B743-EB1F2894E5F7}" name="Total investment" dataDxfId="5">
      <calculatedColumnFormula>Table1[[#This Row],[No. new moulds]]*Table1[[#This Row],[Total cost per new mould '[€']]]+Table1[[#This Row],[No. new injection moulding machines]]*Table1[[#This Row],[Cost per new injection moulding machine '[€']]]+Table1[[#This Row],[No. new one-color head decorator machines]]*Table1[[#This Row],[Cost per new one-color head decorator machines '[€']]]+Table1[[#This Row],[No. new one-color UB decorator machines]]*Table1[[#This Row],[Cost per new one-color UB decorator machines '[€']]]</calculatedColumnFormula>
    </tableColumn>
    <tableColumn id="59" xr3:uid="{BE7AF2CB-1734-4A93-BAFA-B56413540410}" name="Material &amp; color cost per unit [€]" dataDxfId="3">
      <calculatedColumnFormula>Table1[[#This Row],[Color cost per unit '[€']]]+Table1[[#This Row],[Material cost per unit '[€']]]</calculatedColumnFormula>
    </tableColumn>
    <tableColumn id="64" xr3:uid="{76CEA099-E6E0-462A-B47D-FD83C5C7B0E7}" name="Total sales [€]" dataDxfId="4">
      <calculatedColumnFormula>Table1[[#This Row],[Offer per unit '[€']]]*Table1[[#This Row],[Units in series]]</calculatedColumnFormula>
    </tableColumn>
    <tableColumn id="65" xr3:uid="{AA58920B-CB3F-4664-BA23-9225AB8759B3}" name="Net income [€]" dataDxfId="27">
      <calculatedColumnFormula>Table1[[#This Row],[Total sales '[€']]]-Table1[[#This Row],[Direct cost '[€']]]-Table1[[#This Row],[Indirect cost '[€']]]</calculatedColumnFormula>
    </tableColumn>
    <tableColumn id="24" xr3:uid="{7F1BBB85-D89C-4FD3-A905-F273D736724D}" name="Accumulated investment (negative) [€]" dataDxfId="26">
      <calculatedColumnFormula>SUM(BZ1,-Table1[[#This Row],[Total investment]])</calculatedColumnFormula>
    </tableColumn>
    <tableColumn id="29" xr3:uid="{1647A4AC-CAF8-4C9E-A20D-1E6D0840D198}" name="Accumulated net income [€]" dataDxfId="25">
      <calculatedColumnFormula>SUM(CA1,Table1[[#This Row],[Net income '[€']]])</calculatedColumnFormula>
    </tableColumn>
    <tableColumn id="49" xr3:uid="{C7E12E68-A52C-48B5-A3B2-89C2F3342A1A}" name="Accumulated total sales [€]" dataDxfId="24">
      <calculatedColumnFormula>SUM(CB1,Table1[[#This Row],[Total sales '[€']]])</calculatedColumnFormula>
    </tableColumn>
    <tableColumn id="51" xr3:uid="{9B88F049-16C1-4213-8A7E-253FCA79B987}" name="Accumulated operating cost (negative) [€]" dataDxfId="23">
      <calculatedColumnFormula>SUM(CC1,-Table1[[#This Row],[Total cost '[$']]])</calculatedColumnFormula>
    </tableColumn>
    <tableColumn id="82" xr3:uid="{D33950A0-457E-4CD6-975D-E2D03A57B2D2}" name="Break even [€]" dataDxfId="2" totalsRowDxfId="22">
      <calculatedColumnFormula>Table1[[#This Row],[Accumulated net income '[€']]]-(-Table1[[#This Row],[Accumulated investment (negative) '[€']]])</calculatedColumnFormula>
    </tableColumn>
    <tableColumn id="83" xr3:uid="{A6983B22-F094-4627-9E10-506BB17CA2A1}" name="Break even point" dataDxfId="0" dataCellStyle="Check Cell">
      <calculatedColumnFormula>IF(AND(Table1[[#This Row],[Break even '[€']]]&gt;0,CD1&lt;0),Table1[[#This Row],[Break even '[€']]],0)</calculatedColumnFormula>
    </tableColumn>
    <tableColumn id="84" xr3:uid="{9F3516B0-0D10-4B90-B170-1EF4BED96BBC}" name="Year for break even" dataDxfId="1" dataCellStyle="Check Cell">
      <calculatedColumnFormula>IF(Table1[[#This Row],[Break even point]]&gt;0,Table1[[#This Row],[Year / series]],"")</calculatedColumnFormula>
    </tableColumn>
    <tableColumn id="85" xr3:uid="{2DD4685B-D96A-4DC0-9E02-4107D207A3BD}" name="Coordinates for break even point" dataDxfId="21" totalsRowDxfId="20" dataCellStyle="Check Cell">
      <calculatedColumnFormula>MAX(Table1[Break even point])</calculatedColumnFormula>
    </tableColumn>
    <tableColumn id="81" xr3:uid="{70C07828-5763-4046-AD6D-E384C266B6D8}" name="Capacity check" dataDxfId="19" totalsRowDxfId="18" dataCellStyle="Check Cell">
      <calculatedColumnFormula>IF(Table1[[#This Row],[Max capacity]]&gt;=Table1[[#This Row],[Units in series]],0,1)</calculatedColumnFormula>
    </tableColumn>
    <tableColumn id="87" xr3:uid="{D4C8813C-57A0-49D1-84AC-C508D9161EC7}" name="Cash check" dataDxfId="17" dataCellStyle="Check Cell">
      <calculatedColumnFormula>IF(Table1[[#This Row],[Cash '[€']]]&lt;0,1,0)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27A8-BE63-4523-AF27-1D2E41EDBA63}">
  <dimension ref="A1:CI39"/>
  <sheetViews>
    <sheetView tabSelected="1" topLeftCell="A23" zoomScaleNormal="100" workbookViewId="0">
      <selection activeCell="D34" sqref="D34"/>
    </sheetView>
  </sheetViews>
  <sheetFormatPr defaultColWidth="9.1328125" defaultRowHeight="14.25" x14ac:dyDescent="0.45"/>
  <cols>
    <col min="1" max="1" width="13.73046875" style="2" bestFit="1" customWidth="1"/>
    <col min="2" max="2" width="16.86328125" style="2" bestFit="1" customWidth="1"/>
    <col min="3" max="3" width="21.86328125" style="2" bestFit="1" customWidth="1"/>
    <col min="4" max="4" width="19.265625" style="2" bestFit="1" customWidth="1"/>
    <col min="5" max="5" width="17.59765625" style="2" bestFit="1" customWidth="1"/>
    <col min="6" max="6" width="35.265625" style="2" bestFit="1" customWidth="1"/>
    <col min="7" max="7" width="43.86328125" style="2" bestFit="1" customWidth="1"/>
    <col min="8" max="8" width="41.1328125" style="2" bestFit="1" customWidth="1"/>
    <col min="9" max="9" width="39.265625" style="2" bestFit="1" customWidth="1"/>
    <col min="10" max="10" width="21.86328125" style="2" bestFit="1" customWidth="1"/>
    <col min="11" max="11" width="14.1328125" style="2" bestFit="1" customWidth="1"/>
    <col min="12" max="12" width="24.86328125" style="2" bestFit="1" customWidth="1"/>
    <col min="13" max="13" width="16.1328125" style="2" bestFit="1" customWidth="1"/>
    <col min="14" max="14" width="33.3984375" style="2" bestFit="1" customWidth="1"/>
    <col min="15" max="15" width="19.3984375" style="2" bestFit="1" customWidth="1"/>
    <col min="16" max="16" width="21.86328125" style="2" bestFit="1" customWidth="1"/>
    <col min="17" max="17" width="35.265625" style="2" bestFit="1" customWidth="1"/>
    <col min="18" max="18" width="30.86328125" style="2" bestFit="1" customWidth="1"/>
    <col min="19" max="19" width="41.59765625" style="2" bestFit="1" customWidth="1"/>
    <col min="20" max="20" width="20.59765625" style="2" bestFit="1" customWidth="1"/>
    <col min="21" max="21" width="16.1328125" style="2" bestFit="1" customWidth="1"/>
    <col min="22" max="22" width="41.1328125" style="2" bestFit="1" customWidth="1"/>
    <col min="23" max="23" width="36.73046875" style="2" bestFit="1" customWidth="1"/>
    <col min="24" max="24" width="48.3984375" style="2" bestFit="1" customWidth="1"/>
    <col min="25" max="25" width="39.265625" style="2" bestFit="1" customWidth="1"/>
    <col min="26" max="26" width="34.86328125" style="2" bestFit="1" customWidth="1"/>
    <col min="27" max="27" width="46.59765625" style="2" bestFit="1" customWidth="1"/>
    <col min="28" max="28" width="26.73046875" style="2" bestFit="1" customWidth="1"/>
    <col min="29" max="29" width="15.59765625" style="2" bestFit="1" customWidth="1"/>
    <col min="30" max="30" width="11.1328125" style="2" bestFit="1" customWidth="1"/>
    <col min="31" max="31" width="36.73046875" style="2" bestFit="1" customWidth="1"/>
    <col min="32" max="32" width="38.265625" style="2" bestFit="1" customWidth="1"/>
    <col min="33" max="33" width="26.73046875" style="2" bestFit="1" customWidth="1"/>
    <col min="34" max="34" width="23.3984375" style="2" bestFit="1" customWidth="1"/>
    <col min="35" max="35" width="44.265625" style="2" bestFit="1" customWidth="1"/>
    <col min="36" max="36" width="52.73046875" style="2" bestFit="1" customWidth="1"/>
    <col min="37" max="37" width="50.3984375" style="2" bestFit="1" customWidth="1"/>
    <col min="38" max="38" width="47.265625" style="2" bestFit="1" customWidth="1"/>
    <col min="39" max="39" width="40.73046875" style="2" bestFit="1" customWidth="1"/>
    <col min="40" max="40" width="49.265625" style="2" bestFit="1" customWidth="1"/>
    <col min="41" max="41" width="42.59765625" style="2" bestFit="1" customWidth="1"/>
    <col min="42" max="42" width="44" style="2" bestFit="1" customWidth="1"/>
    <col min="43" max="43" width="39.86328125" style="2" bestFit="1" customWidth="1"/>
    <col min="44" max="44" width="40.86328125" style="2" bestFit="1" customWidth="1"/>
    <col min="45" max="45" width="22.59765625" style="2" bestFit="1" customWidth="1"/>
    <col min="46" max="46" width="23.265625" style="2" bestFit="1" customWidth="1"/>
    <col min="47" max="47" width="31.1328125" style="2" bestFit="1" customWidth="1"/>
    <col min="48" max="48" width="34.3984375" style="2" bestFit="1" customWidth="1"/>
    <col min="49" max="49" width="18" style="2" bestFit="1" customWidth="1"/>
    <col min="50" max="50" width="13.73046875" style="2" bestFit="1" customWidth="1"/>
    <col min="51" max="51" width="23.59765625" style="2" bestFit="1" customWidth="1"/>
    <col min="52" max="52" width="15.1328125" style="2" bestFit="1" customWidth="1"/>
    <col min="53" max="53" width="14.265625" style="2" bestFit="1" customWidth="1"/>
    <col min="54" max="54" width="20.1328125" style="2" bestFit="1" customWidth="1"/>
    <col min="55" max="55" width="30.73046875" style="2" bestFit="1" customWidth="1"/>
    <col min="56" max="56" width="17.265625" style="2" bestFit="1" customWidth="1"/>
    <col min="57" max="57" width="23.265625" style="2" bestFit="1" customWidth="1"/>
    <col min="58" max="58" width="20.265625" style="2" bestFit="1" customWidth="1"/>
    <col min="59" max="59" width="16.59765625" style="2" bestFit="1" customWidth="1"/>
    <col min="60" max="60" width="12.59765625" style="2" bestFit="1" customWidth="1"/>
    <col min="61" max="61" width="23.86328125" style="2" bestFit="1" customWidth="1"/>
    <col min="62" max="62" width="12.73046875" style="2" bestFit="1" customWidth="1"/>
    <col min="63" max="63" width="30" style="2" bestFit="1" customWidth="1"/>
    <col min="64" max="64" width="18" style="2" bestFit="1" customWidth="1"/>
    <col min="65" max="65" width="13.265625" style="2" bestFit="1" customWidth="1"/>
    <col min="66" max="66" width="9.86328125" style="2" bestFit="1" customWidth="1"/>
    <col min="67" max="67" width="17.3984375" style="2" bestFit="1" customWidth="1"/>
    <col min="68" max="68" width="16" style="2" bestFit="1" customWidth="1"/>
    <col min="69" max="69" width="18.1328125" style="2" bestFit="1" customWidth="1"/>
    <col min="70" max="70" width="13.73046875" style="2" bestFit="1" customWidth="1"/>
    <col min="71" max="71" width="14.86328125" style="2" bestFit="1" customWidth="1"/>
    <col min="72" max="72" width="12.59765625" style="2" bestFit="1" customWidth="1"/>
    <col min="73" max="73" width="20.265625" style="2" bestFit="1" customWidth="1"/>
    <col min="74" max="74" width="16.1328125" style="2" bestFit="1" customWidth="1"/>
    <col min="75" max="75" width="30.3984375" style="2" bestFit="1" customWidth="1"/>
    <col min="76" max="76" width="16.59765625" style="2" bestFit="1" customWidth="1"/>
    <col min="77" max="77" width="15.59765625" style="2" bestFit="1" customWidth="1"/>
    <col min="78" max="78" width="36.3984375" style="2" bestFit="1" customWidth="1"/>
    <col min="79" max="79" width="26.3984375" style="2" bestFit="1" customWidth="1"/>
    <col min="80" max="80" width="25.265625" style="2" bestFit="1" customWidth="1"/>
    <col min="81" max="81" width="39" style="2" bestFit="1" customWidth="1"/>
    <col min="82" max="82" width="16.59765625" style="2" bestFit="1" customWidth="1"/>
    <col min="83" max="83" width="16.1328125" style="2" bestFit="1" customWidth="1"/>
    <col min="84" max="84" width="18.59765625" style="2" bestFit="1" customWidth="1"/>
    <col min="85" max="85" width="30.86328125" style="2" bestFit="1" customWidth="1"/>
    <col min="86" max="86" width="14" style="2" bestFit="1" customWidth="1"/>
    <col min="87" max="87" width="10.59765625" style="2" bestFit="1" customWidth="1"/>
    <col min="88" max="16384" width="9.1328125" style="2"/>
  </cols>
  <sheetData>
    <row r="1" spans="1:87" ht="16.5" thickTop="1" thickBot="1" x14ac:dyDescent="0.5">
      <c r="A1" s="2" t="s">
        <v>79</v>
      </c>
      <c r="B1" s="2" t="s">
        <v>65</v>
      </c>
      <c r="C1" s="3" t="s">
        <v>0</v>
      </c>
      <c r="D1" s="15" t="s">
        <v>75</v>
      </c>
      <c r="E1" s="2" t="s">
        <v>76</v>
      </c>
      <c r="F1" s="2" t="s">
        <v>77</v>
      </c>
      <c r="G1" s="2" t="s">
        <v>41</v>
      </c>
      <c r="H1" s="2" t="s">
        <v>1</v>
      </c>
      <c r="I1" s="3" t="s">
        <v>2</v>
      </c>
      <c r="J1" s="3" t="s">
        <v>90</v>
      </c>
      <c r="K1" s="3" t="s">
        <v>78</v>
      </c>
      <c r="L1" s="2" t="s">
        <v>3</v>
      </c>
      <c r="M1" s="3" t="s">
        <v>11</v>
      </c>
      <c r="N1" s="2" t="s">
        <v>43</v>
      </c>
      <c r="O1" s="2" t="s">
        <v>5</v>
      </c>
      <c r="P1" s="2" t="s">
        <v>6</v>
      </c>
      <c r="Q1" s="3" t="s">
        <v>53</v>
      </c>
      <c r="R1" s="2" t="s">
        <v>29</v>
      </c>
      <c r="S1" s="2" t="s">
        <v>60</v>
      </c>
      <c r="T1" s="3" t="s">
        <v>54</v>
      </c>
      <c r="U1" s="2" t="s">
        <v>7</v>
      </c>
      <c r="V1" s="3" t="s">
        <v>55</v>
      </c>
      <c r="W1" s="2" t="s">
        <v>9</v>
      </c>
      <c r="X1" s="2" t="s">
        <v>61</v>
      </c>
      <c r="Y1" s="3" t="s">
        <v>56</v>
      </c>
      <c r="Z1" s="2" t="s">
        <v>8</v>
      </c>
      <c r="AA1" s="2" t="s">
        <v>59</v>
      </c>
      <c r="AB1" s="2" t="s">
        <v>10</v>
      </c>
      <c r="AC1" s="2" t="s">
        <v>58</v>
      </c>
      <c r="AD1" s="2" t="s">
        <v>30</v>
      </c>
      <c r="AE1" s="2" t="s">
        <v>49</v>
      </c>
      <c r="AF1" s="2" t="s">
        <v>50</v>
      </c>
      <c r="AG1" s="2" t="s">
        <v>64</v>
      </c>
      <c r="AH1" s="2" t="s">
        <v>68</v>
      </c>
      <c r="AI1" s="2" t="s">
        <v>67</v>
      </c>
      <c r="AJ1" s="2" t="s">
        <v>36</v>
      </c>
      <c r="AK1" s="2" t="s">
        <v>12</v>
      </c>
      <c r="AL1" s="2" t="s">
        <v>31</v>
      </c>
      <c r="AM1" s="2" t="s">
        <v>32</v>
      </c>
      <c r="AN1" s="2" t="s">
        <v>33</v>
      </c>
      <c r="AO1" s="2" t="s">
        <v>62</v>
      </c>
      <c r="AP1" s="2" t="s">
        <v>37</v>
      </c>
      <c r="AQ1" s="2" t="s">
        <v>38</v>
      </c>
      <c r="AR1" s="2" t="s">
        <v>39</v>
      </c>
      <c r="AS1" s="2" t="s">
        <v>42</v>
      </c>
      <c r="AT1" s="2" t="s">
        <v>40</v>
      </c>
      <c r="AU1" s="2" t="s">
        <v>13</v>
      </c>
      <c r="AV1" s="2" t="s">
        <v>27</v>
      </c>
      <c r="AW1" s="2" t="s">
        <v>14</v>
      </c>
      <c r="AX1" s="2" t="s">
        <v>4</v>
      </c>
      <c r="AY1" s="2" t="s">
        <v>16</v>
      </c>
      <c r="AZ1" s="2" t="s">
        <v>15</v>
      </c>
      <c r="BA1" s="2" t="s">
        <v>17</v>
      </c>
      <c r="BB1" s="2" t="s">
        <v>66</v>
      </c>
      <c r="BC1" s="2" t="s">
        <v>69</v>
      </c>
      <c r="BD1" s="2" t="s">
        <v>18</v>
      </c>
      <c r="BE1" s="2" t="s">
        <v>23</v>
      </c>
      <c r="BF1" s="2" t="s">
        <v>24</v>
      </c>
      <c r="BG1" s="2" t="s">
        <v>19</v>
      </c>
      <c r="BH1" s="2" t="s">
        <v>20</v>
      </c>
      <c r="BI1" s="2" t="s">
        <v>45</v>
      </c>
      <c r="BJ1" s="2" t="s">
        <v>21</v>
      </c>
      <c r="BK1" s="2" t="s">
        <v>46</v>
      </c>
      <c r="BL1" s="2" t="s">
        <v>22</v>
      </c>
      <c r="BM1" s="2" t="s">
        <v>47</v>
      </c>
      <c r="BN1" s="2" t="s">
        <v>25</v>
      </c>
      <c r="BO1" s="2" t="s">
        <v>26</v>
      </c>
      <c r="BP1" s="2" t="s">
        <v>28</v>
      </c>
      <c r="BQ1" s="2" t="s">
        <v>34</v>
      </c>
      <c r="BR1" s="2" t="s">
        <v>35</v>
      </c>
      <c r="BS1" s="2" t="s">
        <v>44</v>
      </c>
      <c r="BT1" s="2" t="s">
        <v>73</v>
      </c>
      <c r="BU1" s="2" t="s">
        <v>63</v>
      </c>
      <c r="BV1" s="2" t="s">
        <v>57</v>
      </c>
      <c r="BW1" s="2" t="s">
        <v>48</v>
      </c>
      <c r="BX1" s="2" t="s">
        <v>51</v>
      </c>
      <c r="BY1" s="2" t="s">
        <v>52</v>
      </c>
      <c r="BZ1" s="2" t="s">
        <v>71</v>
      </c>
      <c r="CA1" s="2" t="s">
        <v>70</v>
      </c>
      <c r="CB1" s="2" t="s">
        <v>72</v>
      </c>
      <c r="CC1" s="2" t="s">
        <v>74</v>
      </c>
      <c r="CD1" s="2" t="s">
        <v>80</v>
      </c>
      <c r="CE1" s="17" t="s">
        <v>81</v>
      </c>
      <c r="CF1" s="17" t="s">
        <v>83</v>
      </c>
      <c r="CG1" s="17" t="s">
        <v>82</v>
      </c>
      <c r="CH1" s="17" t="s">
        <v>84</v>
      </c>
      <c r="CI1" s="2" t="s">
        <v>89</v>
      </c>
    </row>
    <row r="2" spans="1:87" ht="15" thickTop="1" thickBot="1" x14ac:dyDescent="0.5">
      <c r="A2" s="1"/>
      <c r="B2" s="22">
        <v>0</v>
      </c>
      <c r="C2" s="23">
        <f>A12</f>
        <v>0</v>
      </c>
      <c r="D2" s="24">
        <f>IF(Table1[[#This Row],[Capacity moulding]]&lt;Table1[[#This Row],[Capacity decorating]],Table1[[#This Row],[Capacity moulding]],Table1[[#This Row],[Capacity decorating]])</f>
        <v>0</v>
      </c>
      <c r="E2" s="22">
        <f>Table1[[#This Row],[Capacity per injection moulding machine '[parts/hr']]]* Table1[[#This Row],[No. injection moulding machines]]*Table1[[#This Row],[Normal yearly production time '[hrs']]]/Table1[[#This Row],[Elements per unit]]</f>
        <v>0</v>
      </c>
      <c r="F2" s="22">
        <f>IF((Table1[[#This Row],[Capacity per decoration machine '[parts/hr']]]*Table1[[#This Row],[No. one-color head decorator machines]]*Table1[[#This Row],[Normal yearly production time '[hrs']]])&lt;(Table1[[#This Row],[Capacity per decoration machine '[parts/hr']]]*Table1[[#This Row],[No. one-color UB decorator machines]]*Table1[[#This Row],[Normal yearly production time '[hrs']]]), Table1[[#This Row],[Capacity per decoration machine '[parts/hr']]]*Table1[[#This Row],[No. one-color head decorator machines]]*Table1[[#This Row],[Normal yearly production time '[hrs']]], Table1[[#This Row],[Capacity per decoration machine '[parts/hr']]]*Table1[[#This Row],[No. one-color UB decorator machines]]*Table1[[#This Row],[Normal yearly production time '[hrs']]])</f>
        <v>0</v>
      </c>
      <c r="G2" s="22">
        <f t="shared" ref="G2:G9" si="0">0.002</f>
        <v>2E-3</v>
      </c>
      <c r="H2" s="22">
        <f t="shared" ref="H2:H9" si="1">0.003</f>
        <v>3.0000000000000001E-3</v>
      </c>
      <c r="I2" s="8">
        <f>B12</f>
        <v>9</v>
      </c>
      <c r="J2" s="8">
        <f t="shared" ref="J2:J9" si="2">C12</f>
        <v>9</v>
      </c>
      <c r="K2" s="8">
        <f>D12</f>
        <v>2</v>
      </c>
      <c r="L2" s="1">
        <f>12</f>
        <v>12</v>
      </c>
      <c r="M2" s="3">
        <f>E12</f>
        <v>0.4</v>
      </c>
      <c r="N2" s="1">
        <f>1924</f>
        <v>1924</v>
      </c>
      <c r="O2" s="1">
        <v>0</v>
      </c>
      <c r="P2" s="1">
        <f>ROUNDUP(Table1[[#This Row],[Man power per injection moulding machine]]*(Table1[[#This Row],[No. injection moulding machines]])+Table1[[#This Row],[Man power needed per decoration machine]]*(Table1[[#This Row],[No. one-color head decorator machines]]+Table1[[#This Row],[No. one-color UB decorator machines]]),0)</f>
        <v>0</v>
      </c>
      <c r="Q2" s="8">
        <f t="shared" ref="Q2:Q9" si="3">F12</f>
        <v>7</v>
      </c>
      <c r="R2" s="1">
        <f t="shared" ref="R2:R9" si="4">SUM(Q1,R1)</f>
        <v>0</v>
      </c>
      <c r="S2" s="1">
        <f t="shared" ref="S2:S9" si="5">50000+10000</f>
        <v>60000</v>
      </c>
      <c r="T2" s="8">
        <f t="shared" ref="T2:T9" si="6">G12</f>
        <v>2</v>
      </c>
      <c r="U2" s="1">
        <f t="shared" ref="U2:U9" si="7">SUM(T1,U1)</f>
        <v>0</v>
      </c>
      <c r="V2" s="8">
        <f t="shared" ref="V2:V9" si="8">H12</f>
        <v>1</v>
      </c>
      <c r="W2" s="1">
        <f t="shared" ref="W2:W9" si="9">SUM(V1,W1)</f>
        <v>0</v>
      </c>
      <c r="X2" s="1">
        <f>60000</f>
        <v>60000</v>
      </c>
      <c r="Y2" s="8">
        <f t="shared" ref="Y2:Y9" si="10">I12</f>
        <v>1</v>
      </c>
      <c r="Z2" s="1">
        <f t="shared" ref="Z2:Z9" si="11">SUM(Y1,Z1)</f>
        <v>0</v>
      </c>
      <c r="AA2" s="1">
        <f>60000</f>
        <v>60000</v>
      </c>
      <c r="AB2" s="1">
        <f>ROUNDUP(Table1[[#This Row],[No. blue collar workers]]/2.5,0)</f>
        <v>0</v>
      </c>
      <c r="AC2" s="1">
        <f>IF(AD3-Table1[[#This Row],[No. moulds]]&gt;0,AD3-Table1[[#This Row],[No. moulds]],0)</f>
        <v>1</v>
      </c>
      <c r="AD2" s="1">
        <f>IF(Table1[[#This Row],[No. different elements]]&gt;Table1[[#This Row],[No. injection moulding machines]],Table1[[#This Row],[No. different elements]],Table1[[#This Row],[No. injection moulding machines]])</f>
        <v>9</v>
      </c>
      <c r="AE2" s="1">
        <f>10000</f>
        <v>10000</v>
      </c>
      <c r="AF2" s="1">
        <f>30000</f>
        <v>30000</v>
      </c>
      <c r="AG2" s="1">
        <f>Table1[[#This Row],[Cost material &amp; production per mould '[€']]]+Table1[[#This Row],[Cost mould development per mould '[€']]]</f>
        <v>40000</v>
      </c>
      <c r="AH2" s="2">
        <f t="shared" ref="AH2:AH9" si="12">133333/10</f>
        <v>13333.3</v>
      </c>
      <c r="AI2" s="1">
        <f>3</f>
        <v>3</v>
      </c>
      <c r="AJ2" s="1">
        <f>4</f>
        <v>4</v>
      </c>
      <c r="AK2" s="1">
        <f>18</f>
        <v>18</v>
      </c>
      <c r="AL2" s="1">
        <f>1800</f>
        <v>1800</v>
      </c>
      <c r="AM2" s="22">
        <f t="shared" ref="AM2:AM9" si="13">1/3</f>
        <v>0.33333333333333331</v>
      </c>
      <c r="AN2" s="2">
        <f>7500</f>
        <v>7500</v>
      </c>
      <c r="AO2" s="2">
        <f>15000</f>
        <v>15000</v>
      </c>
      <c r="AP2" s="2">
        <f>18</f>
        <v>18</v>
      </c>
      <c r="AQ2" s="2">
        <f>2000</f>
        <v>2000</v>
      </c>
      <c r="AR2" s="2">
        <f>1</f>
        <v>1</v>
      </c>
      <c r="AS2" s="2">
        <f>60000</f>
        <v>60000</v>
      </c>
      <c r="AT2" s="2">
        <f t="shared" ref="AT2:AT6" si="14">80000000</f>
        <v>80000000</v>
      </c>
      <c r="AU2" s="2">
        <f>27</f>
        <v>27</v>
      </c>
      <c r="AV2" s="2">
        <f>52000</f>
        <v>52000</v>
      </c>
      <c r="AW2" s="2">
        <f>55</f>
        <v>55</v>
      </c>
      <c r="AX2" s="2">
        <f>Table1[[#This Row],[Capital stock '[€']]]-Table1[[#This Row],[Total investment]]</f>
        <v>420000</v>
      </c>
      <c r="AY2" s="2">
        <f>SUM(Table1[[#This Row],[Total investment]],AY1)-Table1[[#This Row],[Total depreciation '[€']]]</f>
        <v>460000.3</v>
      </c>
      <c r="AZ2" s="2">
        <v>1000000</v>
      </c>
      <c r="BA2" s="2">
        <f>Table1[[#This Row],[Machines/equipment '[€']]]+Table1[[#This Row],[Cash '[€']]]</f>
        <v>880000.3</v>
      </c>
      <c r="BB2" s="2">
        <f>Table1[[#This Row],[Net income '[€']]]</f>
        <v>-119999.7</v>
      </c>
      <c r="BC2" s="2">
        <f>SUM(Table1[[#This Row],[Retained earnings '[€']]],BC1)</f>
        <v>-119999.7</v>
      </c>
      <c r="BD2" s="2">
        <f>Table1[[#This Row],[Capital stock '[€']]]+Table1[[#This Row],[Cumulative retained earnings '[€']]]</f>
        <v>880000.3</v>
      </c>
      <c r="BE2" s="22">
        <f>Table1[[#This Row],[Cost per part '[$']]]*Table1[[#This Row],[Elements per unit]]</f>
        <v>1.8000000000000002E-2</v>
      </c>
      <c r="BF2" s="22">
        <f>Table1[[#This Row],[Cost per color '[$']]]*Table1[[#This Row],[Colors per unit]]</f>
        <v>6.0000000000000001E-3</v>
      </c>
      <c r="BG2" s="2">
        <f>Table1[[#This Row],[Material cost per unit '[€']]]*Table1[[#This Row],[Units in series]]</f>
        <v>0</v>
      </c>
      <c r="BH2" s="2">
        <f>Table1[[#This Row],[Color cost per unit '[€']]]*Table1[[#This Row],[Units in series]]</f>
        <v>0</v>
      </c>
      <c r="BI2" s="2">
        <f>Table1[[#This Row],[No. blue collar workers]]*Table1[[#This Row],[Wage pr blue collar worker '[€/hr']]]</f>
        <v>0</v>
      </c>
      <c r="BJ2" s="2">
        <f>Table1[[#This Row],[Labor cost per hour '[€/hr']]]*Table1[[#This Row],[Normal yearly production time '[hrs']]]</f>
        <v>0</v>
      </c>
      <c r="BK2" s="2">
        <f>Table1[[#This Row],[Cost of operations per decorator machine '[€/hr']]]*(Table1[[#This Row],[No. one-color head decorator machines]]+Table1[[#This Row],[No. one-color UB decorator machines]])+Table1[[#This Row],[Cost of operations per injection moulding machine '[€/hr']]]*Table1[[#This Row],[No. injection moulding machines]]</f>
        <v>0</v>
      </c>
      <c r="BL2" s="2">
        <f>Table1[[#This Row],[Operations cost per hour '[€/hrs']]]*Table1[[#This Row],[Normal yearly production time '[hrs']]]</f>
        <v>0</v>
      </c>
      <c r="BM2" s="2">
        <f>Table1[[#This Row],[Operations cost '[€']]]+Table1[[#This Row],[Labor cost '[€']]]+Table1[[#This Row],[Color cost '[€']]]+Table1[[#This Row],[Materials cost '[€']]]</f>
        <v>0</v>
      </c>
      <c r="BN2" s="2">
        <f>Table1[[#This Row],[Rent '[(€/m2)/year']]]*Table1[[#This Row],[Production size '[m2']]]</f>
        <v>0</v>
      </c>
      <c r="BO2" s="2">
        <f>Table1[[#This Row],[Wage pr white collar worker '[€/year']]]*Table1[[#This Row],[No.  White collar employees]]</f>
        <v>0</v>
      </c>
      <c r="BP2" s="2">
        <f>Table1[[#This Row],[Depr. Per mould '[€/year']]]*Table1[[#This Row],[No. moulds]]</f>
        <v>119999.7</v>
      </c>
      <c r="BQ2" s="2">
        <f>Table1[[#This Row],[Depriciation per injection moulding machine '[€/year']]]*Table1[[#This Row],[No. injection moulding machines]]</f>
        <v>0</v>
      </c>
      <c r="BR2" s="2">
        <f>Table1[[#This Row],[Depreciation per decoration machine '[€/year']]]*(Table1[[#This Row],[No. one-color head decorator machines]]+Table1[[#This Row],[No. one-color UB decorator machines]])</f>
        <v>0</v>
      </c>
      <c r="BS2" s="2">
        <f>Table1[[#This Row],[Depr. Deco '[€']]]+Table1[[#This Row],[Depr. Inj. Mach. '[€']]]+Table1[[#This Row],[Depr. Moulds '[€']]]+Table1[[#This Row],[Administration '[€']]]+Table1[[#This Row],[Rent '[€']]]</f>
        <v>119999.7</v>
      </c>
      <c r="BT2" s="2">
        <f>Table1[[#This Row],[Indirect cost '[€']]]+Table1[[#This Row],[Direct cost '[€']]]</f>
        <v>119999.7</v>
      </c>
      <c r="BU2" s="2">
        <f>Table1[[#This Row],[Depr. Deco '[€']]]+Table1[[#This Row],[Depr. Inj. Mach. '[€']]]+Table1[[#This Row],[Depr. Moulds '[€']]]</f>
        <v>119999.7</v>
      </c>
      <c r="BV2" s="2">
        <f>Table1[[#This Row],[No. new moulds]]*Table1[[#This Row],[Total cost per new mould '[€']]]+Table1[[#This Row],[No. new injection moulding machines]]*Table1[[#This Row],[Cost per new injection moulding machine '[€']]]+Table1[[#This Row],[No. new one-color head decorator machines]]*Table1[[#This Row],[Cost per new one-color head decorator machines '[€']]]+Table1[[#This Row],[No. new one-color UB decorator machines]]*Table1[[#This Row],[Cost per new one-color UB decorator machines '[€']]]</f>
        <v>580000</v>
      </c>
      <c r="BW2" s="22">
        <f>Table1[[#This Row],[Color cost per unit '[€']]]+Table1[[#This Row],[Material cost per unit '[€']]]</f>
        <v>2.4E-2</v>
      </c>
      <c r="BX2" s="12">
        <f>Table1[[#This Row],[Offer per unit '[€']]]*Table1[[#This Row],[Units in series]]</f>
        <v>0</v>
      </c>
      <c r="BY2" s="12">
        <f>Table1[[#This Row],[Total sales '[€']]]-Table1[[#This Row],[Direct cost '[€']]]-Table1[[#This Row],[Indirect cost '[€']]]</f>
        <v>-119999.7</v>
      </c>
      <c r="BZ2" s="12">
        <f>SUM(BZ1,-Table1[[#This Row],[Total investment]])</f>
        <v>-580000</v>
      </c>
      <c r="CA2" s="12">
        <f>SUM(CA1,Table1[[#This Row],[Net income '[€']]])</f>
        <v>-119999.7</v>
      </c>
      <c r="CB2" s="12">
        <f>SUM(CB1,Table1[[#This Row],[Total sales '[€']]])</f>
        <v>0</v>
      </c>
      <c r="CC2" s="20">
        <f>SUM(CC1,-Table1[[#This Row],[Total cost '[$']]])</f>
        <v>-119999.7</v>
      </c>
      <c r="CD2" s="12">
        <f>Table1[[#This Row],[Accumulated net income '[€']]]-(-Table1[[#This Row],[Accumulated investment (negative) '[€']]])</f>
        <v>-699999.7</v>
      </c>
      <c r="CE2" s="25">
        <f>IF(AND(Table1[[#This Row],[Break even '[€']]]&gt;0,CD1&lt;0),Table1[[#This Row],[Break even '[€']]],0)</f>
        <v>0</v>
      </c>
      <c r="CF2" s="17" t="str">
        <f>IF(Table1[[#This Row],[Break even point]]&gt;0,Table1[[#This Row],[Year / series]],"")</f>
        <v/>
      </c>
      <c r="CG2" s="17">
        <f>IF(MAX(Table1[Break even point])&gt;0,MAX(Table1[Break even point]),1/0)</f>
        <v>1484222.1</v>
      </c>
      <c r="CH2" s="17">
        <f>IF(Table1[[#This Row],[Max capacity]]&gt;=Table1[[#This Row],[Units in series]],0,1)</f>
        <v>0</v>
      </c>
      <c r="CI2" s="17">
        <f>IF(Table1[[#This Row],[Cash '[€']]]&lt;0,1,0)</f>
        <v>0</v>
      </c>
    </row>
    <row r="3" spans="1:87" ht="15" thickTop="1" thickBot="1" x14ac:dyDescent="0.5">
      <c r="A3" s="1">
        <v>1</v>
      </c>
      <c r="B3" s="1">
        <f t="shared" ref="B3:B9" si="15">B2+1</f>
        <v>1</v>
      </c>
      <c r="C3" s="8">
        <f t="shared" ref="C3:C9" si="16">A13</f>
        <v>10000000</v>
      </c>
      <c r="D3" s="16">
        <f>IF(Table1[[#This Row],[Capacity moulding]]&lt;Table1[[#This Row],[Capacity decorating]],Table1[[#This Row],[Capacity moulding]],Table1[[#This Row],[Capacity decorating]])</f>
        <v>11037600</v>
      </c>
      <c r="E3" s="1">
        <f>Table1[[#This Row],[Capacity per injection moulding machine '[parts/hr']]]* Table1[[#This Row],[No. injection moulding machines]]*Table1[[#This Row],[Normal yearly production time '[hrs']]]/Table1[[#This Row],[Elements per unit]]</f>
        <v>11037600</v>
      </c>
      <c r="F3" s="1">
        <f>IF((Table1[[#This Row],[Capacity per decoration machine '[parts/hr']]]*Table1[[#This Row],[No. one-color head decorator machines]]*Table1[[#This Row],[Normal yearly production time '[hrs']]])&lt;(Table1[[#This Row],[Capacity per decoration machine '[parts/hr']]]*Table1[[#This Row],[No. one-color UB decorator machines]]*Table1[[#This Row],[Normal yearly production time '[hrs']]]), Table1[[#This Row],[Capacity per decoration machine '[parts/hr']]]*Table1[[#This Row],[No. one-color head decorator machines]]*Table1[[#This Row],[Normal yearly production time '[hrs']]], Table1[[#This Row],[Capacity per decoration machine '[parts/hr']]]*Table1[[#This Row],[No. one-color UB decorator machines]]*Table1[[#This Row],[Normal yearly production time '[hrs']]])</f>
        <v>17520000</v>
      </c>
      <c r="G3" s="21">
        <f t="shared" si="0"/>
        <v>2E-3</v>
      </c>
      <c r="H3" s="21">
        <f t="shared" si="1"/>
        <v>3.0000000000000001E-3</v>
      </c>
      <c r="I3" s="8">
        <f t="shared" ref="I3:I9" si="17">B13</f>
        <v>10</v>
      </c>
      <c r="J3" s="8">
        <f t="shared" si="2"/>
        <v>10</v>
      </c>
      <c r="K3" s="8">
        <f t="shared" ref="K3:K9" si="18">D13</f>
        <v>2</v>
      </c>
      <c r="L3" s="1">
        <f>12</f>
        <v>12</v>
      </c>
      <c r="M3" s="3">
        <f t="shared" ref="M3:M9" si="19">E13</f>
        <v>0.25</v>
      </c>
      <c r="N3" s="1">
        <f t="shared" ref="N3:N9" si="20">24*365</f>
        <v>8760</v>
      </c>
      <c r="O3" s="1">
        <f>IF(O2&lt;Table1[[#This Row],[Space requrement per injection modling machine '[m2']]]*Table1[[#This Row],[No. injection moulding machines]]+Table1[[#This Row],[Space requrement per decorating machine '[m2']]]*(Table1[[#This Row],[No. one-color head decorator machines]]+Table1[[#This Row],[No. one-color UB decorator machines]]),O2+500,O2)</f>
        <v>500</v>
      </c>
      <c r="P3" s="1">
        <f>ROUNDUP(Table1[[#This Row],[Man power per injection moulding machine]]*(Table1[[#This Row],[No. injection moulding machines]])+Table1[[#This Row],[Man power needed per decoration machine]]*(Table1[[#This Row],[No. one-color head decorator machines]]+Table1[[#This Row],[No. one-color UB decorator machines]]),0)</f>
        <v>5</v>
      </c>
      <c r="Q3" s="8">
        <f t="shared" si="3"/>
        <v>0</v>
      </c>
      <c r="R3" s="1">
        <f t="shared" si="4"/>
        <v>7</v>
      </c>
      <c r="S3" s="1">
        <f t="shared" si="5"/>
        <v>60000</v>
      </c>
      <c r="T3" s="8">
        <f t="shared" si="6"/>
        <v>0</v>
      </c>
      <c r="U3" s="1">
        <f t="shared" si="7"/>
        <v>2</v>
      </c>
      <c r="V3" s="8">
        <f t="shared" si="8"/>
        <v>0</v>
      </c>
      <c r="W3" s="1">
        <f t="shared" si="9"/>
        <v>1</v>
      </c>
      <c r="X3" s="1">
        <f>60000</f>
        <v>60000</v>
      </c>
      <c r="Y3" s="8">
        <f t="shared" si="10"/>
        <v>0</v>
      </c>
      <c r="Z3" s="1">
        <f t="shared" si="11"/>
        <v>1</v>
      </c>
      <c r="AA3" s="1">
        <f>60000</f>
        <v>60000</v>
      </c>
      <c r="AB3" s="1">
        <f>ROUNDUP(Table1[[#This Row],[No. blue collar workers]]/2.5,0)</f>
        <v>2</v>
      </c>
      <c r="AC3" s="1">
        <f>IF(AD4-Table1[[#This Row],[No. moulds]]&gt;0,AD4-Table1[[#This Row],[No. moulds]],0)</f>
        <v>0</v>
      </c>
      <c r="AD3" s="1">
        <f>IF(Table1[[#This Row],[No. different elements]]&gt;Table1[[#This Row],[No. injection moulding machines]],Table1[[#This Row],[No. different elements]],Table1[[#This Row],[No. injection moulding machines]])</f>
        <v>10</v>
      </c>
      <c r="AE3" s="1">
        <f>10000</f>
        <v>10000</v>
      </c>
      <c r="AF3" s="1">
        <f>30000</f>
        <v>30000</v>
      </c>
      <c r="AG3" s="1">
        <f>Table1[[#This Row],[Cost material &amp; production per mould '[€']]]+Table1[[#This Row],[Cost mould development per mould '[€']]]</f>
        <v>40000</v>
      </c>
      <c r="AH3" s="2">
        <f>133333/10</f>
        <v>13333.3</v>
      </c>
      <c r="AI3" s="1">
        <f>3</f>
        <v>3</v>
      </c>
      <c r="AJ3" s="1">
        <f>4</f>
        <v>4</v>
      </c>
      <c r="AK3" s="1">
        <f>18</f>
        <v>18</v>
      </c>
      <c r="AL3" s="1">
        <f>1800</f>
        <v>1800</v>
      </c>
      <c r="AM3" s="22">
        <f t="shared" si="13"/>
        <v>0.33333333333333331</v>
      </c>
      <c r="AN3" s="2">
        <f>7500</f>
        <v>7500</v>
      </c>
      <c r="AO3" s="2">
        <f>15000</f>
        <v>15000</v>
      </c>
      <c r="AP3" s="2">
        <f>18</f>
        <v>18</v>
      </c>
      <c r="AQ3" s="2">
        <f>2000</f>
        <v>2000</v>
      </c>
      <c r="AR3" s="2">
        <f>1</f>
        <v>1</v>
      </c>
      <c r="AS3" s="2">
        <f>60000</f>
        <v>60000</v>
      </c>
      <c r="AT3" s="2">
        <f t="shared" si="14"/>
        <v>80000000</v>
      </c>
      <c r="AU3" s="2">
        <f>27</f>
        <v>27</v>
      </c>
      <c r="AV3" s="2">
        <f>52000</f>
        <v>52000</v>
      </c>
      <c r="AW3" s="2">
        <f>55</f>
        <v>55</v>
      </c>
      <c r="AX3" s="2">
        <f>AX2+Table1[[#This Row],[Retained earnings '[€']]]-Table1[[#This Row],[Total investment]]+Table1[[#This Row],[Total depreciation '[€']]]</f>
        <v>1048060</v>
      </c>
      <c r="AY3" s="2">
        <f>SUM(Table1[[#This Row],[Total investment]],AY2)-Table1[[#This Row],[Total depreciation '[€']]]</f>
        <v>244167.3</v>
      </c>
      <c r="AZ3" s="2">
        <v>1000000</v>
      </c>
      <c r="BA3" s="2">
        <f>Table1[[#This Row],[Machines/equipment '[€']]]+Table1[[#This Row],[Cash '[€']]]</f>
        <v>1292227.3</v>
      </c>
      <c r="BB3" s="2">
        <f>Table1[[#This Row],[Net income '[€']]]</f>
        <v>412227</v>
      </c>
      <c r="BC3" s="2">
        <f>SUM(Table1[[#This Row],[Retained earnings '[€']]],BC2)</f>
        <v>292227.3</v>
      </c>
      <c r="BD3" s="2">
        <f>Table1[[#This Row],[Capital stock '[€']]]+Table1[[#This Row],[Cumulative retained earnings '[€']]]</f>
        <v>1292227.3</v>
      </c>
      <c r="BE3" s="22">
        <f>Table1[[#This Row],[Cost per part '[$']]]*Table1[[#This Row],[Elements per unit]]</f>
        <v>0.02</v>
      </c>
      <c r="BF3" s="22">
        <f>Table1[[#This Row],[Cost per color '[$']]]*Table1[[#This Row],[Colors per unit]]</f>
        <v>6.0000000000000001E-3</v>
      </c>
      <c r="BG3" s="2">
        <f>Table1[[#This Row],[Material cost per unit '[€']]]*Table1[[#This Row],[Units in series]]</f>
        <v>200000</v>
      </c>
      <c r="BH3" s="2">
        <f>Table1[[#This Row],[Color cost per unit '[€']]]*Table1[[#This Row],[Units in series]]</f>
        <v>60000</v>
      </c>
      <c r="BI3" s="2">
        <f>Table1[[#This Row],[No. blue collar workers]]*Table1[[#This Row],[Wage pr blue collar worker '[€/hr']]]</f>
        <v>135</v>
      </c>
      <c r="BJ3" s="2">
        <f>Table1[[#This Row],[Labor cost per hour '[€/hr']]]*Table1[[#This Row],[Normal yearly production time '[hrs']]]</f>
        <v>1182600</v>
      </c>
      <c r="BK3" s="2">
        <f>Table1[[#This Row],[Cost of operations per decorator machine '[€/hr']]]*(Table1[[#This Row],[No. one-color head decorator machines]]+Table1[[#This Row],[No. one-color UB decorator machines]])+Table1[[#This Row],[Cost of operations per injection moulding machine '[€/hr']]]*Table1[[#This Row],[No. injection moulding machines]]</f>
        <v>34</v>
      </c>
      <c r="BL3" s="2">
        <f>Table1[[#This Row],[Operations cost per hour '[€/hrs']]]*Table1[[#This Row],[Normal yearly production time '[hrs']]]</f>
        <v>297840</v>
      </c>
      <c r="BM3" s="2">
        <f>Table1[[#This Row],[Operations cost '[€']]]+Table1[[#This Row],[Labor cost '[€']]]+Table1[[#This Row],[Color cost '[€']]]+Table1[[#This Row],[Materials cost '[€']]]</f>
        <v>1740440</v>
      </c>
      <c r="BN3" s="2">
        <f>Table1[[#This Row],[Rent '[(€/m2)/year']]]*Table1[[#This Row],[Production size '[m2']]]</f>
        <v>27500</v>
      </c>
      <c r="BO3" s="2">
        <f>Table1[[#This Row],[Wage pr white collar worker '[€/year']]]*Table1[[#This Row],[No.  White collar employees]]</f>
        <v>104000</v>
      </c>
      <c r="BP3" s="2">
        <f>Table1[[#This Row],[Depr. Per mould '[€/year']]]*Table1[[#This Row],[No. moulds]]</f>
        <v>133333</v>
      </c>
      <c r="BQ3" s="2">
        <f>Table1[[#This Row],[Depriciation per injection moulding machine '[€/year']]]*Table1[[#This Row],[No. injection moulding machines]]</f>
        <v>52500</v>
      </c>
      <c r="BR3" s="2">
        <f>Table1[[#This Row],[Depreciation per decoration machine '[€/year']]]*(Table1[[#This Row],[No. one-color head decorator machines]]+Table1[[#This Row],[No. one-color UB decorator machines]])</f>
        <v>30000</v>
      </c>
      <c r="BS3" s="2">
        <f>Table1[[#This Row],[Depr. Deco '[€']]]+Table1[[#This Row],[Depr. Inj. Mach. '[€']]]+Table1[[#This Row],[Depr. Moulds '[€']]]+Table1[[#This Row],[Administration '[€']]]+Table1[[#This Row],[Rent '[€']]]</f>
        <v>347333</v>
      </c>
      <c r="BT3" s="2">
        <f>Table1[[#This Row],[Indirect cost '[€']]]+Table1[[#This Row],[Direct cost '[€']]]</f>
        <v>2087773</v>
      </c>
      <c r="BU3" s="2">
        <f>Table1[[#This Row],[Depr. Deco '[€']]]+Table1[[#This Row],[Depr. Inj. Mach. '[€']]]+Table1[[#This Row],[Depr. Moulds '[€']]]</f>
        <v>215833</v>
      </c>
      <c r="BV3" s="2">
        <f>Table1[[#This Row],[No. new moulds]]*Table1[[#This Row],[Total cost per new mould '[€']]]+Table1[[#This Row],[No. new injection moulding machines]]*Table1[[#This Row],[Cost per new injection moulding machine '[€']]]+Table1[[#This Row],[No. new one-color head decorator machines]]*Table1[[#This Row],[Cost per new one-color head decorator machines '[€']]]+Table1[[#This Row],[No. new one-color UB decorator machines]]*Table1[[#This Row],[Cost per new one-color UB decorator machines '[€']]]</f>
        <v>0</v>
      </c>
      <c r="BW3" s="22">
        <f>Table1[[#This Row],[Color cost per unit '[€']]]+Table1[[#This Row],[Material cost per unit '[€']]]</f>
        <v>2.6000000000000002E-2</v>
      </c>
      <c r="BX3" s="12">
        <f>Table1[[#This Row],[Offer per unit '[€']]]*Table1[[#This Row],[Units in series]]</f>
        <v>2500000</v>
      </c>
      <c r="BY3" s="12">
        <f>Table1[[#This Row],[Total sales '[€']]]-Table1[[#This Row],[Direct cost '[€']]]-Table1[[#This Row],[Indirect cost '[€']]]</f>
        <v>412227</v>
      </c>
      <c r="BZ3" s="12">
        <f>SUM(BZ2,-Table1[[#This Row],[Total investment]])</f>
        <v>-580000</v>
      </c>
      <c r="CA3" s="12">
        <f>SUM(CA2,Table1[[#This Row],[Net income '[€']]])</f>
        <v>292227.3</v>
      </c>
      <c r="CB3" s="12">
        <f>SUM(CB2,Table1[[#This Row],[Total sales '[€']]])</f>
        <v>2500000</v>
      </c>
      <c r="CC3" s="20">
        <f>SUM(CC2,-Table1[[#This Row],[Total cost '[$']]])</f>
        <v>-2207772.7000000002</v>
      </c>
      <c r="CD3" s="12">
        <f>Table1[[#This Row],[Accumulated net income '[€']]]-(-Table1[[#This Row],[Accumulated investment (negative) '[€']]])</f>
        <v>-287772.7</v>
      </c>
      <c r="CE3" s="25">
        <f>IF(AND(Table1[[#This Row],[Break even '[€']]]&gt;0,CD2&lt;0),Table1[[#This Row],[Break even '[€']]],0)</f>
        <v>0</v>
      </c>
      <c r="CF3" s="17" t="str">
        <f>IF(Table1[[#This Row],[Break even point]]&gt;0,Table1[[#This Row],[Year / series]],"")</f>
        <v/>
      </c>
      <c r="CG3" s="18">
        <f>1+IF(MAX(Table1[Year for break even])&gt;0,MAX(Table1[Year for break even]),1/0)</f>
        <v>5</v>
      </c>
      <c r="CH3" s="17">
        <f>IF(Table1[[#This Row],[Max capacity]]&gt;=Table1[[#This Row],[Units in series]],0,1)</f>
        <v>0</v>
      </c>
      <c r="CI3" s="17">
        <f>IF(Table1[[#This Row],[Cash '[€']]]&lt;0,1,0)</f>
        <v>0</v>
      </c>
    </row>
    <row r="4" spans="1:87" ht="15" thickTop="1" thickBot="1" x14ac:dyDescent="0.5">
      <c r="A4" s="1"/>
      <c r="B4" s="1">
        <f t="shared" si="15"/>
        <v>2</v>
      </c>
      <c r="C4" s="8">
        <f t="shared" si="16"/>
        <v>11000000</v>
      </c>
      <c r="D4" s="16">
        <f>IF(Table1[[#This Row],[Capacity moulding]]&lt;Table1[[#This Row],[Capacity decorating]],Table1[[#This Row],[Capacity moulding]],Table1[[#This Row],[Capacity decorating]])</f>
        <v>11037600</v>
      </c>
      <c r="E4" s="1">
        <f>Table1[[#This Row],[Capacity per injection moulding machine '[parts/hr']]]* Table1[[#This Row],[No. injection moulding machines]]*Table1[[#This Row],[Normal yearly production time '[hrs']]]/Table1[[#This Row],[Elements per unit]]</f>
        <v>11037600</v>
      </c>
      <c r="F4" s="1">
        <f>IF((Table1[[#This Row],[Capacity per decoration machine '[parts/hr']]]*Table1[[#This Row],[No. one-color head decorator machines]]*Table1[[#This Row],[Normal yearly production time '[hrs']]])&lt;(Table1[[#This Row],[Capacity per decoration machine '[parts/hr']]]*Table1[[#This Row],[No. one-color UB decorator machines]]*Table1[[#This Row],[Normal yearly production time '[hrs']]]), Table1[[#This Row],[Capacity per decoration machine '[parts/hr']]]*Table1[[#This Row],[No. one-color head decorator machines]]*Table1[[#This Row],[Normal yearly production time '[hrs']]], Table1[[#This Row],[Capacity per decoration machine '[parts/hr']]]*Table1[[#This Row],[No. one-color UB decorator machines]]*Table1[[#This Row],[Normal yearly production time '[hrs']]])</f>
        <v>17520000</v>
      </c>
      <c r="G4" s="21">
        <f t="shared" si="0"/>
        <v>2E-3</v>
      </c>
      <c r="H4" s="21">
        <f t="shared" si="1"/>
        <v>3.0000000000000001E-3</v>
      </c>
      <c r="I4" s="8">
        <f t="shared" si="17"/>
        <v>10</v>
      </c>
      <c r="J4" s="8">
        <f t="shared" si="2"/>
        <v>10</v>
      </c>
      <c r="K4" s="8">
        <f t="shared" si="18"/>
        <v>2</v>
      </c>
      <c r="L4" s="1">
        <f>12</f>
        <v>12</v>
      </c>
      <c r="M4" s="3">
        <f t="shared" si="19"/>
        <v>0.25</v>
      </c>
      <c r="N4" s="1">
        <f t="shared" si="20"/>
        <v>8760</v>
      </c>
      <c r="O4" s="1">
        <f>IF(O3&lt;Table1[[#This Row],[Space requrement per injection modling machine '[m2']]]*Table1[[#This Row],[No. injection moulding machines]]+Table1[[#This Row],[Space requrement per decorating machine '[m2']]]*(Table1[[#This Row],[No. one-color head decorator machines]]+Table1[[#This Row],[No. one-color UB decorator machines]]),O3+500,O3)</f>
        <v>500</v>
      </c>
      <c r="P4" s="1">
        <f>ROUNDUP(Table1[[#This Row],[Man power per injection moulding machine]]*(Table1[[#This Row],[No. injection moulding machines]])+Table1[[#This Row],[Man power needed per decoration machine]]*(Table1[[#This Row],[No. one-color head decorator machines]]+Table1[[#This Row],[No. one-color UB decorator machines]]),0)</f>
        <v>5</v>
      </c>
      <c r="Q4" s="8">
        <f t="shared" si="3"/>
        <v>1</v>
      </c>
      <c r="R4" s="1">
        <f t="shared" si="4"/>
        <v>7</v>
      </c>
      <c r="S4" s="1">
        <f t="shared" si="5"/>
        <v>60000</v>
      </c>
      <c r="T4" s="8">
        <f t="shared" si="6"/>
        <v>0</v>
      </c>
      <c r="U4" s="1">
        <f t="shared" si="7"/>
        <v>2</v>
      </c>
      <c r="V4" s="8">
        <f t="shared" si="8"/>
        <v>0</v>
      </c>
      <c r="W4" s="1">
        <f t="shared" si="9"/>
        <v>1</v>
      </c>
      <c r="X4" s="1">
        <f>60000</f>
        <v>60000</v>
      </c>
      <c r="Y4" s="8">
        <f t="shared" si="10"/>
        <v>0</v>
      </c>
      <c r="Z4" s="1">
        <f t="shared" si="11"/>
        <v>1</v>
      </c>
      <c r="AA4" s="1">
        <f>60000</f>
        <v>60000</v>
      </c>
      <c r="AB4" s="1">
        <f>ROUNDUP(Table1[[#This Row],[No. blue collar workers]]/2.5,0)</f>
        <v>2</v>
      </c>
      <c r="AC4" s="1">
        <f>IF(AD5-Table1[[#This Row],[No. moulds]]&gt;0,AD5-Table1[[#This Row],[No. moulds]],0)</f>
        <v>0</v>
      </c>
      <c r="AD4" s="1">
        <f>IF(Table1[[#This Row],[No. different elements]]&gt;Table1[[#This Row],[No. injection moulding machines]],Table1[[#This Row],[No. different elements]],Table1[[#This Row],[No. injection moulding machines]])</f>
        <v>10</v>
      </c>
      <c r="AE4" s="1">
        <f>10000</f>
        <v>10000</v>
      </c>
      <c r="AF4" s="1">
        <f>30000</f>
        <v>30000</v>
      </c>
      <c r="AG4" s="1">
        <f>Table1[[#This Row],[Cost material &amp; production per mould '[€']]]+Table1[[#This Row],[Cost mould development per mould '[€']]]</f>
        <v>40000</v>
      </c>
      <c r="AH4" s="2">
        <f t="shared" si="12"/>
        <v>13333.3</v>
      </c>
      <c r="AI4" s="1">
        <f>3</f>
        <v>3</v>
      </c>
      <c r="AJ4" s="1">
        <f>4</f>
        <v>4</v>
      </c>
      <c r="AK4" s="1">
        <f>18</f>
        <v>18</v>
      </c>
      <c r="AL4" s="1">
        <f>1800</f>
        <v>1800</v>
      </c>
      <c r="AM4" s="22">
        <f t="shared" si="13"/>
        <v>0.33333333333333331</v>
      </c>
      <c r="AN4" s="2">
        <f>7500</f>
        <v>7500</v>
      </c>
      <c r="AO4" s="2">
        <f>15000</f>
        <v>15000</v>
      </c>
      <c r="AP4" s="2">
        <f>18</f>
        <v>18</v>
      </c>
      <c r="AQ4" s="2">
        <f>2000</f>
        <v>2000</v>
      </c>
      <c r="AR4" s="2">
        <f>1</f>
        <v>1</v>
      </c>
      <c r="AS4" s="2">
        <f>60000</f>
        <v>60000</v>
      </c>
      <c r="AT4" s="2">
        <f t="shared" si="14"/>
        <v>80000000</v>
      </c>
      <c r="AU4" s="2">
        <f>27</f>
        <v>27</v>
      </c>
      <c r="AV4" s="2">
        <f>52000</f>
        <v>52000</v>
      </c>
      <c r="AW4" s="2">
        <f>55</f>
        <v>55</v>
      </c>
      <c r="AX4" s="2">
        <f>AX3+Table1[[#This Row],[Retained earnings '[€']]]-Table1[[#This Row],[Total investment]]+Table1[[#This Row],[Total depreciation '[€']]]</f>
        <v>1840120</v>
      </c>
      <c r="AY4" s="2">
        <f>SUM(Table1[[#This Row],[Total investment]],AY3)-Table1[[#This Row],[Total depreciation '[€']]]</f>
        <v>88334.299999999988</v>
      </c>
      <c r="AZ4" s="2">
        <v>1000000</v>
      </c>
      <c r="BA4" s="2">
        <f>Table1[[#This Row],[Machines/equipment '[€']]]+Table1[[#This Row],[Cash '[€']]]</f>
        <v>1928454.3</v>
      </c>
      <c r="BB4" s="2">
        <f>Table1[[#This Row],[Net income '[€']]]</f>
        <v>636227</v>
      </c>
      <c r="BC4" s="2">
        <f>SUM(Table1[[#This Row],[Retained earnings '[€']]],BC3)</f>
        <v>928454.3</v>
      </c>
      <c r="BD4" s="2">
        <f>Table1[[#This Row],[Capital stock '[€']]]+Table1[[#This Row],[Cumulative retained earnings '[€']]]</f>
        <v>1928454.3</v>
      </c>
      <c r="BE4" s="22">
        <f>Table1[[#This Row],[Cost per part '[$']]]*Table1[[#This Row],[Elements per unit]]</f>
        <v>0.02</v>
      </c>
      <c r="BF4" s="22">
        <f>Table1[[#This Row],[Cost per color '[$']]]*Table1[[#This Row],[Colors per unit]]</f>
        <v>6.0000000000000001E-3</v>
      </c>
      <c r="BG4" s="2">
        <f>Table1[[#This Row],[Material cost per unit '[€']]]*Table1[[#This Row],[Units in series]]</f>
        <v>220000</v>
      </c>
      <c r="BH4" s="2">
        <f>Table1[[#This Row],[Color cost per unit '[€']]]*Table1[[#This Row],[Units in series]]</f>
        <v>66000</v>
      </c>
      <c r="BI4" s="2">
        <f>Table1[[#This Row],[No. blue collar workers]]*Table1[[#This Row],[Wage pr blue collar worker '[€/hr']]]</f>
        <v>135</v>
      </c>
      <c r="BJ4" s="2">
        <f>Table1[[#This Row],[Labor cost per hour '[€/hr']]]*Table1[[#This Row],[Normal yearly production time '[hrs']]]</f>
        <v>1182600</v>
      </c>
      <c r="BK4" s="2">
        <f>Table1[[#This Row],[Cost of operations per decorator machine '[€/hr']]]*(Table1[[#This Row],[No. one-color head decorator machines]]+Table1[[#This Row],[No. one-color UB decorator machines]])+Table1[[#This Row],[Cost of operations per injection moulding machine '[€/hr']]]*Table1[[#This Row],[No. injection moulding machines]]</f>
        <v>34</v>
      </c>
      <c r="BL4" s="2">
        <f>Table1[[#This Row],[Operations cost per hour '[€/hrs']]]*Table1[[#This Row],[Normal yearly production time '[hrs']]]</f>
        <v>297840</v>
      </c>
      <c r="BM4" s="2">
        <f>Table1[[#This Row],[Operations cost '[€']]]+Table1[[#This Row],[Labor cost '[€']]]+Table1[[#This Row],[Color cost '[€']]]+Table1[[#This Row],[Materials cost '[€']]]</f>
        <v>1766440</v>
      </c>
      <c r="BN4" s="2">
        <f>Table1[[#This Row],[Rent '[(€/m2)/year']]]*Table1[[#This Row],[Production size '[m2']]]</f>
        <v>27500</v>
      </c>
      <c r="BO4" s="2">
        <f>Table1[[#This Row],[Wage pr white collar worker '[€/year']]]*Table1[[#This Row],[No.  White collar employees]]</f>
        <v>104000</v>
      </c>
      <c r="BP4" s="2">
        <f>Table1[[#This Row],[Depr. Per mould '[€/year']]]*Table1[[#This Row],[No. moulds]]</f>
        <v>133333</v>
      </c>
      <c r="BQ4" s="2">
        <f>Table1[[#This Row],[Depriciation per injection moulding machine '[€/year']]]*Table1[[#This Row],[No. injection moulding machines]]</f>
        <v>52500</v>
      </c>
      <c r="BR4" s="2">
        <f>Table1[[#This Row],[Depreciation per decoration machine '[€/year']]]*(Table1[[#This Row],[No. one-color head decorator machines]]+Table1[[#This Row],[No. one-color UB decorator machines]])</f>
        <v>30000</v>
      </c>
      <c r="BS4" s="2">
        <f>Table1[[#This Row],[Depr. Deco '[€']]]+Table1[[#This Row],[Depr. Inj. Mach. '[€']]]+Table1[[#This Row],[Depr. Moulds '[€']]]+Table1[[#This Row],[Administration '[€']]]+Table1[[#This Row],[Rent '[€']]]</f>
        <v>347333</v>
      </c>
      <c r="BT4" s="2">
        <f>Table1[[#This Row],[Indirect cost '[€']]]+Table1[[#This Row],[Direct cost '[€']]]</f>
        <v>2113773</v>
      </c>
      <c r="BU4" s="2">
        <f>Table1[[#This Row],[Depr. Deco '[€']]]+Table1[[#This Row],[Depr. Inj. Mach. '[€']]]+Table1[[#This Row],[Depr. Moulds '[€']]]</f>
        <v>215833</v>
      </c>
      <c r="BV4" s="2">
        <f>Table1[[#This Row],[No. new moulds]]*Table1[[#This Row],[Total cost per new mould '[€']]]+Table1[[#This Row],[No. new injection moulding machines]]*Table1[[#This Row],[Cost per new injection moulding machine '[€']]]+Table1[[#This Row],[No. new one-color head decorator machines]]*Table1[[#This Row],[Cost per new one-color head decorator machines '[€']]]+Table1[[#This Row],[No. new one-color UB decorator machines]]*Table1[[#This Row],[Cost per new one-color UB decorator machines '[€']]]</f>
        <v>60000</v>
      </c>
      <c r="BW4" s="22">
        <f>Table1[[#This Row],[Color cost per unit '[€']]]+Table1[[#This Row],[Material cost per unit '[€']]]</f>
        <v>2.6000000000000002E-2</v>
      </c>
      <c r="BX4" s="12">
        <f>Table1[[#This Row],[Offer per unit '[€']]]*Table1[[#This Row],[Units in series]]</f>
        <v>2750000</v>
      </c>
      <c r="BY4" s="12">
        <f>Table1[[#This Row],[Total sales '[€']]]-Table1[[#This Row],[Direct cost '[€']]]-Table1[[#This Row],[Indirect cost '[€']]]</f>
        <v>636227</v>
      </c>
      <c r="BZ4" s="12">
        <f>SUM(BZ3,-Table1[[#This Row],[Total investment]])</f>
        <v>-640000</v>
      </c>
      <c r="CA4" s="12">
        <f>SUM(CA3,Table1[[#This Row],[Net income '[€']]])</f>
        <v>928454.3</v>
      </c>
      <c r="CB4" s="12">
        <f>SUM(CB3,Table1[[#This Row],[Total sales '[€']]])</f>
        <v>5250000</v>
      </c>
      <c r="CC4" s="20">
        <f>SUM(CC3,-Table1[[#This Row],[Total cost '[$']]])</f>
        <v>-4321545.7</v>
      </c>
      <c r="CD4" s="12">
        <f>Table1[[#This Row],[Accumulated net income '[€']]]-(-Table1[[#This Row],[Accumulated investment (negative) '[€']]])</f>
        <v>288454.30000000005</v>
      </c>
      <c r="CE4" s="25">
        <f>IF(AND(Table1[[#This Row],[Break even '[€']]]&gt;0,CD3&lt;0),Table1[[#This Row],[Break even '[€']]],0)</f>
        <v>288454.30000000005</v>
      </c>
      <c r="CF4" s="17">
        <f>IF(Table1[[#This Row],[Break even point]]&gt;0,Table1[[#This Row],[Year / series]],"")</f>
        <v>2</v>
      </c>
      <c r="CG4" s="17"/>
      <c r="CH4" s="17">
        <f>IF(Table1[[#This Row],[Max capacity]]&gt;=Table1[[#This Row],[Units in series]],0,1)</f>
        <v>0</v>
      </c>
      <c r="CI4" s="17">
        <f>IF(Table1[[#This Row],[Cash '[€']]]&lt;0,1,0)</f>
        <v>0</v>
      </c>
    </row>
    <row r="5" spans="1:87" ht="15" thickTop="1" thickBot="1" x14ac:dyDescent="0.5">
      <c r="A5" s="1">
        <v>2</v>
      </c>
      <c r="B5" s="1">
        <f t="shared" si="15"/>
        <v>3</v>
      </c>
      <c r="C5" s="8">
        <f t="shared" si="16"/>
        <v>12100000</v>
      </c>
      <c r="D5" s="16">
        <f>IF(Table1[[#This Row],[Capacity moulding]]&lt;Table1[[#This Row],[Capacity decorating]],Table1[[#This Row],[Capacity moulding]],Table1[[#This Row],[Capacity decorating]])</f>
        <v>12614400</v>
      </c>
      <c r="E5" s="1">
        <f>Table1[[#This Row],[Capacity per injection moulding machine '[parts/hr']]]* Table1[[#This Row],[No. injection moulding machines]]*Table1[[#This Row],[Normal yearly production time '[hrs']]]/Table1[[#This Row],[Elements per unit]]</f>
        <v>12614400</v>
      </c>
      <c r="F5" s="1">
        <f>IF((Table1[[#This Row],[Capacity per decoration machine '[parts/hr']]]*Table1[[#This Row],[No. one-color head decorator machines]]*Table1[[#This Row],[Normal yearly production time '[hrs']]])&lt;(Table1[[#This Row],[Capacity per decoration machine '[parts/hr']]]*Table1[[#This Row],[No. one-color UB decorator machines]]*Table1[[#This Row],[Normal yearly production time '[hrs']]]), Table1[[#This Row],[Capacity per decoration machine '[parts/hr']]]*Table1[[#This Row],[No. one-color head decorator machines]]*Table1[[#This Row],[Normal yearly production time '[hrs']]], Table1[[#This Row],[Capacity per decoration machine '[parts/hr']]]*Table1[[#This Row],[No. one-color UB decorator machines]]*Table1[[#This Row],[Normal yearly production time '[hrs']]])</f>
        <v>17520000</v>
      </c>
      <c r="G5" s="21">
        <f t="shared" si="0"/>
        <v>2E-3</v>
      </c>
      <c r="H5" s="21">
        <f t="shared" si="1"/>
        <v>3.0000000000000001E-3</v>
      </c>
      <c r="I5" s="8">
        <f t="shared" si="17"/>
        <v>10</v>
      </c>
      <c r="J5" s="8">
        <f t="shared" si="2"/>
        <v>10</v>
      </c>
      <c r="K5" s="8">
        <f t="shared" si="18"/>
        <v>2</v>
      </c>
      <c r="L5" s="1">
        <f>12</f>
        <v>12</v>
      </c>
      <c r="M5" s="3">
        <f t="shared" si="19"/>
        <v>0.25</v>
      </c>
      <c r="N5" s="1">
        <f t="shared" si="20"/>
        <v>8760</v>
      </c>
      <c r="O5" s="1">
        <f>IF(O4&lt;Table1[[#This Row],[Space requrement per injection modling machine '[m2']]]*Table1[[#This Row],[No. injection moulding machines]]+Table1[[#This Row],[Space requrement per decorating machine '[m2']]]*(Table1[[#This Row],[No. one-color head decorator machines]]+Table1[[#This Row],[No. one-color UB decorator machines]]),O4+500,O4)</f>
        <v>500</v>
      </c>
      <c r="P5" s="1">
        <f>ROUNDUP(Table1[[#This Row],[Man power per injection moulding machine]]*(Table1[[#This Row],[No. injection moulding machines]])+Table1[[#This Row],[Man power needed per decoration machine]]*(Table1[[#This Row],[No. one-color head decorator machines]]+Table1[[#This Row],[No. one-color UB decorator machines]]),0)</f>
        <v>5</v>
      </c>
      <c r="Q5" s="8">
        <f>F15</f>
        <v>16</v>
      </c>
      <c r="R5" s="1">
        <f t="shared" si="4"/>
        <v>8</v>
      </c>
      <c r="S5" s="1">
        <f t="shared" si="5"/>
        <v>60000</v>
      </c>
      <c r="T5" s="8">
        <f t="shared" si="6"/>
        <v>0</v>
      </c>
      <c r="U5" s="1">
        <f t="shared" si="7"/>
        <v>2</v>
      </c>
      <c r="V5" s="8">
        <f t="shared" si="8"/>
        <v>1</v>
      </c>
      <c r="W5" s="1">
        <f t="shared" si="9"/>
        <v>1</v>
      </c>
      <c r="X5" s="1">
        <f>60000</f>
        <v>60000</v>
      </c>
      <c r="Y5" s="8">
        <f t="shared" si="10"/>
        <v>1</v>
      </c>
      <c r="Z5" s="1">
        <f t="shared" si="11"/>
        <v>1</v>
      </c>
      <c r="AA5" s="1">
        <f>60000</f>
        <v>60000</v>
      </c>
      <c r="AB5" s="1">
        <f>ROUNDUP(Table1[[#This Row],[No. blue collar workers]]/2.5,0)</f>
        <v>2</v>
      </c>
      <c r="AC5" s="1">
        <f>IF(AD6-Table1[[#This Row],[No. moulds]]&gt;0,AD6-Table1[[#This Row],[No. moulds]],0)</f>
        <v>14</v>
      </c>
      <c r="AD5" s="1">
        <f>IF(Table1[[#This Row],[No. different elements]]&gt;Table1[[#This Row],[No. injection moulding machines]],Table1[[#This Row],[No. different elements]],Table1[[#This Row],[No. injection moulding machines]])</f>
        <v>10</v>
      </c>
      <c r="AE5" s="1">
        <f>10000</f>
        <v>10000</v>
      </c>
      <c r="AF5" s="1">
        <f>30000</f>
        <v>30000</v>
      </c>
      <c r="AG5" s="1">
        <f>Table1[[#This Row],[Cost material &amp; production per mould '[€']]]+Table1[[#This Row],[Cost mould development per mould '[€']]]</f>
        <v>40000</v>
      </c>
      <c r="AH5" s="2">
        <f t="shared" si="12"/>
        <v>13333.3</v>
      </c>
      <c r="AI5" s="1">
        <f>3</f>
        <v>3</v>
      </c>
      <c r="AJ5" s="1">
        <f>4</f>
        <v>4</v>
      </c>
      <c r="AK5" s="1">
        <f>18</f>
        <v>18</v>
      </c>
      <c r="AL5" s="1">
        <f>1800</f>
        <v>1800</v>
      </c>
      <c r="AM5" s="22">
        <f t="shared" si="13"/>
        <v>0.33333333333333331</v>
      </c>
      <c r="AN5" s="2">
        <f>7500</f>
        <v>7500</v>
      </c>
      <c r="AO5" s="2">
        <f>15000</f>
        <v>15000</v>
      </c>
      <c r="AP5" s="2">
        <f>18</f>
        <v>18</v>
      </c>
      <c r="AQ5" s="2">
        <f>2000</f>
        <v>2000</v>
      </c>
      <c r="AR5" s="2">
        <f>1</f>
        <v>1</v>
      </c>
      <c r="AS5" s="2">
        <f>60000</f>
        <v>60000</v>
      </c>
      <c r="AT5" s="2">
        <f t="shared" si="14"/>
        <v>80000000</v>
      </c>
      <c r="AU5" s="2">
        <f>27</f>
        <v>27</v>
      </c>
      <c r="AV5" s="2">
        <f>52000</f>
        <v>52000</v>
      </c>
      <c r="AW5" s="2">
        <f>55</f>
        <v>55</v>
      </c>
      <c r="AX5" s="2">
        <f>AX4+Table1[[#This Row],[Retained earnings '[€']]]-Table1[[#This Row],[Total investment]]+Table1[[#This Row],[Total depreciation '[€']]]</f>
        <v>1263540</v>
      </c>
      <c r="AY5" s="2">
        <f>SUM(Table1[[#This Row],[Total investment]],AY4)-Table1[[#This Row],[Total depreciation '[€']]]</f>
        <v>1505001.3</v>
      </c>
      <c r="AZ5" s="2">
        <v>1000000</v>
      </c>
      <c r="BA5" s="2">
        <f>Table1[[#This Row],[Machines/equipment '[€']]]+Table1[[#This Row],[Cash '[€']]]</f>
        <v>2768541.3</v>
      </c>
      <c r="BB5" s="2">
        <f>Table1[[#This Row],[Net income '[€']]]</f>
        <v>840087</v>
      </c>
      <c r="BC5" s="2">
        <f>SUM(Table1[[#This Row],[Retained earnings '[€']]],BC4)</f>
        <v>1768541.3</v>
      </c>
      <c r="BD5" s="2">
        <f>Table1[[#This Row],[Capital stock '[€']]]+Table1[[#This Row],[Cumulative retained earnings '[€']]]</f>
        <v>2768541.3</v>
      </c>
      <c r="BE5" s="22">
        <f>Table1[[#This Row],[Cost per part '[$']]]*Table1[[#This Row],[Elements per unit]]</f>
        <v>0.02</v>
      </c>
      <c r="BF5" s="22">
        <f>Table1[[#This Row],[Cost per color '[$']]]*Table1[[#This Row],[Colors per unit]]</f>
        <v>6.0000000000000001E-3</v>
      </c>
      <c r="BG5" s="2">
        <f>Table1[[#This Row],[Material cost per unit '[€']]]*Table1[[#This Row],[Units in series]]</f>
        <v>242000</v>
      </c>
      <c r="BH5" s="2">
        <f>Table1[[#This Row],[Color cost per unit '[€']]]*Table1[[#This Row],[Units in series]]</f>
        <v>72600</v>
      </c>
      <c r="BI5" s="2">
        <f>Table1[[#This Row],[No. blue collar workers]]*Table1[[#This Row],[Wage pr blue collar worker '[€/hr']]]</f>
        <v>135</v>
      </c>
      <c r="BJ5" s="2">
        <f>Table1[[#This Row],[Labor cost per hour '[€/hr']]]*Table1[[#This Row],[Normal yearly production time '[hrs']]]</f>
        <v>1182600</v>
      </c>
      <c r="BK5" s="2">
        <f>Table1[[#This Row],[Cost of operations per decorator machine '[€/hr']]]*(Table1[[#This Row],[No. one-color head decorator machines]]+Table1[[#This Row],[No. one-color UB decorator machines]])+Table1[[#This Row],[Cost of operations per injection moulding machine '[€/hr']]]*Table1[[#This Row],[No. injection moulding machines]]</f>
        <v>38</v>
      </c>
      <c r="BL5" s="2">
        <f>Table1[[#This Row],[Operations cost per hour '[€/hrs']]]*Table1[[#This Row],[Normal yearly production time '[hrs']]]</f>
        <v>332880</v>
      </c>
      <c r="BM5" s="2">
        <f>Table1[[#This Row],[Operations cost '[€']]]+Table1[[#This Row],[Labor cost '[€']]]+Table1[[#This Row],[Color cost '[€']]]+Table1[[#This Row],[Materials cost '[€']]]</f>
        <v>1830080</v>
      </c>
      <c r="BN5" s="2">
        <f>Table1[[#This Row],[Rent '[(€/m2)/year']]]*Table1[[#This Row],[Production size '[m2']]]</f>
        <v>27500</v>
      </c>
      <c r="BO5" s="2">
        <f>Table1[[#This Row],[Wage pr white collar worker '[€/year']]]*Table1[[#This Row],[No.  White collar employees]]</f>
        <v>104000</v>
      </c>
      <c r="BP5" s="2">
        <f>Table1[[#This Row],[Depr. Per mould '[€/year']]]*Table1[[#This Row],[No. moulds]]</f>
        <v>133333</v>
      </c>
      <c r="BQ5" s="2">
        <f>Table1[[#This Row],[Depriciation per injection moulding machine '[€/year']]]*Table1[[#This Row],[No. injection moulding machines]]</f>
        <v>60000</v>
      </c>
      <c r="BR5" s="2">
        <f>Table1[[#This Row],[Depreciation per decoration machine '[€/year']]]*(Table1[[#This Row],[No. one-color head decorator machines]]+Table1[[#This Row],[No. one-color UB decorator machines]])</f>
        <v>30000</v>
      </c>
      <c r="BS5" s="2">
        <f>Table1[[#This Row],[Depr. Deco '[€']]]+Table1[[#This Row],[Depr. Inj. Mach. '[€']]]+Table1[[#This Row],[Depr. Moulds '[€']]]+Table1[[#This Row],[Administration '[€']]]+Table1[[#This Row],[Rent '[€']]]</f>
        <v>354833</v>
      </c>
      <c r="BT5" s="2">
        <f>Table1[[#This Row],[Indirect cost '[€']]]+Table1[[#This Row],[Direct cost '[€']]]</f>
        <v>2184913</v>
      </c>
      <c r="BU5" s="2">
        <f>Table1[[#This Row],[Depr. Deco '[€']]]+Table1[[#This Row],[Depr. Inj. Mach. '[€']]]+Table1[[#This Row],[Depr. Moulds '[€']]]</f>
        <v>223333</v>
      </c>
      <c r="BV5" s="2">
        <f>Table1[[#This Row],[No. new moulds]]*Table1[[#This Row],[Total cost per new mould '[€']]]+Table1[[#This Row],[No. new injection moulding machines]]*Table1[[#This Row],[Cost per new injection moulding machine '[€']]]+Table1[[#This Row],[No. new one-color head decorator machines]]*Table1[[#This Row],[Cost per new one-color head decorator machines '[€']]]+Table1[[#This Row],[No. new one-color UB decorator machines]]*Table1[[#This Row],[Cost per new one-color UB decorator machines '[€']]]</f>
        <v>1640000</v>
      </c>
      <c r="BW5" s="22">
        <f>Table1[[#This Row],[Color cost per unit '[€']]]+Table1[[#This Row],[Material cost per unit '[€']]]</f>
        <v>2.6000000000000002E-2</v>
      </c>
      <c r="BX5" s="12">
        <f>Table1[[#This Row],[Offer per unit '[€']]]*Table1[[#This Row],[Units in series]]</f>
        <v>3025000</v>
      </c>
      <c r="BY5" s="12">
        <f>Table1[[#This Row],[Total sales '[€']]]-Table1[[#This Row],[Direct cost '[€']]]-Table1[[#This Row],[Indirect cost '[€']]]</f>
        <v>840087</v>
      </c>
      <c r="BZ5" s="12">
        <f>SUM(BZ4,-Table1[[#This Row],[Total investment]])</f>
        <v>-2280000</v>
      </c>
      <c r="CA5" s="12">
        <f>SUM(CA4,Table1[[#This Row],[Net income '[€']]])</f>
        <v>1768541.3</v>
      </c>
      <c r="CB5" s="12">
        <f>SUM(CB4,Table1[[#This Row],[Total sales '[€']]])</f>
        <v>8275000</v>
      </c>
      <c r="CC5" s="20">
        <f>SUM(CC4,-Table1[[#This Row],[Total cost '[$']]])</f>
        <v>-6506458.7000000002</v>
      </c>
      <c r="CD5" s="12">
        <f>Table1[[#This Row],[Accumulated net income '[€']]]-(-Table1[[#This Row],[Accumulated investment (negative) '[€']]])</f>
        <v>-511458.69999999995</v>
      </c>
      <c r="CE5" s="25">
        <f>IF(AND(Table1[[#This Row],[Break even '[€']]]&gt;0,CD4&lt;0),Table1[[#This Row],[Break even '[€']]],0)</f>
        <v>0</v>
      </c>
      <c r="CF5" s="17" t="str">
        <f>IF(Table1[[#This Row],[Break even point]]&gt;0,Table1[[#This Row],[Year / series]],"")</f>
        <v/>
      </c>
      <c r="CG5" s="17"/>
      <c r="CH5" s="17">
        <f>IF(Table1[[#This Row],[Max capacity]]&gt;=Table1[[#This Row],[Units in series]],0,1)</f>
        <v>0</v>
      </c>
      <c r="CI5" s="17">
        <f>IF(Table1[[#This Row],[Cash '[€']]]&lt;0,1,0)</f>
        <v>0</v>
      </c>
    </row>
    <row r="6" spans="1:87" ht="15" thickTop="1" thickBot="1" x14ac:dyDescent="0.5">
      <c r="A6" s="1"/>
      <c r="B6" s="1">
        <f t="shared" si="15"/>
        <v>4</v>
      </c>
      <c r="C6" s="8">
        <f t="shared" si="16"/>
        <v>30250000</v>
      </c>
      <c r="D6" s="16">
        <f>IF(Table1[[#This Row],[Capacity moulding]]&lt;Table1[[#This Row],[Capacity decorating]],Table1[[#This Row],[Capacity moulding]],Table1[[#This Row],[Capacity decorating]])</f>
        <v>31536000</v>
      </c>
      <c r="E6" s="1">
        <f>Table1[[#This Row],[Capacity per injection moulding machine '[parts/hr']]]* Table1[[#This Row],[No. injection moulding machines]]*Table1[[#This Row],[Normal yearly production time '[hrs']]]/Table1[[#This Row],[Elements per unit]]</f>
        <v>31536000</v>
      </c>
      <c r="F6" s="1">
        <f>IF((Table1[[#This Row],[Capacity per decoration machine '[parts/hr']]]*Table1[[#This Row],[No. one-color head decorator machines]]*Table1[[#This Row],[Normal yearly production time '[hrs']]])&lt;(Table1[[#This Row],[Capacity per decoration machine '[parts/hr']]]*Table1[[#This Row],[No. one-color UB decorator machines]]*Table1[[#This Row],[Normal yearly production time '[hrs']]]), Table1[[#This Row],[Capacity per decoration machine '[parts/hr']]]*Table1[[#This Row],[No. one-color head decorator machines]]*Table1[[#This Row],[Normal yearly production time '[hrs']]], Table1[[#This Row],[Capacity per decoration machine '[parts/hr']]]*Table1[[#This Row],[No. one-color UB decorator machines]]*Table1[[#This Row],[Normal yearly production time '[hrs']]])</f>
        <v>35040000</v>
      </c>
      <c r="G6" s="21">
        <f t="shared" si="0"/>
        <v>2E-3</v>
      </c>
      <c r="H6" s="21">
        <f t="shared" si="1"/>
        <v>3.0000000000000001E-3</v>
      </c>
      <c r="I6" s="8">
        <f t="shared" si="17"/>
        <v>12</v>
      </c>
      <c r="J6" s="8">
        <f t="shared" si="2"/>
        <v>12</v>
      </c>
      <c r="K6" s="8">
        <f t="shared" si="18"/>
        <v>2</v>
      </c>
      <c r="L6" s="1">
        <f>12</f>
        <v>12</v>
      </c>
      <c r="M6" s="3">
        <f t="shared" si="19"/>
        <v>0.25</v>
      </c>
      <c r="N6" s="1">
        <f t="shared" si="20"/>
        <v>8760</v>
      </c>
      <c r="O6" s="1">
        <f>IF(O5&lt;Table1[[#This Row],[Space requrement per injection modling machine '[m2']]]*Table1[[#This Row],[No. injection moulding machines]]+Table1[[#This Row],[Space requrement per decorating machine '[m2']]]*(Table1[[#This Row],[No. one-color head decorator machines]]+Table1[[#This Row],[No. one-color UB decorator machines]]),O5+500,O5)</f>
        <v>1000</v>
      </c>
      <c r="P6" s="1">
        <f>ROUNDUP(Table1[[#This Row],[Man power per injection moulding machine]]*(Table1[[#This Row],[No. injection moulding machines]])+Table1[[#This Row],[Man power needed per decoration machine]]*(Table1[[#This Row],[No. one-color head decorator machines]]+Table1[[#This Row],[No. one-color UB decorator machines]]),0)</f>
        <v>12</v>
      </c>
      <c r="Q6" s="8">
        <f>F16</f>
        <v>0</v>
      </c>
      <c r="R6" s="1">
        <f t="shared" si="4"/>
        <v>24</v>
      </c>
      <c r="S6" s="1">
        <f t="shared" si="5"/>
        <v>60000</v>
      </c>
      <c r="T6" s="8">
        <f t="shared" si="6"/>
        <v>0</v>
      </c>
      <c r="U6" s="1">
        <f t="shared" si="7"/>
        <v>2</v>
      </c>
      <c r="V6" s="8">
        <f t="shared" si="8"/>
        <v>0</v>
      </c>
      <c r="W6" s="1">
        <f t="shared" si="9"/>
        <v>2</v>
      </c>
      <c r="X6" s="1">
        <f>60000</f>
        <v>60000</v>
      </c>
      <c r="Y6" s="8">
        <f t="shared" si="10"/>
        <v>0</v>
      </c>
      <c r="Z6" s="1">
        <f t="shared" si="11"/>
        <v>2</v>
      </c>
      <c r="AA6" s="1">
        <f>60000</f>
        <v>60000</v>
      </c>
      <c r="AB6" s="1">
        <f>ROUNDUP(Table1[[#This Row],[No. blue collar workers]]/2.5,0)</f>
        <v>5</v>
      </c>
      <c r="AC6" s="1">
        <f>IF(AD7-Table1[[#This Row],[No. moulds]]&gt;0,AD7-Table1[[#This Row],[No. moulds]],0)</f>
        <v>0</v>
      </c>
      <c r="AD6" s="1">
        <f>IF(Table1[[#This Row],[No. different elements]]&gt;Table1[[#This Row],[No. injection moulding machines]],Table1[[#This Row],[No. different elements]],Table1[[#This Row],[No. injection moulding machines]])</f>
        <v>24</v>
      </c>
      <c r="AE6" s="1">
        <f>10000</f>
        <v>10000</v>
      </c>
      <c r="AF6" s="1">
        <f>30000</f>
        <v>30000</v>
      </c>
      <c r="AG6" s="1">
        <f>Table1[[#This Row],[Cost material &amp; production per mould '[€']]]+Table1[[#This Row],[Cost mould development per mould '[€']]]</f>
        <v>40000</v>
      </c>
      <c r="AH6" s="2">
        <f t="shared" si="12"/>
        <v>13333.3</v>
      </c>
      <c r="AI6" s="1">
        <f>3</f>
        <v>3</v>
      </c>
      <c r="AJ6" s="1">
        <f>4</f>
        <v>4</v>
      </c>
      <c r="AK6" s="1">
        <f>18</f>
        <v>18</v>
      </c>
      <c r="AL6" s="1">
        <f>1800</f>
        <v>1800</v>
      </c>
      <c r="AM6" s="22">
        <f t="shared" si="13"/>
        <v>0.33333333333333331</v>
      </c>
      <c r="AN6" s="2">
        <f>7500</f>
        <v>7500</v>
      </c>
      <c r="AO6" s="2">
        <f>15000</f>
        <v>15000</v>
      </c>
      <c r="AP6" s="2">
        <f>18</f>
        <v>18</v>
      </c>
      <c r="AQ6" s="2">
        <f>2000</f>
        <v>2000</v>
      </c>
      <c r="AR6" s="2">
        <f>1</f>
        <v>1</v>
      </c>
      <c r="AS6" s="2">
        <f>60000</f>
        <v>60000</v>
      </c>
      <c r="AT6" s="2">
        <f t="shared" si="14"/>
        <v>80000000</v>
      </c>
      <c r="AU6" s="2">
        <f>27</f>
        <v>27</v>
      </c>
      <c r="AV6" s="2">
        <f>52000</f>
        <v>52000</v>
      </c>
      <c r="AW6" s="2">
        <f>55</f>
        <v>55</v>
      </c>
      <c r="AX6" s="2">
        <f>AX5+Table1[[#This Row],[Retained earnings '[€']]]-Table1[[#This Row],[Total investment]]+Table1[[#This Row],[Total depreciation '[€']]]</f>
        <v>3819220</v>
      </c>
      <c r="AY6" s="2">
        <f>SUM(Table1[[#This Row],[Total investment]],AY5)-Table1[[#This Row],[Total depreciation '[€']]]</f>
        <v>945002.10000000009</v>
      </c>
      <c r="AZ6" s="2">
        <v>1000000</v>
      </c>
      <c r="BA6" s="2">
        <f>Table1[[#This Row],[Machines/equipment '[€']]]+Table1[[#This Row],[Cash '[€']]]</f>
        <v>4764222.0999999996</v>
      </c>
      <c r="BB6" s="2">
        <f>Table1[[#This Row],[Net income '[€']]]</f>
        <v>1995680.8</v>
      </c>
      <c r="BC6" s="2">
        <f>SUM(Table1[[#This Row],[Retained earnings '[€']]],BC5)</f>
        <v>3764222.1</v>
      </c>
      <c r="BD6" s="2">
        <f>Table1[[#This Row],[Capital stock '[€']]]+Table1[[#This Row],[Cumulative retained earnings '[€']]]</f>
        <v>4764222.0999999996</v>
      </c>
      <c r="BE6" s="22">
        <f>Table1[[#This Row],[Cost per part '[$']]]*Table1[[#This Row],[Elements per unit]]</f>
        <v>2.4E-2</v>
      </c>
      <c r="BF6" s="22">
        <f>Table1[[#This Row],[Cost per color '[$']]]*Table1[[#This Row],[Colors per unit]]</f>
        <v>6.0000000000000001E-3</v>
      </c>
      <c r="BG6" s="2">
        <f>Table1[[#This Row],[Material cost per unit '[€']]]*Table1[[#This Row],[Units in series]]</f>
        <v>726000</v>
      </c>
      <c r="BH6" s="2">
        <f>Table1[[#This Row],[Color cost per unit '[€']]]*Table1[[#This Row],[Units in series]]</f>
        <v>181500</v>
      </c>
      <c r="BI6" s="2">
        <f>Table1[[#This Row],[No. blue collar workers]]*Table1[[#This Row],[Wage pr blue collar worker '[€/hr']]]</f>
        <v>324</v>
      </c>
      <c r="BJ6" s="2">
        <f>Table1[[#This Row],[Labor cost per hour '[€/hr']]]*Table1[[#This Row],[Normal yearly production time '[hrs']]]</f>
        <v>2838240</v>
      </c>
      <c r="BK6" s="2">
        <f>Table1[[#This Row],[Cost of operations per decorator machine '[€/hr']]]*(Table1[[#This Row],[No. one-color head decorator machines]]+Table1[[#This Row],[No. one-color UB decorator machines]])+Table1[[#This Row],[Cost of operations per injection moulding machine '[€/hr']]]*Table1[[#This Row],[No. injection moulding machines]]</f>
        <v>108</v>
      </c>
      <c r="BL6" s="2">
        <f>Table1[[#This Row],[Operations cost per hour '[€/hrs']]]*Table1[[#This Row],[Normal yearly production time '[hrs']]]</f>
        <v>946080</v>
      </c>
      <c r="BM6" s="2">
        <f>Table1[[#This Row],[Operations cost '[€']]]+Table1[[#This Row],[Labor cost '[€']]]+Table1[[#This Row],[Color cost '[€']]]+Table1[[#This Row],[Materials cost '[€']]]</f>
        <v>4691820</v>
      </c>
      <c r="BN6" s="2">
        <f>Table1[[#This Row],[Rent '[(€/m2)/year']]]*Table1[[#This Row],[Production size '[m2']]]</f>
        <v>55000</v>
      </c>
      <c r="BO6" s="2">
        <f>Table1[[#This Row],[Wage pr white collar worker '[€/year']]]*Table1[[#This Row],[No.  White collar employees]]</f>
        <v>260000</v>
      </c>
      <c r="BP6" s="2">
        <f>Table1[[#This Row],[Depr. Per mould '[€/year']]]*Table1[[#This Row],[No. moulds]]</f>
        <v>319999.19999999995</v>
      </c>
      <c r="BQ6" s="2">
        <f>Table1[[#This Row],[Depriciation per injection moulding machine '[€/year']]]*Table1[[#This Row],[No. injection moulding machines]]</f>
        <v>180000</v>
      </c>
      <c r="BR6" s="2">
        <f>Table1[[#This Row],[Depreciation per decoration machine '[€/year']]]*(Table1[[#This Row],[No. one-color head decorator machines]]+Table1[[#This Row],[No. one-color UB decorator machines]])</f>
        <v>60000</v>
      </c>
      <c r="BS6" s="2">
        <f>Table1[[#This Row],[Depr. Deco '[€']]]+Table1[[#This Row],[Depr. Inj. Mach. '[€']]]+Table1[[#This Row],[Depr. Moulds '[€']]]+Table1[[#This Row],[Administration '[€']]]+Table1[[#This Row],[Rent '[€']]]</f>
        <v>874999.2</v>
      </c>
      <c r="BT6" s="2">
        <f>Table1[[#This Row],[Indirect cost '[€']]]+Table1[[#This Row],[Direct cost '[€']]]</f>
        <v>5566819.2000000002</v>
      </c>
      <c r="BU6" s="2">
        <f>Table1[[#This Row],[Depr. Deco '[€']]]+Table1[[#This Row],[Depr. Inj. Mach. '[€']]]+Table1[[#This Row],[Depr. Moulds '[€']]]</f>
        <v>559999.19999999995</v>
      </c>
      <c r="BV6" s="2">
        <f>Table1[[#This Row],[No. new moulds]]*Table1[[#This Row],[Total cost per new mould '[€']]]+Table1[[#This Row],[No. new injection moulding machines]]*Table1[[#This Row],[Cost per new injection moulding machine '[€']]]+Table1[[#This Row],[No. new one-color head decorator machines]]*Table1[[#This Row],[Cost per new one-color head decorator machines '[€']]]+Table1[[#This Row],[No. new one-color UB decorator machines]]*Table1[[#This Row],[Cost per new one-color UB decorator machines '[€']]]</f>
        <v>0</v>
      </c>
      <c r="BW6" s="22">
        <f>Table1[[#This Row],[Color cost per unit '[€']]]+Table1[[#This Row],[Material cost per unit '[€']]]</f>
        <v>0.03</v>
      </c>
      <c r="BX6" s="12">
        <f>Table1[[#This Row],[Offer per unit '[€']]]*Table1[[#This Row],[Units in series]]</f>
        <v>7562500</v>
      </c>
      <c r="BY6" s="12">
        <f>Table1[[#This Row],[Total sales '[€']]]-Table1[[#This Row],[Direct cost '[€']]]-Table1[[#This Row],[Indirect cost '[€']]]</f>
        <v>1995680.8</v>
      </c>
      <c r="BZ6" s="12">
        <f>SUM(BZ5,-Table1[[#This Row],[Total investment]])</f>
        <v>-2280000</v>
      </c>
      <c r="CA6" s="12">
        <f>SUM(CA5,Table1[[#This Row],[Net income '[€']]])</f>
        <v>3764222.1</v>
      </c>
      <c r="CB6" s="12">
        <f>SUM(CB5,Table1[[#This Row],[Total sales '[€']]])</f>
        <v>15837500</v>
      </c>
      <c r="CC6" s="20">
        <f>SUM(CC5,-Table1[[#This Row],[Total cost '[$']]])</f>
        <v>-12073277.9</v>
      </c>
      <c r="CD6" s="12">
        <f>Table1[[#This Row],[Accumulated net income '[€']]]-(-Table1[[#This Row],[Accumulated investment (negative) '[€']]])</f>
        <v>1484222.1</v>
      </c>
      <c r="CE6" s="25">
        <f>IF(AND(Table1[[#This Row],[Break even '[€']]]&gt;0,CD5&lt;0),Table1[[#This Row],[Break even '[€']]],0)</f>
        <v>1484222.1</v>
      </c>
      <c r="CF6" s="17">
        <f>IF(Table1[[#This Row],[Break even point]]&gt;0,Table1[[#This Row],[Year / series]],"")</f>
        <v>4</v>
      </c>
      <c r="CG6" s="17"/>
      <c r="CH6" s="17">
        <f>IF(Table1[[#This Row],[Max capacity]]&gt;=Table1[[#This Row],[Units in series]],0,1)</f>
        <v>0</v>
      </c>
      <c r="CI6" s="17">
        <f>IF(Table1[[#This Row],[Cash '[€']]]&lt;0,1,0)</f>
        <v>0</v>
      </c>
    </row>
    <row r="7" spans="1:87" ht="15" thickTop="1" thickBot="1" x14ac:dyDescent="0.5">
      <c r="A7" s="1">
        <v>3</v>
      </c>
      <c r="B7" s="1">
        <f t="shared" si="15"/>
        <v>5</v>
      </c>
      <c r="C7" s="8">
        <f t="shared" si="16"/>
        <v>5324000</v>
      </c>
      <c r="D7" s="16">
        <f>IF(Table1[[#This Row],[Capacity moulding]]&lt;Table1[[#This Row],[Capacity decorating]],Table1[[#This Row],[Capacity moulding]],Table1[[#This Row],[Capacity decorating]])</f>
        <v>31536000</v>
      </c>
      <c r="E7" s="1">
        <f>Table1[[#This Row],[Capacity per injection moulding machine '[parts/hr']]]* Table1[[#This Row],[No. injection moulding machines]]*Table1[[#This Row],[Normal yearly production time '[hrs']]]/Table1[[#This Row],[Elements per unit]]</f>
        <v>31536000</v>
      </c>
      <c r="F7" s="1">
        <f>IF((Table1[[#This Row],[Capacity per decoration machine '[parts/hr']]]*Table1[[#This Row],[No. one-color head decorator machines]]*Table1[[#This Row],[Normal yearly production time '[hrs']]])&lt;(Table1[[#This Row],[Capacity per decoration machine '[parts/hr']]]*Table1[[#This Row],[No. one-color UB decorator machines]]*Table1[[#This Row],[Normal yearly production time '[hrs']]]), Table1[[#This Row],[Capacity per decoration machine '[parts/hr']]]*Table1[[#This Row],[No. one-color head decorator machines]]*Table1[[#This Row],[Normal yearly production time '[hrs']]], Table1[[#This Row],[Capacity per decoration machine '[parts/hr']]]*Table1[[#This Row],[No. one-color UB decorator machines]]*Table1[[#This Row],[Normal yearly production time '[hrs']]])</f>
        <v>35040000</v>
      </c>
      <c r="G7" s="22">
        <f t="shared" si="0"/>
        <v>2E-3</v>
      </c>
      <c r="H7" s="22">
        <f t="shared" si="1"/>
        <v>3.0000000000000001E-3</v>
      </c>
      <c r="I7" s="8">
        <f t="shared" si="17"/>
        <v>12</v>
      </c>
      <c r="J7" s="8">
        <f t="shared" si="2"/>
        <v>12</v>
      </c>
      <c r="K7" s="8">
        <f t="shared" si="18"/>
        <v>2</v>
      </c>
      <c r="L7" s="1">
        <f>12</f>
        <v>12</v>
      </c>
      <c r="M7" s="3">
        <f t="shared" si="19"/>
        <v>0.25</v>
      </c>
      <c r="N7" s="1">
        <f t="shared" si="20"/>
        <v>8760</v>
      </c>
      <c r="O7" s="1">
        <f>IF(O6&lt;Table1[[#This Row],[Space requrement per injection modling machine '[m2']]]*Table1[[#This Row],[No. injection moulding machines]]+Table1[[#This Row],[Space requrement per decorating machine '[m2']]]*(Table1[[#This Row],[No. one-color head decorator machines]]+Table1[[#This Row],[No. one-color UB decorator machines]]),O6+500,O6)</f>
        <v>1000</v>
      </c>
      <c r="P7" s="1">
        <f>ROUNDUP(Table1[[#This Row],[Man power per injection moulding machine]]*(Table1[[#This Row],[No. injection moulding machines]])+Table1[[#This Row],[Man power needed per decoration machine]]*(Table1[[#This Row],[No. one-color head decorator machines]]+Table1[[#This Row],[No. one-color UB decorator machines]]),0)</f>
        <v>12</v>
      </c>
      <c r="Q7" s="8">
        <f t="shared" si="3"/>
        <v>2</v>
      </c>
      <c r="R7" s="1">
        <f t="shared" si="4"/>
        <v>24</v>
      </c>
      <c r="S7" s="1">
        <f t="shared" si="5"/>
        <v>60000</v>
      </c>
      <c r="T7" s="8">
        <f t="shared" si="6"/>
        <v>0</v>
      </c>
      <c r="U7" s="1">
        <f t="shared" si="7"/>
        <v>2</v>
      </c>
      <c r="V7" s="8">
        <f t="shared" si="8"/>
        <v>0</v>
      </c>
      <c r="W7" s="1">
        <f t="shared" si="9"/>
        <v>2</v>
      </c>
      <c r="X7" s="1">
        <f>60000</f>
        <v>60000</v>
      </c>
      <c r="Y7" s="8">
        <f t="shared" si="10"/>
        <v>0</v>
      </c>
      <c r="Z7" s="1">
        <f t="shared" si="11"/>
        <v>2</v>
      </c>
      <c r="AA7" s="1">
        <f>60000</f>
        <v>60000</v>
      </c>
      <c r="AB7" s="1">
        <f>ROUNDUP(Table1[[#This Row],[No. blue collar workers]]/2.5,0)</f>
        <v>5</v>
      </c>
      <c r="AC7" s="1">
        <f>IF(AD8-Table1[[#This Row],[No. moulds]]&gt;0,AD8-Table1[[#This Row],[No. moulds]],0)</f>
        <v>2</v>
      </c>
      <c r="AD7" s="1">
        <f>IF(Table1[[#This Row],[No. different elements]]&gt;Table1[[#This Row],[No. injection moulding machines]],Table1[[#This Row],[No. different elements]],Table1[[#This Row],[No. injection moulding machines]])</f>
        <v>24</v>
      </c>
      <c r="AE7" s="1">
        <f>10000</f>
        <v>10000</v>
      </c>
      <c r="AF7" s="1">
        <f>30000</f>
        <v>30000</v>
      </c>
      <c r="AG7" s="1">
        <f>Table1[[#This Row],[Cost material &amp; production per mould '[€']]]+Table1[[#This Row],[Cost mould development per mould '[€']]]</f>
        <v>40000</v>
      </c>
      <c r="AH7" s="2">
        <f t="shared" si="12"/>
        <v>13333.3</v>
      </c>
      <c r="AI7" s="1">
        <f>3</f>
        <v>3</v>
      </c>
      <c r="AJ7" s="1">
        <f>4</f>
        <v>4</v>
      </c>
      <c r="AK7" s="1">
        <f>18</f>
        <v>18</v>
      </c>
      <c r="AL7" s="1">
        <f>1800</f>
        <v>1800</v>
      </c>
      <c r="AM7" s="22">
        <f t="shared" si="13"/>
        <v>0.33333333333333331</v>
      </c>
      <c r="AN7" s="2">
        <f>7500</f>
        <v>7500</v>
      </c>
      <c r="AO7" s="2">
        <f>15000</f>
        <v>15000</v>
      </c>
      <c r="AP7" s="2">
        <f>18</f>
        <v>18</v>
      </c>
      <c r="AQ7" s="2">
        <f>2000</f>
        <v>2000</v>
      </c>
      <c r="AR7" s="2">
        <f>1</f>
        <v>1</v>
      </c>
      <c r="AS7" s="2">
        <f>60000</f>
        <v>60000</v>
      </c>
      <c r="AT7" s="2">
        <f>80000000</f>
        <v>80000000</v>
      </c>
      <c r="AU7" s="2">
        <f>27</f>
        <v>27</v>
      </c>
      <c r="AV7" s="2">
        <f>52000</f>
        <v>52000</v>
      </c>
      <c r="AW7" s="2">
        <f>55</f>
        <v>55</v>
      </c>
      <c r="AX7" s="2">
        <f>AX6+Table1[[#This Row],[Retained earnings '[€']]]-Table1[[#This Row],[Total investment]]+Table1[[#This Row],[Total depreciation '[€']]]</f>
        <v>691179.99999999977</v>
      </c>
      <c r="AY7" s="2">
        <f>SUM(Table1[[#This Row],[Total investment]],AY6)-Table1[[#This Row],[Total depreciation '[€']]]</f>
        <v>585002.90000000014</v>
      </c>
      <c r="AZ7" s="2">
        <v>1000000</v>
      </c>
      <c r="BA7" s="2">
        <f>Table1[[#This Row],[Machines/equipment '[€']]]+Table1[[#This Row],[Cash '[€']]]</f>
        <v>1276182.8999999999</v>
      </c>
      <c r="BB7" s="2">
        <f>Table1[[#This Row],[Net income '[€']]]</f>
        <v>-3488039.2</v>
      </c>
      <c r="BC7" s="2">
        <f>SUM(Table1[[#This Row],[Retained earnings '[€']]],BC6)</f>
        <v>276182.89999999991</v>
      </c>
      <c r="BD7" s="2">
        <f>Table1[[#This Row],[Capital stock '[€']]]+Table1[[#This Row],[Cumulative retained earnings '[€']]]</f>
        <v>1276182.8999999999</v>
      </c>
      <c r="BE7" s="22">
        <f>Table1[[#This Row],[Cost per part '[$']]]*Table1[[#This Row],[Elements per unit]]</f>
        <v>2.4E-2</v>
      </c>
      <c r="BF7" s="22">
        <f>Table1[[#This Row],[Cost per color '[$']]]*Table1[[#This Row],[Colors per unit]]</f>
        <v>6.0000000000000001E-3</v>
      </c>
      <c r="BG7" s="2">
        <f>Table1[[#This Row],[Material cost per unit '[€']]]*Table1[[#This Row],[Units in series]]</f>
        <v>127776</v>
      </c>
      <c r="BH7" s="2">
        <f>Table1[[#This Row],[Color cost per unit '[€']]]*Table1[[#This Row],[Units in series]]</f>
        <v>31944</v>
      </c>
      <c r="BI7" s="2">
        <f>Table1[[#This Row],[No. blue collar workers]]*Table1[[#This Row],[Wage pr blue collar worker '[€/hr']]]</f>
        <v>324</v>
      </c>
      <c r="BJ7" s="2">
        <f>Table1[[#This Row],[Labor cost per hour '[€/hr']]]*Table1[[#This Row],[Normal yearly production time '[hrs']]]</f>
        <v>2838240</v>
      </c>
      <c r="BK7" s="2">
        <f>Table1[[#This Row],[Cost of operations per decorator machine '[€/hr']]]*(Table1[[#This Row],[No. one-color head decorator machines]]+Table1[[#This Row],[No. one-color UB decorator machines]])+Table1[[#This Row],[Cost of operations per injection moulding machine '[€/hr']]]*Table1[[#This Row],[No. injection moulding machines]]</f>
        <v>108</v>
      </c>
      <c r="BL7" s="2">
        <f>Table1[[#This Row],[Operations cost per hour '[€/hrs']]]*Table1[[#This Row],[Normal yearly production time '[hrs']]]</f>
        <v>946080</v>
      </c>
      <c r="BM7" s="2">
        <f>Table1[[#This Row],[Operations cost '[€']]]+Table1[[#This Row],[Labor cost '[€']]]+Table1[[#This Row],[Color cost '[€']]]+Table1[[#This Row],[Materials cost '[€']]]</f>
        <v>3944040</v>
      </c>
      <c r="BN7" s="2">
        <f>Table1[[#This Row],[Rent '[(€/m2)/year']]]*Table1[[#This Row],[Production size '[m2']]]</f>
        <v>55000</v>
      </c>
      <c r="BO7" s="2">
        <f>Table1[[#This Row],[Wage pr white collar worker '[€/year']]]*Table1[[#This Row],[No.  White collar employees]]</f>
        <v>260000</v>
      </c>
      <c r="BP7" s="2">
        <f>Table1[[#This Row],[Depr. Per mould '[€/year']]]*Table1[[#This Row],[No. moulds]]</f>
        <v>319999.19999999995</v>
      </c>
      <c r="BQ7" s="2">
        <f>Table1[[#This Row],[Depriciation per injection moulding machine '[€/year']]]*Table1[[#This Row],[No. injection moulding machines]]</f>
        <v>180000</v>
      </c>
      <c r="BR7" s="2">
        <f>Table1[[#This Row],[Depreciation per decoration machine '[€/year']]]*(Table1[[#This Row],[No. one-color head decorator machines]]+Table1[[#This Row],[No. one-color UB decorator machines]])</f>
        <v>60000</v>
      </c>
      <c r="BS7" s="2">
        <f>Table1[[#This Row],[Depr. Deco '[€']]]+Table1[[#This Row],[Depr. Inj. Mach. '[€']]]+Table1[[#This Row],[Depr. Moulds '[€']]]+Table1[[#This Row],[Administration '[€']]]+Table1[[#This Row],[Rent '[€']]]</f>
        <v>874999.2</v>
      </c>
      <c r="BT7" s="2">
        <f>Table1[[#This Row],[Indirect cost '[€']]]+Table1[[#This Row],[Direct cost '[€']]]</f>
        <v>4819039.2</v>
      </c>
      <c r="BU7" s="2">
        <f>Table1[[#This Row],[Depr. Deco '[€']]]+Table1[[#This Row],[Depr. Inj. Mach. '[€']]]+Table1[[#This Row],[Depr. Moulds '[€']]]</f>
        <v>559999.19999999995</v>
      </c>
      <c r="BV7" s="2">
        <f>Table1[[#This Row],[No. new moulds]]*Table1[[#This Row],[Total cost per new mould '[€']]]+Table1[[#This Row],[No. new injection moulding machines]]*Table1[[#This Row],[Cost per new injection moulding machine '[€']]]+Table1[[#This Row],[No. new one-color head decorator machines]]*Table1[[#This Row],[Cost per new one-color head decorator machines '[€']]]+Table1[[#This Row],[No. new one-color UB decorator machines]]*Table1[[#This Row],[Cost per new one-color UB decorator machines '[€']]]</f>
        <v>200000</v>
      </c>
      <c r="BW7" s="22">
        <f>Table1[[#This Row],[Color cost per unit '[€']]]+Table1[[#This Row],[Material cost per unit '[€']]]</f>
        <v>0.03</v>
      </c>
      <c r="BX7" s="12">
        <f>Table1[[#This Row],[Offer per unit '[€']]]*Table1[[#This Row],[Units in series]]</f>
        <v>1331000</v>
      </c>
      <c r="BY7" s="12">
        <f>Table1[[#This Row],[Total sales '[€']]]-Table1[[#This Row],[Direct cost '[€']]]-Table1[[#This Row],[Indirect cost '[€']]]</f>
        <v>-3488039.2</v>
      </c>
      <c r="BZ7" s="12">
        <f>SUM(BZ6,-Table1[[#This Row],[Total investment]])</f>
        <v>-2480000</v>
      </c>
      <c r="CA7" s="12">
        <f>SUM(CA6,Table1[[#This Row],[Net income '[€']]])</f>
        <v>276182.89999999991</v>
      </c>
      <c r="CB7" s="12">
        <f>SUM(CB6,Table1[[#This Row],[Total sales '[€']]])</f>
        <v>17168500</v>
      </c>
      <c r="CC7" s="20">
        <f>SUM(CC6,-Table1[[#This Row],[Total cost '[$']]])</f>
        <v>-16892317.100000001</v>
      </c>
      <c r="CD7" s="12">
        <f>Table1[[#This Row],[Accumulated net income '[€']]]-(-Table1[[#This Row],[Accumulated investment (negative) '[€']]])</f>
        <v>-2203817.1</v>
      </c>
      <c r="CE7" s="25">
        <f>IF(AND(Table1[[#This Row],[Break even '[€']]]&gt;0,CD6&lt;0),Table1[[#This Row],[Break even '[€']]],0)</f>
        <v>0</v>
      </c>
      <c r="CF7" s="17" t="str">
        <f>IF(Table1[[#This Row],[Break even point]]&gt;0,Table1[[#This Row],[Year / series]],"")</f>
        <v/>
      </c>
      <c r="CG7" s="17"/>
      <c r="CH7" s="17">
        <f>IF(Table1[[#This Row],[Max capacity]]&gt;=Table1[[#This Row],[Units in series]],0,1)</f>
        <v>0</v>
      </c>
      <c r="CI7" s="17">
        <f>IF(Table1[[#This Row],[Cash '[€']]]&lt;0,1,0)</f>
        <v>0</v>
      </c>
    </row>
    <row r="8" spans="1:87" ht="15" thickTop="1" thickBot="1" x14ac:dyDescent="0.5">
      <c r="A8" s="1"/>
      <c r="B8" s="1">
        <f t="shared" si="15"/>
        <v>6</v>
      </c>
      <c r="C8" s="8">
        <f t="shared" si="16"/>
        <v>33275000.000000004</v>
      </c>
      <c r="D8" s="16">
        <f>IF(Table1[[#This Row],[Capacity moulding]]&lt;Table1[[#This Row],[Capacity decorating]],Table1[[#This Row],[Capacity moulding]],Table1[[#This Row],[Capacity decorating]])</f>
        <v>34164000</v>
      </c>
      <c r="E8" s="1">
        <f>Table1[[#This Row],[Capacity per injection moulding machine '[parts/hr']]]* Table1[[#This Row],[No. injection moulding machines]]*Table1[[#This Row],[Normal yearly production time '[hrs']]]/Table1[[#This Row],[Elements per unit]]</f>
        <v>34164000</v>
      </c>
      <c r="F8" s="1">
        <f>IF((Table1[[#This Row],[Capacity per decoration machine '[parts/hr']]]*Table1[[#This Row],[No. one-color head decorator machines]]*Table1[[#This Row],[Normal yearly production time '[hrs']]])&lt;(Table1[[#This Row],[Capacity per decoration machine '[parts/hr']]]*Table1[[#This Row],[No. one-color UB decorator machines]]*Table1[[#This Row],[Normal yearly production time '[hrs']]]), Table1[[#This Row],[Capacity per decoration machine '[parts/hr']]]*Table1[[#This Row],[No. one-color head decorator machines]]*Table1[[#This Row],[Normal yearly production time '[hrs']]], Table1[[#This Row],[Capacity per decoration machine '[parts/hr']]]*Table1[[#This Row],[No. one-color UB decorator machines]]*Table1[[#This Row],[Normal yearly production time '[hrs']]])</f>
        <v>35040000</v>
      </c>
      <c r="G8" s="22">
        <f t="shared" si="0"/>
        <v>2E-3</v>
      </c>
      <c r="H8" s="22">
        <f t="shared" si="1"/>
        <v>3.0000000000000001E-3</v>
      </c>
      <c r="I8" s="8">
        <f t="shared" si="17"/>
        <v>12</v>
      </c>
      <c r="J8" s="8">
        <f t="shared" si="2"/>
        <v>12</v>
      </c>
      <c r="K8" s="8">
        <f t="shared" si="18"/>
        <v>20</v>
      </c>
      <c r="L8" s="1">
        <f>12</f>
        <v>12</v>
      </c>
      <c r="M8" s="3">
        <f t="shared" si="19"/>
        <v>0.25</v>
      </c>
      <c r="N8" s="1">
        <f t="shared" si="20"/>
        <v>8760</v>
      </c>
      <c r="O8" s="1">
        <f>IF(O7&lt;Table1[[#This Row],[Space requrement per injection modling machine '[m2']]]*Table1[[#This Row],[No. injection moulding machines]]+Table1[[#This Row],[Space requrement per decorating machine '[m2']]]*(Table1[[#This Row],[No. one-color head decorator machines]]+Table1[[#This Row],[No. one-color UB decorator machines]]),O7+500,O7)</f>
        <v>1000</v>
      </c>
      <c r="P8" s="1">
        <f>ROUNDUP(Table1[[#This Row],[Man power per injection moulding machine]]*(Table1[[#This Row],[No. injection moulding machines]])+Table1[[#This Row],[Man power needed per decoration machine]]*(Table1[[#This Row],[No. one-color head decorator machines]]+Table1[[#This Row],[No. one-color UB decorator machines]]),0)</f>
        <v>13</v>
      </c>
      <c r="Q8" s="8">
        <f t="shared" si="3"/>
        <v>0</v>
      </c>
      <c r="R8" s="1">
        <f t="shared" si="4"/>
        <v>26</v>
      </c>
      <c r="S8" s="1">
        <f t="shared" si="5"/>
        <v>60000</v>
      </c>
      <c r="T8" s="8">
        <f t="shared" si="6"/>
        <v>0</v>
      </c>
      <c r="U8" s="1">
        <f t="shared" si="7"/>
        <v>2</v>
      </c>
      <c r="V8" s="8">
        <f t="shared" si="8"/>
        <v>0</v>
      </c>
      <c r="W8" s="1">
        <f t="shared" si="9"/>
        <v>2</v>
      </c>
      <c r="X8" s="1">
        <f>60000</f>
        <v>60000</v>
      </c>
      <c r="Y8" s="8">
        <f t="shared" si="10"/>
        <v>0</v>
      </c>
      <c r="Z8" s="1">
        <f t="shared" si="11"/>
        <v>2</v>
      </c>
      <c r="AA8" s="1">
        <f>60000</f>
        <v>60000</v>
      </c>
      <c r="AB8" s="1">
        <f>ROUNDUP(Table1[[#This Row],[No. blue collar workers]]/2.5,0)</f>
        <v>6</v>
      </c>
      <c r="AC8" s="1">
        <f>IF(AD9-Table1[[#This Row],[No. moulds]]&gt;0,AD9-Table1[[#This Row],[No. moulds]],0)</f>
        <v>0</v>
      </c>
      <c r="AD8" s="1">
        <f>IF(Table1[[#This Row],[No. different elements]]&gt;Table1[[#This Row],[No. injection moulding machines]],Table1[[#This Row],[No. different elements]],Table1[[#This Row],[No. injection moulding machines]])</f>
        <v>26</v>
      </c>
      <c r="AE8" s="1">
        <f>10000</f>
        <v>10000</v>
      </c>
      <c r="AF8" s="1">
        <f>30000</f>
        <v>30000</v>
      </c>
      <c r="AG8" s="1">
        <f>Table1[[#This Row],[Cost material &amp; production per mould '[€']]]+Table1[[#This Row],[Cost mould development per mould '[€']]]</f>
        <v>40000</v>
      </c>
      <c r="AH8" s="2">
        <f t="shared" si="12"/>
        <v>13333.3</v>
      </c>
      <c r="AI8" s="1">
        <f>3</f>
        <v>3</v>
      </c>
      <c r="AJ8" s="1">
        <f>4</f>
        <v>4</v>
      </c>
      <c r="AK8" s="1">
        <f>18</f>
        <v>18</v>
      </c>
      <c r="AL8" s="1">
        <f>1800</f>
        <v>1800</v>
      </c>
      <c r="AM8" s="22">
        <f t="shared" si="13"/>
        <v>0.33333333333333331</v>
      </c>
      <c r="AN8" s="2">
        <f>7500</f>
        <v>7500</v>
      </c>
      <c r="AO8" s="2">
        <f>15000</f>
        <v>15000</v>
      </c>
      <c r="AP8" s="2">
        <f>18</f>
        <v>18</v>
      </c>
      <c r="AQ8" s="2">
        <f>2000</f>
        <v>2000</v>
      </c>
      <c r="AR8" s="2">
        <f>1</f>
        <v>1</v>
      </c>
      <c r="AS8" s="2">
        <f>60000</f>
        <v>60000</v>
      </c>
      <c r="AT8" s="2">
        <f>80000000</f>
        <v>80000000</v>
      </c>
      <c r="AU8" s="2">
        <f>27</f>
        <v>27</v>
      </c>
      <c r="AV8" s="2">
        <f>52000</f>
        <v>52000</v>
      </c>
      <c r="AW8" s="2">
        <f>55</f>
        <v>55</v>
      </c>
      <c r="AX8" s="2">
        <f>AX7+Table1[[#This Row],[Retained earnings '[€']]]-Table1[[#This Row],[Total investment]]+Table1[[#This Row],[Total depreciation '[€']]]</f>
        <v>1756910.0000000007</v>
      </c>
      <c r="AY8" s="2">
        <f>SUM(Table1[[#This Row],[Total investment]],AY7)-Table1[[#This Row],[Total depreciation '[€']]]</f>
        <v>-16662.899999999907</v>
      </c>
      <c r="AZ8" s="2">
        <v>1000000</v>
      </c>
      <c r="BA8" s="2">
        <f>Table1[[#This Row],[Machines/equipment '[€']]]+Table1[[#This Row],[Cash '[€']]]</f>
        <v>1740247.1000000008</v>
      </c>
      <c r="BB8" s="2">
        <f>Table1[[#This Row],[Net income '[€']]]</f>
        <v>464064.20000000088</v>
      </c>
      <c r="BC8" s="2">
        <f>SUM(Table1[[#This Row],[Retained earnings '[€']]],BC7)</f>
        <v>740247.10000000079</v>
      </c>
      <c r="BD8" s="2">
        <f>Table1[[#This Row],[Capital stock '[€']]]+Table1[[#This Row],[Cumulative retained earnings '[€']]]</f>
        <v>1740247.1000000008</v>
      </c>
      <c r="BE8" s="22">
        <f>Table1[[#This Row],[Cost per part '[$']]]*Table1[[#This Row],[Elements per unit]]</f>
        <v>2.4E-2</v>
      </c>
      <c r="BF8" s="22">
        <f>Table1[[#This Row],[Cost per color '[$']]]*Table1[[#This Row],[Colors per unit]]</f>
        <v>0.06</v>
      </c>
      <c r="BG8" s="2">
        <f>Table1[[#This Row],[Material cost per unit '[€']]]*Table1[[#This Row],[Units in series]]</f>
        <v>798600.00000000012</v>
      </c>
      <c r="BH8" s="2">
        <f>Table1[[#This Row],[Color cost per unit '[€']]]*Table1[[#This Row],[Units in series]]</f>
        <v>1996500.0000000002</v>
      </c>
      <c r="BI8" s="2">
        <f>Table1[[#This Row],[No. blue collar workers]]*Table1[[#This Row],[Wage pr blue collar worker '[€/hr']]]</f>
        <v>351</v>
      </c>
      <c r="BJ8" s="2">
        <f>Table1[[#This Row],[Labor cost per hour '[€/hr']]]*Table1[[#This Row],[Normal yearly production time '[hrs']]]</f>
        <v>3074760</v>
      </c>
      <c r="BK8" s="2">
        <f>Table1[[#This Row],[Cost of operations per decorator machine '[€/hr']]]*(Table1[[#This Row],[No. one-color head decorator machines]]+Table1[[#This Row],[No. one-color UB decorator machines]])+Table1[[#This Row],[Cost of operations per injection moulding machine '[€/hr']]]*Table1[[#This Row],[No. injection moulding machines]]</f>
        <v>116</v>
      </c>
      <c r="BL8" s="2">
        <f>Table1[[#This Row],[Operations cost per hour '[€/hrs']]]*Table1[[#This Row],[Normal yearly production time '[hrs']]]</f>
        <v>1016160</v>
      </c>
      <c r="BM8" s="2">
        <f>Table1[[#This Row],[Operations cost '[€']]]+Table1[[#This Row],[Labor cost '[€']]]+Table1[[#This Row],[Color cost '[€']]]+Table1[[#This Row],[Materials cost '[€']]]</f>
        <v>6886020</v>
      </c>
      <c r="BN8" s="2">
        <f>Table1[[#This Row],[Rent '[(€/m2)/year']]]*Table1[[#This Row],[Production size '[m2']]]</f>
        <v>55000</v>
      </c>
      <c r="BO8" s="2">
        <f>Table1[[#This Row],[Wage pr white collar worker '[€/year']]]*Table1[[#This Row],[No.  White collar employees]]</f>
        <v>312000</v>
      </c>
      <c r="BP8" s="2">
        <f>Table1[[#This Row],[Depr. Per mould '[€/year']]]*Table1[[#This Row],[No. moulds]]</f>
        <v>346665.8</v>
      </c>
      <c r="BQ8" s="2">
        <f>Table1[[#This Row],[Depriciation per injection moulding machine '[€/year']]]*Table1[[#This Row],[No. injection moulding machines]]</f>
        <v>195000</v>
      </c>
      <c r="BR8" s="2">
        <f>Table1[[#This Row],[Depreciation per decoration machine '[€/year']]]*(Table1[[#This Row],[No. one-color head decorator machines]]+Table1[[#This Row],[No. one-color UB decorator machines]])</f>
        <v>60000</v>
      </c>
      <c r="BS8" s="2">
        <f>Table1[[#This Row],[Depr. Deco '[€']]]+Table1[[#This Row],[Depr. Inj. Mach. '[€']]]+Table1[[#This Row],[Depr. Moulds '[€']]]+Table1[[#This Row],[Administration '[€']]]+Table1[[#This Row],[Rent '[€']]]</f>
        <v>968665.8</v>
      </c>
      <c r="BT8" s="2">
        <f>Table1[[#This Row],[Indirect cost '[€']]]+Table1[[#This Row],[Direct cost '[€']]]</f>
        <v>7854685.7999999998</v>
      </c>
      <c r="BU8" s="2">
        <f>Table1[[#This Row],[Depr. Deco '[€']]]+Table1[[#This Row],[Depr. Inj. Mach. '[€']]]+Table1[[#This Row],[Depr. Moulds '[€']]]</f>
        <v>601665.80000000005</v>
      </c>
      <c r="BV8" s="2">
        <f>Table1[[#This Row],[No. new moulds]]*Table1[[#This Row],[Total cost per new mould '[€']]]+Table1[[#This Row],[No. new injection moulding machines]]*Table1[[#This Row],[Cost per new injection moulding machine '[€']]]+Table1[[#This Row],[No. new one-color head decorator machines]]*Table1[[#This Row],[Cost per new one-color head decorator machines '[€']]]+Table1[[#This Row],[No. new one-color UB decorator machines]]*Table1[[#This Row],[Cost per new one-color UB decorator machines '[€']]]</f>
        <v>0</v>
      </c>
      <c r="BW8" s="22">
        <f>Table1[[#This Row],[Color cost per unit '[€']]]+Table1[[#This Row],[Material cost per unit '[€']]]</f>
        <v>8.3999999999999991E-2</v>
      </c>
      <c r="BX8" s="12">
        <f>Table1[[#This Row],[Offer per unit '[€']]]*Table1[[#This Row],[Units in series]]</f>
        <v>8318750.0000000009</v>
      </c>
      <c r="BY8" s="12">
        <f>Table1[[#This Row],[Total sales '[€']]]-Table1[[#This Row],[Direct cost '[€']]]-Table1[[#This Row],[Indirect cost '[€']]]</f>
        <v>464064.20000000088</v>
      </c>
      <c r="BZ8" s="12">
        <f>SUM(BZ7,-Table1[[#This Row],[Total investment]])</f>
        <v>-2480000</v>
      </c>
      <c r="CA8" s="12">
        <f>SUM(CA7,Table1[[#This Row],[Net income '[€']]])</f>
        <v>740247.10000000079</v>
      </c>
      <c r="CB8" s="12">
        <f>SUM(CB7,Table1[[#This Row],[Total sales '[€']]])</f>
        <v>25487250</v>
      </c>
      <c r="CC8" s="20">
        <f>SUM(CC7,-Table1[[#This Row],[Total cost '[$']]])</f>
        <v>-24747002.900000002</v>
      </c>
      <c r="CD8" s="12">
        <f>Table1[[#This Row],[Accumulated net income '[€']]]-(-Table1[[#This Row],[Accumulated investment (negative) '[€']]])</f>
        <v>-1739752.8999999992</v>
      </c>
      <c r="CE8" s="25">
        <f>IF(AND(Table1[[#This Row],[Break even '[€']]]&gt;0,CD7&lt;0),Table1[[#This Row],[Break even '[€']]],0)</f>
        <v>0</v>
      </c>
      <c r="CF8" s="17" t="str">
        <f>IF(Table1[[#This Row],[Break even point]]&gt;0,Table1[[#This Row],[Year / series]],"")</f>
        <v/>
      </c>
      <c r="CG8" s="17"/>
      <c r="CH8" s="17">
        <f>IF(Table1[[#This Row],[Max capacity]]&gt;=Table1[[#This Row],[Units in series]],0,1)</f>
        <v>0</v>
      </c>
      <c r="CI8" s="17">
        <f>IF(Table1[[#This Row],[Cash '[€']]]&lt;0,1,0)</f>
        <v>0</v>
      </c>
    </row>
    <row r="9" spans="1:87" ht="15" thickTop="1" thickBot="1" x14ac:dyDescent="0.5">
      <c r="A9" s="1"/>
      <c r="B9" s="1">
        <f t="shared" si="15"/>
        <v>7</v>
      </c>
      <c r="C9" s="8">
        <f t="shared" si="16"/>
        <v>33275000.000000004</v>
      </c>
      <c r="D9" s="16">
        <f>IF(Table1[[#This Row],[Capacity moulding]]&lt;Table1[[#This Row],[Capacity decorating]],Table1[[#This Row],[Capacity moulding]],Table1[[#This Row],[Capacity decorating]])</f>
        <v>34164000</v>
      </c>
      <c r="E9" s="1">
        <f>Table1[[#This Row],[Capacity per injection moulding machine '[parts/hr']]]* Table1[[#This Row],[No. injection moulding machines]]*Table1[[#This Row],[Normal yearly production time '[hrs']]]/Table1[[#This Row],[Elements per unit]]</f>
        <v>34164000</v>
      </c>
      <c r="F9" s="1">
        <f>IF((Table1[[#This Row],[Capacity per decoration machine '[parts/hr']]]*Table1[[#This Row],[No. one-color head decorator machines]]*Table1[[#This Row],[Normal yearly production time '[hrs']]])&lt;(Table1[[#This Row],[Capacity per decoration machine '[parts/hr']]]*Table1[[#This Row],[No. one-color UB decorator machines]]*Table1[[#This Row],[Normal yearly production time '[hrs']]]), Table1[[#This Row],[Capacity per decoration machine '[parts/hr']]]*Table1[[#This Row],[No. one-color head decorator machines]]*Table1[[#This Row],[Normal yearly production time '[hrs']]], Table1[[#This Row],[Capacity per decoration machine '[parts/hr']]]*Table1[[#This Row],[No. one-color UB decorator machines]]*Table1[[#This Row],[Normal yearly production time '[hrs']]])</f>
        <v>35040000</v>
      </c>
      <c r="G9" s="22">
        <f t="shared" si="0"/>
        <v>2E-3</v>
      </c>
      <c r="H9" s="22">
        <f t="shared" si="1"/>
        <v>3.0000000000000001E-3</v>
      </c>
      <c r="I9" s="8">
        <f t="shared" si="17"/>
        <v>12</v>
      </c>
      <c r="J9" s="8">
        <f t="shared" si="2"/>
        <v>12</v>
      </c>
      <c r="K9" s="8">
        <f t="shared" si="18"/>
        <v>20</v>
      </c>
      <c r="L9" s="1">
        <f>12</f>
        <v>12</v>
      </c>
      <c r="M9" s="3">
        <f t="shared" si="19"/>
        <v>0.25</v>
      </c>
      <c r="N9" s="1">
        <f t="shared" si="20"/>
        <v>8760</v>
      </c>
      <c r="O9" s="1">
        <f>IF(O8&lt;Table1[[#This Row],[Space requrement per injection modling machine '[m2']]]*Table1[[#This Row],[No. injection moulding machines]]+Table1[[#This Row],[Space requrement per decorating machine '[m2']]]*(Table1[[#This Row],[No. one-color head decorator machines]]+Table1[[#This Row],[No. one-color UB decorator machines]]),O8+500,O8)</f>
        <v>1000</v>
      </c>
      <c r="P9" s="1">
        <f>ROUNDUP(Table1[[#This Row],[Man power per injection moulding machine]]*(Table1[[#This Row],[No. injection moulding machines]])+Table1[[#This Row],[Man power needed per decoration machine]]*(Table1[[#This Row],[No. one-color head decorator machines]]+Table1[[#This Row],[No. one-color UB decorator machines]]),0)</f>
        <v>13</v>
      </c>
      <c r="Q9" s="8">
        <f t="shared" si="3"/>
        <v>0</v>
      </c>
      <c r="R9" s="1">
        <f t="shared" si="4"/>
        <v>26</v>
      </c>
      <c r="S9" s="1">
        <f t="shared" si="5"/>
        <v>60000</v>
      </c>
      <c r="T9" s="8">
        <f t="shared" si="6"/>
        <v>0</v>
      </c>
      <c r="U9" s="1">
        <f t="shared" si="7"/>
        <v>2</v>
      </c>
      <c r="V9" s="8">
        <f t="shared" si="8"/>
        <v>0</v>
      </c>
      <c r="W9" s="1">
        <f t="shared" si="9"/>
        <v>2</v>
      </c>
      <c r="X9" s="1">
        <f>60000</f>
        <v>60000</v>
      </c>
      <c r="Y9" s="8">
        <f t="shared" si="10"/>
        <v>0</v>
      </c>
      <c r="Z9" s="1">
        <f t="shared" si="11"/>
        <v>2</v>
      </c>
      <c r="AA9" s="1">
        <f>60000</f>
        <v>60000</v>
      </c>
      <c r="AB9" s="1">
        <f>ROUNDUP(Table1[[#This Row],[No. blue collar workers]]/2.5,0)</f>
        <v>6</v>
      </c>
      <c r="AC9" s="1">
        <f>IF(Y10-Table1[[#This Row],[No. moulds]]&gt;0,Y10-Table1[[#This Row],[No. moulds]],0)</f>
        <v>0</v>
      </c>
      <c r="AD9" s="1">
        <f>IF(Table1[[#This Row],[No. different elements]]&gt;Table1[[#This Row],[No. injection moulding machines]],Table1[[#This Row],[No. different elements]],Table1[[#This Row],[No. injection moulding machines]])</f>
        <v>26</v>
      </c>
      <c r="AE9" s="1">
        <f>10000</f>
        <v>10000</v>
      </c>
      <c r="AF9" s="1">
        <f>30000</f>
        <v>30000</v>
      </c>
      <c r="AG9" s="1">
        <f>Table1[[#This Row],[Cost material &amp; production per mould '[€']]]+Table1[[#This Row],[Cost mould development per mould '[€']]]</f>
        <v>40000</v>
      </c>
      <c r="AH9" s="2">
        <f t="shared" si="12"/>
        <v>13333.3</v>
      </c>
      <c r="AI9" s="1">
        <f>3</f>
        <v>3</v>
      </c>
      <c r="AJ9" s="1">
        <f>4</f>
        <v>4</v>
      </c>
      <c r="AK9" s="1">
        <f>18</f>
        <v>18</v>
      </c>
      <c r="AL9" s="1">
        <f>1800</f>
        <v>1800</v>
      </c>
      <c r="AM9" s="22">
        <f t="shared" si="13"/>
        <v>0.33333333333333331</v>
      </c>
      <c r="AN9" s="2">
        <f>7500</f>
        <v>7500</v>
      </c>
      <c r="AO9" s="2">
        <f>15000</f>
        <v>15000</v>
      </c>
      <c r="AP9" s="2">
        <f>18</f>
        <v>18</v>
      </c>
      <c r="AQ9" s="2">
        <f>2000</f>
        <v>2000</v>
      </c>
      <c r="AR9" s="2">
        <f>1</f>
        <v>1</v>
      </c>
      <c r="AS9" s="2">
        <f>60000</f>
        <v>60000</v>
      </c>
      <c r="AT9" s="2">
        <f>80000000</f>
        <v>80000000</v>
      </c>
      <c r="AU9" s="2">
        <f>27</f>
        <v>27</v>
      </c>
      <c r="AV9" s="2">
        <f>52000</f>
        <v>52000</v>
      </c>
      <c r="AW9" s="2">
        <f>55</f>
        <v>55</v>
      </c>
      <c r="AX9" s="2">
        <f>AX8+Table1[[#This Row],[Retained earnings '[€']]]-Table1[[#This Row],[Total investment]]+Table1[[#This Row],[Total depreciation '[€']]]</f>
        <v>2822640.0000000019</v>
      </c>
      <c r="AY9" s="2">
        <f>SUM(Table1[[#This Row],[Total investment]],AY8)-Table1[[#This Row],[Total depreciation '[€']]]</f>
        <v>-618328.69999999995</v>
      </c>
      <c r="AZ9" s="2">
        <v>1000000</v>
      </c>
      <c r="BA9" s="2">
        <f>Table1[[#This Row],[Machines/equipment '[€']]]+Table1[[#This Row],[Cash '[€']]]</f>
        <v>2204311.3000000017</v>
      </c>
      <c r="BB9" s="2">
        <f>Table1[[#This Row],[Net income '[€']]]</f>
        <v>464064.20000000088</v>
      </c>
      <c r="BC9" s="2">
        <f>SUM(Table1[[#This Row],[Retained earnings '[€']]],BC8)</f>
        <v>1204311.3000000017</v>
      </c>
      <c r="BD9" s="2">
        <f>Table1[[#This Row],[Capital stock '[€']]]+Table1[[#This Row],[Cumulative retained earnings '[€']]]</f>
        <v>2204311.3000000017</v>
      </c>
      <c r="BE9" s="22">
        <f>Table1[[#This Row],[Cost per part '[$']]]*Table1[[#This Row],[Elements per unit]]</f>
        <v>2.4E-2</v>
      </c>
      <c r="BF9" s="22">
        <f>Table1[[#This Row],[Cost per color '[$']]]*Table1[[#This Row],[Colors per unit]]</f>
        <v>0.06</v>
      </c>
      <c r="BG9" s="2">
        <f>Table1[[#This Row],[Material cost per unit '[€']]]*Table1[[#This Row],[Units in series]]</f>
        <v>798600.00000000012</v>
      </c>
      <c r="BH9" s="2">
        <f>Table1[[#This Row],[Color cost per unit '[€']]]*Table1[[#This Row],[Units in series]]</f>
        <v>1996500.0000000002</v>
      </c>
      <c r="BI9" s="2">
        <f>Table1[[#This Row],[No. blue collar workers]]*Table1[[#This Row],[Wage pr blue collar worker '[€/hr']]]</f>
        <v>351</v>
      </c>
      <c r="BJ9" s="2">
        <f>Table1[[#This Row],[Labor cost per hour '[€/hr']]]*Table1[[#This Row],[Normal yearly production time '[hrs']]]</f>
        <v>3074760</v>
      </c>
      <c r="BK9" s="2">
        <f>Table1[[#This Row],[Cost of operations per decorator machine '[€/hr']]]*(Table1[[#This Row],[No. one-color head decorator machines]]+Table1[[#This Row],[No. one-color UB decorator machines]])+Table1[[#This Row],[Cost of operations per injection moulding machine '[€/hr']]]*Table1[[#This Row],[No. injection moulding machines]]</f>
        <v>116</v>
      </c>
      <c r="BL9" s="2">
        <f>Table1[[#This Row],[Operations cost per hour '[€/hrs']]]*Table1[[#This Row],[Normal yearly production time '[hrs']]]</f>
        <v>1016160</v>
      </c>
      <c r="BM9" s="2">
        <f>Table1[[#This Row],[Operations cost '[€']]]+Table1[[#This Row],[Labor cost '[€']]]+Table1[[#This Row],[Color cost '[€']]]+Table1[[#This Row],[Materials cost '[€']]]</f>
        <v>6886020</v>
      </c>
      <c r="BN9" s="2">
        <f>Table1[[#This Row],[Rent '[(€/m2)/year']]]*Table1[[#This Row],[Production size '[m2']]]</f>
        <v>55000</v>
      </c>
      <c r="BO9" s="2">
        <f>Table1[[#This Row],[Wage pr white collar worker '[€/year']]]*Table1[[#This Row],[No.  White collar employees]]</f>
        <v>312000</v>
      </c>
      <c r="BP9" s="2">
        <f>Table1[[#This Row],[Depr. Per mould '[€/year']]]*Table1[[#This Row],[No. moulds]]</f>
        <v>346665.8</v>
      </c>
      <c r="BQ9" s="2">
        <f>Table1[[#This Row],[Depriciation per injection moulding machine '[€/year']]]*Table1[[#This Row],[No. injection moulding machines]]</f>
        <v>195000</v>
      </c>
      <c r="BR9" s="2">
        <f>Table1[[#This Row],[Depreciation per decoration machine '[€/year']]]*(Table1[[#This Row],[No. one-color head decorator machines]]+Table1[[#This Row],[No. one-color UB decorator machines]])</f>
        <v>60000</v>
      </c>
      <c r="BS9" s="2">
        <f>Table1[[#This Row],[Depr. Deco '[€']]]+Table1[[#This Row],[Depr. Inj. Mach. '[€']]]+Table1[[#This Row],[Depr. Moulds '[€']]]+Table1[[#This Row],[Administration '[€']]]+Table1[[#This Row],[Rent '[€']]]</f>
        <v>968665.8</v>
      </c>
      <c r="BT9" s="2">
        <f>Table1[[#This Row],[Indirect cost '[€']]]+Table1[[#This Row],[Direct cost '[€']]]</f>
        <v>7854685.7999999998</v>
      </c>
      <c r="BU9" s="2">
        <f>Table1[[#This Row],[Depr. Deco '[€']]]+Table1[[#This Row],[Depr. Inj. Mach. '[€']]]+Table1[[#This Row],[Depr. Moulds '[€']]]</f>
        <v>601665.80000000005</v>
      </c>
      <c r="BV9" s="2">
        <f>Table1[[#This Row],[No. new moulds]]*Table1[[#This Row],[Total cost per new mould '[€']]]+Table1[[#This Row],[No. new injection moulding machines]]*Table1[[#This Row],[Cost per new injection moulding machine '[€']]]+Table1[[#This Row],[No. new one-color head decorator machines]]*Table1[[#This Row],[Cost per new one-color head decorator machines '[€']]]+Table1[[#This Row],[No. new one-color UB decorator machines]]*Table1[[#This Row],[Cost per new one-color UB decorator machines '[€']]]</f>
        <v>0</v>
      </c>
      <c r="BW9" s="22">
        <f>Table1[[#This Row],[Color cost per unit '[€']]]+Table1[[#This Row],[Material cost per unit '[€']]]</f>
        <v>8.3999999999999991E-2</v>
      </c>
      <c r="BX9" s="12">
        <f>Table1[[#This Row],[Offer per unit '[€']]]*Table1[[#This Row],[Units in series]]</f>
        <v>8318750.0000000009</v>
      </c>
      <c r="BY9" s="12">
        <f>Table1[[#This Row],[Total sales '[€']]]-Table1[[#This Row],[Direct cost '[€']]]-Table1[[#This Row],[Indirect cost '[€']]]</f>
        <v>464064.20000000088</v>
      </c>
      <c r="BZ9" s="12">
        <f>SUM(BZ8,-Table1[[#This Row],[Total investment]])</f>
        <v>-2480000</v>
      </c>
      <c r="CA9" s="12">
        <f>SUM(CA8,Table1[[#This Row],[Net income '[€']]])</f>
        <v>1204311.3000000017</v>
      </c>
      <c r="CB9" s="12">
        <f>SUM(CB8,Table1[[#This Row],[Total sales '[€']]])</f>
        <v>33806000</v>
      </c>
      <c r="CC9" s="20">
        <f>SUM(CC8,-Table1[[#This Row],[Total cost '[$']]])</f>
        <v>-32601688.700000003</v>
      </c>
      <c r="CD9" s="12">
        <f>Table1[[#This Row],[Accumulated net income '[€']]]-(-Table1[[#This Row],[Accumulated investment (negative) '[€']]])</f>
        <v>-1275688.6999999983</v>
      </c>
      <c r="CE9" s="25">
        <f>IF(AND(Table1[[#This Row],[Break even '[€']]]&gt;0,CD8&lt;0),Table1[[#This Row],[Break even '[€']]],0)</f>
        <v>0</v>
      </c>
      <c r="CF9" s="17" t="str">
        <f>IF(Table1[[#This Row],[Break even point]]&gt;0,Table1[[#This Row],[Year / series]],"")</f>
        <v/>
      </c>
      <c r="CG9" s="17"/>
      <c r="CH9" s="17">
        <f>IF(Table1[[#This Row],[Max capacity]]&gt;=Table1[[#This Row],[Units in series]],0,1)</f>
        <v>0</v>
      </c>
      <c r="CI9" s="17">
        <f>IF(Table1[[#This Row],[Cash '[€']]]&lt;0,1,0)</f>
        <v>0</v>
      </c>
    </row>
    <row r="10" spans="1:87" ht="14.65" thickTop="1" x14ac:dyDescent="0.45">
      <c r="C10" s="14" t="s">
        <v>85</v>
      </c>
      <c r="D10" s="13" t="str">
        <f>IF(SUM(Table1[Capacity check])&gt;0,"Not enough capacity","")</f>
        <v/>
      </c>
    </row>
    <row r="11" spans="1:87" ht="16.899999999999999" thickBot="1" x14ac:dyDescent="0.5">
      <c r="A11" s="4" t="s">
        <v>0</v>
      </c>
      <c r="B11" s="4" t="s">
        <v>2</v>
      </c>
      <c r="C11" s="4" t="s">
        <v>90</v>
      </c>
      <c r="D11" s="4" t="s">
        <v>78</v>
      </c>
      <c r="E11" s="4" t="s">
        <v>11</v>
      </c>
      <c r="F11" s="4" t="s">
        <v>53</v>
      </c>
      <c r="G11" s="4" t="s">
        <v>54</v>
      </c>
      <c r="H11" s="4" t="s">
        <v>55</v>
      </c>
      <c r="I11" s="4" t="s">
        <v>56</v>
      </c>
      <c r="BL11" s="5"/>
    </row>
    <row r="12" spans="1:87" ht="14.65" thickTop="1" x14ac:dyDescent="0.45">
      <c r="A12" s="9">
        <v>0</v>
      </c>
      <c r="B12" s="9">
        <v>9</v>
      </c>
      <c r="C12" s="9">
        <v>9</v>
      </c>
      <c r="D12" s="9">
        <v>2</v>
      </c>
      <c r="E12" s="11">
        <v>0.4</v>
      </c>
      <c r="F12" s="9">
        <v>7</v>
      </c>
      <c r="G12" s="9">
        <v>2</v>
      </c>
      <c r="H12" s="9">
        <v>1</v>
      </c>
      <c r="I12" s="9">
        <v>1</v>
      </c>
    </row>
    <row r="13" spans="1:87" x14ac:dyDescent="0.45">
      <c r="A13" s="9">
        <v>10000000</v>
      </c>
      <c r="B13" s="9">
        <f>10</f>
        <v>10</v>
      </c>
      <c r="C13" s="9">
        <v>10</v>
      </c>
      <c r="D13" s="9">
        <v>2</v>
      </c>
      <c r="E13" s="11">
        <v>0.25</v>
      </c>
      <c r="F13" s="6"/>
      <c r="G13" s="6"/>
      <c r="H13" s="6"/>
      <c r="I13" s="6"/>
    </row>
    <row r="14" spans="1:87" x14ac:dyDescent="0.45">
      <c r="A14" s="6">
        <f>A13+A13*$A$30</f>
        <v>11000000</v>
      </c>
      <c r="B14" s="6">
        <v>10</v>
      </c>
      <c r="C14" s="6">
        <v>10</v>
      </c>
      <c r="D14" s="6">
        <v>2</v>
      </c>
      <c r="E14" s="10">
        <v>0.25</v>
      </c>
      <c r="F14" s="6">
        <v>1</v>
      </c>
      <c r="G14" s="6"/>
      <c r="H14" s="6"/>
      <c r="I14" s="6"/>
    </row>
    <row r="15" spans="1:87" x14ac:dyDescent="0.45">
      <c r="A15" s="6">
        <f>A14+A14*$A$30</f>
        <v>12100000</v>
      </c>
      <c r="B15" s="6">
        <v>10</v>
      </c>
      <c r="C15" s="6">
        <v>10</v>
      </c>
      <c r="D15" s="6">
        <v>2</v>
      </c>
      <c r="E15" s="10">
        <v>0.25</v>
      </c>
      <c r="F15" s="6">
        <v>16</v>
      </c>
      <c r="G15" s="6"/>
      <c r="H15" s="6">
        <v>1</v>
      </c>
      <c r="I15" s="6">
        <v>1</v>
      </c>
    </row>
    <row r="16" spans="1:87" x14ac:dyDescent="0.45">
      <c r="A16" s="6">
        <f>A15+A15*1.5</f>
        <v>30250000</v>
      </c>
      <c r="B16" s="6">
        <v>12</v>
      </c>
      <c r="C16" s="6">
        <v>12</v>
      </c>
      <c r="D16" s="6">
        <v>2</v>
      </c>
      <c r="E16" s="10">
        <v>0.25</v>
      </c>
      <c r="F16" s="6"/>
      <c r="G16" s="6"/>
      <c r="H16" s="6"/>
      <c r="I16" s="6"/>
    </row>
    <row r="17" spans="1:9" x14ac:dyDescent="0.45">
      <c r="A17" s="6">
        <v>5324000</v>
      </c>
      <c r="B17" s="6">
        <v>12</v>
      </c>
      <c r="C17" s="6">
        <v>12</v>
      </c>
      <c r="D17" s="6">
        <v>2</v>
      </c>
      <c r="E17" s="10">
        <v>0.25</v>
      </c>
      <c r="F17" s="6">
        <v>2</v>
      </c>
      <c r="G17" s="6"/>
      <c r="H17" s="6"/>
      <c r="I17" s="6"/>
    </row>
    <row r="18" spans="1:9" x14ac:dyDescent="0.45">
      <c r="A18" s="6">
        <f>A16*1.1</f>
        <v>33275000.000000004</v>
      </c>
      <c r="B18" s="6">
        <v>12</v>
      </c>
      <c r="C18" s="6">
        <v>12</v>
      </c>
      <c r="D18" s="6">
        <v>20</v>
      </c>
      <c r="E18" s="10">
        <v>0.25</v>
      </c>
      <c r="F18" s="6"/>
      <c r="G18" s="6"/>
      <c r="H18" s="6"/>
      <c r="I18" s="6"/>
    </row>
    <row r="19" spans="1:9" x14ac:dyDescent="0.45">
      <c r="A19" s="6">
        <f>A18</f>
        <v>33275000.000000004</v>
      </c>
      <c r="B19" s="6">
        <v>12</v>
      </c>
      <c r="C19" s="6">
        <v>12</v>
      </c>
      <c r="D19" s="6">
        <v>20</v>
      </c>
      <c r="E19" s="10">
        <v>0.25</v>
      </c>
      <c r="F19" s="6"/>
      <c r="G19" s="7"/>
      <c r="H19" s="6"/>
      <c r="I19" s="7"/>
    </row>
    <row r="21" spans="1:9" x14ac:dyDescent="0.45">
      <c r="G21" s="9" t="s">
        <v>86</v>
      </c>
    </row>
    <row r="22" spans="1:9" x14ac:dyDescent="0.45">
      <c r="G22" s="6" t="s">
        <v>88</v>
      </c>
    </row>
    <row r="23" spans="1:9" x14ac:dyDescent="0.45">
      <c r="G23" s="16" t="s">
        <v>87</v>
      </c>
    </row>
    <row r="24" spans="1:9" x14ac:dyDescent="0.45">
      <c r="F24" s="14" t="s">
        <v>85</v>
      </c>
      <c r="G24" s="19" t="str">
        <f>IF(SUM(Table1[Capacity check])&gt;0,"NOT ENOUGH CAPACITY",IF(SUM(Table1[Cash check])&gt;0,"YOU RAN OUT OF CASH",""))</f>
        <v/>
      </c>
    </row>
    <row r="25" spans="1:9" x14ac:dyDescent="0.45">
      <c r="F25" s="14" t="s">
        <v>91</v>
      </c>
      <c r="G25" s="13">
        <f>IF(ISERROR(CG3-1),"NO BREAK EVEN",CG3-1)</f>
        <v>4</v>
      </c>
    </row>
    <row r="30" spans="1:9" x14ac:dyDescent="0.45">
      <c r="A30" s="2">
        <f>10%</f>
        <v>0.1</v>
      </c>
      <c r="B30" s="2">
        <f>350%</f>
        <v>3.5</v>
      </c>
    </row>
    <row r="31" spans="1:9" x14ac:dyDescent="0.45">
      <c r="A31" s="26"/>
      <c r="B31" s="26"/>
      <c r="C31" s="26"/>
      <c r="D31" s="26"/>
      <c r="E31" s="26"/>
      <c r="F31" s="26"/>
      <c r="G31" s="26"/>
      <c r="H31" s="26"/>
      <c r="I31" s="26"/>
    </row>
    <row r="32" spans="1:9" x14ac:dyDescent="0.45">
      <c r="A32" s="27"/>
      <c r="B32" s="27"/>
      <c r="C32" s="27"/>
      <c r="D32" s="27"/>
      <c r="E32" s="28"/>
      <c r="F32" s="27"/>
      <c r="G32" s="27"/>
      <c r="H32" s="27"/>
      <c r="I32" s="27"/>
    </row>
    <row r="33" spans="1:9" x14ac:dyDescent="0.45">
      <c r="A33" s="27"/>
      <c r="B33" s="27"/>
      <c r="C33" s="27"/>
      <c r="D33" s="27"/>
      <c r="E33" s="28"/>
      <c r="F33" s="29"/>
      <c r="G33" s="29"/>
      <c r="H33" s="29"/>
      <c r="I33" s="29"/>
    </row>
    <row r="34" spans="1:9" x14ac:dyDescent="0.45">
      <c r="A34" s="29"/>
      <c r="B34" s="29"/>
      <c r="C34" s="29"/>
      <c r="D34" s="29"/>
      <c r="E34" s="30"/>
      <c r="F34" s="29"/>
      <c r="G34" s="29"/>
      <c r="H34" s="29"/>
      <c r="I34" s="29"/>
    </row>
    <row r="35" spans="1:9" x14ac:dyDescent="0.45">
      <c r="A35" s="29"/>
      <c r="B35" s="29"/>
      <c r="C35" s="29"/>
      <c r="D35" s="29"/>
      <c r="E35" s="30"/>
      <c r="F35" s="29"/>
      <c r="G35" s="29"/>
      <c r="H35" s="29"/>
      <c r="I35" s="29"/>
    </row>
    <row r="36" spans="1:9" x14ac:dyDescent="0.45">
      <c r="A36" s="29"/>
      <c r="B36" s="29"/>
      <c r="C36" s="29"/>
      <c r="D36" s="29"/>
      <c r="E36" s="30"/>
      <c r="F36" s="29"/>
      <c r="G36" s="29"/>
      <c r="H36" s="29"/>
      <c r="I36" s="29"/>
    </row>
    <row r="37" spans="1:9" x14ac:dyDescent="0.45">
      <c r="A37" s="29"/>
      <c r="B37" s="29"/>
      <c r="C37" s="29"/>
      <c r="D37" s="29"/>
      <c r="E37" s="30"/>
      <c r="F37" s="29"/>
      <c r="G37" s="29"/>
      <c r="H37" s="29"/>
      <c r="I37" s="29"/>
    </row>
    <row r="38" spans="1:9" x14ac:dyDescent="0.45">
      <c r="A38" s="29"/>
      <c r="B38" s="29"/>
      <c r="C38" s="29"/>
      <c r="D38" s="29"/>
      <c r="E38" s="30"/>
      <c r="F38" s="29"/>
      <c r="G38" s="29"/>
      <c r="H38" s="29"/>
      <c r="I38" s="29"/>
    </row>
    <row r="39" spans="1:9" x14ac:dyDescent="0.45">
      <c r="A39" s="29"/>
      <c r="B39" s="29"/>
      <c r="C39" s="29"/>
      <c r="D39" s="29"/>
      <c r="E39" s="30"/>
      <c r="F39" s="29"/>
      <c r="G39" s="29"/>
      <c r="H39" s="29"/>
      <c r="I39" s="29"/>
    </row>
  </sheetData>
  <dataConsolidate/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ed1fbfb-91dc-423a-8e5f-831a32b1a2b6">
      <Terms xmlns="http://schemas.microsoft.com/office/infopath/2007/PartnerControls"/>
    </lcf76f155ced4ddcb4097134ff3c332f>
    <TaxCatchAll xmlns="ff9dd75d-1f03-477a-9877-4ed6df266b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293E2C8A43AA40B5BFCD003D7B20BD" ma:contentTypeVersion="10" ma:contentTypeDescription="Opret et nyt dokument." ma:contentTypeScope="" ma:versionID="8c00b06f3d3e2c30fb507a7c1cfeaf27">
  <xsd:schema xmlns:xsd="http://www.w3.org/2001/XMLSchema" xmlns:xs="http://www.w3.org/2001/XMLSchema" xmlns:p="http://schemas.microsoft.com/office/2006/metadata/properties" xmlns:ns2="6ed1fbfb-91dc-423a-8e5f-831a32b1a2b6" xmlns:ns3="ff9dd75d-1f03-477a-9877-4ed6df266b66" targetNamespace="http://schemas.microsoft.com/office/2006/metadata/properties" ma:root="true" ma:fieldsID="f2a5350c7ad0901b2a6694bc5d0c0f24" ns2:_="" ns3:_="">
    <xsd:import namespace="6ed1fbfb-91dc-423a-8e5f-831a32b1a2b6"/>
    <xsd:import namespace="ff9dd75d-1f03-477a-9877-4ed6df266b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d1fbfb-91dc-423a-8e5f-831a32b1a2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9dd75d-1f03-477a-9877-4ed6df266b6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bbe199-4b9c-413a-8eaf-950715efc735}" ma:internalName="TaxCatchAll" ma:showField="CatchAllData" ma:web="ff9dd75d-1f03-477a-9877-4ed6df266b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C27F7D-CEF6-47AD-B9C2-EC8D88B44E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661083-CE4B-47EB-9E1A-6ECB899268CE}">
  <ds:schemaRefs>
    <ds:schemaRef ds:uri="http://schemas.microsoft.com/office/2006/metadata/properties"/>
    <ds:schemaRef ds:uri="http://schemas.microsoft.com/office/infopath/2007/PartnerControls"/>
    <ds:schemaRef ds:uri="6ed1fbfb-91dc-423a-8e5f-831a32b1a2b6"/>
    <ds:schemaRef ds:uri="ff9dd75d-1f03-477a-9877-4ed6df266b66"/>
  </ds:schemaRefs>
</ds:datastoreItem>
</file>

<file path=customXml/itemProps3.xml><?xml version="1.0" encoding="utf-8"?>
<ds:datastoreItem xmlns:ds="http://schemas.openxmlformats.org/officeDocument/2006/customXml" ds:itemID="{02D8B256-2478-4ADA-9101-E61D881C97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d1fbfb-91dc-423a-8e5f-831a32b1a2b6"/>
    <ds:schemaRef ds:uri="ff9dd75d-1f03-477a-9877-4ed6df266b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Grøntved</dc:creator>
  <cp:lastModifiedBy>Jonathan Falk</cp:lastModifiedBy>
  <cp:lastPrinted>2022-11-10T11:57:37Z</cp:lastPrinted>
  <dcterms:created xsi:type="dcterms:W3CDTF">2022-11-04T11:57:29Z</dcterms:created>
  <dcterms:modified xsi:type="dcterms:W3CDTF">2022-11-10T11:58:12Z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0x010100F1293E2C8A43AA40B5BFCD003D7B20BD</vt:lpwstr>
  </property>
  <property fmtid="{D5CDD505-2E9C-101B-9397-08002B2CF9AE}" pid="3" name="MediaServiceImageTags">
    <vt:lpwstr/>
  </property>
</Properties>
</file>