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59" i="1" l="1"/>
  <c r="L158" i="1"/>
  <c r="H170" i="1"/>
  <c r="H169" i="1"/>
  <c r="H167" i="1"/>
  <c r="H166" i="1"/>
  <c r="H164" i="1"/>
  <c r="H163" i="1"/>
  <c r="H162" i="1"/>
  <c r="H160" i="1"/>
  <c r="H159" i="1"/>
  <c r="H158" i="1"/>
  <c r="E170" i="1"/>
  <c r="E169" i="1"/>
  <c r="E167" i="1"/>
  <c r="E166" i="1"/>
  <c r="E164" i="1"/>
  <c r="E163" i="1"/>
  <c r="E162" i="1"/>
  <c r="E160" i="1"/>
  <c r="E159" i="1"/>
  <c r="E158" i="1"/>
  <c r="N140" i="1"/>
  <c r="M146" i="1"/>
  <c r="H154" i="1"/>
  <c r="I154" i="1" s="1"/>
  <c r="E154" i="1"/>
  <c r="F154" i="1" s="1"/>
  <c r="H153" i="1"/>
  <c r="I153" i="1" s="1"/>
  <c r="E153" i="1"/>
  <c r="N142" i="1"/>
  <c r="M141" i="1"/>
  <c r="H144" i="1"/>
  <c r="I144" i="1" s="1"/>
  <c r="E144" i="1"/>
  <c r="F144" i="1" s="1"/>
  <c r="H143" i="1"/>
  <c r="I143" i="1" s="1"/>
  <c r="E143" i="1"/>
  <c r="F143" i="1" s="1"/>
  <c r="H142" i="1"/>
  <c r="I142" i="1" s="1"/>
  <c r="E142" i="1"/>
  <c r="F142" i="1" s="1"/>
  <c r="M139" i="1"/>
  <c r="C85" i="1"/>
  <c r="H151" i="1"/>
  <c r="I151" i="1" s="1"/>
  <c r="E151" i="1"/>
  <c r="F151" i="1" s="1"/>
  <c r="H150" i="1"/>
  <c r="I150" i="1" s="1"/>
  <c r="E150" i="1"/>
  <c r="F150" i="1" s="1"/>
  <c r="H148" i="1"/>
  <c r="I148" i="1" s="1"/>
  <c r="E148" i="1"/>
  <c r="F148" i="1" s="1"/>
  <c r="H147" i="1"/>
  <c r="I147" i="1" s="1"/>
  <c r="E147" i="1"/>
  <c r="F147" i="1" s="1"/>
  <c r="H146" i="1"/>
  <c r="I146" i="1" s="1"/>
  <c r="E146" i="1"/>
  <c r="F146" i="1" s="1"/>
  <c r="B154" i="1"/>
  <c r="C154" i="1" s="1"/>
  <c r="B153" i="1"/>
  <c r="C153" i="1" s="1"/>
  <c r="B150" i="1"/>
  <c r="C150" i="1" s="1"/>
  <c r="B151" i="1"/>
  <c r="C151" i="1" s="1"/>
  <c r="B148" i="1"/>
  <c r="C148" i="1" s="1"/>
  <c r="B147" i="1"/>
  <c r="C147" i="1" s="1"/>
  <c r="B146" i="1"/>
  <c r="C146" i="1" s="1"/>
  <c r="B140" i="1"/>
  <c r="C140" i="1" s="1"/>
  <c r="B139" i="1"/>
  <c r="C139" i="1" s="1"/>
  <c r="B144" i="1"/>
  <c r="C144" i="1" s="1"/>
  <c r="B143" i="1"/>
  <c r="C143" i="1" s="1"/>
  <c r="B142" i="1"/>
  <c r="C142" i="1" s="1"/>
  <c r="F114" i="1"/>
  <c r="F115" i="1"/>
  <c r="F116" i="1"/>
  <c r="F113" i="1"/>
  <c r="E114" i="1"/>
  <c r="E115" i="1"/>
  <c r="E116" i="1"/>
  <c r="E113" i="1"/>
  <c r="B108" i="1"/>
  <c r="B107" i="1"/>
  <c r="B105" i="1"/>
  <c r="B104" i="1"/>
  <c r="B102" i="1"/>
  <c r="B101" i="1"/>
  <c r="B90" i="1"/>
  <c r="B94" i="1"/>
  <c r="B91" i="1"/>
  <c r="B93" i="1"/>
  <c r="B79" i="1"/>
  <c r="C83" i="1" s="1"/>
  <c r="C84" i="1" s="1"/>
  <c r="B88" i="1"/>
  <c r="B87" i="1"/>
  <c r="I56" i="1"/>
  <c r="K56" i="1" s="1"/>
  <c r="I55" i="1"/>
  <c r="K55" i="1" s="1"/>
  <c r="I54" i="1"/>
  <c r="K54" i="1" s="1"/>
  <c r="I53" i="1"/>
  <c r="J53" i="1" s="1"/>
  <c r="I52" i="1"/>
  <c r="K52" i="1" s="1"/>
  <c r="B37" i="1"/>
  <c r="B42" i="1"/>
  <c r="B40" i="1"/>
  <c r="B39" i="1"/>
  <c r="G5" i="1"/>
  <c r="F5" i="1"/>
  <c r="H5" i="1"/>
  <c r="H4" i="1"/>
  <c r="F4" i="1"/>
  <c r="G4" i="1"/>
  <c r="F3" i="1"/>
  <c r="H3" i="1"/>
  <c r="G3" i="1"/>
  <c r="H2" i="1"/>
  <c r="G2" i="1"/>
  <c r="F153" i="1" l="1"/>
  <c r="M140" i="1"/>
  <c r="M142" i="1"/>
  <c r="H40" i="1"/>
  <c r="I40" i="1" s="1"/>
  <c r="I73" i="1"/>
  <c r="J73" i="1" s="1"/>
  <c r="K53" i="1"/>
  <c r="J56" i="1"/>
  <c r="J55" i="1"/>
  <c r="J52" i="1"/>
  <c r="J54" i="1"/>
  <c r="H37" i="1"/>
  <c r="I37" i="1" s="1"/>
  <c r="H39" i="1"/>
  <c r="I39" i="1" s="1"/>
  <c r="H38" i="1"/>
  <c r="I38" i="1" s="1"/>
  <c r="I74" i="1" l="1"/>
  <c r="J74" i="1" s="1"/>
  <c r="I75" i="1" l="1"/>
  <c r="I76" i="1" s="1"/>
  <c r="J76" i="1" s="1"/>
  <c r="J75" i="1" l="1"/>
</calcChain>
</file>

<file path=xl/sharedStrings.xml><?xml version="1.0" encoding="utf-8"?>
<sst xmlns="http://schemas.openxmlformats.org/spreadsheetml/2006/main" count="348" uniqueCount="128">
  <si>
    <t>Example</t>
  </si>
  <si>
    <t>Class Label</t>
  </si>
  <si>
    <t>Distance</t>
  </si>
  <si>
    <t>A</t>
  </si>
  <si>
    <t>C1</t>
  </si>
  <si>
    <t>B</t>
  </si>
  <si>
    <t>C3</t>
  </si>
  <si>
    <t>C</t>
  </si>
  <si>
    <t>D</t>
  </si>
  <si>
    <t>C2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</si>
  <si>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</si>
  <si>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</si>
  <si>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</si>
  <si>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</si>
  <si>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</si>
  <si>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</si>
  <si>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</si>
  <si>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</si>
  <si>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</si>
  <si>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</si>
  <si>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P(M|HD)</t>
  </si>
  <si>
    <t>P(M)</t>
  </si>
  <si>
    <t>P(S|HD)</t>
  </si>
  <si>
    <t>P(S)</t>
  </si>
  <si>
    <t>P(A|HD)</t>
  </si>
  <si>
    <t>P(A)</t>
  </si>
  <si>
    <t>Group1</t>
  </si>
  <si>
    <t>M, S, !A</t>
  </si>
  <si>
    <t xml:space="preserve">P(HD) </t>
  </si>
  <si>
    <t>Attribute</t>
  </si>
  <si>
    <t>P(HD|A)</t>
  </si>
  <si>
    <t>Class</t>
  </si>
  <si>
    <t>!M, !S, A</t>
  </si>
  <si>
    <t>Group2</t>
  </si>
  <si>
    <t>Group3</t>
  </si>
  <si>
    <t>M, !S, A</t>
  </si>
  <si>
    <t>!M, S, !A</t>
  </si>
  <si>
    <t>Group4</t>
  </si>
  <si>
    <t>Gender</t>
  </si>
  <si>
    <t>Major</t>
  </si>
  <si>
    <t>Degree</t>
  </si>
  <si>
    <t>#Selected</t>
  </si>
  <si>
    <t>#Not-Selected</t>
  </si>
  <si>
    <t>Female</t>
  </si>
  <si>
    <t>arts</t>
  </si>
  <si>
    <t>UG</t>
  </si>
  <si>
    <t>Male</t>
  </si>
  <si>
    <t>engg</t>
  </si>
  <si>
    <t>science</t>
  </si>
  <si>
    <t>R1:</t>
  </si>
  <si>
    <t>Coverage:</t>
  </si>
  <si>
    <t>Accuracy</t>
  </si>
  <si>
    <t> Degree(x, 'UG') ==&gt; class(x, 'Not-selected')</t>
  </si>
  <si>
    <t>R2:</t>
  </si>
  <si>
    <t>R3:</t>
  </si>
  <si>
    <t>R4:</t>
  </si>
  <si>
    <t>R</t>
  </si>
  <si>
    <t>R5:</t>
  </si>
  <si>
    <t>Percent Coverage</t>
  </si>
  <si>
    <t>P(M|S)</t>
  </si>
  <si>
    <t>P(A|S)</t>
  </si>
  <si>
    <t>Time1</t>
  </si>
  <si>
    <t>Time2</t>
  </si>
  <si>
    <t>Time3</t>
  </si>
  <si>
    <t>Time4</t>
  </si>
  <si>
    <t>P(G)</t>
  </si>
  <si>
    <t>P(S|G)</t>
  </si>
  <si>
    <t>P(GPA&lt;3.4)</t>
  </si>
  <si>
    <t>P(GPA&gt;3.4|S)</t>
  </si>
  <si>
    <t>P(GPA&gt;3.4)</t>
  </si>
  <si>
    <t>S</t>
  </si>
  <si>
    <t>Mean</t>
  </si>
  <si>
    <t>Bad Performer</t>
  </si>
  <si>
    <t>Good Performer</t>
  </si>
  <si>
    <t>Laplace</t>
  </si>
  <si>
    <t>M-Estimate</t>
  </si>
  <si>
    <t>Outlook</t>
  </si>
  <si>
    <t>O</t>
  </si>
  <si>
    <t>Temperature</t>
  </si>
  <si>
    <t>Humdity</t>
  </si>
  <si>
    <t>Wind</t>
  </si>
  <si>
    <t>Play Tennis</t>
  </si>
  <si>
    <t>Y</t>
  </si>
  <si>
    <t>W</t>
  </si>
  <si>
    <t>P(O)</t>
  </si>
  <si>
    <t>P( R)</t>
  </si>
  <si>
    <t>P(H)</t>
  </si>
  <si>
    <t>P(C)</t>
  </si>
  <si>
    <t>P(N)</t>
  </si>
  <si>
    <t>P(W)</t>
  </si>
  <si>
    <t>P(S|Y)</t>
  </si>
  <si>
    <t>P(Y|S)</t>
  </si>
  <si>
    <t>P(Y|O)</t>
  </si>
  <si>
    <t>P(Y|R)</t>
  </si>
  <si>
    <t>P(N|S)</t>
  </si>
  <si>
    <t>P(N|O)</t>
  </si>
  <si>
    <t>P(N|R)</t>
  </si>
  <si>
    <t>P(Y|H)</t>
  </si>
  <si>
    <t>P(Y|M)</t>
  </si>
  <si>
    <t>P(Y|C)</t>
  </si>
  <si>
    <t>P(N|H)</t>
  </si>
  <si>
    <t>P(N|M)</t>
  </si>
  <si>
    <t>P(N|C)</t>
  </si>
  <si>
    <t>P(Y|N)</t>
  </si>
  <si>
    <t>P(N|N)</t>
  </si>
  <si>
    <t>P(Y|W)</t>
  </si>
  <si>
    <t>P(N|W)</t>
  </si>
  <si>
    <t>P(S,C,H,W|Y)</t>
  </si>
  <si>
    <t>P(GPA&gt;3.4|NS)</t>
  </si>
  <si>
    <t>P(GPA&lt;3.4|S)</t>
  </si>
  <si>
    <t>P(Y)</t>
  </si>
  <si>
    <t>P(S,C,H,W)</t>
  </si>
  <si>
    <t>P(Y|S,C,H,W)</t>
  </si>
  <si>
    <t>P(O|Y)</t>
  </si>
  <si>
    <t>P(R|Y)</t>
  </si>
  <si>
    <t>P(H|Y)</t>
  </si>
  <si>
    <t>P(M|Y)</t>
  </si>
  <si>
    <t>P(C|Y)</t>
  </si>
  <si>
    <t>P(N|Y)</t>
  </si>
  <si>
    <t>P(W|Y)</t>
  </si>
  <si>
    <t>P(S|N)</t>
  </si>
  <si>
    <t>P(O|N)</t>
  </si>
  <si>
    <t>P(R|N)</t>
  </si>
  <si>
    <t>P(H|N)</t>
  </si>
  <si>
    <t>P(M|N)</t>
  </si>
  <si>
    <t>P(C|N)</t>
  </si>
  <si>
    <t>P(W|N)</t>
  </si>
  <si>
    <t>P(S,C,H,W|N)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</si>
</sst>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Geneva, Arial, Helvetica, sans-"/>
    </font>
    <font>
      <sz val="11"/>
      <color theme="1"/>
      <name val="Geneva, Arial, Helvetica, sans-"/>
    </font>
    <font>
      <sz val="8"/>
      <color theme="1"/>
      <name val="Calibri"/>
      <family val="2"/>
      <scheme val="minor"/>
    </font>
    <font>
      <sz val="8"/>
      <color rgb="FF000000"/>
      <name val="Geneva, Arial, Helvetica, sans-"/>
    </font>
  </fonts>
  <fills count="4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  <fill>
      <patternFill patternType="solid">
        <fgColor rgb="FFEEE8AA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topLeftCell="A140" zoomScale="130" zoomScaleNormal="130" workbookViewId="0">
      <selection activeCell="K160" sqref="K160"/>
    </sheetView>
  </sheetViews>
  <sheetFormatPr defaultRowHeight="15"/>
  <cols>
    <col min="8" max="8" width="11.5703125" customWidth="1"/>
    <col min="11" max="12" width="12.5703125" bestFit="1" customWidth="1"/>
  </cols>
  <sheetData>
    <row r="1" spans="1:9" ht="30.75" thickBot="1">
      <c r="A1" s="1" t="s">
        <v>0</v>
      </c>
      <c r="B1" s="1" t="s">
        <v>1</v>
      </c>
      <c r="C1" s="1" t="s">
        <v>2</v>
      </c>
      <c r="F1" s="3" t="s">
        <v>4</v>
      </c>
      <c r="G1" s="3" t="s">
        <v>9</v>
      </c>
      <c r="H1" s="3" t="s">
        <v>6</v>
      </c>
    </row>
    <row r="2" spans="1:9" ht="15.75" thickBot="1">
      <c r="A2" s="2" t="s">
        <v>13</v>
      </c>
      <c r="B2" s="2" t="s">
        <v>9</v>
      </c>
      <c r="C2" s="2">
        <v>0.8</v>
      </c>
      <c r="E2">
        <v>3</v>
      </c>
      <c r="G2">
        <f>1/(C$2)^2</f>
        <v>1.5624999999999998</v>
      </c>
      <c r="H2">
        <f>1/(C$3)^2+1/(C$4)^2</f>
        <v>1.4444444444444444</v>
      </c>
      <c r="I2" t="s">
        <v>9</v>
      </c>
    </row>
    <row r="3" spans="1:9" ht="15.75" thickBot="1">
      <c r="A3" s="2" t="s">
        <v>7</v>
      </c>
      <c r="B3" s="2" t="s">
        <v>6</v>
      </c>
      <c r="C3" s="2">
        <v>1</v>
      </c>
      <c r="E3">
        <v>5</v>
      </c>
      <c r="F3">
        <f>1/(C$5)^2+1/(C$6)^2</f>
        <v>0.49767789213283858</v>
      </c>
      <c r="G3">
        <f>1/(C$2)^2</f>
        <v>1.5624999999999998</v>
      </c>
      <c r="H3">
        <f>1/(C$3)^2+1/(C$4)^2</f>
        <v>1.4444444444444444</v>
      </c>
      <c r="I3" t="s">
        <v>9</v>
      </c>
    </row>
    <row r="4" spans="1:9" ht="15.75" thickBot="1">
      <c r="A4" s="2" t="s">
        <v>12</v>
      </c>
      <c r="B4" s="2" t="s">
        <v>6</v>
      </c>
      <c r="C4" s="2">
        <v>1.5</v>
      </c>
      <c r="E4">
        <v>7</v>
      </c>
      <c r="F4">
        <f>1/(C$5)^2+1/(C$6)^2+1/(C$7)^2</f>
        <v>0.67128900324394969</v>
      </c>
      <c r="G4">
        <f>1/(C$2)^2</f>
        <v>1.5624999999999998</v>
      </c>
      <c r="H4">
        <f>1/(C$3)^2+1/(C$4)^2+1/(C$8)^2</f>
        <v>1.6044444444444443</v>
      </c>
      <c r="I4" t="s">
        <v>6</v>
      </c>
    </row>
    <row r="5" spans="1:9" ht="15.75" thickBot="1">
      <c r="A5" s="2" t="s">
        <v>17</v>
      </c>
      <c r="B5" s="2" t="s">
        <v>4</v>
      </c>
      <c r="C5" s="2">
        <v>1.8</v>
      </c>
      <c r="E5">
        <v>9</v>
      </c>
      <c r="F5">
        <f>1/(C$5)^2+1/(C$6)^2+1/(C$7)^2+1/(C$10)^2</f>
        <v>0.73378900324394969</v>
      </c>
      <c r="G5">
        <f>1/(C$2)^2+1/(C$9)^2</f>
        <v>1.6900510204081631</v>
      </c>
      <c r="H5">
        <f>1/(C$3)^2+1/(C$4)^2+1/(C$8)^2</f>
        <v>1.6044444444444443</v>
      </c>
      <c r="I5" t="s">
        <v>9</v>
      </c>
    </row>
    <row r="6" spans="1:9" ht="15.75" thickBot="1">
      <c r="A6" s="2" t="s">
        <v>3</v>
      </c>
      <c r="B6" s="2" t="s">
        <v>4</v>
      </c>
      <c r="C6" s="2">
        <v>2.2999999999999998</v>
      </c>
    </row>
    <row r="7" spans="1:9" ht="15.75" thickBot="1">
      <c r="A7" s="2" t="s">
        <v>18</v>
      </c>
      <c r="B7" s="2" t="s">
        <v>4</v>
      </c>
      <c r="C7" s="2">
        <v>2.4</v>
      </c>
    </row>
    <row r="8" spans="1:9" ht="15.75" thickBot="1">
      <c r="A8" s="2" t="s">
        <v>11</v>
      </c>
      <c r="B8" s="2" t="s">
        <v>6</v>
      </c>
      <c r="C8" s="2">
        <v>2.5</v>
      </c>
    </row>
    <row r="9" spans="1:9" ht="15.75" thickBot="1">
      <c r="A9" s="2" t="s">
        <v>14</v>
      </c>
      <c r="B9" s="2" t="s">
        <v>9</v>
      </c>
      <c r="C9" s="2">
        <v>2.8</v>
      </c>
    </row>
    <row r="10" spans="1:9" ht="15.75" thickBot="1">
      <c r="A10" s="2" t="s">
        <v>15</v>
      </c>
      <c r="B10" s="2" t="s">
        <v>4</v>
      </c>
      <c r="C10" s="2">
        <v>4</v>
      </c>
    </row>
    <row r="11" spans="1:9" ht="15.75" thickBot="1">
      <c r="A11" s="2" t="s">
        <v>5</v>
      </c>
      <c r="B11" s="2" t="s">
        <v>6</v>
      </c>
      <c r="C11" s="2">
        <v>4.5</v>
      </c>
    </row>
    <row r="12" spans="1:9" ht="15.75" thickBot="1">
      <c r="A12" s="2" t="s">
        <v>16</v>
      </c>
      <c r="B12" s="2" t="s">
        <v>6</v>
      </c>
      <c r="C12" s="2">
        <v>6.2</v>
      </c>
    </row>
    <row r="13" spans="1:9" ht="15.75" thickBot="1">
      <c r="A13" s="2" t="s">
        <v>10</v>
      </c>
      <c r="B13" s="2" t="s">
        <v>9</v>
      </c>
      <c r="C13" s="2">
        <v>6.3</v>
      </c>
    </row>
    <row r="14" spans="1:9" ht="15.75" thickBot="1">
      <c r="A14" s="2" t="s">
        <v>8</v>
      </c>
      <c r="B14" s="2" t="s">
        <v>9</v>
      </c>
      <c r="C14" s="2">
        <v>8.6</v>
      </c>
    </row>
    <row r="15" spans="1:9" ht="15.75" thickBot="1">
      <c r="A15" s="2" t="s">
        <v>19</v>
      </c>
      <c r="B15" s="2" t="s">
        <v>6</v>
      </c>
      <c r="C15" s="2">
        <v>9</v>
      </c>
    </row>
    <row r="19" spans="1:7" ht="15.75" thickBot="1"/>
    <row r="20" spans="1:7" ht="30.75" thickBot="1">
      <c r="A20" s="4" t="s">
        <v>0</v>
      </c>
      <c r="B20" s="4" t="s">
        <v>1</v>
      </c>
      <c r="C20" s="4" t="s">
        <v>2</v>
      </c>
    </row>
    <row r="21" spans="1:7" ht="15.75" thickBot="1">
      <c r="A21" s="5" t="s">
        <v>13</v>
      </c>
      <c r="B21" s="5" t="s">
        <v>4</v>
      </c>
      <c r="C21" s="5">
        <v>0.8</v>
      </c>
      <c r="F21">
        <v>3</v>
      </c>
      <c r="G21" t="s">
        <v>4</v>
      </c>
    </row>
    <row r="22" spans="1:7" ht="15.75" thickBot="1">
      <c r="A22" s="5" t="s">
        <v>7</v>
      </c>
      <c r="B22" s="5" t="s">
        <v>9</v>
      </c>
      <c r="C22" s="5">
        <v>1</v>
      </c>
      <c r="F22">
        <v>5</v>
      </c>
      <c r="G22" t="s">
        <v>9</v>
      </c>
    </row>
    <row r="23" spans="1:7" ht="15.75" thickBot="1">
      <c r="A23" s="5" t="s">
        <v>12</v>
      </c>
      <c r="B23" s="5" t="s">
        <v>4</v>
      </c>
      <c r="C23" s="5">
        <v>1.5</v>
      </c>
      <c r="F23">
        <v>7</v>
      </c>
      <c r="G23" t="s">
        <v>4</v>
      </c>
    </row>
    <row r="24" spans="1:7" ht="15.75" thickBot="1">
      <c r="A24" s="5" t="s">
        <v>17</v>
      </c>
      <c r="B24" s="5" t="s">
        <v>9</v>
      </c>
      <c r="C24" s="5">
        <v>1.8</v>
      </c>
      <c r="F24">
        <v>9</v>
      </c>
      <c r="G24" t="s">
        <v>9</v>
      </c>
    </row>
    <row r="25" spans="1:7" ht="15.75" thickBot="1">
      <c r="A25" s="5" t="s">
        <v>3</v>
      </c>
      <c r="B25" s="5" t="s">
        <v>9</v>
      </c>
      <c r="C25" s="5">
        <v>2.2999999999999998</v>
      </c>
      <c r="F25">
        <v>11</v>
      </c>
      <c r="G25" t="s">
        <v>9</v>
      </c>
    </row>
    <row r="26" spans="1:7" ht="15.75" thickBot="1">
      <c r="A26" s="5" t="s">
        <v>18</v>
      </c>
      <c r="B26" s="5" t="s">
        <v>4</v>
      </c>
      <c r="C26" s="5">
        <v>2.4</v>
      </c>
      <c r="F26">
        <v>13</v>
      </c>
      <c r="G26" t="s">
        <v>4</v>
      </c>
    </row>
    <row r="27" spans="1:7" ht="15.75" thickBot="1">
      <c r="A27" s="5" t="s">
        <v>11</v>
      </c>
      <c r="B27" s="5" t="s">
        <v>4</v>
      </c>
      <c r="C27" s="5">
        <v>3.4</v>
      </c>
    </row>
    <row r="28" spans="1:7" ht="15.75" thickBot="1">
      <c r="A28" s="5" t="s">
        <v>14</v>
      </c>
      <c r="B28" s="5" t="s">
        <v>9</v>
      </c>
      <c r="C28" s="5">
        <v>3.8</v>
      </c>
    </row>
    <row r="29" spans="1:7" ht="15.75" thickBot="1">
      <c r="A29" s="5" t="s">
        <v>15</v>
      </c>
      <c r="B29" s="5" t="s">
        <v>9</v>
      </c>
      <c r="C29" s="5">
        <v>4</v>
      </c>
    </row>
    <row r="30" spans="1:7" ht="15.75" thickBot="1">
      <c r="A30" s="5" t="s">
        <v>5</v>
      </c>
      <c r="B30" s="5" t="s">
        <v>4</v>
      </c>
      <c r="C30" s="5">
        <v>4.5</v>
      </c>
    </row>
    <row r="31" spans="1:7" ht="15.75" thickBot="1">
      <c r="A31" s="5" t="s">
        <v>16</v>
      </c>
      <c r="B31" s="5" t="s">
        <v>9</v>
      </c>
      <c r="C31" s="5">
        <v>6.2</v>
      </c>
    </row>
    <row r="32" spans="1:7" ht="15.75" thickBot="1">
      <c r="A32" s="5" t="s">
        <v>10</v>
      </c>
      <c r="B32" s="5" t="s">
        <v>4</v>
      </c>
      <c r="C32" s="5">
        <v>6.3</v>
      </c>
    </row>
    <row r="33" spans="1:9" ht="15.75" thickBot="1">
      <c r="A33" s="5" t="s">
        <v>8</v>
      </c>
      <c r="B33" s="5" t="s">
        <v>4</v>
      </c>
      <c r="C33" s="5">
        <v>8.6</v>
      </c>
    </row>
    <row r="34" spans="1:9" ht="15.75" thickBot="1">
      <c r="A34" s="5" t="s">
        <v>19</v>
      </c>
      <c r="B34" s="5" t="s">
        <v>4</v>
      </c>
      <c r="C34" s="5">
        <v>9</v>
      </c>
    </row>
    <row r="36" spans="1:9">
      <c r="G36" t="s">
        <v>29</v>
      </c>
      <c r="H36" t="s">
        <v>30</v>
      </c>
      <c r="I36" t="s">
        <v>31</v>
      </c>
    </row>
    <row r="37" spans="1:9">
      <c r="A37" s="6" t="s">
        <v>28</v>
      </c>
      <c r="B37">
        <f>1/3</f>
        <v>0.33333333333333331</v>
      </c>
      <c r="F37" t="s">
        <v>26</v>
      </c>
      <c r="G37" t="s">
        <v>27</v>
      </c>
      <c r="H37">
        <f>(B$39*B$42*(1-B$45))*B$37/(B$40*B$43*(1-B$46))</f>
        <v>0.67973856209150318</v>
      </c>
      <c r="I37" t="str">
        <f>IF(H37&gt;0.5,"HD","")</f>
        <v>HD</v>
      </c>
    </row>
    <row r="38" spans="1:9">
      <c r="A38" s="6"/>
      <c r="F38" t="s">
        <v>33</v>
      </c>
      <c r="G38" t="s">
        <v>32</v>
      </c>
      <c r="H38">
        <f>((1-B$39)*(1-B$42)*(B$45))*B$37/((1-B$40)*(1-B$43)*(B$46))</f>
        <v>0.34567901234567905</v>
      </c>
      <c r="I38" t="str">
        <f>IF(H38&gt;0.5,"HD","")</f>
        <v/>
      </c>
    </row>
    <row r="39" spans="1:9">
      <c r="A39" s="6" t="s">
        <v>20</v>
      </c>
      <c r="B39">
        <f>2/3</f>
        <v>0.66666666666666663</v>
      </c>
      <c r="F39" t="s">
        <v>34</v>
      </c>
      <c r="G39" t="s">
        <v>35</v>
      </c>
      <c r="H39">
        <f>((B$39)*(1-B$42)*(B$45))*B$37/((B$40)*(1-B$43)*(B$46))</f>
        <v>0.69135802469135799</v>
      </c>
      <c r="I39" t="str">
        <f>IF(H39&gt;0.5,"HD","")</f>
        <v>HD</v>
      </c>
    </row>
    <row r="40" spans="1:9">
      <c r="A40" s="6" t="s">
        <v>21</v>
      </c>
      <c r="B40">
        <f>1/2</f>
        <v>0.5</v>
      </c>
      <c r="F40" t="s">
        <v>37</v>
      </c>
      <c r="G40" t="s">
        <v>36</v>
      </c>
      <c r="H40">
        <f>((1-B$39)*(B$42)*(1-B$45))*B$37/((1-B$40)*(B$43)*(1-B$46))</f>
        <v>0.3398692810457517</v>
      </c>
      <c r="I40" t="str">
        <f>IF(H40&gt;0.5,"HD","")</f>
        <v/>
      </c>
    </row>
    <row r="42" spans="1:9">
      <c r="A42" t="s">
        <v>22</v>
      </c>
      <c r="B42">
        <f>0.5</f>
        <v>0.5</v>
      </c>
    </row>
    <row r="43" spans="1:9">
      <c r="A43" t="s">
        <v>23</v>
      </c>
      <c r="B43">
        <v>0.25</v>
      </c>
    </row>
    <row r="45" spans="1:9">
      <c r="A45" t="s">
        <v>24</v>
      </c>
      <c r="B45">
        <v>0.35</v>
      </c>
    </row>
    <row r="46" spans="1:9">
      <c r="A46" t="s">
        <v>25</v>
      </c>
      <c r="B46">
        <v>0.15</v>
      </c>
    </row>
    <row r="48" spans="1:9" ht="15.75" thickBot="1"/>
    <row r="49" spans="1:11" ht="45.75" thickBot="1">
      <c r="A49" s="1" t="s">
        <v>38</v>
      </c>
      <c r="B49" s="1" t="s">
        <v>39</v>
      </c>
      <c r="C49" s="1" t="s">
        <v>40</v>
      </c>
      <c r="D49" s="1" t="s">
        <v>41</v>
      </c>
      <c r="E49" s="1" t="s">
        <v>42</v>
      </c>
    </row>
    <row r="50" spans="1:11" ht="15.75" thickBot="1">
      <c r="A50" s="2" t="s">
        <v>43</v>
      </c>
      <c r="B50" s="2" t="s">
        <v>44</v>
      </c>
      <c r="C50" s="2" t="s">
        <v>45</v>
      </c>
      <c r="D50" s="2">
        <v>4</v>
      </c>
      <c r="E50" s="2">
        <v>20</v>
      </c>
    </row>
    <row r="51" spans="1:11" ht="15.75" thickBot="1">
      <c r="A51" s="2" t="s">
        <v>43</v>
      </c>
      <c r="B51" s="2" t="s">
        <v>44</v>
      </c>
      <c r="C51" s="2" t="s">
        <v>12</v>
      </c>
      <c r="D51" s="2">
        <v>10</v>
      </c>
      <c r="E51" s="2">
        <v>6</v>
      </c>
      <c r="H51" s="7"/>
      <c r="I51" t="s">
        <v>50</v>
      </c>
      <c r="J51" t="s">
        <v>58</v>
      </c>
      <c r="K51" t="s">
        <v>51</v>
      </c>
    </row>
    <row r="52" spans="1:11" ht="15.75" thickBot="1">
      <c r="A52" s="2" t="s">
        <v>46</v>
      </c>
      <c r="B52" s="2" t="s">
        <v>44</v>
      </c>
      <c r="C52" s="2" t="s">
        <v>45</v>
      </c>
      <c r="D52" s="2">
        <v>9</v>
      </c>
      <c r="E52" s="2">
        <v>22</v>
      </c>
      <c r="G52" t="s">
        <v>49</v>
      </c>
      <c r="H52" s="8" t="s">
        <v>52</v>
      </c>
      <c r="I52">
        <f>SUM(D50:E50,D52:E52,D54:E54,D56:E56,D58:E58,D60:E60)</f>
        <v>200</v>
      </c>
      <c r="J52">
        <f>I52/SUM(D50:E61)</f>
        <v>0.66666666666666663</v>
      </c>
      <c r="K52">
        <f>SUM(E50,E52,E54,E56,E58,E60)/I52</f>
        <v>0.61</v>
      </c>
    </row>
    <row r="53" spans="1:11" ht="15.75" thickBot="1">
      <c r="A53" s="2" t="s">
        <v>46</v>
      </c>
      <c r="B53" s="2" t="s">
        <v>44</v>
      </c>
      <c r="C53" s="2" t="s">
        <v>12</v>
      </c>
      <c r="D53" s="2">
        <v>13</v>
      </c>
      <c r="E53" s="2">
        <v>6</v>
      </c>
      <c r="G53" t="s">
        <v>53</v>
      </c>
      <c r="I53">
        <f>SUM(D54:E54,D56:E56)</f>
        <v>40</v>
      </c>
      <c r="J53">
        <f t="shared" ref="J53:J56" si="0">I53/SUM(D51:E62)</f>
        <v>0.14492753623188406</v>
      </c>
      <c r="K53">
        <f>SUM(D54,D56)/I53</f>
        <v>0.625</v>
      </c>
    </row>
    <row r="54" spans="1:11" ht="15.75" thickBot="1">
      <c r="A54" s="2" t="s">
        <v>43</v>
      </c>
      <c r="B54" s="2" t="s">
        <v>47</v>
      </c>
      <c r="C54" s="2" t="s">
        <v>45</v>
      </c>
      <c r="D54" s="2">
        <v>10</v>
      </c>
      <c r="E54" s="2">
        <v>10</v>
      </c>
      <c r="G54" t="s">
        <v>54</v>
      </c>
      <c r="I54">
        <f>SUM(D52:E52,D53:E53,D56:E56,D57:E57,D60:E60,D61:E61)</f>
        <v>150</v>
      </c>
      <c r="J54">
        <f t="shared" si="0"/>
        <v>0.57692307692307687</v>
      </c>
      <c r="K54">
        <f>SUM(D52,D53,D56,D57,D60,D61)/I54</f>
        <v>0.54</v>
      </c>
    </row>
    <row r="55" spans="1:11" ht="15.75" thickBot="1">
      <c r="A55" s="2" t="s">
        <v>43</v>
      </c>
      <c r="B55" s="2" t="s">
        <v>47</v>
      </c>
      <c r="C55" s="2" t="s">
        <v>12</v>
      </c>
      <c r="D55" s="2">
        <v>8</v>
      </c>
      <c r="E55" s="2">
        <v>0</v>
      </c>
      <c r="G55" t="s">
        <v>55</v>
      </c>
      <c r="I55">
        <f>SUM(D55:E55,D57:E57)</f>
        <v>20</v>
      </c>
      <c r="J55">
        <f t="shared" si="0"/>
        <v>8.7336244541484712E-2</v>
      </c>
      <c r="K55">
        <f>SUM(D55,D57)/I55</f>
        <v>1</v>
      </c>
    </row>
    <row r="56" spans="1:11" ht="15.75" thickBot="1">
      <c r="A56" s="2" t="s">
        <v>46</v>
      </c>
      <c r="B56" s="2" t="s">
        <v>47</v>
      </c>
      <c r="C56" s="2" t="s">
        <v>45</v>
      </c>
      <c r="D56" s="2">
        <v>15</v>
      </c>
      <c r="E56" s="2">
        <v>5</v>
      </c>
      <c r="G56" t="s">
        <v>57</v>
      </c>
      <c r="I56">
        <f>SUM(D50:E51)</f>
        <v>40</v>
      </c>
      <c r="J56">
        <f t="shared" si="0"/>
        <v>0.19047619047619047</v>
      </c>
      <c r="K56">
        <f>SUM(E50:E51)/I56</f>
        <v>0.65</v>
      </c>
    </row>
    <row r="57" spans="1:11" ht="15.75" thickBot="1">
      <c r="A57" s="2" t="s">
        <v>46</v>
      </c>
      <c r="B57" s="2" t="s">
        <v>47</v>
      </c>
      <c r="C57" s="2" t="s">
        <v>12</v>
      </c>
      <c r="D57" s="2">
        <v>12</v>
      </c>
      <c r="E57" s="2">
        <v>0</v>
      </c>
    </row>
    <row r="58" spans="1:11" ht="15.75" thickBot="1">
      <c r="A58" s="2" t="s">
        <v>43</v>
      </c>
      <c r="B58" s="2" t="s">
        <v>48</v>
      </c>
      <c r="C58" s="2" t="s">
        <v>45</v>
      </c>
      <c r="D58" s="2">
        <v>20</v>
      </c>
      <c r="E58" s="2">
        <v>35</v>
      </c>
    </row>
    <row r="59" spans="1:11" ht="15.75" thickBot="1">
      <c r="A59" s="2" t="s">
        <v>43</v>
      </c>
      <c r="B59" s="2" t="s">
        <v>48</v>
      </c>
      <c r="C59" s="2" t="s">
        <v>12</v>
      </c>
      <c r="D59" s="2">
        <v>17</v>
      </c>
      <c r="E59" s="2">
        <v>10</v>
      </c>
    </row>
    <row r="60" spans="1:11" ht="15.75" thickBot="1">
      <c r="A60" s="2" t="s">
        <v>46</v>
      </c>
      <c r="B60" s="2" t="s">
        <v>48</v>
      </c>
      <c r="C60" s="2" t="s">
        <v>45</v>
      </c>
      <c r="D60" s="2">
        <v>20</v>
      </c>
      <c r="E60" s="2">
        <v>30</v>
      </c>
    </row>
    <row r="61" spans="1:11" ht="15.75" thickBot="1">
      <c r="A61" s="2" t="s">
        <v>46</v>
      </c>
      <c r="B61" s="2" t="s">
        <v>48</v>
      </c>
      <c r="C61" s="2" t="s">
        <v>12</v>
      </c>
      <c r="D61" s="2">
        <v>12</v>
      </c>
      <c r="E61" s="2">
        <v>6</v>
      </c>
    </row>
    <row r="64" spans="1:11" ht="15.75" thickBot="1"/>
    <row r="65" spans="1:10" ht="45.75" thickBot="1">
      <c r="A65" s="4" t="s">
        <v>38</v>
      </c>
      <c r="B65" s="4" t="s">
        <v>39</v>
      </c>
      <c r="C65" s="4" t="s">
        <v>40</v>
      </c>
      <c r="D65" s="4" t="s">
        <v>41</v>
      </c>
      <c r="E65" s="4" t="s">
        <v>42</v>
      </c>
    </row>
    <row r="66" spans="1:10" ht="15.75" thickBot="1">
      <c r="A66" s="5" t="s">
        <v>43</v>
      </c>
      <c r="B66" s="5" t="s">
        <v>44</v>
      </c>
      <c r="C66" s="5" t="s">
        <v>45</v>
      </c>
      <c r="D66" s="5">
        <v>4</v>
      </c>
      <c r="E66" s="5">
        <v>20</v>
      </c>
    </row>
    <row r="67" spans="1:10" ht="15.75" thickBot="1">
      <c r="A67" s="5" t="s">
        <v>43</v>
      </c>
      <c r="B67" s="5" t="s">
        <v>44</v>
      </c>
      <c r="C67" s="5" t="s">
        <v>12</v>
      </c>
      <c r="D67" s="5">
        <v>10</v>
      </c>
      <c r="E67" s="5">
        <v>6</v>
      </c>
    </row>
    <row r="68" spans="1:10" ht="15.75" thickBot="1">
      <c r="A68" s="5" t="s">
        <v>46</v>
      </c>
      <c r="B68" s="5" t="s">
        <v>44</v>
      </c>
      <c r="C68" s="5" t="s">
        <v>45</v>
      </c>
      <c r="D68" s="5">
        <v>9</v>
      </c>
      <c r="E68" s="5">
        <v>22</v>
      </c>
    </row>
    <row r="69" spans="1:10" ht="15.75" thickBot="1">
      <c r="A69" s="5" t="s">
        <v>46</v>
      </c>
      <c r="B69" s="5" t="s">
        <v>44</v>
      </c>
      <c r="C69" s="5" t="s">
        <v>12</v>
      </c>
      <c r="D69" s="5">
        <v>13</v>
      </c>
      <c r="E69" s="5">
        <v>6</v>
      </c>
    </row>
    <row r="70" spans="1:10" ht="15.75" thickBot="1">
      <c r="A70" s="5" t="s">
        <v>43</v>
      </c>
      <c r="B70" s="5" t="s">
        <v>47</v>
      </c>
      <c r="C70" s="5" t="s">
        <v>45</v>
      </c>
      <c r="D70" s="5">
        <v>10</v>
      </c>
      <c r="E70" s="5">
        <v>10</v>
      </c>
    </row>
    <row r="71" spans="1:10" ht="15.75" thickBot="1">
      <c r="A71" s="5" t="s">
        <v>43</v>
      </c>
      <c r="B71" s="5" t="s">
        <v>47</v>
      </c>
      <c r="C71" s="5" t="s">
        <v>12</v>
      </c>
      <c r="D71" s="5">
        <v>8</v>
      </c>
      <c r="E71" s="5">
        <v>0</v>
      </c>
    </row>
    <row r="72" spans="1:10" ht="15.75" thickBot="1">
      <c r="A72" s="5" t="s">
        <v>46</v>
      </c>
      <c r="B72" s="5" t="s">
        <v>47</v>
      </c>
      <c r="C72" s="5" t="s">
        <v>45</v>
      </c>
      <c r="D72" s="5">
        <v>15</v>
      </c>
      <c r="E72" s="5">
        <v>5</v>
      </c>
    </row>
    <row r="73" spans="1:10" ht="15.75" thickBot="1">
      <c r="A73" s="5" t="s">
        <v>46</v>
      </c>
      <c r="B73" s="5" t="s">
        <v>47</v>
      </c>
      <c r="C73" s="5" t="s">
        <v>12</v>
      </c>
      <c r="D73" s="5">
        <v>12</v>
      </c>
      <c r="E73" s="5">
        <v>0</v>
      </c>
      <c r="H73" t="s">
        <v>61</v>
      </c>
      <c r="I73">
        <f>(B$88)*B$79/(B$87)</f>
        <v>0.54</v>
      </c>
      <c r="J73" t="str">
        <f>IF(I73&gt;0.5,"S","NS")</f>
        <v>S</v>
      </c>
    </row>
    <row r="74" spans="1:10" ht="15.75" thickBot="1">
      <c r="A74" s="5" t="s">
        <v>43</v>
      </c>
      <c r="B74" s="5" t="s">
        <v>48</v>
      </c>
      <c r="C74" s="5" t="s">
        <v>45</v>
      </c>
      <c r="D74" s="5">
        <v>20</v>
      </c>
      <c r="E74" s="5">
        <v>35</v>
      </c>
      <c r="H74" t="s">
        <v>62</v>
      </c>
      <c r="I74">
        <f>I73*C85/C84</f>
        <v>0.3978947368421053</v>
      </c>
      <c r="J74" t="str">
        <f t="shared" ref="J74:J76" si="1">IF(I74&gt;0.5,"S","NS")</f>
        <v>NS</v>
      </c>
    </row>
    <row r="75" spans="1:10" ht="15.75" thickBot="1">
      <c r="A75" s="5" t="s">
        <v>43</v>
      </c>
      <c r="B75" s="5" t="s">
        <v>48</v>
      </c>
      <c r="C75" s="5" t="s">
        <v>12</v>
      </c>
      <c r="D75" s="5">
        <v>17</v>
      </c>
      <c r="E75" s="5">
        <v>10</v>
      </c>
      <c r="H75" t="s">
        <v>63</v>
      </c>
      <c r="I75">
        <f>I74*B91/B90</f>
        <v>0.31831578947368427</v>
      </c>
      <c r="J75" t="str">
        <f t="shared" si="1"/>
        <v>NS</v>
      </c>
    </row>
    <row r="76" spans="1:10" ht="15.75" thickBot="1">
      <c r="A76" s="5" t="s">
        <v>46</v>
      </c>
      <c r="B76" s="5" t="s">
        <v>48</v>
      </c>
      <c r="C76" s="5" t="s">
        <v>45</v>
      </c>
      <c r="D76" s="5">
        <v>20</v>
      </c>
      <c r="E76" s="5">
        <v>30</v>
      </c>
      <c r="H76" t="s">
        <v>64</v>
      </c>
      <c r="I76">
        <f>I75*B94/B93</f>
        <v>0.68756210526315809</v>
      </c>
      <c r="J76" t="str">
        <f t="shared" si="1"/>
        <v>S</v>
      </c>
    </row>
    <row r="77" spans="1:10" ht="15.75" thickBot="1">
      <c r="A77" s="5" t="s">
        <v>46</v>
      </c>
      <c r="B77" s="5" t="s">
        <v>48</v>
      </c>
      <c r="C77" s="5" t="s">
        <v>12</v>
      </c>
      <c r="D77" s="5">
        <v>12</v>
      </c>
      <c r="E77" s="5">
        <v>6</v>
      </c>
    </row>
    <row r="79" spans="1:10">
      <c r="A79" s="6" t="s">
        <v>23</v>
      </c>
      <c r="B79">
        <f>SUM(D66:D77)/SUM(D66:E77)</f>
        <v>0.5</v>
      </c>
    </row>
    <row r="81" spans="1:3">
      <c r="A81" s="9" t="s">
        <v>68</v>
      </c>
      <c r="B81" s="10"/>
      <c r="C81">
        <v>0.65</v>
      </c>
    </row>
    <row r="82" spans="1:3">
      <c r="A82" s="9" t="s">
        <v>108</v>
      </c>
      <c r="B82" s="10"/>
      <c r="C82">
        <v>0.4</v>
      </c>
    </row>
    <row r="83" spans="1:3">
      <c r="A83" s="9" t="s">
        <v>69</v>
      </c>
      <c r="B83" s="10"/>
      <c r="C83">
        <f>C81*B79+(1-B79)*C82</f>
        <v>0.52500000000000002</v>
      </c>
    </row>
    <row r="84" spans="1:3">
      <c r="A84" s="9" t="s">
        <v>67</v>
      </c>
      <c r="B84" s="10"/>
      <c r="C84">
        <f>1-C83</f>
        <v>0.47499999999999998</v>
      </c>
    </row>
    <row r="85" spans="1:3" ht="15.75" customHeight="1">
      <c r="A85" s="9" t="s">
        <v>109</v>
      </c>
      <c r="B85" s="10"/>
      <c r="C85">
        <f>1-C81</f>
        <v>0.35</v>
      </c>
    </row>
    <row r="87" spans="1:3">
      <c r="A87" t="s">
        <v>21</v>
      </c>
      <c r="B87">
        <f>SUM(D68:E69,D72:E73,D76:E77)/SUM(D66:E77)</f>
        <v>0.5</v>
      </c>
    </row>
    <row r="88" spans="1:3">
      <c r="A88" t="s">
        <v>59</v>
      </c>
      <c r="B88">
        <f>SUM(D68:D69,D72:D73,D76:D77)/SUM(D66:D77)</f>
        <v>0.54</v>
      </c>
    </row>
    <row r="90" spans="1:3">
      <c r="A90" t="s">
        <v>25</v>
      </c>
      <c r="B90">
        <f>SUM(D66:E69)/SUM(D66:E77)</f>
        <v>0.3</v>
      </c>
    </row>
    <row r="91" spans="1:3">
      <c r="A91" t="s">
        <v>60</v>
      </c>
      <c r="B91">
        <f>SUM(D66:D69)/SUM(D66:D77)</f>
        <v>0.24</v>
      </c>
    </row>
    <row r="93" spans="1:3">
      <c r="A93" t="s">
        <v>65</v>
      </c>
      <c r="B93">
        <f>SUM(D67:E67,D69:E69,D71:E71,D73:E73,D75:E75,D77:E77)/SUM(D66:E77)</f>
        <v>0.33333333333333331</v>
      </c>
    </row>
    <row r="94" spans="1:3">
      <c r="A94" t="s">
        <v>66</v>
      </c>
      <c r="B94">
        <f>SUM(D67,D69,D71,D73,D75,D77)/SUM(D67:E67,D69:E69,D71:E71,D73:E73,D75:E75,D77:E77)</f>
        <v>0.72</v>
      </c>
    </row>
    <row r="97" spans="1:6">
      <c r="B97" t="s">
        <v>71</v>
      </c>
    </row>
    <row r="98" spans="1:6">
      <c r="A98" t="s">
        <v>73</v>
      </c>
      <c r="B98">
        <v>3.5</v>
      </c>
      <c r="C98">
        <v>0.3</v>
      </c>
    </row>
    <row r="99" spans="1:6">
      <c r="A99" t="s">
        <v>72</v>
      </c>
      <c r="B99">
        <v>2.8</v>
      </c>
      <c r="C99">
        <v>0.6</v>
      </c>
    </row>
    <row r="101" spans="1:6">
      <c r="A101" t="s">
        <v>73</v>
      </c>
      <c r="B101">
        <f>1/SQRT(2*PI()*(C$98)^2)*EXP(-1*(3.15-B$98)^2/(2*(C$98)^2))</f>
        <v>0.6733289518468627</v>
      </c>
      <c r="D101">
        <v>3.15</v>
      </c>
    </row>
    <row r="102" spans="1:6">
      <c r="A102" t="s">
        <v>72</v>
      </c>
      <c r="B102">
        <f>1/SQRT(2*PI()*(C$99)^2)*EXP(-1*(3.15-B$99)^2/(2*(C$99)^2))</f>
        <v>0.56087803790825519</v>
      </c>
    </row>
    <row r="104" spans="1:6">
      <c r="A104" t="s">
        <v>73</v>
      </c>
      <c r="B104">
        <f>1/SQRT(2*PI()*(C$98)^2)*EXP(-1*(3.1-B$98)^2/(2*(C$98)^2))</f>
        <v>0.54670024891997893</v>
      </c>
      <c r="D104">
        <v>3.1</v>
      </c>
    </row>
    <row r="105" spans="1:6">
      <c r="A105" t="s">
        <v>72</v>
      </c>
      <c r="B105">
        <f>1/SQRT(2*PI()*(C$99)^2)*EXP(-1*(3.1-B$99)^2/(2*(C$99)^2))</f>
        <v>0.58677554460716563</v>
      </c>
    </row>
    <row r="107" spans="1:6">
      <c r="A107" t="s">
        <v>73</v>
      </c>
      <c r="B107">
        <f>1/SQRT(2*PI()*(C$98)^2)*EXP(-1*(3.2-B$98)^2/(2*(C$98)^2))</f>
        <v>0.80656908173047825</v>
      </c>
      <c r="D107">
        <v>3.2</v>
      </c>
    </row>
    <row r="108" spans="1:6">
      <c r="A108" t="s">
        <v>72</v>
      </c>
      <c r="B108">
        <f>1/SQRT(2*PI()*(C$99)^2)*EXP(-1*(3.2-B$99)^2/(2*(C$99)^2))</f>
        <v>0.53241334253725348</v>
      </c>
    </row>
    <row r="112" spans="1:6">
      <c r="E112" t="s">
        <v>74</v>
      </c>
      <c r="F112" t="s">
        <v>75</v>
      </c>
    </row>
    <row r="113" spans="1:6">
      <c r="A113" t="s">
        <v>12</v>
      </c>
      <c r="B113">
        <v>52</v>
      </c>
      <c r="C113">
        <v>50</v>
      </c>
      <c r="E113">
        <f>(B113+1)/(SUM(B113:C113)+2)</f>
        <v>0.50961538461538458</v>
      </c>
      <c r="F113">
        <f>(B113+100/250*2)/(SUM(B113:C113)+2)</f>
        <v>0.50769230769230766</v>
      </c>
    </row>
    <row r="114" spans="1:6">
      <c r="A114" t="s">
        <v>3</v>
      </c>
      <c r="B114">
        <v>44</v>
      </c>
      <c r="C114">
        <v>16</v>
      </c>
      <c r="E114">
        <f t="shared" ref="E114:E116" si="2">(B114+1)/(SUM(B114:C114)+2)</f>
        <v>0.72580645161290325</v>
      </c>
      <c r="F114">
        <f t="shared" ref="F114:F116" si="3">(B114+100/250*2)/(SUM(B114:C114)+2)</f>
        <v>0.72258064516129028</v>
      </c>
    </row>
    <row r="115" spans="1:6">
      <c r="A115" t="s">
        <v>5</v>
      </c>
      <c r="B115">
        <v>10</v>
      </c>
      <c r="C115">
        <v>2</v>
      </c>
      <c r="E115">
        <f t="shared" si="2"/>
        <v>0.7857142857142857</v>
      </c>
      <c r="F115">
        <f t="shared" si="3"/>
        <v>0.77142857142857146</v>
      </c>
    </row>
    <row r="116" spans="1:6">
      <c r="A116" t="s">
        <v>7</v>
      </c>
      <c r="B116">
        <v>6</v>
      </c>
      <c r="C116">
        <v>4</v>
      </c>
      <c r="E116">
        <f t="shared" si="2"/>
        <v>0.58333333333333337</v>
      </c>
      <c r="F116">
        <f t="shared" si="3"/>
        <v>0.56666666666666665</v>
      </c>
    </row>
    <row r="122" spans="1:6">
      <c r="B122" t="s">
        <v>76</v>
      </c>
      <c r="C122" t="s">
        <v>78</v>
      </c>
      <c r="D122" t="s">
        <v>79</v>
      </c>
      <c r="E122" t="s">
        <v>80</v>
      </c>
      <c r="F122" t="s">
        <v>81</v>
      </c>
    </row>
    <row r="123" spans="1:6">
      <c r="A123">
        <v>1</v>
      </c>
      <c r="B123" t="s">
        <v>70</v>
      </c>
      <c r="C123" t="s">
        <v>13</v>
      </c>
      <c r="D123" t="s">
        <v>13</v>
      </c>
      <c r="E123" t="s">
        <v>83</v>
      </c>
      <c r="F123" t="s">
        <v>19</v>
      </c>
    </row>
    <row r="124" spans="1:6">
      <c r="A124">
        <v>2</v>
      </c>
      <c r="B124" t="s">
        <v>70</v>
      </c>
      <c r="C124" t="s">
        <v>13</v>
      </c>
      <c r="D124" t="s">
        <v>13</v>
      </c>
      <c r="E124" t="s">
        <v>70</v>
      </c>
      <c r="F124" t="s">
        <v>19</v>
      </c>
    </row>
    <row r="125" spans="1:6">
      <c r="A125">
        <v>3</v>
      </c>
      <c r="B125" t="s">
        <v>77</v>
      </c>
      <c r="C125" t="s">
        <v>13</v>
      </c>
      <c r="D125" t="s">
        <v>13</v>
      </c>
      <c r="E125" t="s">
        <v>83</v>
      </c>
      <c r="F125" t="s">
        <v>82</v>
      </c>
    </row>
    <row r="126" spans="1:6">
      <c r="A126">
        <v>4</v>
      </c>
      <c r="B126" t="s">
        <v>56</v>
      </c>
      <c r="C126" t="s">
        <v>18</v>
      </c>
      <c r="D126" t="s">
        <v>13</v>
      </c>
      <c r="E126" t="s">
        <v>83</v>
      </c>
      <c r="F126" t="s">
        <v>82</v>
      </c>
    </row>
    <row r="127" spans="1:6">
      <c r="A127">
        <v>5</v>
      </c>
      <c r="B127" t="s">
        <v>56</v>
      </c>
      <c r="C127" t="s">
        <v>7</v>
      </c>
      <c r="D127" t="s">
        <v>19</v>
      </c>
      <c r="E127" t="s">
        <v>83</v>
      </c>
      <c r="F127" t="s">
        <v>82</v>
      </c>
    </row>
    <row r="128" spans="1:6">
      <c r="A128">
        <v>6</v>
      </c>
      <c r="B128" t="s">
        <v>56</v>
      </c>
      <c r="C128" t="s">
        <v>7</v>
      </c>
      <c r="D128" t="s">
        <v>19</v>
      </c>
      <c r="E128" t="s">
        <v>70</v>
      </c>
      <c r="F128" t="s">
        <v>19</v>
      </c>
    </row>
    <row r="129" spans="1:14">
      <c r="A129">
        <v>7</v>
      </c>
      <c r="B129" t="s">
        <v>77</v>
      </c>
      <c r="C129" t="s">
        <v>7</v>
      </c>
      <c r="D129" t="s">
        <v>19</v>
      </c>
      <c r="E129" t="s">
        <v>70</v>
      </c>
      <c r="F129" t="s">
        <v>82</v>
      </c>
    </row>
    <row r="130" spans="1:14">
      <c r="A130">
        <v>8</v>
      </c>
      <c r="B130" t="s">
        <v>70</v>
      </c>
      <c r="C130" t="s">
        <v>18</v>
      </c>
      <c r="D130" t="s">
        <v>13</v>
      </c>
      <c r="E130" t="s">
        <v>83</v>
      </c>
      <c r="F130" t="s">
        <v>19</v>
      </c>
    </row>
    <row r="131" spans="1:14">
      <c r="A131">
        <v>9</v>
      </c>
      <c r="B131" t="s">
        <v>70</v>
      </c>
      <c r="C131" t="s">
        <v>7</v>
      </c>
      <c r="D131" t="s">
        <v>19</v>
      </c>
      <c r="E131" t="s">
        <v>83</v>
      </c>
      <c r="F131" t="s">
        <v>82</v>
      </c>
    </row>
    <row r="132" spans="1:14">
      <c r="A132">
        <v>10</v>
      </c>
      <c r="B132" t="s">
        <v>56</v>
      </c>
      <c r="C132" t="s">
        <v>18</v>
      </c>
      <c r="D132" t="s">
        <v>19</v>
      </c>
      <c r="E132" t="s">
        <v>83</v>
      </c>
      <c r="F132" t="s">
        <v>82</v>
      </c>
    </row>
    <row r="133" spans="1:14">
      <c r="A133">
        <v>11</v>
      </c>
      <c r="B133" t="s">
        <v>70</v>
      </c>
      <c r="C133" t="s">
        <v>18</v>
      </c>
      <c r="D133" t="s">
        <v>19</v>
      </c>
      <c r="E133" t="s">
        <v>70</v>
      </c>
      <c r="F133" t="s">
        <v>82</v>
      </c>
    </row>
    <row r="134" spans="1:14">
      <c r="A134">
        <v>12</v>
      </c>
      <c r="B134" t="s">
        <v>77</v>
      </c>
      <c r="C134" t="s">
        <v>18</v>
      </c>
      <c r="D134" t="s">
        <v>13</v>
      </c>
      <c r="E134" t="s">
        <v>70</v>
      </c>
      <c r="F134" t="s">
        <v>82</v>
      </c>
    </row>
    <row r="135" spans="1:14">
      <c r="A135">
        <v>13</v>
      </c>
      <c r="B135" t="s">
        <v>77</v>
      </c>
      <c r="C135" t="s">
        <v>13</v>
      </c>
      <c r="D135" t="s">
        <v>19</v>
      </c>
      <c r="E135" t="s">
        <v>83</v>
      </c>
      <c r="F135" t="s">
        <v>82</v>
      </c>
    </row>
    <row r="136" spans="1:14">
      <c r="A136">
        <v>14</v>
      </c>
      <c r="B136" t="s">
        <v>56</v>
      </c>
      <c r="C136" t="s">
        <v>18</v>
      </c>
      <c r="D136" t="s">
        <v>13</v>
      </c>
      <c r="E136" t="s">
        <v>70</v>
      </c>
      <c r="F136" t="s">
        <v>19</v>
      </c>
    </row>
    <row r="139" spans="1:14">
      <c r="A139" t="s">
        <v>110</v>
      </c>
      <c r="B139">
        <f>COUNTIF(F$123:F$136,"Y")/14</f>
        <v>0.6428571428571429</v>
      </c>
      <c r="C139">
        <f>B139*14</f>
        <v>9</v>
      </c>
      <c r="L139" t="s">
        <v>111</v>
      </c>
      <c r="M139">
        <f>$B$142*$B$148*$B$150*$B$153</f>
        <v>2.9154518950437316E-2</v>
      </c>
    </row>
    <row r="140" spans="1:14">
      <c r="A140" t="s">
        <v>88</v>
      </c>
      <c r="B140">
        <f>COUNTIF(F$123:F$136,"N")/14</f>
        <v>0.35714285714285715</v>
      </c>
      <c r="C140">
        <f>B140*14</f>
        <v>5</v>
      </c>
      <c r="L140" t="s">
        <v>112</v>
      </c>
      <c r="M140">
        <f>$E$142*$E$148*$E$150*$E$153</f>
        <v>9.6428571428571447E-2</v>
      </c>
      <c r="N140" t="e">
        <f>SUMPRODUCT(($B$123:$B$136="S")*($C$123:$C$136="C")*($D$123:$D$136="H")*($E$123:$E$136="W")*($F$123:$F$136="Y"))/SUMPRODUCT(($B$123:$B$136="S")*($C$123:$C$136="C")*($D$123:$D$136="H")*($E$123:$E$136="W"))</f>
        <v>#DIV/0!</v>
      </c>
    </row>
    <row r="141" spans="1:14">
      <c r="L141" t="s">
        <v>110</v>
      </c>
      <c r="M141">
        <f>$B$139</f>
        <v>0.6428571428571429</v>
      </c>
    </row>
    <row r="142" spans="1:14">
      <c r="A142" t="s">
        <v>23</v>
      </c>
      <c r="B142">
        <f>COUNTIF(B$123:B$136,"S")/14</f>
        <v>0.35714285714285715</v>
      </c>
      <c r="C142">
        <f t="shared" ref="C142:C154" si="4">B142*14</f>
        <v>5</v>
      </c>
      <c r="D142" t="s">
        <v>91</v>
      </c>
      <c r="E142">
        <f>SUMPRODUCT(($B$123:$B$136="S")*($F$123:$F$136="Y"))/COUNTIF($B$123:$B$136,"S")</f>
        <v>0.4</v>
      </c>
      <c r="F142">
        <f>E142*COUNTIF($B$123:$B$136,"S")</f>
        <v>2</v>
      </c>
      <c r="G142" t="s">
        <v>94</v>
      </c>
      <c r="H142">
        <f>SUMPRODUCT(($B$123:$B$136="S")*($F$123:$F$136="N"))/COUNTIF($B$123:$B$136,"S")</f>
        <v>0.6</v>
      </c>
      <c r="I142">
        <f>H142*COUNTIF($B$123:$B$136,"S")</f>
        <v>3</v>
      </c>
      <c r="M142">
        <f>M140*M139/M141</f>
        <v>4.3731778425655978E-3</v>
      </c>
      <c r="N142">
        <f>4/243</f>
        <v>1.646090534979424E-2</v>
      </c>
    </row>
    <row r="143" spans="1:14">
      <c r="A143" t="s">
        <v>84</v>
      </c>
      <c r="B143">
        <f>COUNTIF(B$123:B$136,"O")/14</f>
        <v>0.2857142857142857</v>
      </c>
      <c r="C143">
        <f t="shared" si="4"/>
        <v>4</v>
      </c>
      <c r="D143" t="s">
        <v>92</v>
      </c>
      <c r="E143">
        <f>SUMPRODUCT(($B$123:$B$136="O")*($F$123:$F$136="Y"))/COUNTIF($B$123:$B$136,"O")</f>
        <v>1</v>
      </c>
      <c r="F143">
        <f>E143*COUNTIF($B$123:$B$136,"O")</f>
        <v>4</v>
      </c>
      <c r="G143" t="s">
        <v>95</v>
      </c>
      <c r="H143">
        <f>SUMPRODUCT(($B$123:$B$136="O")*($F$123:$F$136="N"))/COUNTIF($B$123:$B$136,"O")</f>
        <v>0</v>
      </c>
      <c r="I143">
        <f>H143*COUNTIF($B$123:$B$136,"O")</f>
        <v>0</v>
      </c>
    </row>
    <row r="144" spans="1:14">
      <c r="A144" t="s">
        <v>85</v>
      </c>
      <c r="B144">
        <f>COUNTIF(B$123:B$136,"R")/14</f>
        <v>0.35714285714285715</v>
      </c>
      <c r="C144">
        <f t="shared" si="4"/>
        <v>5</v>
      </c>
      <c r="D144" t="s">
        <v>93</v>
      </c>
      <c r="E144">
        <f>SUMPRODUCT(($B$123:$B$136="R")*($F$123:$F$136="Y"))/COUNTIF($B$123:$B$136,"R")</f>
        <v>0.6</v>
      </c>
      <c r="F144">
        <f>E144*COUNTIF($B$123:$B$136,"R")</f>
        <v>3</v>
      </c>
      <c r="G144" t="s">
        <v>96</v>
      </c>
      <c r="H144">
        <f>SUMPRODUCT(($B$123:$B$136="R")*($F$123:$F$136="N"))/COUNTIF($B$123:$B$136,"R")</f>
        <v>0.4</v>
      </c>
      <c r="I144">
        <f>H144*COUNTIF($B$123:$B$136,"R")</f>
        <v>2</v>
      </c>
    </row>
    <row r="146" spans="1:13">
      <c r="A146" t="s">
        <v>86</v>
      </c>
      <c r="B146">
        <f>COUNTIF(C$123:C$136,"H")/14</f>
        <v>0.2857142857142857</v>
      </c>
      <c r="C146">
        <f t="shared" si="4"/>
        <v>4</v>
      </c>
      <c r="D146" t="s">
        <v>97</v>
      </c>
      <c r="E146">
        <f>SUMPRODUCT(($C$123:$C$136="H")*($F$123:$F$136="Y"))/COUNTIF($C$123:$C$136,"H")</f>
        <v>0.5</v>
      </c>
      <c r="F146">
        <f>E146*COUNTIF($C$123:$C$136,"H")</f>
        <v>2</v>
      </c>
      <c r="G146" t="s">
        <v>100</v>
      </c>
      <c r="H146">
        <f>SUMPRODUCT(($C$123:$C$136="H")*($F$123:$F$136="N"))/COUNTIF($C$123:$C$136,"H")</f>
        <v>0.5</v>
      </c>
      <c r="I146">
        <f>H146*COUNTIF($C$123:$C$136,"H")</f>
        <v>2</v>
      </c>
      <c r="L146" t="s">
        <v>107</v>
      </c>
      <c r="M146">
        <f>$H$142*$H$148*$H$150*$H$153</f>
        <v>2.1428571428571425E-2</v>
      </c>
    </row>
    <row r="147" spans="1:13">
      <c r="A147" t="s">
        <v>21</v>
      </c>
      <c r="B147">
        <f>COUNTIF(C$123:C$136,"M")/14</f>
        <v>0.42857142857142855</v>
      </c>
      <c r="C147">
        <f t="shared" si="4"/>
        <v>6</v>
      </c>
      <c r="D147" t="s">
        <v>98</v>
      </c>
      <c r="E147">
        <f>SUMPRODUCT(($C$123:$C$136="M")*($F$123:$F$136="Y"))/COUNTIF($C$123:$C$136,"M")</f>
        <v>0.66666666666666663</v>
      </c>
      <c r="F147">
        <f>E147*COUNTIF($C$123:$C$136,"M")</f>
        <v>4</v>
      </c>
      <c r="G147" t="s">
        <v>101</v>
      </c>
      <c r="H147">
        <f>SUMPRODUCT(($C$123:$C$136="M")*($F$123:$F$136="N"))/COUNTIF($C$123:$C$136,"M")</f>
        <v>0.33333333333333331</v>
      </c>
      <c r="I147">
        <f>H147*COUNTIF($C$123:$C$136,"M")</f>
        <v>2</v>
      </c>
    </row>
    <row r="148" spans="1:13">
      <c r="A148" t="s">
        <v>87</v>
      </c>
      <c r="B148">
        <f>COUNTIF(C$123:C$136,"C")/14</f>
        <v>0.2857142857142857</v>
      </c>
      <c r="C148">
        <f t="shared" si="4"/>
        <v>4</v>
      </c>
      <c r="D148" t="s">
        <v>99</v>
      </c>
      <c r="E148">
        <f>SUMPRODUCT(($C$123:$C$136="C")*($F$123:$F$136="Y"))/COUNTIF($C$123:$C$136,"C")</f>
        <v>0.75</v>
      </c>
      <c r="F148">
        <f>E148*COUNTIF($C$123:$C$136,"C")</f>
        <v>3</v>
      </c>
      <c r="G148" t="s">
        <v>102</v>
      </c>
      <c r="H148">
        <f>SUMPRODUCT(($C$123:$C$136="C")*($F$123:$F$136="N"))/COUNTIF($C$123:$C$136,"C")</f>
        <v>0.25</v>
      </c>
      <c r="I148">
        <f>H148*COUNTIF($C$123:$C$136,"C")</f>
        <v>1</v>
      </c>
    </row>
    <row r="150" spans="1:13">
      <c r="A150" t="s">
        <v>86</v>
      </c>
      <c r="B150">
        <f>COUNTIF(D$123:D$136,"H")/14</f>
        <v>0.5</v>
      </c>
      <c r="C150">
        <f t="shared" si="4"/>
        <v>7</v>
      </c>
      <c r="D150" t="s">
        <v>97</v>
      </c>
      <c r="E150">
        <f>SUMPRODUCT(($D$123:$D$136="H")*($F$123:$F$136="Y"))/COUNTIF($D$123:$D$136,"H")</f>
        <v>0.42857142857142855</v>
      </c>
      <c r="F150">
        <f>E150*COUNTIF($D$123:$D$136,"H")</f>
        <v>3</v>
      </c>
      <c r="G150" t="s">
        <v>100</v>
      </c>
      <c r="H150">
        <f>SUMPRODUCT(($D$123:$D$136="H")*($F$123:$F$136="N"))/COUNTIF($D$123:$D$136,"H")</f>
        <v>0.5714285714285714</v>
      </c>
      <c r="I150">
        <f>H150*COUNTIF($D$123:$D$136,"H")</f>
        <v>4</v>
      </c>
    </row>
    <row r="151" spans="1:13">
      <c r="A151" t="s">
        <v>88</v>
      </c>
      <c r="B151">
        <f>COUNTIF(D$123:D$136,"N")/14</f>
        <v>0.5</v>
      </c>
      <c r="C151">
        <f t="shared" si="4"/>
        <v>7</v>
      </c>
      <c r="D151" t="s">
        <v>103</v>
      </c>
      <c r="E151">
        <f>SUMPRODUCT(($D$123:$D$136="N")*($F$123:$F$136="Y"))/COUNTIF($D$123:$D$136,"N")</f>
        <v>0.8571428571428571</v>
      </c>
      <c r="F151">
        <f>E151*COUNTIF($D$123:$D$136,"N")</f>
        <v>6</v>
      </c>
      <c r="G151" t="s">
        <v>104</v>
      </c>
      <c r="H151">
        <f>SUMPRODUCT(($D$123:$D$136="N")*($F$123:$F$136="N"))/COUNTIF($D$123:$D$136,"N")</f>
        <v>0.14285714285714285</v>
      </c>
      <c r="I151">
        <f>H151*COUNTIF($D$123:$D$136,"N")</f>
        <v>1</v>
      </c>
    </row>
    <row r="153" spans="1:13">
      <c r="A153" t="s">
        <v>89</v>
      </c>
      <c r="B153">
        <f>COUNTIF(E$123:E$136,"W")/14</f>
        <v>0.5714285714285714</v>
      </c>
      <c r="C153">
        <f t="shared" si="4"/>
        <v>8</v>
      </c>
      <c r="D153" t="s">
        <v>105</v>
      </c>
      <c r="E153">
        <f>SUMPRODUCT(($E$123:$E$136="W")*($F$123:$F$136="Y"))/COUNTIF($E$123:$E$136,"W")</f>
        <v>0.75</v>
      </c>
      <c r="F153">
        <f>E153*COUNTIF($E$123:$E$136,"W")</f>
        <v>6</v>
      </c>
      <c r="G153" t="s">
        <v>106</v>
      </c>
      <c r="H153">
        <f>SUMPRODUCT(($E$123:$E$136="W")*($F$123:$F$136="N"))/COUNTIF($E$123:$E$136,"W")</f>
        <v>0.25</v>
      </c>
      <c r="I153">
        <f>H153*COUNTIF($E$123:$E$136,"W")</f>
        <v>2</v>
      </c>
    </row>
    <row r="154" spans="1:13">
      <c r="A154" t="s">
        <v>23</v>
      </c>
      <c r="B154">
        <f>COUNTIF(E$123:E$136,"S")/14</f>
        <v>0.42857142857142855</v>
      </c>
      <c r="C154">
        <f t="shared" si="4"/>
        <v>6</v>
      </c>
      <c r="D154" t="s">
        <v>91</v>
      </c>
      <c r="E154">
        <f>SUMPRODUCT(($E$123:$E$136="S")*($F$123:$F$136="Y"))/COUNTIF($E$123:$E$136,"S")</f>
        <v>0.5</v>
      </c>
      <c r="F154">
        <f>E154*COUNTIF($E$123:$E$136,"S")</f>
        <v>3</v>
      </c>
      <c r="G154" t="s">
        <v>94</v>
      </c>
      <c r="H154">
        <f>SUMPRODUCT(($E$123:$E$136="S")*($F$123:$F$136="N"))/COUNTIF($E$123:$E$136,"S")</f>
        <v>0.5</v>
      </c>
      <c r="I154">
        <f>H154*COUNTIF($E$123:$E$136,"S")</f>
        <v>3</v>
      </c>
    </row>
    <row r="158" spans="1:13">
      <c r="D158" t="s">
        <v>90</v>
      </c>
      <c r="E158">
        <f>SUMPRODUCT(($B$123:$B$136="S")*($F$123:$F$136="Y"))/COUNTIF($F$123:$F$136,"Y")</f>
        <v>0.22222222222222221</v>
      </c>
      <c r="G158" t="s">
        <v>120</v>
      </c>
      <c r="H158">
        <f>SUMPRODUCT(($B$123:$B$136="S")*($F$123:$F$136="N"))/COUNTIF($F$123:$F$136,"N")</f>
        <v>0.6</v>
      </c>
      <c r="K158" t="s">
        <v>107</v>
      </c>
      <c r="L158">
        <f>$E$158*$E$164*$E$166*$E$169</f>
        <v>1.6460905349794237E-2</v>
      </c>
    </row>
    <row r="159" spans="1:13">
      <c r="D159" t="s">
        <v>113</v>
      </c>
      <c r="E159">
        <f>SUMPRODUCT(($B$123:$B$136="O")*($F$123:$F$136="Y"))/COUNTIF($F$123:$F$136,"Y")</f>
        <v>0.44444444444444442</v>
      </c>
      <c r="G159" t="s">
        <v>121</v>
      </c>
      <c r="H159">
        <f>SUMPRODUCT(($B$123:$B$136="O")*($F$123:$F$136="N"))/COUNTIF($F$123:$F$136,"N")</f>
        <v>0</v>
      </c>
      <c r="K159" t="s">
        <v>127</v>
      </c>
      <c r="L159">
        <f>$H$158*$H$164*$H$166*$H$169</f>
        <v>3.8400000000000004E-2</v>
      </c>
    </row>
    <row r="160" spans="1:13">
      <c r="D160" t="s">
        <v>114</v>
      </c>
      <c r="E160">
        <f>SUMPRODUCT(($B$123:$B$136="R")*($F$123:$F$136="Y"))/COUNTIF($F$123:$F$136,"Y")</f>
        <v>0.33333333333333331</v>
      </c>
      <c r="G160" t="s">
        <v>122</v>
      </c>
      <c r="H160">
        <f>SUMPRODUCT(($B$123:$B$136="R")*($F$123:$F$136="N"))/COUNTIF($F$123:$F$136,"N")</f>
        <v>0.4</v>
      </c>
    </row>
    <row r="162" spans="4:8">
      <c r="D162" t="s">
        <v>115</v>
      </c>
      <c r="E162">
        <f>SUMPRODUCT(($C$123:$C$136="H")*($F$123:$F$136="Y"))/COUNTIF($F$123:$F$136,"Y")</f>
        <v>0.22222222222222221</v>
      </c>
      <c r="G162" t="s">
        <v>123</v>
      </c>
      <c r="H162">
        <f>SUMPRODUCT(($C$123:$C$136="H")*($F$123:$F$136="N"))/COUNTIF($F$123:$F$136,"N")</f>
        <v>0.4</v>
      </c>
    </row>
    <row r="163" spans="4:8">
      <c r="D163" t="s">
        <v>116</v>
      </c>
      <c r="E163">
        <f>SUMPRODUCT(($C$123:$C$136="M")*($F$123:$F$136="Y"))/COUNTIF($F$123:$F$136,"Y")</f>
        <v>0.44444444444444442</v>
      </c>
      <c r="G163" t="s">
        <v>124</v>
      </c>
      <c r="H163">
        <f>SUMPRODUCT(($C$123:$C$136="M")*($F$123:$F$136="N"))/COUNTIF($F$123:$F$136,"N")</f>
        <v>0.4</v>
      </c>
    </row>
    <row r="164" spans="4:8">
      <c r="D164" t="s">
        <v>117</v>
      </c>
      <c r="E164">
        <f>SUMPRODUCT(($C$123:$C$136="C")*($F$123:$F$136="Y"))/COUNTIF($F$123:$F$136,"Y")</f>
        <v>0.33333333333333331</v>
      </c>
      <c r="G164" t="s">
        <v>125</v>
      </c>
      <c r="H164">
        <f>SUMPRODUCT(($C$123:$C$136="C")*($F$123:$F$136="N"))/COUNTIF($F$123:$F$136,"N")</f>
        <v>0.2</v>
      </c>
    </row>
    <row r="166" spans="4:8">
      <c r="D166" t="s">
        <v>115</v>
      </c>
      <c r="E166">
        <f>SUMPRODUCT(($D$123:$D$136="H")*($F$123:$F$136="Y"))/COUNTIF($F$123:$F$136,"Y")</f>
        <v>0.33333333333333331</v>
      </c>
      <c r="G166" t="s">
        <v>123</v>
      </c>
      <c r="H166">
        <f>SUMPRODUCT(($D$123:$D$136="H")*($F$123:$F$136="N"))/COUNTIF($F$123:$F$136,"N")</f>
        <v>0.8</v>
      </c>
    </row>
    <row r="167" spans="4:8">
      <c r="D167" t="s">
        <v>118</v>
      </c>
      <c r="E167">
        <f>SUMPRODUCT(($D$123:$D$136="N")*($F$123:$F$136="Y"))/COUNTIF($F$123:$F$136,"Y")</f>
        <v>0.66666666666666663</v>
      </c>
      <c r="G167" t="s">
        <v>88</v>
      </c>
      <c r="H167">
        <f>SUMPRODUCT(($D$123:$D$136="N")*($F$123:$F$136="N"))/COUNTIF($F$123:$F$136,"N")</f>
        <v>0.2</v>
      </c>
    </row>
    <row r="169" spans="4:8">
      <c r="D169" t="s">
        <v>119</v>
      </c>
      <c r="E169">
        <f>SUMPRODUCT(($E$123:$E$136="W")*($F$123:$F$136="Y"))/COUNTIF($F$123:$F$136,"Y")</f>
        <v>0.66666666666666663</v>
      </c>
      <c r="G169" t="s">
        <v>126</v>
      </c>
      <c r="H169">
        <f>SUMPRODUCT(($E$123:$E$136="W")*($F$123:$F$136="N"))/COUNTIF($F$123:$F$136,"N")</f>
        <v>0.4</v>
      </c>
    </row>
    <row r="170" spans="4:8">
      <c r="D170" t="s">
        <v>90</v>
      </c>
      <c r="E170">
        <f>SUMPRODUCT(($E$123:$E$136="S")*($F$123:$F$136="Y"))/COUNTIF($F$123:$F$136,"Y")</f>
        <v>0.33333333333333331</v>
      </c>
      <c r="G170" t="s">
        <v>120</v>
      </c>
      <c r="H170">
        <f>SUMPRODUCT(($E$123:$E$136="S")*($F$123:$F$136="N"))/COUNTIF($F$123:$F$136,"N")</f>
        <v>0.6</v>
      </c>
    </row>
  </sheetData>
  <sortState ref="A21:D34">
    <sortCondition ref="D21:D34"/>
  </sortState>
  <mergeCells count="5">
    <mergeCell ref="A81:B81"/>
    <mergeCell ref="A83:B83"/>
    <mergeCell ref="A85:B85"/>
    <mergeCell ref="A84:B84"/>
    <mergeCell ref="A82:B8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2015-10-03T22:03:56Z</dcterms:created>
  <dcterms:modified xsi:type="dcterms:W3CDTF">2015-10-04T01:09:06Z</dcterms:modified>
</cp:coreProperties>
</file>