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plane_v1. " sheetId="1" r:id="rId1"/>
  </sheets>
  <definedNames>
    <definedName name="BoardQty">'backplane_v1. '!$H$1</definedName>
    <definedName name="farnell_part_data">'backplane_v1. '!$I$5:$M$33</definedName>
    <definedName name="global_part_data">'backplane_v1. '!$A$5:$H$33</definedName>
    <definedName name="mouser_part_data">'backplane_v1. '!$N$5:$R$33</definedName>
    <definedName name="PURCHASE_DESCRIPTION">'backplane_v1. '!$H$36</definedName>
    <definedName name="rs_part_data">'backplane_v1. '!$S$5:$W$33</definedName>
    <definedName name="TotalCost">'backplane_v1. '!$H$3</definedName>
    <definedName name="USD_GBP">'backplane_v1. '!$C$36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£0.32      £1.62
    50   £0.21     £10.60
   250   £0.16     £39.50
   500   £0.13     £67.00
  1000   £0.11    £110.00
  2500   £0.09    £229.75
 12500   £0.08    £985.00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$0.10      $1.00
    50   $0.10      $5.00
   100   $0.08      $8.50
  1000   $0.05     $53.00
 10000   $0.04    $410.00</t>
        </r>
      </text>
    </comment>
    <comment ref="U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£0.07    £175.00
  7500   £0.07    £510.00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$0.37      $3.67
    50   $0.29     $14.55
   100   $0.26     $25.70
  1000   $0.16    $162.00
 10000   $0.15  $1,480.00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£0.46
   100   £0.03      £3.14
   500   £0.02     £10.45
  2500   £0.02     £50.00
  5000   £0.02     £98.00
 10000   £0.02    £192.00
 50000   £0.02    £940.00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$0.11      $1.13
    50   $0.06      $3.15
   100   $0.05      $5.20
  1000   $0.03     $28.00
 10000   $0.03    $280.00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£0.46
   100   £0.03      £3.14
   500   £0.02     £10.45
  2500   £0.02     £50.00
  5000   £0.02     £98.00
 10000   £0.02    £192.00
 50000   £0.02    £940.00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$0.11      $1.13
    50   $0.06      $3.15
   100   $0.05      $5.20
  1000   $0.03     $28.00
 10000   $0.03    $280.00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$0.91
    50   $0.09      $4.55
   100   $0.08      $7.90
  1000   $0.06     $60.00
 10000   $0.05    $460.00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£0.06      £6.00
   200   £0.05      £9.60
   500   £0.04     £18.00
  1000   £0.03     £28.00
  2000   £0.03     £56.00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£0.19      £0.97
    10   £0.17      £1.67
   100   £0.06      £5.55
   500   £0.04     £20.70
  1000   £0.03     £27.30
  5000   £0.03    £134.00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$0.18      $1.84
    50   $0.18      $9.20
   100   $0.06      $6.30
  1000   $0.04     $44.00
 10000   $0.03    $290.00</t>
        </r>
      </text>
    </comment>
    <comment ref="U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£0.14      £6.85
   250   £0.11     £28.50
   500   £0.11     £55.50
  1000   £0.03     £32.00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£0.36      £1.78
    50   £0.28     £13.90
   250   £0.25     £62.75
   500   £0.25    £125.00
  1500   £0.25    £373.50
  3000   £0.25    £744.00
 15000   £0.25  £3,705.00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$0.28      $2.79
    50   $0.28     $13.95
   100   $0.27     $27.20
  1000   $0.27    $272.00
 10000   $0.15  $1,500.00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£0.24      £2.42
   100   £0.16     £16.10
   500   £0.12     £62.00
  1500   £0.11    £165.00
  2500   £0.10    £247.50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£1.11      £1.11
    10   £0.82      £8.20
    25   £0.71     £17.70
   100   £0.58     £57.60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£0.26      £1.31
    50   £0.19      £9.60
   150   £0.17     £24.90
   250   £0.14     £33.75</t>
        </r>
      </text>
    </comment>
    <comment ref="P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50   $0.10      $5.00
   100   $0.04      $4.00
  1000   $0.03     $30.00
 10000   $0.02    $220.00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$0.82
    50   $0.08      $4.10
   100   $0.04      $3.70
  1000   $0.02     $25.00
 10000   $0.02    $180.00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£2.31
   500   £0.20    £100.50
  1000   £0.17    £171.00
  5000   £0.14    £720.00
 10000   £0.14  £1,410.00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$0.36      $3.57
    50   $0.33     $16.60
   100   $0.32     $32.00
  1000   $0.22    $217.00
 10000   $0.18  $1,830.00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$1.31     $13.10
    50   $1.31     $65.50
   100   $1.05    $105.00
  1000   $0.70    $704.00
 10000   $0.64  $6,410.00</t>
        </r>
      </text>
    </comment>
    <comment ref="U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£1.19      £5.97
    25   £1.04     £26.10
   100   £0.98     £98.40
   250   £0.84    £210.00
   500   £0.76    £378.00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£0.98      £0.98
    10   £1.54     £15.40
    25   £0.82     £20.38
    50   £1.40     £70.00
   100   £1.22    £122.00
   250   £1.12    £280.00
   500   £1.09    £545.00
  1000   £1.05  £1,050.00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$2.51      $2.51
    10   $1.98     $19.80
    50   $1.80     $90.00
   100   $1.57    $157.00
  1000   $1.33  $1,330.00
 10000   $1.33 $13,300.00</t>
        </r>
      </text>
    </comment>
    <comment ref="U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2000   £1.04  £2,078.00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£0.35      £1.74
    10   £0.25      £2.53
   100   £0.17     £17.20
   250   £0.17     £42.50
   500   £0.15     £76.50
  1000   £0.14    £140.00
  5000   £0.13    £630.00
 10000   £0.11  £1,130.00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$0.35      $3.49
    50   $0.35     $17.45
   100   $0.24     $23.70
  1000   $0.15    $146.00
 10000   $0.12  $1,180.00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£0.38      £3.78
   100   £0.28     £27.80
   500   £0.24    £120.00
  1000   £0.22    £225.00
  2500   £0.20    £512.50
  5000   £0.18    £925.00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$0.77      $0.77
    10   $0.68      $6.75
    50   $0.68     $33.75
   100   $0.58     $58.20
  1000   $0.42    $423.00
 10000   $0.35  $3,510.00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£0.61      £3.06
   125   £0.55     £69.00
   375   £0.49    £183.00
  1000   £0.43    £428.00
  2000   £0.40    £796.00</t>
        </r>
      </text>
    </comment>
    <comment ref="N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$1.54     $15.40
    50   $1.46     $73.00
   100   $1.39    $139.00
  1000   $1.25  $1,250.00
 10000   $1.12 $11,200.00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£2.34
   100   £0.17     £17.40
   500   £0.16     £78.00
  1000   £0.14    £138.00
  2500   £0.13    £325.00
  5000   £0.13    £635.00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$0.42      $4.17
    50   $0.42     $20.85
   100   $0.29     $29.20
  1000   $0.21    $208.00
 10000   $0.17  $1,660.00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£0.38      £1.91
    75   £0.32     £23.85
   250   £0.28     £69.00
   500   £0.25    £126.00
  1250   £0.22    £277.50</t>
        </r>
      </text>
    </comment>
    <comment ref="G3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3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<sst xmlns="http://schemas.openxmlformats.org/spreadsheetml/2006/main" count="241" uniqueCount="154">
  <si>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</si>
  <si>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</si>
  <si>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</si>
  <si>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</si>
  <si>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</si>
  <si>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</si>
  <si>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</si>
  <si>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</si>
  <si>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</si>
  <si>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C1,C3,C6,C8</t>
  </si>
  <si>
    <t>100n</t>
  </si>
  <si>
    <t>C_Disc_D5.0mm_W2.5mm_P5.00mm</t>
  </si>
  <si>
    <t>C322C104K5R5TA7301</t>
  </si>
  <si>
    <t>C2</t>
  </si>
  <si>
    <t>330n</t>
  </si>
  <si>
    <t>C322C334K5R5TA</t>
  </si>
  <si>
    <t>C4</t>
  </si>
  <si>
    <t>10u</t>
  </si>
  <si>
    <t>CP_Radial_D10.0mm_P5.00mm</t>
  </si>
  <si>
    <t>ESK106M016AC3AA</t>
  </si>
  <si>
    <t>C5,C7</t>
  </si>
  <si>
    <t>CP_Radial_D8.0mm_P5.00mm</t>
  </si>
  <si>
    <t>D1</t>
  </si>
  <si>
    <t>pwr</t>
  </si>
  <si>
    <t>LED_D5.0mm</t>
  </si>
  <si>
    <t>LTL2R3KRD-EM</t>
  </si>
  <si>
    <t>D2</t>
  </si>
  <si>
    <t>1N4001</t>
  </si>
  <si>
    <t>D_DO-41_SOD81_P7.62mm_Horizontal</t>
  </si>
  <si>
    <t>1N4001G</t>
  </si>
  <si>
    <t>F1</t>
  </si>
  <si>
    <t>1A</t>
  </si>
  <si>
    <t>Fuse_Littelfuse_395Series</t>
  </si>
  <si>
    <t>MF-R075</t>
  </si>
  <si>
    <t>J1</t>
  </si>
  <si>
    <t>7-25V</t>
  </si>
  <si>
    <t>BarrelJack_Horizontal</t>
  </si>
  <si>
    <t>448-382</t>
  </si>
  <si>
    <t>J2</t>
  </si>
  <si>
    <t>CPU</t>
  </si>
  <si>
    <t>PinSocket_2x25_P2.54mm_Vertical</t>
  </si>
  <si>
    <t>2214S-50SG-85</t>
  </si>
  <si>
    <t>J3</t>
  </si>
  <si>
    <t>MMU</t>
  </si>
  <si>
    <t>J4</t>
  </si>
  <si>
    <t>RAM</t>
  </si>
  <si>
    <t>J5</t>
  </si>
  <si>
    <t>ROM</t>
  </si>
  <si>
    <t>J6</t>
  </si>
  <si>
    <t>SLOT 1</t>
  </si>
  <si>
    <t>J7</t>
  </si>
  <si>
    <t>SLOT 2</t>
  </si>
  <si>
    <t>J8</t>
  </si>
  <si>
    <t>SLOT 3</t>
  </si>
  <si>
    <t>J9</t>
  </si>
  <si>
    <t>SLOT 4</t>
  </si>
  <si>
    <t>J3a1</t>
  </si>
  <si>
    <t>additional</t>
  </si>
  <si>
    <t>PinSocket_2x05_P2.54mm_Vertical</t>
  </si>
  <si>
    <t>2214S-10SG-85</t>
  </si>
  <si>
    <t>R1</t>
  </si>
  <si>
    <t>330</t>
  </si>
  <si>
    <t>R_Axial_DIN0207_L6.3mm_D2.5mm_P10.16mm_Horizontal</t>
  </si>
  <si>
    <t>CCF07330RJKE36</t>
  </si>
  <si>
    <t>R2</t>
  </si>
  <si>
    <t>1k</t>
  </si>
  <si>
    <t>CCF071K00GKE36</t>
  </si>
  <si>
    <t>SW1</t>
  </si>
  <si>
    <t>RESET</t>
  </si>
  <si>
    <t>SW_PUSH-12mm</t>
  </si>
  <si>
    <t>FSM101</t>
  </si>
  <si>
    <t>TP1</t>
  </si>
  <si>
    <t>GND</t>
  </si>
  <si>
    <t>TestPoint_Loop_D3.50mm_Drill1.4mm_Beaded</t>
  </si>
  <si>
    <t>U1</t>
  </si>
  <si>
    <t>LM7805_TO220</t>
  </si>
  <si>
    <t>TO-220-3_Vertical</t>
  </si>
  <si>
    <t>LM7805CT/NOPB</t>
  </si>
  <si>
    <t>U2</t>
  </si>
  <si>
    <t>DS1813-10</t>
  </si>
  <si>
    <t>TO-92L_Inline</t>
  </si>
  <si>
    <t>ds1813-10+</t>
  </si>
  <si>
    <t>U3#1</t>
  </si>
  <si>
    <t>74HC74 - p1/2</t>
  </si>
  <si>
    <t>DIP-14_W7.62mm_Socket_LongPads</t>
  </si>
  <si>
    <t/>
  </si>
  <si>
    <t>SN74HCT74N</t>
  </si>
  <si>
    <t>U3#2</t>
  </si>
  <si>
    <t>74HC74 - p2/2</t>
  </si>
  <si>
    <t>110-87-314-41-001101</t>
  </si>
  <si>
    <t>X1#1</t>
  </si>
  <si>
    <t>&lt;14MHz - p1/2</t>
  </si>
  <si>
    <t>DIP-8_W7.62mm_Socket_LongPads</t>
  </si>
  <si>
    <t>MXO45HS-3C-4M0000</t>
  </si>
  <si>
    <t>X1#2</t>
  </si>
  <si>
    <t>&lt;14MHz - p2/2</t>
  </si>
  <si>
    <t>110-87-308-41-001101</t>
  </si>
  <si>
    <t>Total Purchase:</t>
  </si>
  <si>
    <t>Purchase description:</t>
  </si>
  <si>
    <t>Used currency rates:</t>
  </si>
  <si>
    <t>USD($)/GBP(£):</t>
  </si>
  <si>
    <t>Prj:</t>
  </si>
  <si>
    <t>Adria Backplane 1.0</t>
  </si>
  <si>
    <t>Co.:</t>
  </si>
  <si>
    <t>Xander Maas</t>
  </si>
  <si>
    <t>Prj date:</t>
  </si>
  <si>
    <t>Wed Jan  6 13:29:35 2021</t>
  </si>
  <si>
    <t>Board Qty:</t>
  </si>
  <si>
    <t>Total Cost:</t>
  </si>
  <si>
    <t>Unit Cost:</t>
  </si>
  <si>
    <t>$ date:</t>
  </si>
  <si>
    <t>2021-01-06 13:29:36</t>
  </si>
  <si>
    <t>Farnell</t>
  </si>
  <si>
    <t>Avail</t>
  </si>
  <si>
    <t>Purch</t>
  </si>
  <si>
    <t>Cat#</t>
  </si>
  <si>
    <t>2575663</t>
  </si>
  <si>
    <t>2068959</t>
  </si>
  <si>
    <t>1458986</t>
  </si>
  <si>
    <t>2291870</t>
  </si>
  <si>
    <t>2847249</t>
  </si>
  <si>
    <t>1593490</t>
  </si>
  <si>
    <t>1813631</t>
  </si>
  <si>
    <t>2519513</t>
  </si>
  <si>
    <t>3120058</t>
  </si>
  <si>
    <t>2839825</t>
  </si>
  <si>
    <t>2839831</t>
  </si>
  <si>
    <t>Mouser</t>
  </si>
  <si>
    <t>80C322C104K5RTR</t>
  </si>
  <si>
    <t>80C322C334K5R5TA</t>
  </si>
  <si>
    <t>80ESK106M016AC3AA</t>
  </si>
  <si>
    <t>859LTL2R3KRDEM</t>
  </si>
  <si>
    <t>8631N4001G</t>
  </si>
  <si>
    <t>652MFR075</t>
  </si>
  <si>
    <t>71CCF07330RJKE36</t>
  </si>
  <si>
    <t>71CCF071K00GKE36</t>
  </si>
  <si>
    <t>506FSM101</t>
  </si>
  <si>
    <t>926LM7805CT/NOPB</t>
  </si>
  <si>
    <t>700DS181310+</t>
  </si>
  <si>
    <t>595SN74HCT74N</t>
  </si>
  <si>
    <t>4371108731441001101</t>
  </si>
  <si>
    <t>774MXO45HS3C4.0</t>
  </si>
  <si>
    <t>NonStk</t>
  </si>
  <si>
    <t>4371108730841001101</t>
  </si>
  <si>
    <t>RS Components</t>
  </si>
  <si>
    <t>2053308</t>
  </si>
  <si>
    <t>1278390</t>
  </si>
  <si>
    <t>7743265</t>
  </si>
  <si>
    <t>6478516</t>
  </si>
  <si>
    <t>7968060</t>
  </si>
  <si>
    <t>1921252</t>
  </si>
  <si>
    <t>7020676</t>
  </si>
  <si>
    <t>7020654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</si>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</sst>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5cfd1e&amp;sid=819&amp;ppid=2107016&amp;vpid=265073797&amp;ct=offers" TargetMode="External"/><Relationship Id="rId2" Type="http://schemas.openxmlformats.org/officeDocument/2006/relationships/hyperlink" Target="https://octopart.com/click/track?ai=8078&amp;sig=026bbfc&amp;sid=2401&amp;ppid=2107016&amp;vpid=37764112&amp;ct=offers" TargetMode="External"/><Relationship Id="rId3" Type="http://schemas.openxmlformats.org/officeDocument/2006/relationships/hyperlink" Target="https://octopart.com/click/track?ai=8078&amp;sig=068ae14&amp;sid=10022&amp;ppid=2107016&amp;vpid=677938396&amp;ct=offers" TargetMode="External"/><Relationship Id="rId4" Type="http://schemas.openxmlformats.org/officeDocument/2006/relationships/hyperlink" Target="https://octopart.com/click/track?ai=8078&amp;sig=0d04485&amp;sid=2401&amp;ppid=16431498&amp;vpid=480551363&amp;ct=offers" TargetMode="External"/><Relationship Id="rId5" Type="http://schemas.openxmlformats.org/officeDocument/2006/relationships/hyperlink" Target="https://octopart.com/click/track?ai=8078&amp;sig=0942b0d&amp;sid=819&amp;ppid=22264619&amp;vpid=138970266&amp;ct=offers" TargetMode="External"/><Relationship Id="rId6" Type="http://schemas.openxmlformats.org/officeDocument/2006/relationships/hyperlink" Target="https://octopart.com/click/track?ai=8078&amp;sig=0a5c337&amp;sid=2401&amp;ppid=22264619&amp;vpid=71511746&amp;ct=offers" TargetMode="External"/><Relationship Id="rId7" Type="http://schemas.openxmlformats.org/officeDocument/2006/relationships/hyperlink" Target="https://octopart.com/click/track?ai=8078&amp;sig=0942b0d&amp;sid=819&amp;ppid=22264619&amp;vpid=138970266&amp;ct=offers" TargetMode="External"/><Relationship Id="rId8" Type="http://schemas.openxmlformats.org/officeDocument/2006/relationships/hyperlink" Target="https://octopart.com/click/track?ai=8078&amp;sig=0a5c337&amp;sid=2401&amp;ppid=22264619&amp;vpid=71511746&amp;ct=offers" TargetMode="External"/><Relationship Id="rId9" Type="http://schemas.openxmlformats.org/officeDocument/2006/relationships/hyperlink" Target="https://octopart.com/click/track?ai=8078&amp;sig=0de6534&amp;sid=2401&amp;ppid=20191566&amp;vpid=165378335&amp;ct=offers" TargetMode="External"/><Relationship Id="rId10" Type="http://schemas.openxmlformats.org/officeDocument/2006/relationships/hyperlink" Target="https://octopart.com/click/track?ai=8078&amp;sig=075fc3d&amp;sid=10022&amp;ppid=20191566&amp;vpid=421256949&amp;ct=offers" TargetMode="External"/><Relationship Id="rId11" Type="http://schemas.openxmlformats.org/officeDocument/2006/relationships/hyperlink" Target="https://octopart.com/click/track?ai=8078&amp;sig=0519049&amp;sid=819&amp;ppid=9123&amp;vpid=139234217&amp;ct=offers" TargetMode="External"/><Relationship Id="rId12" Type="http://schemas.openxmlformats.org/officeDocument/2006/relationships/hyperlink" Target="https://octopart.com/click/track?ai=8078&amp;sig=09e3605&amp;sid=2401&amp;ppid=9123&amp;vpid=37599871&amp;ct=offers" TargetMode="External"/><Relationship Id="rId13" Type="http://schemas.openxmlformats.org/officeDocument/2006/relationships/hyperlink" Target="https://octopart.com/click/track?ai=8078&amp;sig=01b2017&amp;sid=10022&amp;ppid=9123&amp;vpid=199082747&amp;ct=offers" TargetMode="External"/><Relationship Id="rId14" Type="http://schemas.openxmlformats.org/officeDocument/2006/relationships/hyperlink" Target="https://octopart.com/click/track?ai=8078&amp;sig=0780fdf&amp;sid=11744&amp;ppid=13409&amp;vpid=132141903&amp;ct=offers" TargetMode="External"/><Relationship Id="rId15" Type="http://schemas.openxmlformats.org/officeDocument/2006/relationships/hyperlink" Target="https://octopart.com/click/track?ai=8078&amp;sig=0f9beb9&amp;sid=2401&amp;ppid=13409&amp;vpid=75579632&amp;ct=offers" TargetMode="External"/><Relationship Id="rId16" Type="http://schemas.openxmlformats.org/officeDocument/2006/relationships/hyperlink" Target="https://octopart.com/click/track?ai=8078&amp;sig=0471f2e&amp;sid=10022&amp;ppid=13409&amp;vpid=198997867&amp;ct=offers" TargetMode="External"/><Relationship Id="rId17" Type="http://schemas.openxmlformats.org/officeDocument/2006/relationships/hyperlink" Target="https://octopart.com/click/track?ai=8078&amp;sig=0218f15&amp;sid=819&amp;ppid=91738409&amp;vpid=492583139&amp;ct=offers" TargetMode="External"/><Relationship Id="rId18" Type="http://schemas.openxmlformats.org/officeDocument/2006/relationships/hyperlink" Target="https://octopart.com/click/track?ai=8078&amp;sig=0218f15&amp;sid=819&amp;ppid=91738409&amp;vpid=492583139&amp;ct=offers" TargetMode="External"/><Relationship Id="rId19" Type="http://schemas.openxmlformats.org/officeDocument/2006/relationships/hyperlink" Target="https://octopart.com/click/track?ai=8078&amp;sig=0218f15&amp;sid=819&amp;ppid=91738409&amp;vpid=492583139&amp;ct=offers" TargetMode="External"/><Relationship Id="rId20" Type="http://schemas.openxmlformats.org/officeDocument/2006/relationships/hyperlink" Target="https://octopart.com/click/track?ai=8078&amp;sig=0218f15&amp;sid=819&amp;ppid=91738409&amp;vpid=492583139&amp;ct=offers" TargetMode="External"/><Relationship Id="rId21" Type="http://schemas.openxmlformats.org/officeDocument/2006/relationships/hyperlink" Target="https://octopart.com/click/track?ai=8078&amp;sig=0218f15&amp;sid=819&amp;ppid=91738409&amp;vpid=492583139&amp;ct=offers" TargetMode="External"/><Relationship Id="rId22" Type="http://schemas.openxmlformats.org/officeDocument/2006/relationships/hyperlink" Target="https://octopart.com/click/track?ai=8078&amp;sig=0218f15&amp;sid=819&amp;ppid=91738409&amp;vpid=492583139&amp;ct=offers" TargetMode="External"/><Relationship Id="rId23" Type="http://schemas.openxmlformats.org/officeDocument/2006/relationships/hyperlink" Target="https://octopart.com/click/track?ai=8078&amp;sig=0218f15&amp;sid=819&amp;ppid=91738409&amp;vpid=492583139&amp;ct=offers" TargetMode="External"/><Relationship Id="rId24" Type="http://schemas.openxmlformats.org/officeDocument/2006/relationships/hyperlink" Target="https://octopart.com/click/track?ai=8078&amp;sig=0218f15&amp;sid=819&amp;ppid=91738409&amp;vpid=492583139&amp;ct=offers" TargetMode="External"/><Relationship Id="rId25" Type="http://schemas.openxmlformats.org/officeDocument/2006/relationships/hyperlink" Target="https://octopart.com/click/track?ai=8078&amp;sig=02a7ad9&amp;sid=819&amp;ppid=8047857&amp;vpid=139019777&amp;ct=offers" TargetMode="External"/><Relationship Id="rId26" Type="http://schemas.openxmlformats.org/officeDocument/2006/relationships/hyperlink" Target="https://octopart.com/click/track?ai=8078&amp;sig=0e09b03&amp;sid=2401&amp;ppid=43906161&amp;vpid=119941400&amp;ct=offers" TargetMode="External"/><Relationship Id="rId27" Type="http://schemas.openxmlformats.org/officeDocument/2006/relationships/hyperlink" Target="https://octopart.com/click/track?ai=8078&amp;sig=0447266&amp;sid=2401&amp;ppid=42015636&amp;vpid=116515797&amp;ct=offers" TargetMode="External"/><Relationship Id="rId28" Type="http://schemas.openxmlformats.org/officeDocument/2006/relationships/hyperlink" Target="https://octopart.com/click/track?ai=8078&amp;sig=0cd1f61&amp;sid=819&amp;ppid=40197678&amp;vpid=139708872&amp;ct=offers" TargetMode="External"/><Relationship Id="rId29" Type="http://schemas.openxmlformats.org/officeDocument/2006/relationships/hyperlink" Target="https://octopart.com/click/track?ai=8078&amp;sig=09659c4&amp;sid=2401&amp;ppid=40197678&amp;vpid=120234383&amp;ct=offers" TargetMode="External"/><Relationship Id="rId30" Type="http://schemas.openxmlformats.org/officeDocument/2006/relationships/hyperlink" Target="https://www.onsemi.cn/PowerSolutions/document/MC7800-D.PDF" TargetMode="External"/><Relationship Id="rId31" Type="http://schemas.openxmlformats.org/officeDocument/2006/relationships/hyperlink" Target="https://octopart.com/click/track?ai=8078&amp;sig=03999a6&amp;sid=2401&amp;ppid=23919374&amp;vpid=57206109&amp;ct=offers" TargetMode="External"/><Relationship Id="rId32" Type="http://schemas.openxmlformats.org/officeDocument/2006/relationships/hyperlink" Target="https://octopart.com/click/track?ai=8078&amp;sig=05f2dbf&amp;sid=10022&amp;ppid=23919374&amp;vpid=199164092&amp;ct=offers" TargetMode="External"/><Relationship Id="rId33" Type="http://schemas.openxmlformats.org/officeDocument/2006/relationships/hyperlink" Target="https://octopart.com/click/track?ai=8078&amp;sig=0a43bb6&amp;sid=11744&amp;ppid=1486946&amp;vpid=259448803&amp;ct=offers" TargetMode="External"/><Relationship Id="rId34" Type="http://schemas.openxmlformats.org/officeDocument/2006/relationships/hyperlink" Target="https://octopart.com/click/track?ai=8078&amp;sig=02a93cf&amp;sid=2401&amp;ppid=1486946&amp;vpid=37861631&amp;ct=offers" TargetMode="External"/><Relationship Id="rId35" Type="http://schemas.openxmlformats.org/officeDocument/2006/relationships/hyperlink" Target="https://octopart.com/click/track?ai=8078&amp;sig=008ccea&amp;sid=10022&amp;ppid=1486946&amp;vpid=591111421&amp;ct=offers" TargetMode="External"/><Relationship Id="rId36" Type="http://schemas.openxmlformats.org/officeDocument/2006/relationships/hyperlink" Target="74xx/74hc_hct74.pdf" TargetMode="External"/><Relationship Id="rId37" Type="http://schemas.openxmlformats.org/officeDocument/2006/relationships/hyperlink" Target="https://octopart.com/click/track?ai=8078&amp;sig=0d6ee70&amp;sid=819&amp;ppid=11566&amp;vpid=600636065&amp;ct=offers" TargetMode="External"/><Relationship Id="rId38" Type="http://schemas.openxmlformats.org/officeDocument/2006/relationships/hyperlink" Target="https://octopart.com/click/track?ai=8078&amp;sig=0882a00&amp;sid=2401&amp;ppid=11566&amp;vpid=37724733&amp;ct=offers" TargetMode="External"/><Relationship Id="rId39" Type="http://schemas.openxmlformats.org/officeDocument/2006/relationships/hyperlink" Target="74xx/74hc_hct74.pdf" TargetMode="External"/><Relationship Id="rId40" Type="http://schemas.openxmlformats.org/officeDocument/2006/relationships/hyperlink" Target="https://octopart.com/click/track?ai=8078&amp;sig=09d6414&amp;sid=11744&amp;ppid=20883871&amp;vpid=478779197&amp;ct=offers" TargetMode="External"/><Relationship Id="rId41" Type="http://schemas.openxmlformats.org/officeDocument/2006/relationships/hyperlink" Target="https://octopart.com/click/track?ai=8078&amp;sig=0f38993&amp;sid=2401&amp;ppid=20883871&amp;vpid=456358713&amp;ct=offers" TargetMode="External"/><Relationship Id="rId42" Type="http://schemas.openxmlformats.org/officeDocument/2006/relationships/hyperlink" Target="https://octopart.com/click/track?ai=8078&amp;sig=0d9fc4f&amp;sid=10022&amp;ppid=20883871&amp;vpid=199108470&amp;ct=offers" TargetMode="External"/><Relationship Id="rId43" Type="http://schemas.openxmlformats.org/officeDocument/2006/relationships/hyperlink" Target="https://octopart.com/click/track?c=1&amp;ai=8078&amp;sig=09d14ad&amp;sid=2401&amp;ppid=12573009&amp;vpid=37878993&amp;ct=offers" TargetMode="External"/><Relationship Id="rId44" Type="http://schemas.openxmlformats.org/officeDocument/2006/relationships/hyperlink" Target="https://octopart.com/click/track?ai=8078&amp;sig=05dd939&amp;sid=11744&amp;ppid=20479403&amp;vpid=478779196&amp;ct=offers" TargetMode="External"/><Relationship Id="rId45" Type="http://schemas.openxmlformats.org/officeDocument/2006/relationships/hyperlink" Target="https://octopart.com/click/track?ai=8078&amp;sig=00eaddf&amp;sid=2401&amp;ppid=20479403&amp;vpid=456358707&amp;ct=offers" TargetMode="External"/><Relationship Id="rId46" Type="http://schemas.openxmlformats.org/officeDocument/2006/relationships/hyperlink" Target="https://octopart.com/click/track?ai=8078&amp;sig=0adc731&amp;sid=10022&amp;ppid=20479403&amp;vpid=199108463&amp;ct=offers" TargetMode="External"/><Relationship Id="rId47" Type="http://schemas.openxmlformats.org/officeDocument/2006/relationships/vmlDrawing" Target="../drawings/vmlDrawing1.vm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</cols>
  <sheetData>
    <row r="1" spans="1:23">
      <c r="A1" s="1" t="s">
        <v>101</v>
      </c>
      <c r="B1" s="2" t="s">
        <v>102</v>
      </c>
      <c r="G1" s="3" t="s">
        <v>107</v>
      </c>
      <c r="H1" s="3">
        <v>100</v>
      </c>
    </row>
    <row r="2" spans="1:23">
      <c r="A2" s="1" t="s">
        <v>103</v>
      </c>
      <c r="B2" s="2" t="s">
        <v>104</v>
      </c>
      <c r="G2" s="1" t="s">
        <v>109</v>
      </c>
      <c r="H2" s="4">
        <f>TotalCost/BoardQty</f>
        <v>0</v>
      </c>
    </row>
    <row r="3" spans="1:23">
      <c r="A3" s="1" t="s">
        <v>105</v>
      </c>
      <c r="B3" s="2" t="s">
        <v>106</v>
      </c>
      <c r="G3" s="1" t="s">
        <v>108</v>
      </c>
      <c r="H3" s="5">
        <f>SUM(H7:H33)</f>
        <v>0</v>
      </c>
      <c r="L3" s="5">
        <f>SUM(L7:L33)</f>
        <v>0</v>
      </c>
      <c r="M3" s="6">
        <f>(COUNTA(L7:L33)&amp;" of "&amp;ROWS(L7:L33)&amp;" parts found"</f>
        <v>0</v>
      </c>
      <c r="Q3" s="5">
        <f>SUM(Q7:Q33)</f>
        <v>0</v>
      </c>
      <c r="R3" s="6">
        <f>(COUNTA(Q7:Q33)&amp;" of "&amp;ROWS(Q7:Q33)&amp;" parts found"</f>
        <v>0</v>
      </c>
      <c r="V3" s="5">
        <f>SUM(V7:V33)</f>
        <v>0</v>
      </c>
      <c r="W3" s="6">
        <f>(COUNTA(V7:V33)&amp;" of "&amp;ROWS(V7:V33)&amp;" parts found"</f>
        <v>0</v>
      </c>
    </row>
    <row r="4" spans="1:23">
      <c r="A4" s="1" t="s">
        <v>110</v>
      </c>
      <c r="B4" s="2" t="s">
        <v>111</v>
      </c>
    </row>
    <row r="5" spans="1:23">
      <c r="A5" s="7" t="s">
        <v>0</v>
      </c>
      <c r="B5" s="7"/>
      <c r="C5" s="7"/>
      <c r="D5" s="7"/>
      <c r="E5" s="7"/>
      <c r="F5" s="7"/>
      <c r="G5" s="7"/>
      <c r="H5" s="7"/>
      <c r="I5" s="8" t="s">
        <v>112</v>
      </c>
      <c r="J5" s="8"/>
      <c r="K5" s="8"/>
      <c r="L5" s="8"/>
      <c r="M5" s="8"/>
      <c r="N5" s="9" t="s">
        <v>127</v>
      </c>
      <c r="O5" s="9"/>
      <c r="P5" s="9"/>
      <c r="Q5" s="9"/>
      <c r="R5" s="9"/>
      <c r="S5" s="10" t="s">
        <v>144</v>
      </c>
      <c r="T5" s="10"/>
      <c r="U5" s="10"/>
      <c r="V5" s="10"/>
      <c r="W5" s="10"/>
    </row>
    <row r="6" spans="1:23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113</v>
      </c>
      <c r="J6" s="11" t="s">
        <v>114</v>
      </c>
      <c r="K6" s="11" t="s">
        <v>7</v>
      </c>
      <c r="L6" s="11" t="s">
        <v>8</v>
      </c>
      <c r="M6" s="11" t="s">
        <v>115</v>
      </c>
      <c r="N6" s="11" t="s">
        <v>113</v>
      </c>
      <c r="O6" s="11" t="s">
        <v>114</v>
      </c>
      <c r="P6" s="11" t="s">
        <v>7</v>
      </c>
      <c r="Q6" s="11" t="s">
        <v>8</v>
      </c>
      <c r="R6" s="11" t="s">
        <v>115</v>
      </c>
      <c r="S6" s="11" t="s">
        <v>113</v>
      </c>
      <c r="T6" s="11" t="s">
        <v>114</v>
      </c>
      <c r="U6" s="11" t="s">
        <v>7</v>
      </c>
      <c r="V6" s="11" t="s">
        <v>8</v>
      </c>
      <c r="W6" s="11" t="s">
        <v>115</v>
      </c>
    </row>
    <row r="7" spans="1:23">
      <c r="A7" s="12" t="s">
        <v>9</v>
      </c>
      <c r="B7" s="12" t="s">
        <v>10</v>
      </c>
      <c r="C7" s="12" t="s">
        <v>11</v>
      </c>
      <c r="E7" s="12" t="s">
        <v>12</v>
      </c>
      <c r="F7" s="12">
        <f>BoardQty*4</f>
        <v>0</v>
      </c>
      <c r="G7" s="13">
        <f>MINA(INDIRECT(ADDRESS(ROW(),COLUMN(farnell_part_data)+2)),INDIRECT(ADDRESS(ROW(),COLUMN(mouser_part_data)+2)),INDIRECT(ADDRESS(ROW(),COLUMN(rs_part_data)+2)))</f>
        <v>0</v>
      </c>
      <c r="H7" s="13">
        <f>iferror(F7*G7,"")</f>
        <v>0</v>
      </c>
      <c r="I7" s="12">
        <v>2460</v>
      </c>
      <c r="K7" s="13">
        <f>iferror(USD_GBP*lookup(if(J7="",F7,J7),{0,1,5,50,250,500,1000,2500,12500},{0.0,0.324,0.324,0.212,0.158,0.134,0.11,0.0919,0.0788}),"")</f>
        <v>0</v>
      </c>
      <c r="L7" s="13">
        <f>iferror(if(J7="",F7,J7)*K7,"")</f>
        <v>0</v>
      </c>
      <c r="M7" s="14" t="s">
        <v>116</v>
      </c>
      <c r="N7" s="12">
        <v>93284</v>
      </c>
      <c r="P7" s="13">
        <f>iferror(lookup(if(O7="",F7,O7),{0,1,10,50,100,1000,10000},{0.0,0.22,0.1,0.1,0.085,0.053,0.041}),"")</f>
        <v>0</v>
      </c>
      <c r="Q7" s="13">
        <f>iferror(if(O7="",F7,O7)*P7,"")</f>
        <v>0</v>
      </c>
      <c r="R7" s="14" t="s">
        <v>128</v>
      </c>
      <c r="S7" s="12">
        <v>2500</v>
      </c>
      <c r="U7" s="13">
        <f>iferror(USD_GBP*lookup(if(T7="",F7,T7),{0,1,2500,7500},{0.0,0.07,0.07,0.068}),"")</f>
        <v>0</v>
      </c>
      <c r="V7" s="13">
        <f>iferror(if(T7="",F7,T7)*U7,"")</f>
        <v>0</v>
      </c>
      <c r="W7" s="14" t="s">
        <v>145</v>
      </c>
    </row>
    <row r="8" spans="1:23">
      <c r="A8" s="12" t="s">
        <v>13</v>
      </c>
      <c r="B8" s="12" t="s">
        <v>14</v>
      </c>
      <c r="C8" s="12" t="s">
        <v>11</v>
      </c>
      <c r="E8" s="12" t="s">
        <v>15</v>
      </c>
      <c r="F8" s="12">
        <f>BoardQty*1</f>
        <v>0</v>
      </c>
      <c r="G8" s="13">
        <f>MINA(INDIRECT(ADDRESS(ROW(),COLUMN(farnell_part_data)+2)),INDIRECT(ADDRESS(ROW(),COLUMN(mouser_part_data)+2)),INDIRECT(ADDRESS(ROW(),COLUMN(rs_part_data)+2)))</f>
        <v>0</v>
      </c>
      <c r="H8" s="13">
        <f>iferror(F8*G8,"")</f>
        <v>0</v>
      </c>
      <c r="N8" s="12">
        <v>908</v>
      </c>
      <c r="P8" s="13">
        <f>iferror(lookup(if(O8="",F8,O8),{0,1,10,50,100,1000,10000},{0.0,0.53,0.367,0.291,0.257,0.162,0.148}),"")</f>
        <v>0</v>
      </c>
      <c r="Q8" s="13">
        <f>iferror(if(O8="",F8,O8)*P8,"")</f>
        <v>0</v>
      </c>
      <c r="R8" s="14" t="s">
        <v>129</v>
      </c>
    </row>
    <row r="9" spans="1:23">
      <c r="A9" s="12" t="s">
        <v>16</v>
      </c>
      <c r="B9" s="12" t="s">
        <v>17</v>
      </c>
      <c r="C9" s="12" t="s">
        <v>18</v>
      </c>
      <c r="E9" s="12" t="s">
        <v>19</v>
      </c>
      <c r="F9" s="12">
        <f>BoardQty*1</f>
        <v>0</v>
      </c>
      <c r="G9" s="13">
        <f>MINA(INDIRECT(ADDRESS(ROW(),COLUMN(farnell_part_data)+2)),INDIRECT(ADDRESS(ROW(),COLUMN(mouser_part_data)+2)),INDIRECT(ADDRESS(ROW(),COLUMN(rs_part_data)+2)))</f>
        <v>0</v>
      </c>
      <c r="H9" s="13">
        <f>iferror(F9*G9,"")</f>
        <v>0</v>
      </c>
      <c r="I9" s="12">
        <v>2515</v>
      </c>
      <c r="K9" s="13">
        <f>iferror(USD_GBP*lookup(if(J9="",F9,J9),{0,1,10,100,500,2500,5000,10000,50000},{0.0,0.0456,0.0456,0.0314,0.0209,0.02,0.0196,0.0192,0.0188}),"")</f>
        <v>0</v>
      </c>
      <c r="L9" s="13">
        <f>iferror(if(J9="",F9,J9)*K9,"")</f>
        <v>0</v>
      </c>
      <c r="M9" s="14" t="s">
        <v>117</v>
      </c>
      <c r="N9" s="12">
        <v>11039</v>
      </c>
      <c r="P9" s="13">
        <f>iferror(lookup(if(O9="",F9,O9),{0,1,10,50,100,1000,10000},{0.0,0.16,0.113,0.063,0.052,0.028,0.028}),"")</f>
        <v>0</v>
      </c>
      <c r="Q9" s="13">
        <f>iferror(if(O9="",F9,O9)*P9,"")</f>
        <v>0</v>
      </c>
      <c r="R9" s="14" t="s">
        <v>130</v>
      </c>
    </row>
    <row r="10" spans="1:23">
      <c r="A10" s="12" t="s">
        <v>20</v>
      </c>
      <c r="B10" s="12" t="s">
        <v>17</v>
      </c>
      <c r="C10" s="12" t="s">
        <v>21</v>
      </c>
      <c r="E10" s="12" t="s">
        <v>19</v>
      </c>
      <c r="F10" s="12">
        <f>BoardQty*2</f>
        <v>0</v>
      </c>
      <c r="G10" s="13">
        <f>MINA(INDIRECT(ADDRESS(ROW(),COLUMN(farnell_part_data)+2)),INDIRECT(ADDRESS(ROW(),COLUMN(mouser_part_data)+2)),INDIRECT(ADDRESS(ROW(),COLUMN(rs_part_data)+2)))</f>
        <v>0</v>
      </c>
      <c r="H10" s="13">
        <f>iferror(F10*G10,"")</f>
        <v>0</v>
      </c>
      <c r="I10" s="12">
        <v>2515</v>
      </c>
      <c r="K10" s="13">
        <f>iferror(USD_GBP*lookup(if(J10="",F10,J10),{0,1,10,100,500,2500,5000,10000,50000},{0.0,0.0456,0.0456,0.0314,0.0209,0.02,0.0196,0.0192,0.0188}),"")</f>
        <v>0</v>
      </c>
      <c r="L10" s="13">
        <f>iferror(if(J10="",F10,J10)*K10,"")</f>
        <v>0</v>
      </c>
      <c r="M10" s="14" t="s">
        <v>117</v>
      </c>
      <c r="N10" s="12">
        <v>11039</v>
      </c>
      <c r="P10" s="13">
        <f>iferror(lookup(if(O10="",F10,O10),{0,1,10,50,100,1000,10000},{0.0,0.16,0.113,0.063,0.052,0.028,0.028}),"")</f>
        <v>0</v>
      </c>
      <c r="Q10" s="13">
        <f>iferror(if(O10="",F10,O10)*P10,"")</f>
        <v>0</v>
      </c>
      <c r="R10" s="14" t="s">
        <v>130</v>
      </c>
    </row>
    <row r="11" spans="1:23">
      <c r="A11" s="12" t="s">
        <v>22</v>
      </c>
      <c r="B11" s="12" t="s">
        <v>23</v>
      </c>
      <c r="C11" s="12" t="s">
        <v>24</v>
      </c>
      <c r="E11" s="12" t="s">
        <v>25</v>
      </c>
      <c r="F11" s="12">
        <f>BoardQty*1</f>
        <v>0</v>
      </c>
      <c r="G11" s="13">
        <f>MINA(INDIRECT(ADDRESS(ROW(),COLUMN(farnell_part_data)+2)),INDIRECT(ADDRESS(ROW(),COLUMN(mouser_part_data)+2)),INDIRECT(ADDRESS(ROW(),COLUMN(rs_part_data)+2)))</f>
        <v>0</v>
      </c>
      <c r="H11" s="13">
        <f>iferror(F11*G11,"")</f>
        <v>0</v>
      </c>
      <c r="N11" s="12">
        <v>8128</v>
      </c>
      <c r="P11" s="13">
        <f>iferror(lookup(if(O11="",F11,O11),{0,1,10,50,100,1000,10000},{0.0,0.1,0.091,0.091,0.079,0.06,0.046}),"")</f>
        <v>0</v>
      </c>
      <c r="Q11" s="13">
        <f>iferror(if(O11="",F11,O11)*P11,"")</f>
        <v>0</v>
      </c>
      <c r="R11" s="14" t="s">
        <v>131</v>
      </c>
      <c r="S11" s="12">
        <v>2800</v>
      </c>
      <c r="U11" s="13">
        <f>iferror(USD_GBP*lookup(if(T11="",F11,T11),{0,1,100,200,500,1000,2000},{0.0,0.06,0.06,0.048,0.036,0.028,0.028}),"")</f>
        <v>0</v>
      </c>
      <c r="V11" s="13">
        <f>iferror(if(T11="",F11,T11)*U11,"")</f>
        <v>0</v>
      </c>
      <c r="W11" s="14" t="s">
        <v>146</v>
      </c>
    </row>
    <row r="12" spans="1:23">
      <c r="A12" s="12" t="s">
        <v>26</v>
      </c>
      <c r="B12" s="12" t="s">
        <v>27</v>
      </c>
      <c r="C12" s="12" t="s">
        <v>28</v>
      </c>
      <c r="E12" s="12" t="s">
        <v>29</v>
      </c>
      <c r="F12" s="12">
        <f>BoardQty*1</f>
        <v>0</v>
      </c>
      <c r="G12" s="13">
        <f>MINA(INDIRECT(ADDRESS(ROW(),COLUMN(farnell_part_data)+2)),INDIRECT(ADDRESS(ROW(),COLUMN(mouser_part_data)+2)),INDIRECT(ADDRESS(ROW(),COLUMN(rs_part_data)+2)))</f>
        <v>0</v>
      </c>
      <c r="H12" s="13">
        <f>iferror(F12*G12,"")</f>
        <v>0</v>
      </c>
      <c r="I12" s="12">
        <v>732</v>
      </c>
      <c r="K12" s="13">
        <f>iferror(USD_GBP*lookup(if(J12="",F12,J12),{0,1,5,10,100,500,1000,5000},{0.0,0.193,0.193,0.167,0.0555,0.0414,0.0273,0.0268}),"")</f>
        <v>0</v>
      </c>
      <c r="L12" s="13">
        <f>iferror(if(J12="",F12,J12)*K12,"")</f>
        <v>0</v>
      </c>
      <c r="M12" s="14" t="s">
        <v>118</v>
      </c>
      <c r="N12" s="12">
        <v>4147</v>
      </c>
      <c r="P12" s="13">
        <f>iferror(lookup(if(O12="",F12,O12),{0,1,10,50,100,1000,10000},{0.0,0.21,0.184,0.184,0.063,0.044,0.029}),"")</f>
        <v>0</v>
      </c>
      <c r="Q12" s="13">
        <f>iferror(if(O12="",F12,O12)*P12,"")</f>
        <v>0</v>
      </c>
      <c r="R12" s="14" t="s">
        <v>132</v>
      </c>
      <c r="S12" s="12">
        <v>13050</v>
      </c>
      <c r="U12" s="13">
        <f>iferror(USD_GBP*lookup(if(T12="",F12,T12),{0,1,50,250,500,1000},{0.0,0.137,0.137,0.114,0.111,0.032}),"")</f>
        <v>0</v>
      </c>
      <c r="V12" s="13">
        <f>iferror(if(T12="",F12,T12)*U12,"")</f>
        <v>0</v>
      </c>
      <c r="W12" s="14" t="s">
        <v>147</v>
      </c>
    </row>
    <row r="13" spans="1:23">
      <c r="A13" s="12" t="s">
        <v>30</v>
      </c>
      <c r="B13" s="12" t="s">
        <v>31</v>
      </c>
      <c r="C13" s="12" t="s">
        <v>32</v>
      </c>
      <c r="E13" s="12" t="s">
        <v>33</v>
      </c>
      <c r="F13" s="12">
        <f>BoardQty*1</f>
        <v>0</v>
      </c>
      <c r="G13" s="13">
        <f>MINA(INDIRECT(ADDRESS(ROW(),COLUMN(farnell_part_data)+2)),INDIRECT(ADDRESS(ROW(),COLUMN(mouser_part_data)+2)),INDIRECT(ADDRESS(ROW(),COLUMN(rs_part_data)+2)))</f>
        <v>0</v>
      </c>
      <c r="H13" s="13">
        <f>iferror(F13*G13,"")</f>
        <v>0</v>
      </c>
      <c r="I13" s="12">
        <v>4428</v>
      </c>
      <c r="K13" s="13">
        <f>iferror(USD_GBP*lookup(if(J13="",F13,J13),{0,1,5,50,250,500,1500,3000,15000},{0.0,0.355,0.355,0.278,0.251,0.25,0.249,0.248,0.247}),"")</f>
        <v>0</v>
      </c>
      <c r="L13" s="13">
        <f>iferror(if(J13="",F13,J13)*K13,"")</f>
        <v>0</v>
      </c>
      <c r="M13" s="14" t="s">
        <v>119</v>
      </c>
      <c r="N13" s="12">
        <v>3937</v>
      </c>
      <c r="P13" s="13">
        <f>iferror(lookup(if(O13="",F13,O13),{0,1,10,50,100,1000,10000},{0.0,0.34,0.279,0.279,0.272,0.272,0.15}),"")</f>
        <v>0</v>
      </c>
      <c r="Q13" s="13">
        <f>iferror(if(O13="",F13,O13)*P13,"")</f>
        <v>0</v>
      </c>
      <c r="R13" s="14" t="s">
        <v>133</v>
      </c>
      <c r="S13" s="12">
        <v>5320</v>
      </c>
      <c r="U13" s="13">
        <f>iferror(USD_GBP*lookup(if(T13="",F13,T13),{0,1,10,100,500,1500,2500},{0.0,0.242,0.242,0.161,0.124,0.11,0.099}),"")</f>
        <v>0</v>
      </c>
      <c r="V13" s="13">
        <f>iferror(if(T13="",F13,T13)*U13,"")</f>
        <v>0</v>
      </c>
      <c r="W13" s="14" t="s">
        <v>148</v>
      </c>
    </row>
    <row r="14" spans="1:23">
      <c r="A14" s="12" t="s">
        <v>34</v>
      </c>
      <c r="B14" s="12" t="s">
        <v>35</v>
      </c>
      <c r="C14" s="12" t="s">
        <v>36</v>
      </c>
      <c r="D14" s="12" t="s">
        <v>37</v>
      </c>
      <c r="F14" s="12">
        <f>BoardQty*1</f>
        <v>0</v>
      </c>
      <c r="G14" s="13">
        <f>MINA(INDIRECT(ADDRESS(ROW(),COLUMN(farnell_part_data)+2)),INDIRECT(ADDRESS(ROW(),COLUMN(mouser_part_data)+2)),INDIRECT(ADDRESS(ROW(),COLUMN(rs_part_data)+2)))</f>
        <v>0</v>
      </c>
      <c r="H14" s="13">
        <f>iferror(F14*G14,"")</f>
        <v>0</v>
      </c>
    </row>
    <row r="15" spans="1:23">
      <c r="A15" s="12" t="s">
        <v>38</v>
      </c>
      <c r="B15" s="12" t="s">
        <v>39</v>
      </c>
      <c r="C15" s="12" t="s">
        <v>40</v>
      </c>
      <c r="E15" s="12" t="s">
        <v>41</v>
      </c>
      <c r="F15" s="12">
        <f>BoardQty*1</f>
        <v>0</v>
      </c>
      <c r="G15" s="13">
        <f>MINA(INDIRECT(ADDRESS(ROW(),COLUMN(farnell_part_data)+2)),INDIRECT(ADDRESS(ROW(),COLUMN(mouser_part_data)+2)),INDIRECT(ADDRESS(ROW(),COLUMN(rs_part_data)+2)))</f>
        <v>0</v>
      </c>
      <c r="H15" s="13">
        <f>iferror(F15*G15,"")</f>
        <v>0</v>
      </c>
      <c r="I15" s="12">
        <v>92</v>
      </c>
      <c r="K15" s="13">
        <f>iferror(USD_GBP*lookup(if(J15="",F15,J15),{0,1,10,25,100},{0.0,1.11,0.82,0.708,0.576}),"")</f>
        <v>0</v>
      </c>
      <c r="L15" s="13">
        <f>iferror(if(J15="",F15,J15)*K15,"")</f>
        <v>0</v>
      </c>
      <c r="M15" s="14" t="s">
        <v>120</v>
      </c>
    </row>
    <row r="16" spans="1:23">
      <c r="A16" s="12" t="s">
        <v>42</v>
      </c>
      <c r="B16" s="12" t="s">
        <v>43</v>
      </c>
      <c r="C16" s="12" t="s">
        <v>40</v>
      </c>
      <c r="E16" s="12" t="s">
        <v>41</v>
      </c>
      <c r="F16" s="12">
        <f>BoardQty*1</f>
        <v>0</v>
      </c>
      <c r="G16" s="13">
        <f>MINA(INDIRECT(ADDRESS(ROW(),COLUMN(farnell_part_data)+2)),INDIRECT(ADDRESS(ROW(),COLUMN(mouser_part_data)+2)),INDIRECT(ADDRESS(ROW(),COLUMN(rs_part_data)+2)))</f>
        <v>0</v>
      </c>
      <c r="H16" s="13">
        <f>iferror(F16*G16,"")</f>
        <v>0</v>
      </c>
      <c r="I16" s="12">
        <v>92</v>
      </c>
      <c r="K16" s="13">
        <f>iferror(USD_GBP*lookup(if(J16="",F16,J16),{0,1,10,25,100},{0.0,1.11,0.82,0.708,0.576}),"")</f>
        <v>0</v>
      </c>
      <c r="L16" s="13">
        <f>iferror(if(J16="",F16,J16)*K16,"")</f>
        <v>0</v>
      </c>
      <c r="M16" s="14" t="s">
        <v>120</v>
      </c>
    </row>
    <row r="17" spans="1:23">
      <c r="A17" s="12" t="s">
        <v>44</v>
      </c>
      <c r="B17" s="12" t="s">
        <v>45</v>
      </c>
      <c r="C17" s="12" t="s">
        <v>40</v>
      </c>
      <c r="E17" s="12" t="s">
        <v>41</v>
      </c>
      <c r="F17" s="12">
        <f>BoardQty*1</f>
        <v>0</v>
      </c>
      <c r="G17" s="13">
        <f>MINA(INDIRECT(ADDRESS(ROW(),COLUMN(farnell_part_data)+2)),INDIRECT(ADDRESS(ROW(),COLUMN(mouser_part_data)+2)),INDIRECT(ADDRESS(ROW(),COLUMN(rs_part_data)+2)))</f>
        <v>0</v>
      </c>
      <c r="H17" s="13">
        <f>iferror(F17*G17,"")</f>
        <v>0</v>
      </c>
      <c r="I17" s="12">
        <v>92</v>
      </c>
      <c r="K17" s="13">
        <f>iferror(USD_GBP*lookup(if(J17="",F17,J17),{0,1,10,25,100},{0.0,1.11,0.82,0.708,0.576}),"")</f>
        <v>0</v>
      </c>
      <c r="L17" s="13">
        <f>iferror(if(J17="",F17,J17)*K17,"")</f>
        <v>0</v>
      </c>
      <c r="M17" s="14" t="s">
        <v>120</v>
      </c>
    </row>
    <row r="18" spans="1:23">
      <c r="A18" s="12" t="s">
        <v>46</v>
      </c>
      <c r="B18" s="12" t="s">
        <v>47</v>
      </c>
      <c r="C18" s="12" t="s">
        <v>40</v>
      </c>
      <c r="E18" s="12" t="s">
        <v>41</v>
      </c>
      <c r="F18" s="12">
        <f>BoardQty*1</f>
        <v>0</v>
      </c>
      <c r="G18" s="13">
        <f>MINA(INDIRECT(ADDRESS(ROW(),COLUMN(farnell_part_data)+2)),INDIRECT(ADDRESS(ROW(),COLUMN(mouser_part_data)+2)),INDIRECT(ADDRESS(ROW(),COLUMN(rs_part_data)+2)))</f>
        <v>0</v>
      </c>
      <c r="H18" s="13">
        <f>iferror(F18*G18,"")</f>
        <v>0</v>
      </c>
      <c r="I18" s="12">
        <v>92</v>
      </c>
      <c r="K18" s="13">
        <f>iferror(USD_GBP*lookup(if(J18="",F18,J18),{0,1,10,25,100},{0.0,1.11,0.82,0.708,0.576}),"")</f>
        <v>0</v>
      </c>
      <c r="L18" s="13">
        <f>iferror(if(J18="",F18,J18)*K18,"")</f>
        <v>0</v>
      </c>
      <c r="M18" s="14" t="s">
        <v>120</v>
      </c>
    </row>
    <row r="19" spans="1:23">
      <c r="A19" s="12" t="s">
        <v>48</v>
      </c>
      <c r="B19" s="12" t="s">
        <v>49</v>
      </c>
      <c r="C19" s="12" t="s">
        <v>40</v>
      </c>
      <c r="E19" s="12" t="s">
        <v>41</v>
      </c>
      <c r="F19" s="12">
        <f>BoardQty*1</f>
        <v>0</v>
      </c>
      <c r="G19" s="13">
        <f>MINA(INDIRECT(ADDRESS(ROW(),COLUMN(farnell_part_data)+2)),INDIRECT(ADDRESS(ROW(),COLUMN(mouser_part_data)+2)),INDIRECT(ADDRESS(ROW(),COLUMN(rs_part_data)+2)))</f>
        <v>0</v>
      </c>
      <c r="H19" s="13">
        <f>iferror(F19*G19,"")</f>
        <v>0</v>
      </c>
      <c r="I19" s="12">
        <v>92</v>
      </c>
      <c r="K19" s="13">
        <f>iferror(USD_GBP*lookup(if(J19="",F19,J19),{0,1,10,25,100},{0.0,1.11,0.82,0.708,0.576}),"")</f>
        <v>0</v>
      </c>
      <c r="L19" s="13">
        <f>iferror(if(J19="",F19,J19)*K19,"")</f>
        <v>0</v>
      </c>
      <c r="M19" s="14" t="s">
        <v>120</v>
      </c>
    </row>
    <row r="20" spans="1:23">
      <c r="A20" s="12" t="s">
        <v>50</v>
      </c>
      <c r="B20" s="12" t="s">
        <v>51</v>
      </c>
      <c r="C20" s="12" t="s">
        <v>40</v>
      </c>
      <c r="E20" s="12" t="s">
        <v>41</v>
      </c>
      <c r="F20" s="12">
        <f>BoardQty*1</f>
        <v>0</v>
      </c>
      <c r="G20" s="13">
        <f>MINA(INDIRECT(ADDRESS(ROW(),COLUMN(farnell_part_data)+2)),INDIRECT(ADDRESS(ROW(),COLUMN(mouser_part_data)+2)),INDIRECT(ADDRESS(ROW(),COLUMN(rs_part_data)+2)))</f>
        <v>0</v>
      </c>
      <c r="H20" s="13">
        <f>iferror(F20*G20,"")</f>
        <v>0</v>
      </c>
      <c r="I20" s="12">
        <v>92</v>
      </c>
      <c r="K20" s="13">
        <f>iferror(USD_GBP*lookup(if(J20="",F20,J20),{0,1,10,25,100},{0.0,1.11,0.82,0.708,0.576}),"")</f>
        <v>0</v>
      </c>
      <c r="L20" s="13">
        <f>iferror(if(J20="",F20,J20)*K20,"")</f>
        <v>0</v>
      </c>
      <c r="M20" s="14" t="s">
        <v>120</v>
      </c>
    </row>
    <row r="21" spans="1:23">
      <c r="A21" s="12" t="s">
        <v>52</v>
      </c>
      <c r="B21" s="12" t="s">
        <v>53</v>
      </c>
      <c r="C21" s="12" t="s">
        <v>40</v>
      </c>
      <c r="E21" s="12" t="s">
        <v>41</v>
      </c>
      <c r="F21" s="12">
        <f>BoardQty*1</f>
        <v>0</v>
      </c>
      <c r="G21" s="13">
        <f>MINA(INDIRECT(ADDRESS(ROW(),COLUMN(farnell_part_data)+2)),INDIRECT(ADDRESS(ROW(),COLUMN(mouser_part_data)+2)),INDIRECT(ADDRESS(ROW(),COLUMN(rs_part_data)+2)))</f>
        <v>0</v>
      </c>
      <c r="H21" s="13">
        <f>iferror(F21*G21,"")</f>
        <v>0</v>
      </c>
      <c r="I21" s="12">
        <v>92</v>
      </c>
      <c r="K21" s="13">
        <f>iferror(USD_GBP*lookup(if(J21="",F21,J21),{0,1,10,25,100},{0.0,1.11,0.82,0.708,0.576}),"")</f>
        <v>0</v>
      </c>
      <c r="L21" s="13">
        <f>iferror(if(J21="",F21,J21)*K21,"")</f>
        <v>0</v>
      </c>
      <c r="M21" s="14" t="s">
        <v>120</v>
      </c>
    </row>
    <row r="22" spans="1:23">
      <c r="A22" s="12" t="s">
        <v>54</v>
      </c>
      <c r="B22" s="12" t="s">
        <v>55</v>
      </c>
      <c r="C22" s="12" t="s">
        <v>40</v>
      </c>
      <c r="E22" s="12" t="s">
        <v>41</v>
      </c>
      <c r="F22" s="12">
        <f>BoardQty*1</f>
        <v>0</v>
      </c>
      <c r="G22" s="13">
        <f>MINA(INDIRECT(ADDRESS(ROW(),COLUMN(farnell_part_data)+2)),INDIRECT(ADDRESS(ROW(),COLUMN(mouser_part_data)+2)),INDIRECT(ADDRESS(ROW(),COLUMN(rs_part_data)+2)))</f>
        <v>0</v>
      </c>
      <c r="H22" s="13">
        <f>iferror(F22*G22,"")</f>
        <v>0</v>
      </c>
      <c r="I22" s="12">
        <v>92</v>
      </c>
      <c r="K22" s="13">
        <f>iferror(USD_GBP*lookup(if(J22="",F22,J22),{0,1,10,25,100},{0.0,1.11,0.82,0.708,0.576}),"")</f>
        <v>0</v>
      </c>
      <c r="L22" s="13">
        <f>iferror(if(J22="",F22,J22)*K22,"")</f>
        <v>0</v>
      </c>
      <c r="M22" s="14" t="s">
        <v>120</v>
      </c>
    </row>
    <row r="23" spans="1:23">
      <c r="A23" s="12" t="s">
        <v>56</v>
      </c>
      <c r="B23" s="12" t="s">
        <v>57</v>
      </c>
      <c r="C23" s="12" t="s">
        <v>58</v>
      </c>
      <c r="E23" s="12" t="s">
        <v>59</v>
      </c>
      <c r="F23" s="12">
        <f>BoardQty*1</f>
        <v>0</v>
      </c>
      <c r="G23" s="13">
        <f>MINA(INDIRECT(ADDRESS(ROW(),COLUMN(farnell_part_data)+2)),INDIRECT(ADDRESS(ROW(),COLUMN(mouser_part_data)+2)),INDIRECT(ADDRESS(ROW(),COLUMN(rs_part_data)+2)))</f>
        <v>0</v>
      </c>
      <c r="H23" s="13">
        <f>iferror(F23*G23,"")</f>
        <v>0</v>
      </c>
      <c r="I23" s="12">
        <v>26998</v>
      </c>
      <c r="K23" s="13">
        <f>iferror(USD_GBP*lookup(if(J23="",F23,J23),{0,1,5,50,150,250},{0.0,0.261,0.261,0.192,0.166,0.135}),"")</f>
        <v>0</v>
      </c>
      <c r="L23" s="13">
        <f>iferror(if(J23="",F23,J23)*K23,"")</f>
        <v>0</v>
      </c>
      <c r="M23" s="14" t="s">
        <v>121</v>
      </c>
    </row>
    <row r="24" spans="1:23">
      <c r="A24" s="12" t="s">
        <v>60</v>
      </c>
      <c r="B24" s="12" t="s">
        <v>61</v>
      </c>
      <c r="C24" s="12" t="s">
        <v>62</v>
      </c>
      <c r="E24" s="12" t="s">
        <v>63</v>
      </c>
      <c r="F24" s="12">
        <f>BoardQty*1</f>
        <v>0</v>
      </c>
      <c r="G24" s="13">
        <f>MINA(INDIRECT(ADDRESS(ROW(),COLUMN(farnell_part_data)+2)),INDIRECT(ADDRESS(ROW(),COLUMN(mouser_part_data)+2)),INDIRECT(ADDRESS(ROW(),COLUMN(rs_part_data)+2)))</f>
        <v>0</v>
      </c>
      <c r="H24" s="13">
        <f>iferror(F24*G24,"")</f>
        <v>0</v>
      </c>
      <c r="N24" s="12">
        <v>5446</v>
      </c>
      <c r="P24" s="13">
        <f>iferror(lookup(if(O24="",F24,O24),{0,1,10,50,100,1000,10000},{0.0,0.1,0.1,0.1,0.04,0.03,0.022}),"")</f>
        <v>0</v>
      </c>
      <c r="Q24" s="13">
        <f>iferror(if(O24="",F24,O24)*P24,"")</f>
        <v>0</v>
      </c>
      <c r="R24" s="14" t="s">
        <v>134</v>
      </c>
    </row>
    <row r="25" spans="1:23">
      <c r="A25" s="12" t="s">
        <v>64</v>
      </c>
      <c r="B25" s="12" t="s">
        <v>65</v>
      </c>
      <c r="C25" s="12" t="s">
        <v>62</v>
      </c>
      <c r="E25" s="12" t="s">
        <v>66</v>
      </c>
      <c r="F25" s="12">
        <f>BoardQty*1</f>
        <v>0</v>
      </c>
      <c r="G25" s="13">
        <f>MINA(INDIRECT(ADDRESS(ROW(),COLUMN(farnell_part_data)+2)),INDIRECT(ADDRESS(ROW(),COLUMN(mouser_part_data)+2)),INDIRECT(ADDRESS(ROW(),COLUMN(rs_part_data)+2)))</f>
        <v>0</v>
      </c>
      <c r="H25" s="13">
        <f>iferror(F25*G25,"")</f>
        <v>0</v>
      </c>
      <c r="N25" s="12">
        <v>329</v>
      </c>
      <c r="P25" s="13">
        <f>iferror(lookup(if(O25="",F25,O25),{0,1,10,50,100,1000,10000},{0.0,0.18,0.082,0.082,0.037,0.025,0.018}),"")</f>
        <v>0</v>
      </c>
      <c r="Q25" s="13">
        <f>iferror(if(O25="",F25,O25)*P25,"")</f>
        <v>0</v>
      </c>
      <c r="R25" s="14" t="s">
        <v>135</v>
      </c>
    </row>
    <row r="26" spans="1:23">
      <c r="A26" s="12" t="s">
        <v>67</v>
      </c>
      <c r="B26" s="12" t="s">
        <v>68</v>
      </c>
      <c r="C26" s="12" t="s">
        <v>69</v>
      </c>
      <c r="E26" s="12" t="s">
        <v>70</v>
      </c>
      <c r="F26" s="12">
        <f>BoardQty*1</f>
        <v>0</v>
      </c>
      <c r="G26" s="13">
        <f>MINA(INDIRECT(ADDRESS(ROW(),COLUMN(farnell_part_data)+2)),INDIRECT(ADDRESS(ROW(),COLUMN(mouser_part_data)+2)),INDIRECT(ADDRESS(ROW(),COLUMN(rs_part_data)+2)))</f>
        <v>0</v>
      </c>
      <c r="H26" s="13">
        <f>iferror(F26*G26,"")</f>
        <v>0</v>
      </c>
      <c r="I26" s="12">
        <v>17251</v>
      </c>
      <c r="K26" s="13">
        <f>iferror(USD_GBP*lookup(if(J26="",F26,J26),{0,1,10,500,1000,5000,10000},{0.0,0.231,0.231,0.201,0.171,0.144,0.141}),"")</f>
        <v>0</v>
      </c>
      <c r="L26" s="13">
        <f>iferror(if(J26="",F26,J26)*K26,"")</f>
        <v>0</v>
      </c>
      <c r="M26" s="14" t="s">
        <v>122</v>
      </c>
      <c r="N26" s="12">
        <v>21786</v>
      </c>
      <c r="P26" s="13">
        <f>iferror(lookup(if(O26="",F26,O26),{0,1,10,50,100,1000,10000},{0.0,0.37,0.357,0.332,0.32,0.217,0.183}),"")</f>
        <v>0</v>
      </c>
      <c r="Q26" s="13">
        <f>iferror(if(O26="",F26,O26)*P26,"")</f>
        <v>0</v>
      </c>
      <c r="R26" s="14" t="s">
        <v>136</v>
      </c>
    </row>
    <row r="27" spans="1:23">
      <c r="A27" s="12" t="s">
        <v>71</v>
      </c>
      <c r="B27" s="12" t="s">
        <v>72</v>
      </c>
      <c r="C27" s="12" t="s">
        <v>73</v>
      </c>
      <c r="F27" s="12">
        <f>BoardQty*1</f>
        <v>0</v>
      </c>
      <c r="G27" s="13">
        <f>MINA(INDIRECT(ADDRESS(ROW(),COLUMN(farnell_part_data)+2)),INDIRECT(ADDRESS(ROW(),COLUMN(mouser_part_data)+2)),INDIRECT(ADDRESS(ROW(),COLUMN(rs_part_data)+2)))</f>
        <v>0</v>
      </c>
      <c r="H27" s="13">
        <f>iferror(F27*G27,"")</f>
        <v>0</v>
      </c>
    </row>
    <row r="28" spans="1:23">
      <c r="A28" s="12" t="s">
        <v>74</v>
      </c>
      <c r="B28" s="12" t="s">
        <v>75</v>
      </c>
      <c r="C28" s="12" t="s">
        <v>76</v>
      </c>
      <c r="E28" s="12" t="s">
        <v>77</v>
      </c>
      <c r="F28" s="12">
        <f>BoardQty*1</f>
        <v>0</v>
      </c>
      <c r="G28" s="13">
        <f>MINA(INDIRECT(ADDRESS(ROW(),COLUMN(farnell_part_data)+2)),INDIRECT(ADDRESS(ROW(),COLUMN(mouser_part_data)+2)),INDIRECT(ADDRESS(ROW(),COLUMN(rs_part_data)+2)))</f>
        <v>0</v>
      </c>
      <c r="H28" s="13">
        <f>iferror(F28*G28,"")</f>
        <v>0</v>
      </c>
      <c r="N28" s="12">
        <v>25787</v>
      </c>
      <c r="P28" s="13">
        <f>iferror(lookup(if(O28="",F28,O28),{0,1,10,50,100,1000,10000},{0.0,1.54,1.31,1.31,1.05,0.704,0.641}),"")</f>
        <v>0</v>
      </c>
      <c r="Q28" s="13">
        <f>iferror(if(O28="",F28,O28)*P28,"")</f>
        <v>0</v>
      </c>
      <c r="R28" s="14" t="s">
        <v>137</v>
      </c>
      <c r="S28" s="12">
        <v>885</v>
      </c>
      <c r="U28" s="13">
        <f>iferror(USD_GBP*lookup(if(T28="",F28,T28),{0,1,5,25,100,250,500},{0.0,1.194,1.194,1.044,0.984,0.84,0.756}),"")</f>
        <v>0</v>
      </c>
      <c r="V28" s="13">
        <f>iferror(if(T28="",F28,T28)*U28,"")</f>
        <v>0</v>
      </c>
      <c r="W28" s="14" t="s">
        <v>149</v>
      </c>
    </row>
    <row r="29" spans="1:23">
      <c r="A29" s="12" t="s">
        <v>78</v>
      </c>
      <c r="B29" s="12" t="s">
        <v>79</v>
      </c>
      <c r="C29" s="12" t="s">
        <v>80</v>
      </c>
      <c r="E29" s="12" t="s">
        <v>81</v>
      </c>
      <c r="F29" s="12">
        <f>BoardQty*1</f>
        <v>0</v>
      </c>
      <c r="G29" s="13">
        <f>MINA(INDIRECT(ADDRESS(ROW(),COLUMN(farnell_part_data)+2)),INDIRECT(ADDRESS(ROW(),COLUMN(mouser_part_data)+2)),INDIRECT(ADDRESS(ROW(),COLUMN(rs_part_data)+2)))</f>
        <v>0</v>
      </c>
      <c r="H29" s="13">
        <f>iferror(F29*G29,"")</f>
        <v>0</v>
      </c>
      <c r="I29" s="12">
        <v>375</v>
      </c>
      <c r="K29" s="13">
        <f>iferror(USD_GBP*lookup(if(J29="",F29,J29),{0,1,10,25,50,100,250,500,1000},{0.0,0.984,1.54,0.815,1.4,1.22,1.12,1.09,1.05}),"")</f>
        <v>0</v>
      </c>
      <c r="L29" s="13">
        <f>iferror(if(J29="",F29,J29)*K29,"")</f>
        <v>0</v>
      </c>
      <c r="M29" s="14" t="s">
        <v>123</v>
      </c>
      <c r="N29" s="12">
        <v>1122</v>
      </c>
      <c r="P29" s="13">
        <f>iferror(lookup(if(O29="",F29,O29),{0,1,10,50,100,1000,10000},{0.0,2.51,1.98,1.8,1.57,1.33,1.33}),"")</f>
        <v>0</v>
      </c>
      <c r="Q29" s="13">
        <f>iferror(if(O29="",F29,O29)*P29,"")</f>
        <v>0</v>
      </c>
      <c r="R29" s="14" t="s">
        <v>138</v>
      </c>
      <c r="S29" s="12">
        <v>1635</v>
      </c>
      <c r="U29" s="13">
        <f>iferror(USD_GBP*lookup(if(T29="",F29,T29),{0,1,2000},{0.0,1.039,1.039}),"")</f>
        <v>0</v>
      </c>
      <c r="V29" s="13">
        <f>iferror(if(T29="",F29,T29)*U29,"")</f>
        <v>0</v>
      </c>
      <c r="W29" s="14" t="s">
        <v>150</v>
      </c>
    </row>
    <row r="30" spans="1:23">
      <c r="A30" s="12" t="s">
        <v>82</v>
      </c>
      <c r="B30" s="12" t="s">
        <v>83</v>
      </c>
      <c r="C30" s="12" t="s">
        <v>84</v>
      </c>
      <c r="D30" s="12" t="s">
        <v>85</v>
      </c>
      <c r="E30" s="12" t="s">
        <v>86</v>
      </c>
      <c r="F30" s="12">
        <f>BoardQty*1</f>
        <v>0</v>
      </c>
      <c r="G30" s="13">
        <f>MINA(INDIRECT(ADDRESS(ROW(),COLUMN(farnell_part_data)+2)),INDIRECT(ADDRESS(ROW(),COLUMN(mouser_part_data)+2)),INDIRECT(ADDRESS(ROW(),COLUMN(rs_part_data)+2)))</f>
        <v>0</v>
      </c>
      <c r="H30" s="13">
        <f>iferror(F30*G30,"")</f>
        <v>0</v>
      </c>
      <c r="I30" s="12">
        <v>2730</v>
      </c>
      <c r="K30" s="13">
        <f>iferror(USD_GBP*lookup(if(J30="",F30,J30),{0,1,5,10,100,250,500,1000,5000,10000},{0.0,0.348,0.348,0.253,0.172,0.17,0.153,0.14,0.126,0.113}),"")</f>
        <v>0</v>
      </c>
      <c r="L30" s="13">
        <f>iferror(if(J30="",F30,J30)*K30,"")</f>
        <v>0</v>
      </c>
      <c r="M30" s="14" t="s">
        <v>124</v>
      </c>
      <c r="N30" s="12">
        <v>5477</v>
      </c>
      <c r="P30" s="13">
        <f>iferror(lookup(if(O30="",F30,O30),{0,1,10,50,100,1000,10000},{0.0,0.48,0.349,0.349,0.237,0.146,0.118}),"")</f>
        <v>0</v>
      </c>
      <c r="Q30" s="13">
        <f>iferror(if(O30="",F30,O30)*P30,"")</f>
        <v>0</v>
      </c>
      <c r="R30" s="14" t="s">
        <v>139</v>
      </c>
    </row>
    <row r="31" spans="1:23">
      <c r="A31" s="12" t="s">
        <v>87</v>
      </c>
      <c r="B31" s="12" t="s">
        <v>88</v>
      </c>
      <c r="C31" s="12" t="s">
        <v>84</v>
      </c>
      <c r="D31" s="12" t="s">
        <v>85</v>
      </c>
      <c r="E31" s="12" t="s">
        <v>89</v>
      </c>
      <c r="F31" s="12">
        <f>BoardQty*1</f>
        <v>0</v>
      </c>
      <c r="G31" s="13">
        <f>MINA(INDIRECT(ADDRESS(ROW(),COLUMN(farnell_part_data)+2)),INDIRECT(ADDRESS(ROW(),COLUMN(mouser_part_data)+2)),INDIRECT(ADDRESS(ROW(),COLUMN(rs_part_data)+2)))</f>
        <v>0</v>
      </c>
      <c r="H31" s="13">
        <f>iferror(F31*G31,"")</f>
        <v>0</v>
      </c>
      <c r="I31" s="12">
        <v>2097</v>
      </c>
      <c r="K31" s="13">
        <f>iferror(USD_GBP*lookup(if(J31="",F31,J31),{0,1,10,100,500,1000,2500,5000},{0.0,0.378,0.378,0.278,0.24,0.225,0.205,0.185}),"")</f>
        <v>0</v>
      </c>
      <c r="L31" s="13">
        <f>iferror(if(J31="",F31,J31)*K31,"")</f>
        <v>0</v>
      </c>
      <c r="M31" s="14" t="s">
        <v>125</v>
      </c>
      <c r="N31" s="12">
        <v>705</v>
      </c>
      <c r="P31" s="13">
        <f>iferror(lookup(if(O31="",F31,O31),{0,1,10,50,100,1000,10000},{0.0,0.77,0.675,0.675,0.582,0.423,0.351}),"")</f>
        <v>0</v>
      </c>
      <c r="Q31" s="13">
        <f>iferror(if(O31="",F31,O31)*P31,"")</f>
        <v>0</v>
      </c>
      <c r="R31" s="14" t="s">
        <v>140</v>
      </c>
      <c r="S31" s="12">
        <v>1720</v>
      </c>
      <c r="U31" s="13">
        <f>iferror(USD_GBP*lookup(if(T31="",F31,T31),{0,1,5,125,375,1000,2000},{0.0,0.612,0.612,0.552,0.488,0.428,0.398}),"")</f>
        <v>0</v>
      </c>
      <c r="V31" s="13">
        <f>iferror(if(T31="",F31,T31)*U31,"")</f>
        <v>0</v>
      </c>
      <c r="W31" s="14" t="s">
        <v>151</v>
      </c>
    </row>
    <row r="32" spans="1:23">
      <c r="A32" s="12" t="s">
        <v>90</v>
      </c>
      <c r="B32" s="12" t="s">
        <v>91</v>
      </c>
      <c r="C32" s="12" t="s">
        <v>92</v>
      </c>
      <c r="D32" s="12" t="s">
        <v>85</v>
      </c>
      <c r="E32" s="12" t="s">
        <v>93</v>
      </c>
      <c r="F32" s="12">
        <f>BoardQty*1</f>
        <v>0</v>
      </c>
      <c r="G32" s="13">
        <f>MINA(INDIRECT(ADDRESS(ROW(),COLUMN(farnell_part_data)+2)),INDIRECT(ADDRESS(ROW(),COLUMN(mouser_part_data)+2)),INDIRECT(ADDRESS(ROW(),COLUMN(rs_part_data)+2)))</f>
        <v>0</v>
      </c>
      <c r="H32" s="13">
        <f>iferror(F32*G32,"")</f>
        <v>0</v>
      </c>
      <c r="N32" s="15" t="s">
        <v>142</v>
      </c>
      <c r="P32" s="13">
        <f>iferror(lookup(if(O32="",F32,O32),{0,1,10,50,100,1000,10000},{0.0,1.8,1.54,1.46,1.39,1.25,1.12}),"")</f>
        <v>0</v>
      </c>
      <c r="Q32" s="13">
        <f>iferror(if(O32="",F32,O32)*P32,"")</f>
        <v>0</v>
      </c>
      <c r="R32" s="14" t="s">
        <v>141</v>
      </c>
    </row>
    <row r="33" spans="1:23">
      <c r="A33" s="12" t="s">
        <v>94</v>
      </c>
      <c r="B33" s="12" t="s">
        <v>95</v>
      </c>
      <c r="C33" s="12" t="s">
        <v>92</v>
      </c>
      <c r="D33" s="12" t="s">
        <v>85</v>
      </c>
      <c r="E33" s="12" t="s">
        <v>96</v>
      </c>
      <c r="F33" s="12">
        <f>BoardQty*1</f>
        <v>0</v>
      </c>
      <c r="G33" s="13">
        <f>MINA(INDIRECT(ADDRESS(ROW(),COLUMN(farnell_part_data)+2)),INDIRECT(ADDRESS(ROW(),COLUMN(mouser_part_data)+2)),INDIRECT(ADDRESS(ROW(),COLUMN(rs_part_data)+2)))</f>
        <v>0</v>
      </c>
      <c r="H33" s="13">
        <f>iferror(F33*G33,"")</f>
        <v>0</v>
      </c>
      <c r="I33" s="12">
        <v>1959</v>
      </c>
      <c r="K33" s="13">
        <f>iferror(USD_GBP*lookup(if(J33="",F33,J33),{0,1,10,100,500,1000,2500,5000},{0.0,0.234,0.234,0.174,0.156,0.138,0.13,0.127}),"")</f>
        <v>0</v>
      </c>
      <c r="L33" s="13">
        <f>iferror(if(J33="",F33,J33)*K33,"")</f>
        <v>0</v>
      </c>
      <c r="M33" s="14" t="s">
        <v>126</v>
      </c>
      <c r="N33" s="12">
        <v>4635</v>
      </c>
      <c r="P33" s="13">
        <f>iferror(lookup(if(O33="",F33,O33),{0,1,10,50,100,1000,10000},{0.0,0.44,0.417,0.417,0.292,0.208,0.166}),"")</f>
        <v>0</v>
      </c>
      <c r="Q33" s="13">
        <f>iferror(if(O33="",F33,O33)*P33,"")</f>
        <v>0</v>
      </c>
      <c r="R33" s="14" t="s">
        <v>143</v>
      </c>
      <c r="S33" s="12">
        <v>5378</v>
      </c>
      <c r="U33" s="13">
        <f>iferror(USD_GBP*lookup(if(T33="",F33,T33),{0,1,5,75,250,500,1250},{0.0,0.382,0.382,0.318,0.276,0.252,0.222}),"")</f>
        <v>0</v>
      </c>
      <c r="V33" s="13">
        <f>iferror(if(T33="",F33,T33)*U33,"")</f>
        <v>0</v>
      </c>
      <c r="W33" s="14" t="s">
        <v>152</v>
      </c>
    </row>
    <row r="35" spans="1:23">
      <c r="B35" s="16" t="s">
        <v>99</v>
      </c>
      <c r="G35" s="1" t="s">
        <v>97</v>
      </c>
      <c r="H35" s="5">
        <f>SUM(INDIRECT(ADDRESS(ROW(),COLUMN(farnell_part_data)+3)),INDIRECT(ADDRESS(ROW(),COLUMN(mouser_part_data)+3)),INDIRECT(ADDRESS(ROW(),COLUMN(rs_part_data)+3)))</f>
        <v>0</v>
      </c>
      <c r="J35" s="6">
        <f>IFERROR(IF(OR(J7:J33),COUNTIFS(J7:J33,"&gt;0",L7:L33,"&lt;&gt;")&amp;" of "&amp;(ROWS(L7:L33)-COUNTBLANK(L7:L33))&amp;" parts purchased",""),"")</f>
        <v>0</v>
      </c>
      <c r="L35" s="5">
        <f>SUMIF(J7:J33,"&gt;0",L7:L33)</f>
        <v>0</v>
      </c>
      <c r="O35" s="6">
        <f>IFERROR(IF(OR(O7:O33),COUNTIFS(O7:O33,"&gt;0",Q7:Q33,"&lt;&gt;")&amp;" of "&amp;(ROWS(Q7:Q33)-COUNTBLANK(Q7:Q33))&amp;" parts purchased",""),"")</f>
        <v>0</v>
      </c>
      <c r="Q35" s="5">
        <f>SUMIF(O7:O33,"&gt;0",Q7:Q33)</f>
        <v>0</v>
      </c>
      <c r="T35" s="6">
        <f>IFERROR(IF(OR(T7:T33),COUNTIFS(T7:T33,"&gt;0",V7:V33,"&lt;&gt;")&amp;" of "&amp;(ROWS(V7:V33)-COUNTBLANK(V7:V33))&amp;" parts purchased",""),"")</f>
        <v>0</v>
      </c>
      <c r="V35" s="5">
        <f>SUMIF(T7:T33,"&gt;0",V7:V33)</f>
        <v>0</v>
      </c>
    </row>
    <row r="36" spans="1:23">
      <c r="B36" s="16" t="s">
        <v>100</v>
      </c>
      <c r="C36">
        <v>1.293904700565222</v>
      </c>
      <c r="G36" s="16" t="s">
        <v>98</v>
      </c>
      <c r="J36">
        <f t="array" ref="J36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36">
        <f t="array" ref="O36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36">
        <f t="array" ref="T36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37" spans="1:23">
      <c r="J37">
        <f t="array" ref="J37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37">
        <f t="array" ref="O37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37">
        <f t="array" ref="T37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38" spans="1:23">
      <c r="A38" s="2" t="s">
        <v>153</v>
      </c>
      <c r="J38">
        <f t="array" ref="J38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38">
        <f t="array" ref="O38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38">
        <f t="array" ref="T38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39" spans="1:23">
      <c r="J39">
        <f t="array" ref="J39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39">
        <f t="array" ref="O39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39">
        <f t="array" ref="T39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0" spans="1:23">
      <c r="J40">
        <f t="array" ref="J40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0">
        <f t="array" ref="O40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0">
        <f t="array" ref="T40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1" spans="1:23">
      <c r="J41">
        <f t="array" ref="J41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1">
        <f t="array" ref="O41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1">
        <f t="array" ref="T41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2" spans="1:23">
      <c r="J42">
        <f t="array" ref="J42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2">
        <f t="array" ref="O42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2">
        <f t="array" ref="T42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3" spans="1:23">
      <c r="J43">
        <f t="array" ref="J43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3">
        <f t="array" ref="O43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3">
        <f t="array" ref="T43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4" spans="1:23">
      <c r="J44">
        <f t="array" ref="J44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4">
        <f t="array" ref="O44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4">
        <f t="array" ref="T44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5" spans="1:23">
      <c r="J45">
        <f t="array" ref="J45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5">
        <f t="array" ref="O45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5">
        <f t="array" ref="T45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6" spans="1:23">
      <c r="J46">
        <f t="array" ref="J46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6">
        <f t="array" ref="O46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6">
        <f t="array" ref="T46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7" spans="1:23">
      <c r="J47">
        <f t="array" ref="J47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7">
        <f t="array" ref="O47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7">
        <f t="array" ref="T47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8" spans="1:23">
      <c r="J48">
        <f t="array" ref="J48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8">
        <f t="array" ref="O48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8">
        <f t="array" ref="T48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49" spans="10:20">
      <c r="J49">
        <f t="array" ref="J49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49">
        <f t="array" ref="O49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49">
        <f t="array" ref="T49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0" spans="10:20">
      <c r="J50">
        <f t="array" ref="J50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0">
        <f t="array" ref="O50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0">
        <f t="array" ref="T50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1" spans="10:20">
      <c r="J51">
        <f t="array" ref="J51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1">
        <f t="array" ref="O51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1">
        <f t="array" ref="T51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2" spans="10:20">
      <c r="J52">
        <f t="array" ref="J52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2">
        <f t="array" ref="O52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2">
        <f t="array" ref="T52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3" spans="10:20">
      <c r="J53">
        <f t="array" ref="J53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3">
        <f t="array" ref="O53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3">
        <f t="array" ref="T53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4" spans="10:20">
      <c r="J54">
        <f t="array" ref="J54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4">
        <f t="array" ref="O54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4">
        <f t="array" ref="T54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5" spans="10:20">
      <c r="J55">
        <f t="array" ref="J55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5">
        <f t="array" ref="O55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5">
        <f t="array" ref="T55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6" spans="10:20">
      <c r="J56">
        <f t="array" ref="J56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6">
        <f t="array" ref="O56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6">
        <f t="array" ref="T56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7" spans="10:20">
      <c r="J57">
        <f t="array" ref="J57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7">
        <f t="array" ref="O57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7">
        <f t="array" ref="T57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8" spans="10:20">
      <c r="J58">
        <f t="array" ref="J58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8">
        <f t="array" ref="O58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8">
        <f t="array" ref="T58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59" spans="10:20">
      <c r="J59">
        <f t="array" ref="J59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59">
        <f t="array" ref="O59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59">
        <f t="array" ref="T59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60" spans="10:20">
      <c r="J60">
        <f t="array" ref="J60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60">
        <f t="array" ref="O60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60">
        <f t="array" ref="T60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61" spans="10:20">
      <c r="J61">
        <f t="array" ref="J61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61">
        <f t="array" ref="O61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61">
        <f t="array" ref="T61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  <row r="62" spans="10:20">
      <c r="J62">
        <f t="array" ref="J62">IFERROR(CONCATENATE(INDEX(M7:M33,SMALL(IF(ISNUMBER(J7:J33),IF(J7:J33&gt;0,IF(M7:M33&lt;&gt;"",ROW(J7:J33)-MIN(ROW(J7:J33))+1))),ROW()-ROW(A$36)+1))," ",TEXT(INDEX(J7:J33,SMALL(IF(ISNUMBER(J7:J33),IF(J7:J33&gt;0,IF(M7:M33&lt;&gt;"",ROW(J7:J33)-MIN(ROW(J7:J33))+1))),ROW()-ROW(A$36)+1)),"##0")," ",SUBSTITUTE(INDEX(IF(PURCHASE_DESCRIPTION&lt;&gt;"",PURCHASE_DESCRIPTION&amp;":","")&amp;A7:A33,SMALL(IF(ISNUMBER(J7:J33),IF(J7:J33&gt;0,IF(M7:M33&lt;&gt;"",ROW(J7:J33)-MIN(ROW(J7:J33))+1))),ROW()-ROW(A$36)+1))," ",";")),"")</f>
        <v>0</v>
      </c>
      <c r="O62">
        <f t="array" ref="O62">IFERROR(CONCATENATE(INDEX(R7:R33,SMALL(IF(ISNUMBER(O7:O33),IF(O7:O33&gt;0,IF(R7:R33&lt;&gt;"",ROW(O7:O33)-MIN(ROW(O7:O33))+1))),ROW()-ROW(A$36)+1)),"|",TEXT(INDEX(O7:O33,SMALL(IF(ISNUMBER(O7:O33),IF(O7:O33&gt;0,IF(R7:R33&lt;&gt;"",ROW(O7:O33)-MIN(ROW(O7:O33))+1))),ROW()-ROW(A$36)+1)),"##0"),"|",SUBSTITUTE(SUBSTITUTE(INDEX(IF(PURCHASE_DESCRIPTION&lt;&gt;"",PURCHASE_DESCRIPTION&amp;":","")&amp;A7:A33,SMALL(IF(ISNUMBER(O7:O33),IF(O7:O33&gt;0,IF(R7:R33&lt;&gt;"",ROW(O7:O33)-MIN(ROW(O7:O33))+1))),ROW()-ROW(A$36)+1)),"|",";")," ","_")),"")</f>
        <v>0</v>
      </c>
      <c r="T62">
        <f t="array" ref="T62">IFERROR(CONCATENATE(INDEX(W7:W33,SMALL(IF(ISNUMBER(T7:T33),IF(T7:T33&gt;0,IF(W7:W33&lt;&gt;"",ROW(T7:T33)-MIN(ROW(T7:T33))+1))),ROW()-ROW(A$36)+1))," ",TEXT(INDEX(T7:T33,SMALL(IF(ISNUMBER(T7:T33),IF(T7:T33&gt;0,IF(W7:W33&lt;&gt;"",ROW(T7:T33)-MIN(ROW(T7:T33))+1))),ROW()-ROW(A$36)+1)),"##0")," ",SUBSTITUTE(INDEX(IF(PURCHASE_DESCRIPTION&lt;&gt;"",PURCHASE_DESCRIPTION&amp;":","")&amp;A7:A33,SMALL(IF(ISNUMBER(T7:T33),IF(T7:T33&gt;0,IF(W7:W33&lt;&gt;"",ROW(T7:T33)-MIN(ROW(T7:T33))+1))),ROW()-ROW(A$36)+1))," ",";")),"")</f>
        <v>0</v>
      </c>
    </row>
  </sheetData>
  <mergeCells count="4">
    <mergeCell ref="A5:H5"/>
    <mergeCell ref="I5:M5"/>
    <mergeCell ref="N5:R5"/>
    <mergeCell ref="S5:W5"/>
  </mergeCells>
  <conditionalFormatting sqref="F10">
    <cfRule type="expression" dxfId="0" priority="13">
      <formula>AND(ISBLANK(E10),ISBLANK(INDIRECT(ADDRESS(ROW(),COLUMN(farnell_part_data)+4))),ISBLANK(INDIRECT(ADDRESS(ROW(),COLUMN(mouser_part_data)+4))),ISBLANK(INDIRECT(ADDRESS(ROW(),COLUMN(rs_part_data)+4))))</formula>
    </cfRule>
    <cfRule type="expression" dxfId="1" priority="14">
      <formula>IF(SUM(INDIRECT(ADDRESS(ROW(),COLUMN(farnell_part_data)+0)),INDIRECT(ADDRESS(ROW(),COLUMN(mouser_part_data)+0)),INDIRECT(ADDRESS(ROW(),COLUMN(rs_part_data)+0)))=0,1,0)</formula>
    </cfRule>
    <cfRule type="cellIs" dxfId="2" priority="15" operator="greaterThan">
      <formula>SUM(INDIRECT(ADDRESS(ROW(),COLUMN(farnell_part_data)+0)),INDIRECT(ADDRESS(ROW(),COLUMN(mouser_part_data)+0)),INDIRECT(ADDRESS(ROW(),COLUMN(rs_part_data)+0)))</formula>
    </cfRule>
    <cfRule type="cellIs" dxfId="3" priority="16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1">
    <cfRule type="expression" dxfId="0" priority="17">
      <formula>AND(ISBLANK(E11),ISBLANK(INDIRECT(ADDRESS(ROW(),COLUMN(farnell_part_data)+4))),ISBLANK(INDIRECT(ADDRESS(ROW(),COLUMN(mouser_part_data)+4))),ISBLANK(INDIRECT(ADDRESS(ROW(),COLUMN(rs_part_data)+4))))</formula>
    </cfRule>
    <cfRule type="expression" dxfId="1" priority="18">
      <formula>IF(SUM(INDIRECT(ADDRESS(ROW(),COLUMN(farnell_part_data)+0)),INDIRECT(ADDRESS(ROW(),COLUMN(mouser_part_data)+0)),INDIRECT(ADDRESS(ROW(),COLUMN(rs_part_data)+0)))=0,1,0)</formula>
    </cfRule>
    <cfRule type="cellIs" dxfId="2" priority="19" operator="greaterThan">
      <formula>SUM(INDIRECT(ADDRESS(ROW(),COLUMN(farnell_part_data)+0)),INDIRECT(ADDRESS(ROW(),COLUMN(mouser_part_data)+0)),INDIRECT(ADDRESS(ROW(),COLUMN(rs_part_data)+0)))</formula>
    </cfRule>
    <cfRule type="cellIs" dxfId="3" priority="20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2">
    <cfRule type="expression" dxfId="0" priority="21">
      <formula>AND(ISBLANK(E12),ISBLANK(INDIRECT(ADDRESS(ROW(),COLUMN(farnell_part_data)+4))),ISBLANK(INDIRECT(ADDRESS(ROW(),COLUMN(mouser_part_data)+4))),ISBLANK(INDIRECT(ADDRESS(ROW(),COLUMN(rs_part_data)+4))))</formula>
    </cfRule>
    <cfRule type="expression" dxfId="1" priority="22">
      <formula>IF(SUM(INDIRECT(ADDRESS(ROW(),COLUMN(farnell_part_data)+0)),INDIRECT(ADDRESS(ROW(),COLUMN(mouser_part_data)+0)),INDIRECT(ADDRESS(ROW(),COLUMN(rs_part_data)+0)))=0,1,0)</formula>
    </cfRule>
    <cfRule type="cellIs" dxfId="2" priority="23" operator="greaterThan">
      <formula>SUM(INDIRECT(ADDRESS(ROW(),COLUMN(farnell_part_data)+0)),INDIRECT(ADDRESS(ROW(),COLUMN(mouser_part_data)+0)),INDIRECT(ADDRESS(ROW(),COLUMN(rs_part_data)+0)))</formula>
    </cfRule>
    <cfRule type="cellIs" dxfId="3" priority="24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3">
    <cfRule type="expression" dxfId="0" priority="25">
      <formula>AND(ISBLANK(E13),ISBLANK(INDIRECT(ADDRESS(ROW(),COLUMN(farnell_part_data)+4))),ISBLANK(INDIRECT(ADDRESS(ROW(),COLUMN(mouser_part_data)+4))),ISBLANK(INDIRECT(ADDRESS(ROW(),COLUMN(rs_part_data)+4))))</formula>
    </cfRule>
    <cfRule type="expression" dxfId="1" priority="26">
      <formula>IF(SUM(INDIRECT(ADDRESS(ROW(),COLUMN(farnell_part_data)+0)),INDIRECT(ADDRESS(ROW(),COLUMN(mouser_part_data)+0)),INDIRECT(ADDRESS(ROW(),COLUMN(rs_part_data)+0)))=0,1,0)</formula>
    </cfRule>
    <cfRule type="cellIs" dxfId="2" priority="27" operator="greaterThan">
      <formula>SUM(INDIRECT(ADDRESS(ROW(),COLUMN(farnell_part_data)+0)),INDIRECT(ADDRESS(ROW(),COLUMN(mouser_part_data)+0)),INDIRECT(ADDRESS(ROW(),COLUMN(rs_part_data)+0)))</formula>
    </cfRule>
    <cfRule type="cellIs" dxfId="3" priority="28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4">
    <cfRule type="expression" dxfId="0" priority="29">
      <formula>AND(ISBLANK(E14),ISBLANK(INDIRECT(ADDRESS(ROW(),COLUMN(farnell_part_data)+4))),ISBLANK(INDIRECT(ADDRESS(ROW(),COLUMN(mouser_part_data)+4))),ISBLANK(INDIRECT(ADDRESS(ROW(),COLUMN(rs_part_data)+4))))</formula>
    </cfRule>
    <cfRule type="expression" dxfId="1" priority="30">
      <formula>IF(SUM(INDIRECT(ADDRESS(ROW(),COLUMN(farnell_part_data)+0)),INDIRECT(ADDRESS(ROW(),COLUMN(mouser_part_data)+0)),INDIRECT(ADDRESS(ROW(),COLUMN(rs_part_data)+0)))=0,1,0)</formula>
    </cfRule>
    <cfRule type="cellIs" dxfId="2" priority="31" operator="greaterThan">
      <formula>SUM(INDIRECT(ADDRESS(ROW(),COLUMN(farnell_part_data)+0)),INDIRECT(ADDRESS(ROW(),COLUMN(mouser_part_data)+0)),INDIRECT(ADDRESS(ROW(),COLUMN(rs_part_data)+0)))</formula>
    </cfRule>
    <cfRule type="cellIs" dxfId="3" priority="32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5">
    <cfRule type="expression" dxfId="0" priority="33">
      <formula>AND(ISBLANK(E15),ISBLANK(INDIRECT(ADDRESS(ROW(),COLUMN(farnell_part_data)+4))),ISBLANK(INDIRECT(ADDRESS(ROW(),COLUMN(mouser_part_data)+4))),ISBLANK(INDIRECT(ADDRESS(ROW(),COLUMN(rs_part_data)+4))))</formula>
    </cfRule>
    <cfRule type="expression" dxfId="1" priority="34">
      <formula>IF(SUM(INDIRECT(ADDRESS(ROW(),COLUMN(farnell_part_data)+0)),INDIRECT(ADDRESS(ROW(),COLUMN(mouser_part_data)+0)),INDIRECT(ADDRESS(ROW(),COLUMN(rs_part_data)+0)))=0,1,0)</formula>
    </cfRule>
    <cfRule type="cellIs" dxfId="2" priority="35" operator="greaterThan">
      <formula>SUM(INDIRECT(ADDRESS(ROW(),COLUMN(farnell_part_data)+0)),INDIRECT(ADDRESS(ROW(),COLUMN(mouser_part_data)+0)),INDIRECT(ADDRESS(ROW(),COLUMN(rs_part_data)+0)))</formula>
    </cfRule>
    <cfRule type="cellIs" dxfId="3" priority="36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6">
    <cfRule type="expression" dxfId="0" priority="37">
      <formula>AND(ISBLANK(E16),ISBLANK(INDIRECT(ADDRESS(ROW(),COLUMN(farnell_part_data)+4))),ISBLANK(INDIRECT(ADDRESS(ROW(),COLUMN(mouser_part_data)+4))),ISBLANK(INDIRECT(ADDRESS(ROW(),COLUMN(rs_part_data)+4))))</formula>
    </cfRule>
    <cfRule type="expression" dxfId="1" priority="38">
      <formula>IF(SUM(INDIRECT(ADDRESS(ROW(),COLUMN(farnell_part_data)+0)),INDIRECT(ADDRESS(ROW(),COLUMN(mouser_part_data)+0)),INDIRECT(ADDRESS(ROW(),COLUMN(rs_part_data)+0)))=0,1,0)</formula>
    </cfRule>
    <cfRule type="cellIs" dxfId="2" priority="39" operator="greaterThan">
      <formula>SUM(INDIRECT(ADDRESS(ROW(),COLUMN(farnell_part_data)+0)),INDIRECT(ADDRESS(ROW(),COLUMN(mouser_part_data)+0)),INDIRECT(ADDRESS(ROW(),COLUMN(rs_part_data)+0)))</formula>
    </cfRule>
    <cfRule type="cellIs" dxfId="3" priority="40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7">
    <cfRule type="expression" dxfId="0" priority="41">
      <formula>AND(ISBLANK(E17),ISBLANK(INDIRECT(ADDRESS(ROW(),COLUMN(farnell_part_data)+4))),ISBLANK(INDIRECT(ADDRESS(ROW(),COLUMN(mouser_part_data)+4))),ISBLANK(INDIRECT(ADDRESS(ROW(),COLUMN(rs_part_data)+4))))</formula>
    </cfRule>
    <cfRule type="expression" dxfId="1" priority="42">
      <formula>IF(SUM(INDIRECT(ADDRESS(ROW(),COLUMN(farnell_part_data)+0)),INDIRECT(ADDRESS(ROW(),COLUMN(mouser_part_data)+0)),INDIRECT(ADDRESS(ROW(),COLUMN(rs_part_data)+0)))=0,1,0)</formula>
    </cfRule>
    <cfRule type="cellIs" dxfId="2" priority="43" operator="greaterThan">
      <formula>SUM(INDIRECT(ADDRESS(ROW(),COLUMN(farnell_part_data)+0)),INDIRECT(ADDRESS(ROW(),COLUMN(mouser_part_data)+0)),INDIRECT(ADDRESS(ROW(),COLUMN(rs_part_data)+0)))</formula>
    </cfRule>
    <cfRule type="cellIs" dxfId="3" priority="44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8">
    <cfRule type="expression" dxfId="0" priority="45">
      <formula>AND(ISBLANK(E18),ISBLANK(INDIRECT(ADDRESS(ROW(),COLUMN(farnell_part_data)+4))),ISBLANK(INDIRECT(ADDRESS(ROW(),COLUMN(mouser_part_data)+4))),ISBLANK(INDIRECT(ADDRESS(ROW(),COLUMN(rs_part_data)+4))))</formula>
    </cfRule>
    <cfRule type="expression" dxfId="1" priority="46">
      <formula>IF(SUM(INDIRECT(ADDRESS(ROW(),COLUMN(farnell_part_data)+0)),INDIRECT(ADDRESS(ROW(),COLUMN(mouser_part_data)+0)),INDIRECT(ADDRESS(ROW(),COLUMN(rs_part_data)+0)))=0,1,0)</formula>
    </cfRule>
    <cfRule type="cellIs" dxfId="2" priority="47" operator="greaterThan">
      <formula>SUM(INDIRECT(ADDRESS(ROW(),COLUMN(farnell_part_data)+0)),INDIRECT(ADDRESS(ROW(),COLUMN(mouser_part_data)+0)),INDIRECT(ADDRESS(ROW(),COLUMN(rs_part_data)+0)))</formula>
    </cfRule>
    <cfRule type="cellIs" dxfId="3" priority="48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9">
    <cfRule type="expression" dxfId="0" priority="49">
      <formula>AND(ISBLANK(E19),ISBLANK(INDIRECT(ADDRESS(ROW(),COLUMN(farnell_part_data)+4))),ISBLANK(INDIRECT(ADDRESS(ROW(),COLUMN(mouser_part_data)+4))),ISBLANK(INDIRECT(ADDRESS(ROW(),COLUMN(rs_part_data)+4))))</formula>
    </cfRule>
    <cfRule type="expression" dxfId="1" priority="50">
      <formula>IF(SUM(INDIRECT(ADDRESS(ROW(),COLUMN(farnell_part_data)+0)),INDIRECT(ADDRESS(ROW(),COLUMN(mouser_part_data)+0)),INDIRECT(ADDRESS(ROW(),COLUMN(rs_part_data)+0)))=0,1,0)</formula>
    </cfRule>
    <cfRule type="cellIs" dxfId="2" priority="51" operator="greaterThan">
      <formula>SUM(INDIRECT(ADDRESS(ROW(),COLUMN(farnell_part_data)+0)),INDIRECT(ADDRESS(ROW(),COLUMN(mouser_part_data)+0)),INDIRECT(ADDRESS(ROW(),COLUMN(rs_part_data)+0)))</formula>
    </cfRule>
    <cfRule type="cellIs" dxfId="3" priority="52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0">
    <cfRule type="expression" dxfId="0" priority="53">
      <formula>AND(ISBLANK(E20),ISBLANK(INDIRECT(ADDRESS(ROW(),COLUMN(farnell_part_data)+4))),ISBLANK(INDIRECT(ADDRESS(ROW(),COLUMN(mouser_part_data)+4))),ISBLANK(INDIRECT(ADDRESS(ROW(),COLUMN(rs_part_data)+4))))</formula>
    </cfRule>
    <cfRule type="expression" dxfId="1" priority="54">
      <formula>IF(SUM(INDIRECT(ADDRESS(ROW(),COLUMN(farnell_part_data)+0)),INDIRECT(ADDRESS(ROW(),COLUMN(mouser_part_data)+0)),INDIRECT(ADDRESS(ROW(),COLUMN(rs_part_data)+0)))=0,1,0)</formula>
    </cfRule>
    <cfRule type="cellIs" dxfId="2" priority="55" operator="greaterThan">
      <formula>SUM(INDIRECT(ADDRESS(ROW(),COLUMN(farnell_part_data)+0)),INDIRECT(ADDRESS(ROW(),COLUMN(mouser_part_data)+0)),INDIRECT(ADDRESS(ROW(),COLUMN(rs_part_data)+0)))</formula>
    </cfRule>
    <cfRule type="cellIs" dxfId="3" priority="56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1">
    <cfRule type="expression" dxfId="0" priority="57">
      <formula>AND(ISBLANK(E21),ISBLANK(INDIRECT(ADDRESS(ROW(),COLUMN(farnell_part_data)+4))),ISBLANK(INDIRECT(ADDRESS(ROW(),COLUMN(mouser_part_data)+4))),ISBLANK(INDIRECT(ADDRESS(ROW(),COLUMN(rs_part_data)+4))))</formula>
    </cfRule>
    <cfRule type="expression" dxfId="1" priority="58">
      <formula>IF(SUM(INDIRECT(ADDRESS(ROW(),COLUMN(farnell_part_data)+0)),INDIRECT(ADDRESS(ROW(),COLUMN(mouser_part_data)+0)),INDIRECT(ADDRESS(ROW(),COLUMN(rs_part_data)+0)))=0,1,0)</formula>
    </cfRule>
    <cfRule type="cellIs" dxfId="2" priority="59" operator="greaterThan">
      <formula>SUM(INDIRECT(ADDRESS(ROW(),COLUMN(farnell_part_data)+0)),INDIRECT(ADDRESS(ROW(),COLUMN(mouser_part_data)+0)),INDIRECT(ADDRESS(ROW(),COLUMN(rs_part_data)+0)))</formula>
    </cfRule>
    <cfRule type="cellIs" dxfId="3" priority="60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2">
    <cfRule type="expression" dxfId="0" priority="61">
      <formula>AND(ISBLANK(E22),ISBLANK(INDIRECT(ADDRESS(ROW(),COLUMN(farnell_part_data)+4))),ISBLANK(INDIRECT(ADDRESS(ROW(),COLUMN(mouser_part_data)+4))),ISBLANK(INDIRECT(ADDRESS(ROW(),COLUMN(rs_part_data)+4))))</formula>
    </cfRule>
    <cfRule type="expression" dxfId="1" priority="62">
      <formula>IF(SUM(INDIRECT(ADDRESS(ROW(),COLUMN(farnell_part_data)+0)),INDIRECT(ADDRESS(ROW(),COLUMN(mouser_part_data)+0)),INDIRECT(ADDRESS(ROW(),COLUMN(rs_part_data)+0)))=0,1,0)</formula>
    </cfRule>
    <cfRule type="cellIs" dxfId="2" priority="63" operator="greaterThan">
      <formula>SUM(INDIRECT(ADDRESS(ROW(),COLUMN(farnell_part_data)+0)),INDIRECT(ADDRESS(ROW(),COLUMN(mouser_part_data)+0)),INDIRECT(ADDRESS(ROW(),COLUMN(rs_part_data)+0)))</formula>
    </cfRule>
    <cfRule type="cellIs" dxfId="3" priority="64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3">
    <cfRule type="expression" dxfId="0" priority="65">
      <formula>AND(ISBLANK(E23),ISBLANK(INDIRECT(ADDRESS(ROW(),COLUMN(farnell_part_data)+4))),ISBLANK(INDIRECT(ADDRESS(ROW(),COLUMN(mouser_part_data)+4))),ISBLANK(INDIRECT(ADDRESS(ROW(),COLUMN(rs_part_data)+4))))</formula>
    </cfRule>
    <cfRule type="expression" dxfId="1" priority="66">
      <formula>IF(SUM(INDIRECT(ADDRESS(ROW(),COLUMN(farnell_part_data)+0)),INDIRECT(ADDRESS(ROW(),COLUMN(mouser_part_data)+0)),INDIRECT(ADDRESS(ROW(),COLUMN(rs_part_data)+0)))=0,1,0)</formula>
    </cfRule>
    <cfRule type="cellIs" dxfId="2" priority="67" operator="greaterThan">
      <formula>SUM(INDIRECT(ADDRESS(ROW(),COLUMN(farnell_part_data)+0)),INDIRECT(ADDRESS(ROW(),COLUMN(mouser_part_data)+0)),INDIRECT(ADDRESS(ROW(),COLUMN(rs_part_data)+0)))</formula>
    </cfRule>
    <cfRule type="cellIs" dxfId="3" priority="68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4">
    <cfRule type="expression" dxfId="0" priority="69">
      <formula>AND(ISBLANK(E24),ISBLANK(INDIRECT(ADDRESS(ROW(),COLUMN(farnell_part_data)+4))),ISBLANK(INDIRECT(ADDRESS(ROW(),COLUMN(mouser_part_data)+4))),ISBLANK(INDIRECT(ADDRESS(ROW(),COLUMN(rs_part_data)+4))))</formula>
    </cfRule>
    <cfRule type="expression" dxfId="1" priority="70">
      <formula>IF(SUM(INDIRECT(ADDRESS(ROW(),COLUMN(farnell_part_data)+0)),INDIRECT(ADDRESS(ROW(),COLUMN(mouser_part_data)+0)),INDIRECT(ADDRESS(ROW(),COLUMN(rs_part_data)+0)))=0,1,0)</formula>
    </cfRule>
    <cfRule type="cellIs" dxfId="2" priority="71" operator="greaterThan">
      <formula>SUM(INDIRECT(ADDRESS(ROW(),COLUMN(farnell_part_data)+0)),INDIRECT(ADDRESS(ROW(),COLUMN(mouser_part_data)+0)),INDIRECT(ADDRESS(ROW(),COLUMN(rs_part_data)+0)))</formula>
    </cfRule>
    <cfRule type="cellIs" dxfId="3" priority="72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5">
    <cfRule type="expression" dxfId="0" priority="73">
      <formula>AND(ISBLANK(E25),ISBLANK(INDIRECT(ADDRESS(ROW(),COLUMN(farnell_part_data)+4))),ISBLANK(INDIRECT(ADDRESS(ROW(),COLUMN(mouser_part_data)+4))),ISBLANK(INDIRECT(ADDRESS(ROW(),COLUMN(rs_part_data)+4))))</formula>
    </cfRule>
    <cfRule type="expression" dxfId="1" priority="74">
      <formula>IF(SUM(INDIRECT(ADDRESS(ROW(),COLUMN(farnell_part_data)+0)),INDIRECT(ADDRESS(ROW(),COLUMN(mouser_part_data)+0)),INDIRECT(ADDRESS(ROW(),COLUMN(rs_part_data)+0)))=0,1,0)</formula>
    </cfRule>
    <cfRule type="cellIs" dxfId="2" priority="75" operator="greaterThan">
      <formula>SUM(INDIRECT(ADDRESS(ROW(),COLUMN(farnell_part_data)+0)),INDIRECT(ADDRESS(ROW(),COLUMN(mouser_part_data)+0)),INDIRECT(ADDRESS(ROW(),COLUMN(rs_part_data)+0)))</formula>
    </cfRule>
    <cfRule type="cellIs" dxfId="3" priority="76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6">
    <cfRule type="expression" dxfId="0" priority="77">
      <formula>AND(ISBLANK(E26),ISBLANK(INDIRECT(ADDRESS(ROW(),COLUMN(farnell_part_data)+4))),ISBLANK(INDIRECT(ADDRESS(ROW(),COLUMN(mouser_part_data)+4))),ISBLANK(INDIRECT(ADDRESS(ROW(),COLUMN(rs_part_data)+4))))</formula>
    </cfRule>
    <cfRule type="expression" dxfId="1" priority="78">
      <formula>IF(SUM(INDIRECT(ADDRESS(ROW(),COLUMN(farnell_part_data)+0)),INDIRECT(ADDRESS(ROW(),COLUMN(mouser_part_data)+0)),INDIRECT(ADDRESS(ROW(),COLUMN(rs_part_data)+0)))=0,1,0)</formula>
    </cfRule>
    <cfRule type="cellIs" dxfId="2" priority="79" operator="greaterThan">
      <formula>SUM(INDIRECT(ADDRESS(ROW(),COLUMN(farnell_part_data)+0)),INDIRECT(ADDRESS(ROW(),COLUMN(mouser_part_data)+0)),INDIRECT(ADDRESS(ROW(),COLUMN(rs_part_data)+0)))</formula>
    </cfRule>
    <cfRule type="cellIs" dxfId="3" priority="80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7">
    <cfRule type="expression" dxfId="0" priority="81">
      <formula>AND(ISBLANK(E27),ISBLANK(INDIRECT(ADDRESS(ROW(),COLUMN(farnell_part_data)+4))),ISBLANK(INDIRECT(ADDRESS(ROW(),COLUMN(mouser_part_data)+4))),ISBLANK(INDIRECT(ADDRESS(ROW(),COLUMN(rs_part_data)+4))))</formula>
    </cfRule>
    <cfRule type="expression" dxfId="1" priority="82">
      <formula>IF(SUM(INDIRECT(ADDRESS(ROW(),COLUMN(farnell_part_data)+0)),INDIRECT(ADDRESS(ROW(),COLUMN(mouser_part_data)+0)),INDIRECT(ADDRESS(ROW(),COLUMN(rs_part_data)+0)))=0,1,0)</formula>
    </cfRule>
    <cfRule type="cellIs" dxfId="2" priority="83" operator="greaterThan">
      <formula>SUM(INDIRECT(ADDRESS(ROW(),COLUMN(farnell_part_data)+0)),INDIRECT(ADDRESS(ROW(),COLUMN(mouser_part_data)+0)),INDIRECT(ADDRESS(ROW(),COLUMN(rs_part_data)+0)))</formula>
    </cfRule>
    <cfRule type="cellIs" dxfId="3" priority="84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8">
    <cfRule type="expression" dxfId="0" priority="85">
      <formula>AND(ISBLANK(E28),ISBLANK(INDIRECT(ADDRESS(ROW(),COLUMN(farnell_part_data)+4))),ISBLANK(INDIRECT(ADDRESS(ROW(),COLUMN(mouser_part_data)+4))),ISBLANK(INDIRECT(ADDRESS(ROW(),COLUMN(rs_part_data)+4))))</formula>
    </cfRule>
    <cfRule type="expression" dxfId="1" priority="86">
      <formula>IF(SUM(INDIRECT(ADDRESS(ROW(),COLUMN(farnell_part_data)+0)),INDIRECT(ADDRESS(ROW(),COLUMN(mouser_part_data)+0)),INDIRECT(ADDRESS(ROW(),COLUMN(rs_part_data)+0)))=0,1,0)</formula>
    </cfRule>
    <cfRule type="cellIs" dxfId="2" priority="87" operator="greaterThan">
      <formula>SUM(INDIRECT(ADDRESS(ROW(),COLUMN(farnell_part_data)+0)),INDIRECT(ADDRESS(ROW(),COLUMN(mouser_part_data)+0)),INDIRECT(ADDRESS(ROW(),COLUMN(rs_part_data)+0)))</formula>
    </cfRule>
    <cfRule type="cellIs" dxfId="3" priority="88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9">
    <cfRule type="expression" dxfId="0" priority="89">
      <formula>AND(ISBLANK(E29),ISBLANK(INDIRECT(ADDRESS(ROW(),COLUMN(farnell_part_data)+4))),ISBLANK(INDIRECT(ADDRESS(ROW(),COLUMN(mouser_part_data)+4))),ISBLANK(INDIRECT(ADDRESS(ROW(),COLUMN(rs_part_data)+4))))</formula>
    </cfRule>
    <cfRule type="expression" dxfId="1" priority="90">
      <formula>IF(SUM(INDIRECT(ADDRESS(ROW(),COLUMN(farnell_part_data)+0)),INDIRECT(ADDRESS(ROW(),COLUMN(mouser_part_data)+0)),INDIRECT(ADDRESS(ROW(),COLUMN(rs_part_data)+0)))=0,1,0)</formula>
    </cfRule>
    <cfRule type="cellIs" dxfId="2" priority="91" operator="greaterThan">
      <formula>SUM(INDIRECT(ADDRESS(ROW(),COLUMN(farnell_part_data)+0)),INDIRECT(ADDRESS(ROW(),COLUMN(mouser_part_data)+0)),INDIRECT(ADDRESS(ROW(),COLUMN(rs_part_data)+0)))</formula>
    </cfRule>
    <cfRule type="cellIs" dxfId="3" priority="92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0">
    <cfRule type="expression" dxfId="0" priority="93">
      <formula>AND(ISBLANK(E30),ISBLANK(INDIRECT(ADDRESS(ROW(),COLUMN(farnell_part_data)+4))),ISBLANK(INDIRECT(ADDRESS(ROW(),COLUMN(mouser_part_data)+4))),ISBLANK(INDIRECT(ADDRESS(ROW(),COLUMN(rs_part_data)+4))))</formula>
    </cfRule>
    <cfRule type="expression" dxfId="1" priority="94">
      <formula>IF(SUM(INDIRECT(ADDRESS(ROW(),COLUMN(farnell_part_data)+0)),INDIRECT(ADDRESS(ROW(),COLUMN(mouser_part_data)+0)),INDIRECT(ADDRESS(ROW(),COLUMN(rs_part_data)+0)))=0,1,0)</formula>
    </cfRule>
    <cfRule type="cellIs" dxfId="2" priority="95" operator="greaterThan">
      <formula>SUM(INDIRECT(ADDRESS(ROW(),COLUMN(farnell_part_data)+0)),INDIRECT(ADDRESS(ROW(),COLUMN(mouser_part_data)+0)),INDIRECT(ADDRESS(ROW(),COLUMN(rs_part_data)+0)))</formula>
    </cfRule>
    <cfRule type="cellIs" dxfId="3" priority="96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1">
    <cfRule type="expression" dxfId="0" priority="97">
      <formula>AND(ISBLANK(E31),ISBLANK(INDIRECT(ADDRESS(ROW(),COLUMN(farnell_part_data)+4))),ISBLANK(INDIRECT(ADDRESS(ROW(),COLUMN(mouser_part_data)+4))),ISBLANK(INDIRECT(ADDRESS(ROW(),COLUMN(rs_part_data)+4))))</formula>
    </cfRule>
    <cfRule type="expression" dxfId="1" priority="98">
      <formula>IF(SUM(INDIRECT(ADDRESS(ROW(),COLUMN(farnell_part_data)+0)),INDIRECT(ADDRESS(ROW(),COLUMN(mouser_part_data)+0)),INDIRECT(ADDRESS(ROW(),COLUMN(rs_part_data)+0)))=0,1,0)</formula>
    </cfRule>
    <cfRule type="cellIs" dxfId="2" priority="99" operator="greaterThan">
      <formula>SUM(INDIRECT(ADDRESS(ROW(),COLUMN(farnell_part_data)+0)),INDIRECT(ADDRESS(ROW(),COLUMN(mouser_part_data)+0)),INDIRECT(ADDRESS(ROW(),COLUMN(rs_part_data)+0)))</formula>
    </cfRule>
    <cfRule type="cellIs" dxfId="3" priority="100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2">
    <cfRule type="expression" dxfId="0" priority="101">
      <formula>AND(ISBLANK(E32),ISBLANK(INDIRECT(ADDRESS(ROW(),COLUMN(farnell_part_data)+4))),ISBLANK(INDIRECT(ADDRESS(ROW(),COLUMN(mouser_part_data)+4))),ISBLANK(INDIRECT(ADDRESS(ROW(),COLUMN(rs_part_data)+4))))</formula>
    </cfRule>
    <cfRule type="expression" dxfId="1" priority="102">
      <formula>IF(SUM(INDIRECT(ADDRESS(ROW(),COLUMN(farnell_part_data)+0)),INDIRECT(ADDRESS(ROW(),COLUMN(mouser_part_data)+0)),INDIRECT(ADDRESS(ROW(),COLUMN(rs_part_data)+0)))=0,1,0)</formula>
    </cfRule>
    <cfRule type="cellIs" dxfId="2" priority="103" operator="greaterThan">
      <formula>SUM(INDIRECT(ADDRESS(ROW(),COLUMN(farnell_part_data)+0)),INDIRECT(ADDRESS(ROW(),COLUMN(mouser_part_data)+0)),INDIRECT(ADDRESS(ROW(),COLUMN(rs_part_data)+0)))</formula>
    </cfRule>
    <cfRule type="cellIs" dxfId="3" priority="104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3">
    <cfRule type="expression" dxfId="0" priority="105">
      <formula>AND(ISBLANK(E33),ISBLANK(INDIRECT(ADDRESS(ROW(),COLUMN(farnell_part_data)+4))),ISBLANK(INDIRECT(ADDRESS(ROW(),COLUMN(mouser_part_data)+4))),ISBLANK(INDIRECT(ADDRESS(ROW(),COLUMN(rs_part_data)+4))))</formula>
    </cfRule>
    <cfRule type="expression" dxfId="1" priority="106">
      <formula>IF(SUM(INDIRECT(ADDRESS(ROW(),COLUMN(farnell_part_data)+0)),INDIRECT(ADDRESS(ROW(),COLUMN(mouser_part_data)+0)),INDIRECT(ADDRESS(ROW(),COLUMN(rs_part_data)+0)))=0,1,0)</formula>
    </cfRule>
    <cfRule type="cellIs" dxfId="2" priority="107" operator="greaterThan">
      <formula>SUM(INDIRECT(ADDRESS(ROW(),COLUMN(farnell_part_data)+0)),INDIRECT(ADDRESS(ROW(),COLUMN(mouser_part_data)+0)),INDIRECT(ADDRESS(ROW(),COLUMN(rs_part_data)+0)))</formula>
    </cfRule>
    <cfRule type="cellIs" dxfId="3" priority="108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7">
    <cfRule type="expression" dxfId="0" priority="1">
      <formula>AND(ISBLANK(E7),ISBLANK(INDIRECT(ADDRESS(ROW(),COLUMN(farnell_part_data)+4))),ISBLANK(INDIRECT(ADDRESS(ROW(),COLUMN(mouser_part_data)+4))),ISBLANK(INDIRECT(ADDRESS(ROW(),COLUMN(rs_part_data)+4))))</formula>
    </cfRule>
    <cfRule type="expression" dxfId="1" priority="2">
      <formula>IF(SUM(INDIRECT(ADDRESS(ROW(),COLUMN(farnell_part_data)+0)),INDIRECT(ADDRESS(ROW(),COLUMN(mouser_part_data)+0)),INDIRECT(ADDRESS(ROW(),COLUMN(rs_part_data)+0)))=0,1,0)</formula>
    </cfRule>
    <cfRule type="cellIs" dxfId="2" priority="3" operator="greaterThan">
      <formula>SUM(INDIRECT(ADDRESS(ROW(),COLUMN(farnell_part_data)+0)),INDIRECT(ADDRESS(ROW(),COLUMN(mouser_part_data)+0)),INDIRECT(ADDRESS(ROW(),COLUMN(rs_part_data)+0)))</formula>
    </cfRule>
    <cfRule type="cellIs" dxfId="3" priority="4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8">
    <cfRule type="expression" dxfId="0" priority="5">
      <formula>AND(ISBLANK(E8),ISBLANK(INDIRECT(ADDRESS(ROW(),COLUMN(farnell_part_data)+4))),ISBLANK(INDIRECT(ADDRESS(ROW(),COLUMN(mouser_part_data)+4))),ISBLANK(INDIRECT(ADDRESS(ROW(),COLUMN(rs_part_data)+4))))</formula>
    </cfRule>
    <cfRule type="expression" dxfId="1" priority="6">
      <formula>IF(SUM(INDIRECT(ADDRESS(ROW(),COLUMN(farnell_part_data)+0)),INDIRECT(ADDRESS(ROW(),COLUMN(mouser_part_data)+0)),INDIRECT(ADDRESS(ROW(),COLUMN(rs_part_data)+0)))=0,1,0)</formula>
    </cfRule>
    <cfRule type="cellIs" dxfId="2" priority="7" operator="greaterThan">
      <formula>SUM(INDIRECT(ADDRESS(ROW(),COLUMN(farnell_part_data)+0)),INDIRECT(ADDRESS(ROW(),COLUMN(mouser_part_data)+0)),INDIRECT(ADDRESS(ROW(),COLUMN(rs_part_data)+0)))</formula>
    </cfRule>
    <cfRule type="cellIs" dxfId="3" priority="8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9">
    <cfRule type="expression" dxfId="0" priority="9">
      <formula>AND(ISBLANK(E9),ISBLANK(INDIRECT(ADDRESS(ROW(),COLUMN(farnell_part_data)+4))),ISBLANK(INDIRECT(ADDRESS(ROW(),COLUMN(mouser_part_data)+4))),ISBLANK(INDIRECT(ADDRESS(ROW(),COLUMN(rs_part_data)+4))))</formula>
    </cfRule>
    <cfRule type="expression" dxfId="1" priority="10">
      <formula>IF(SUM(INDIRECT(ADDRESS(ROW(),COLUMN(farnell_part_data)+0)),INDIRECT(ADDRESS(ROW(),COLUMN(mouser_part_data)+0)),INDIRECT(ADDRESS(ROW(),COLUMN(rs_part_data)+0)))=0,1,0)</formula>
    </cfRule>
    <cfRule type="cellIs" dxfId="2" priority="11" operator="greaterThan">
      <formula>SUM(INDIRECT(ADDRESS(ROW(),COLUMN(farnell_part_data)+0)),INDIRECT(ADDRESS(ROW(),COLUMN(mouser_part_data)+0)),INDIRECT(ADDRESS(ROW(),COLUMN(rs_part_data)+0)))</formula>
    </cfRule>
    <cfRule type="cellIs" dxfId="3" priority="12" operator="greaterThan">
      <formula>SUM(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I10">
    <cfRule type="cellIs" dxfId="1" priority="121" operator="equal">
      <formula>0</formula>
    </cfRule>
    <cfRule type="cellIs" dxfId="2" priority="122" operator="lessThan">
      <formula>F10</formula>
    </cfRule>
  </conditionalFormatting>
  <conditionalFormatting sqref="I12">
    <cfRule type="cellIs" dxfId="1" priority="127" operator="equal">
      <formula>0</formula>
    </cfRule>
    <cfRule type="cellIs" dxfId="2" priority="128" operator="lessThan">
      <formula>F12</formula>
    </cfRule>
  </conditionalFormatting>
  <conditionalFormatting sqref="I13">
    <cfRule type="cellIs" dxfId="1" priority="133" operator="equal">
      <formula>0</formula>
    </cfRule>
    <cfRule type="cellIs" dxfId="2" priority="134" operator="lessThan">
      <formula>F13</formula>
    </cfRule>
  </conditionalFormatting>
  <conditionalFormatting sqref="I15">
    <cfRule type="cellIs" dxfId="1" priority="139" operator="equal">
      <formula>0</formula>
    </cfRule>
    <cfRule type="cellIs" dxfId="2" priority="140" operator="lessThan">
      <formula>F15</formula>
    </cfRule>
  </conditionalFormatting>
  <conditionalFormatting sqref="I16">
    <cfRule type="cellIs" dxfId="1" priority="144" operator="equal">
      <formula>0</formula>
    </cfRule>
    <cfRule type="cellIs" dxfId="2" priority="145" operator="lessThan">
      <formula>F16</formula>
    </cfRule>
  </conditionalFormatting>
  <conditionalFormatting sqref="I17">
    <cfRule type="cellIs" dxfId="1" priority="149" operator="equal">
      <formula>0</formula>
    </cfRule>
    <cfRule type="cellIs" dxfId="2" priority="150" operator="lessThan">
      <formula>F17</formula>
    </cfRule>
  </conditionalFormatting>
  <conditionalFormatting sqref="I18">
    <cfRule type="cellIs" dxfId="1" priority="154" operator="equal">
      <formula>0</formula>
    </cfRule>
    <cfRule type="cellIs" dxfId="2" priority="155" operator="lessThan">
      <formula>F18</formula>
    </cfRule>
  </conditionalFormatting>
  <conditionalFormatting sqref="I19">
    <cfRule type="cellIs" dxfId="1" priority="159" operator="equal">
      <formula>0</formula>
    </cfRule>
    <cfRule type="cellIs" dxfId="2" priority="160" operator="lessThan">
      <formula>F19</formula>
    </cfRule>
  </conditionalFormatting>
  <conditionalFormatting sqref="I20">
    <cfRule type="cellIs" dxfId="1" priority="164" operator="equal">
      <formula>0</formula>
    </cfRule>
    <cfRule type="cellIs" dxfId="2" priority="165" operator="lessThan">
      <formula>F20</formula>
    </cfRule>
  </conditionalFormatting>
  <conditionalFormatting sqref="I21">
    <cfRule type="cellIs" dxfId="1" priority="169" operator="equal">
      <formula>0</formula>
    </cfRule>
    <cfRule type="cellIs" dxfId="2" priority="170" operator="lessThan">
      <formula>F21</formula>
    </cfRule>
  </conditionalFormatting>
  <conditionalFormatting sqref="I22">
    <cfRule type="cellIs" dxfId="1" priority="174" operator="equal">
      <formula>0</formula>
    </cfRule>
    <cfRule type="cellIs" dxfId="2" priority="175" operator="lessThan">
      <formula>F22</formula>
    </cfRule>
  </conditionalFormatting>
  <conditionalFormatting sqref="I23">
    <cfRule type="cellIs" dxfId="1" priority="179" operator="equal">
      <formula>0</formula>
    </cfRule>
    <cfRule type="cellIs" dxfId="2" priority="180" operator="lessThan">
      <formula>F23</formula>
    </cfRule>
  </conditionalFormatting>
  <conditionalFormatting sqref="I26">
    <cfRule type="cellIs" dxfId="1" priority="185" operator="equal">
      <formula>0</formula>
    </cfRule>
    <cfRule type="cellIs" dxfId="2" priority="186" operator="lessThan">
      <formula>F26</formula>
    </cfRule>
  </conditionalFormatting>
  <conditionalFormatting sqref="I29">
    <cfRule type="cellIs" dxfId="1" priority="191" operator="equal">
      <formula>0</formula>
    </cfRule>
    <cfRule type="cellIs" dxfId="2" priority="192" operator="lessThan">
      <formula>F29</formula>
    </cfRule>
  </conditionalFormatting>
  <conditionalFormatting sqref="I30">
    <cfRule type="cellIs" dxfId="1" priority="196" operator="equal">
      <formula>0</formula>
    </cfRule>
    <cfRule type="cellIs" dxfId="2" priority="197" operator="lessThan">
      <formula>F30</formula>
    </cfRule>
  </conditionalFormatting>
  <conditionalFormatting sqref="I31">
    <cfRule type="cellIs" dxfId="1" priority="202" operator="equal">
      <formula>0</formula>
    </cfRule>
    <cfRule type="cellIs" dxfId="2" priority="203" operator="lessThan">
      <formula>F31</formula>
    </cfRule>
  </conditionalFormatting>
  <conditionalFormatting sqref="I33">
    <cfRule type="cellIs" dxfId="1" priority="208" operator="equal">
      <formula>0</formula>
    </cfRule>
    <cfRule type="cellIs" dxfId="2" priority="209" operator="lessThan">
      <formula>F33</formula>
    </cfRule>
  </conditionalFormatting>
  <conditionalFormatting sqref="I7">
    <cfRule type="cellIs" dxfId="1" priority="109" operator="equal">
      <formula>0</formula>
    </cfRule>
    <cfRule type="cellIs" dxfId="2" priority="110" operator="lessThan">
      <formula>F7</formula>
    </cfRule>
  </conditionalFormatting>
  <conditionalFormatting sqref="I9">
    <cfRule type="cellIs" dxfId="1" priority="115" operator="equal">
      <formula>0</formula>
    </cfRule>
    <cfRule type="cellIs" dxfId="2" priority="116" operator="lessThan">
      <formula>F9</formula>
    </cfRule>
  </conditionalFormatting>
  <conditionalFormatting sqref="J10">
    <cfRule type="expression" dxfId="3" priority="123">
      <formula>AND(J10&gt;0,J10&lt;10)</formula>
    </cfRule>
    <cfRule type="cellIs" dxfId="1" priority="124" operator="greaterThan">
      <formula>I10</formula>
    </cfRule>
  </conditionalFormatting>
  <conditionalFormatting sqref="J12">
    <cfRule type="expression" dxfId="3" priority="129">
      <formula>AND(J12&gt;0,J12&lt;5)</formula>
    </cfRule>
    <cfRule type="cellIs" dxfId="1" priority="130" operator="greaterThan">
      <formula>I12</formula>
    </cfRule>
  </conditionalFormatting>
  <conditionalFormatting sqref="J13">
    <cfRule type="expression" dxfId="3" priority="135">
      <formula>AND(J13&gt;0,J13&lt;5)</formula>
    </cfRule>
    <cfRule type="cellIs" dxfId="1" priority="136" operator="greaterThan">
      <formula>I13</formula>
    </cfRule>
  </conditionalFormatting>
  <conditionalFormatting sqref="J15">
    <cfRule type="cellIs" dxfId="1" priority="141" operator="greaterThan">
      <formula>I15</formula>
    </cfRule>
  </conditionalFormatting>
  <conditionalFormatting sqref="J16">
    <cfRule type="cellIs" dxfId="1" priority="146" operator="greaterThan">
      <formula>I16</formula>
    </cfRule>
  </conditionalFormatting>
  <conditionalFormatting sqref="J17">
    <cfRule type="cellIs" dxfId="1" priority="151" operator="greaterThan">
      <formula>I17</formula>
    </cfRule>
  </conditionalFormatting>
  <conditionalFormatting sqref="J18">
    <cfRule type="cellIs" dxfId="1" priority="156" operator="greaterThan">
      <formula>I18</formula>
    </cfRule>
  </conditionalFormatting>
  <conditionalFormatting sqref="J19">
    <cfRule type="cellIs" dxfId="1" priority="161" operator="greaterThan">
      <formula>I19</formula>
    </cfRule>
  </conditionalFormatting>
  <conditionalFormatting sqref="J20">
    <cfRule type="cellIs" dxfId="1" priority="166" operator="greaterThan">
      <formula>I20</formula>
    </cfRule>
  </conditionalFormatting>
  <conditionalFormatting sqref="J21">
    <cfRule type="cellIs" dxfId="1" priority="171" operator="greaterThan">
      <formula>I21</formula>
    </cfRule>
  </conditionalFormatting>
  <conditionalFormatting sqref="J22">
    <cfRule type="cellIs" dxfId="1" priority="176" operator="greaterThan">
      <formula>I22</formula>
    </cfRule>
  </conditionalFormatting>
  <conditionalFormatting sqref="J23">
    <cfRule type="expression" dxfId="3" priority="181">
      <formula>AND(J23&gt;0,J23&lt;5)</formula>
    </cfRule>
    <cfRule type="cellIs" dxfId="1" priority="182" operator="greaterThan">
      <formula>I23</formula>
    </cfRule>
  </conditionalFormatting>
  <conditionalFormatting sqref="J26">
    <cfRule type="expression" dxfId="3" priority="187">
      <formula>AND(J26&gt;0,J26&lt;10)</formula>
    </cfRule>
    <cfRule type="cellIs" dxfId="1" priority="188" operator="greaterThan">
      <formula>I26</formula>
    </cfRule>
  </conditionalFormatting>
  <conditionalFormatting sqref="J29">
    <cfRule type="cellIs" dxfId="1" priority="193" operator="greaterThan">
      <formula>I29</formula>
    </cfRule>
  </conditionalFormatting>
  <conditionalFormatting sqref="J30">
    <cfRule type="expression" dxfId="3" priority="198">
      <formula>AND(J30&gt;0,J30&lt;5)</formula>
    </cfRule>
    <cfRule type="cellIs" dxfId="1" priority="199" operator="greaterThan">
      <formula>I30</formula>
    </cfRule>
  </conditionalFormatting>
  <conditionalFormatting sqref="J31">
    <cfRule type="expression" dxfId="3" priority="204">
      <formula>AND(J31&gt;0,J31&lt;10)</formula>
    </cfRule>
    <cfRule type="cellIs" dxfId="1" priority="205" operator="greaterThan">
      <formula>I31</formula>
    </cfRule>
  </conditionalFormatting>
  <conditionalFormatting sqref="J33">
    <cfRule type="expression" dxfId="3" priority="210">
      <formula>AND(J33&gt;0,J33&lt;10)</formula>
    </cfRule>
    <cfRule type="cellIs" dxfId="1" priority="211" operator="greaterThan">
      <formula>I33</formula>
    </cfRule>
  </conditionalFormatting>
  <conditionalFormatting sqref="J7">
    <cfRule type="expression" dxfId="3" priority="111">
      <formula>AND(J7&gt;0,J7&lt;5)</formula>
    </cfRule>
    <cfRule type="cellIs" dxfId="1" priority="112" operator="greaterThan">
      <formula>I7</formula>
    </cfRule>
  </conditionalFormatting>
  <conditionalFormatting sqref="J9">
    <cfRule type="expression" dxfId="3" priority="117">
      <formula>AND(J9&gt;0,J9&lt;10)</formula>
    </cfRule>
    <cfRule type="cellIs" dxfId="1" priority="118" operator="greaterThan">
      <formula>I9</formula>
    </cfRule>
  </conditionalFormatting>
  <conditionalFormatting sqref="K10">
    <cfRule type="cellIs" dxfId="4" priority="126" operator="lessThanOrEqual">
      <formula>G10</formula>
    </cfRule>
  </conditionalFormatting>
  <conditionalFormatting sqref="K12">
    <cfRule type="cellIs" dxfId="4" priority="132" operator="lessThanOrEqual">
      <formula>G12</formula>
    </cfRule>
  </conditionalFormatting>
  <conditionalFormatting sqref="K13">
    <cfRule type="cellIs" dxfId="4" priority="138" operator="lessThanOrEqual">
      <formula>G13</formula>
    </cfRule>
  </conditionalFormatting>
  <conditionalFormatting sqref="K15">
    <cfRule type="cellIs" dxfId="4" priority="143" operator="lessThanOrEqual">
      <formula>G15</formula>
    </cfRule>
  </conditionalFormatting>
  <conditionalFormatting sqref="K16">
    <cfRule type="cellIs" dxfId="4" priority="148" operator="lessThanOrEqual">
      <formula>G16</formula>
    </cfRule>
  </conditionalFormatting>
  <conditionalFormatting sqref="K17">
    <cfRule type="cellIs" dxfId="4" priority="153" operator="lessThanOrEqual">
      <formula>G17</formula>
    </cfRule>
  </conditionalFormatting>
  <conditionalFormatting sqref="K18">
    <cfRule type="cellIs" dxfId="4" priority="158" operator="lessThanOrEqual">
      <formula>G18</formula>
    </cfRule>
  </conditionalFormatting>
  <conditionalFormatting sqref="K19">
    <cfRule type="cellIs" dxfId="4" priority="163" operator="lessThanOrEqual">
      <formula>G19</formula>
    </cfRule>
  </conditionalFormatting>
  <conditionalFormatting sqref="K20">
    <cfRule type="cellIs" dxfId="4" priority="168" operator="lessThanOrEqual">
      <formula>G20</formula>
    </cfRule>
  </conditionalFormatting>
  <conditionalFormatting sqref="K21">
    <cfRule type="cellIs" dxfId="4" priority="173" operator="lessThanOrEqual">
      <formula>G21</formula>
    </cfRule>
  </conditionalFormatting>
  <conditionalFormatting sqref="K22">
    <cfRule type="cellIs" dxfId="4" priority="178" operator="lessThanOrEqual">
      <formula>G22</formula>
    </cfRule>
  </conditionalFormatting>
  <conditionalFormatting sqref="K23">
    <cfRule type="cellIs" dxfId="4" priority="184" operator="lessThanOrEqual">
      <formula>G23</formula>
    </cfRule>
  </conditionalFormatting>
  <conditionalFormatting sqref="K26">
    <cfRule type="cellIs" dxfId="4" priority="190" operator="lessThanOrEqual">
      <formula>G26</formula>
    </cfRule>
  </conditionalFormatting>
  <conditionalFormatting sqref="K29">
    <cfRule type="cellIs" dxfId="4" priority="195" operator="lessThanOrEqual">
      <formula>G29</formula>
    </cfRule>
  </conditionalFormatting>
  <conditionalFormatting sqref="K30">
    <cfRule type="cellIs" dxfId="4" priority="201" operator="lessThanOrEqual">
      <formula>G30</formula>
    </cfRule>
  </conditionalFormatting>
  <conditionalFormatting sqref="K31">
    <cfRule type="cellIs" dxfId="4" priority="207" operator="lessThanOrEqual">
      <formula>G31</formula>
    </cfRule>
  </conditionalFormatting>
  <conditionalFormatting sqref="K33">
    <cfRule type="cellIs" dxfId="4" priority="213" operator="lessThanOrEqual">
      <formula>G33</formula>
    </cfRule>
  </conditionalFormatting>
  <conditionalFormatting sqref="K7">
    <cfRule type="cellIs" dxfId="4" priority="114" operator="lessThanOrEqual">
      <formula>G7</formula>
    </cfRule>
  </conditionalFormatting>
  <conditionalFormatting sqref="K9">
    <cfRule type="cellIs" dxfId="4" priority="120" operator="lessThanOrEqual">
      <formula>G9</formula>
    </cfRule>
  </conditionalFormatting>
  <conditionalFormatting sqref="L10">
    <cfRule type="cellIs" dxfId="4" priority="125" operator="lessThanOrEqual">
      <formula>H10</formula>
    </cfRule>
  </conditionalFormatting>
  <conditionalFormatting sqref="L12">
    <cfRule type="cellIs" dxfId="4" priority="131" operator="lessThanOrEqual">
      <formula>H12</formula>
    </cfRule>
  </conditionalFormatting>
  <conditionalFormatting sqref="L13">
    <cfRule type="cellIs" dxfId="4" priority="137" operator="lessThanOrEqual">
      <formula>H13</formula>
    </cfRule>
  </conditionalFormatting>
  <conditionalFormatting sqref="L15">
    <cfRule type="cellIs" dxfId="4" priority="142" operator="lessThanOrEqual">
      <formula>H15</formula>
    </cfRule>
  </conditionalFormatting>
  <conditionalFormatting sqref="L16">
    <cfRule type="cellIs" dxfId="4" priority="147" operator="lessThanOrEqual">
      <formula>H16</formula>
    </cfRule>
  </conditionalFormatting>
  <conditionalFormatting sqref="L17">
    <cfRule type="cellIs" dxfId="4" priority="152" operator="lessThanOrEqual">
      <formula>H17</formula>
    </cfRule>
  </conditionalFormatting>
  <conditionalFormatting sqref="L18">
    <cfRule type="cellIs" dxfId="4" priority="157" operator="lessThanOrEqual">
      <formula>H18</formula>
    </cfRule>
  </conditionalFormatting>
  <conditionalFormatting sqref="L19">
    <cfRule type="cellIs" dxfId="4" priority="162" operator="lessThanOrEqual">
      <formula>H19</formula>
    </cfRule>
  </conditionalFormatting>
  <conditionalFormatting sqref="L20">
    <cfRule type="cellIs" dxfId="4" priority="167" operator="lessThanOrEqual">
      <formula>H20</formula>
    </cfRule>
  </conditionalFormatting>
  <conditionalFormatting sqref="L21">
    <cfRule type="cellIs" dxfId="4" priority="172" operator="lessThanOrEqual">
      <formula>H21</formula>
    </cfRule>
  </conditionalFormatting>
  <conditionalFormatting sqref="L22">
    <cfRule type="cellIs" dxfId="4" priority="177" operator="lessThanOrEqual">
      <formula>H22</formula>
    </cfRule>
  </conditionalFormatting>
  <conditionalFormatting sqref="L23">
    <cfRule type="cellIs" dxfId="4" priority="183" operator="lessThanOrEqual">
      <formula>H23</formula>
    </cfRule>
  </conditionalFormatting>
  <conditionalFormatting sqref="L26">
    <cfRule type="cellIs" dxfId="4" priority="189" operator="lessThanOrEqual">
      <formula>H26</formula>
    </cfRule>
  </conditionalFormatting>
  <conditionalFormatting sqref="L29">
    <cfRule type="cellIs" dxfId="4" priority="194" operator="lessThanOrEqual">
      <formula>H29</formula>
    </cfRule>
  </conditionalFormatting>
  <conditionalFormatting sqref="L30">
    <cfRule type="cellIs" dxfId="4" priority="200" operator="lessThanOrEqual">
      <formula>H30</formula>
    </cfRule>
  </conditionalFormatting>
  <conditionalFormatting sqref="L31">
    <cfRule type="cellIs" dxfId="4" priority="206" operator="lessThanOrEqual">
      <formula>H31</formula>
    </cfRule>
  </conditionalFormatting>
  <conditionalFormatting sqref="L33">
    <cfRule type="cellIs" dxfId="4" priority="212" operator="lessThanOrEqual">
      <formula>H33</formula>
    </cfRule>
  </conditionalFormatting>
  <conditionalFormatting sqref="L7">
    <cfRule type="cellIs" dxfId="4" priority="113" operator="lessThanOrEqual">
      <formula>H7</formula>
    </cfRule>
  </conditionalFormatting>
  <conditionalFormatting sqref="L9">
    <cfRule type="cellIs" dxfId="4" priority="119" operator="lessThanOrEqual">
      <formula>H9</formula>
    </cfRule>
  </conditionalFormatting>
  <conditionalFormatting sqref="N10">
    <cfRule type="cellIs" dxfId="1" priority="229" operator="equal">
      <formula>0</formula>
    </cfRule>
    <cfRule type="cellIs" dxfId="2" priority="230" operator="lessThan">
      <formula>F10</formula>
    </cfRule>
  </conditionalFormatting>
  <conditionalFormatting sqref="N11">
    <cfRule type="cellIs" dxfId="1" priority="234" operator="equal">
      <formula>0</formula>
    </cfRule>
    <cfRule type="cellIs" dxfId="2" priority="235" operator="lessThan">
      <formula>F11</formula>
    </cfRule>
  </conditionalFormatting>
  <conditionalFormatting sqref="N12">
    <cfRule type="cellIs" dxfId="1" priority="239" operator="equal">
      <formula>0</formula>
    </cfRule>
    <cfRule type="cellIs" dxfId="2" priority="240" operator="lessThan">
      <formula>F12</formula>
    </cfRule>
  </conditionalFormatting>
  <conditionalFormatting sqref="N13">
    <cfRule type="cellIs" dxfId="1" priority="244" operator="equal">
      <formula>0</formula>
    </cfRule>
    <cfRule type="cellIs" dxfId="2" priority="245" operator="lessThan">
      <formula>F13</formula>
    </cfRule>
  </conditionalFormatting>
  <conditionalFormatting sqref="N24">
    <cfRule type="cellIs" dxfId="1" priority="249" operator="equal">
      <formula>0</formula>
    </cfRule>
    <cfRule type="cellIs" dxfId="2" priority="250" operator="lessThan">
      <formula>F24</formula>
    </cfRule>
  </conditionalFormatting>
  <conditionalFormatting sqref="N25">
    <cfRule type="cellIs" dxfId="1" priority="254" operator="equal">
      <formula>0</formula>
    </cfRule>
    <cfRule type="cellIs" dxfId="2" priority="255" operator="lessThan">
      <formula>F25</formula>
    </cfRule>
  </conditionalFormatting>
  <conditionalFormatting sqref="N26">
    <cfRule type="cellIs" dxfId="1" priority="259" operator="equal">
      <formula>0</formula>
    </cfRule>
    <cfRule type="cellIs" dxfId="2" priority="260" operator="lessThan">
      <formula>F26</formula>
    </cfRule>
  </conditionalFormatting>
  <conditionalFormatting sqref="N28">
    <cfRule type="cellIs" dxfId="1" priority="264" operator="equal">
      <formula>0</formula>
    </cfRule>
    <cfRule type="cellIs" dxfId="2" priority="265" operator="lessThan">
      <formula>F28</formula>
    </cfRule>
  </conditionalFormatting>
  <conditionalFormatting sqref="N29">
    <cfRule type="cellIs" dxfId="1" priority="269" operator="equal">
      <formula>0</formula>
    </cfRule>
    <cfRule type="cellIs" dxfId="2" priority="270" operator="lessThan">
      <formula>F29</formula>
    </cfRule>
  </conditionalFormatting>
  <conditionalFormatting sqref="N30">
    <cfRule type="cellIs" dxfId="1" priority="274" operator="equal">
      <formula>0</formula>
    </cfRule>
    <cfRule type="cellIs" dxfId="2" priority="275" operator="lessThan">
      <formula>F30</formula>
    </cfRule>
  </conditionalFormatting>
  <conditionalFormatting sqref="N31">
    <cfRule type="cellIs" dxfId="1" priority="279" operator="equal">
      <formula>0</formula>
    </cfRule>
    <cfRule type="cellIs" dxfId="2" priority="280" operator="lessThan">
      <formula>F31</formula>
    </cfRule>
  </conditionalFormatting>
  <conditionalFormatting sqref="N32">
    <cfRule type="cellIs" dxfId="1" priority="284" operator="equal">
      <formula>0</formula>
    </cfRule>
    <cfRule type="cellIs" dxfId="2" priority="285" operator="lessThan">
      <formula>F32</formula>
    </cfRule>
  </conditionalFormatting>
  <conditionalFormatting sqref="N33">
    <cfRule type="cellIs" dxfId="1" priority="289" operator="equal">
      <formula>0</formula>
    </cfRule>
    <cfRule type="cellIs" dxfId="2" priority="290" operator="lessThan">
      <formula>F33</formula>
    </cfRule>
  </conditionalFormatting>
  <conditionalFormatting sqref="N7">
    <cfRule type="cellIs" dxfId="1" priority="214" operator="equal">
      <formula>0</formula>
    </cfRule>
    <cfRule type="cellIs" dxfId="2" priority="215" operator="lessThan">
      <formula>F7</formula>
    </cfRule>
  </conditionalFormatting>
  <conditionalFormatting sqref="N8">
    <cfRule type="cellIs" dxfId="1" priority="219" operator="equal">
      <formula>0</formula>
    </cfRule>
    <cfRule type="cellIs" dxfId="2" priority="220" operator="lessThan">
      <formula>F8</formula>
    </cfRule>
  </conditionalFormatting>
  <conditionalFormatting sqref="N9">
    <cfRule type="cellIs" dxfId="1" priority="224" operator="equal">
      <formula>0</formula>
    </cfRule>
    <cfRule type="cellIs" dxfId="2" priority="225" operator="lessThan">
      <formula>F9</formula>
    </cfRule>
  </conditionalFormatting>
  <conditionalFormatting sqref="O10">
    <cfRule type="cellIs" dxfId="1" priority="231" operator="greaterThan">
      <formula>N10</formula>
    </cfRule>
  </conditionalFormatting>
  <conditionalFormatting sqref="O11">
    <cfRule type="cellIs" dxfId="1" priority="236" operator="greaterThan">
      <formula>N11</formula>
    </cfRule>
  </conditionalFormatting>
  <conditionalFormatting sqref="O12">
    <cfRule type="cellIs" dxfId="1" priority="241" operator="greaterThan">
      <formula>N12</formula>
    </cfRule>
  </conditionalFormatting>
  <conditionalFormatting sqref="O13">
    <cfRule type="cellIs" dxfId="1" priority="246" operator="greaterThan">
      <formula>N13</formula>
    </cfRule>
  </conditionalFormatting>
  <conditionalFormatting sqref="O24">
    <cfRule type="cellIs" dxfId="1" priority="251" operator="greaterThan">
      <formula>N24</formula>
    </cfRule>
  </conditionalFormatting>
  <conditionalFormatting sqref="O25">
    <cfRule type="cellIs" dxfId="1" priority="256" operator="greaterThan">
      <formula>N25</formula>
    </cfRule>
  </conditionalFormatting>
  <conditionalFormatting sqref="O26">
    <cfRule type="cellIs" dxfId="1" priority="261" operator="greaterThan">
      <formula>N26</formula>
    </cfRule>
  </conditionalFormatting>
  <conditionalFormatting sqref="O28">
    <cfRule type="cellIs" dxfId="1" priority="266" operator="greaterThan">
      <formula>N28</formula>
    </cfRule>
  </conditionalFormatting>
  <conditionalFormatting sqref="O29">
    <cfRule type="cellIs" dxfId="1" priority="271" operator="greaterThan">
      <formula>N29</formula>
    </cfRule>
  </conditionalFormatting>
  <conditionalFormatting sqref="O30">
    <cfRule type="cellIs" dxfId="1" priority="276" operator="greaterThan">
      <formula>N30</formula>
    </cfRule>
  </conditionalFormatting>
  <conditionalFormatting sqref="O31">
    <cfRule type="cellIs" dxfId="1" priority="281" operator="greaterThan">
      <formula>N31</formula>
    </cfRule>
  </conditionalFormatting>
  <conditionalFormatting sqref="O32">
    <cfRule type="cellIs" dxfId="1" priority="286" operator="greaterThan">
      <formula>N32</formula>
    </cfRule>
  </conditionalFormatting>
  <conditionalFormatting sqref="O33">
    <cfRule type="cellIs" dxfId="1" priority="291" operator="greaterThan">
      <formula>N33</formula>
    </cfRule>
  </conditionalFormatting>
  <conditionalFormatting sqref="O7">
    <cfRule type="cellIs" dxfId="1" priority="216" operator="greaterThan">
      <formula>N7</formula>
    </cfRule>
  </conditionalFormatting>
  <conditionalFormatting sqref="O8">
    <cfRule type="cellIs" dxfId="1" priority="221" operator="greaterThan">
      <formula>N8</formula>
    </cfRule>
  </conditionalFormatting>
  <conditionalFormatting sqref="O9">
    <cfRule type="cellIs" dxfId="1" priority="226" operator="greaterThan">
      <formula>N9</formula>
    </cfRule>
  </conditionalFormatting>
  <conditionalFormatting sqref="P10">
    <cfRule type="cellIs" dxfId="4" priority="233" operator="lessThanOrEqual">
      <formula>G10</formula>
    </cfRule>
  </conditionalFormatting>
  <conditionalFormatting sqref="P11">
    <cfRule type="cellIs" dxfId="4" priority="238" operator="lessThanOrEqual">
      <formula>G11</formula>
    </cfRule>
  </conditionalFormatting>
  <conditionalFormatting sqref="P12">
    <cfRule type="cellIs" dxfId="4" priority="243" operator="lessThanOrEqual">
      <formula>G12</formula>
    </cfRule>
  </conditionalFormatting>
  <conditionalFormatting sqref="P13">
    <cfRule type="cellIs" dxfId="4" priority="248" operator="lessThanOrEqual">
      <formula>G13</formula>
    </cfRule>
  </conditionalFormatting>
  <conditionalFormatting sqref="P24">
    <cfRule type="cellIs" dxfId="4" priority="253" operator="lessThanOrEqual">
      <formula>G24</formula>
    </cfRule>
  </conditionalFormatting>
  <conditionalFormatting sqref="P25">
    <cfRule type="cellIs" dxfId="4" priority="258" operator="lessThanOrEqual">
      <formula>G25</formula>
    </cfRule>
  </conditionalFormatting>
  <conditionalFormatting sqref="P26">
    <cfRule type="cellIs" dxfId="4" priority="263" operator="lessThanOrEqual">
      <formula>G26</formula>
    </cfRule>
  </conditionalFormatting>
  <conditionalFormatting sqref="P28">
    <cfRule type="cellIs" dxfId="4" priority="268" operator="lessThanOrEqual">
      <formula>G28</formula>
    </cfRule>
  </conditionalFormatting>
  <conditionalFormatting sqref="P29">
    <cfRule type="cellIs" dxfId="4" priority="273" operator="lessThanOrEqual">
      <formula>G29</formula>
    </cfRule>
  </conditionalFormatting>
  <conditionalFormatting sqref="P30">
    <cfRule type="cellIs" dxfId="4" priority="278" operator="lessThanOrEqual">
      <formula>G30</formula>
    </cfRule>
  </conditionalFormatting>
  <conditionalFormatting sqref="P31">
    <cfRule type="cellIs" dxfId="4" priority="283" operator="lessThanOrEqual">
      <formula>G31</formula>
    </cfRule>
  </conditionalFormatting>
  <conditionalFormatting sqref="P32">
    <cfRule type="cellIs" dxfId="4" priority="288" operator="lessThanOrEqual">
      <formula>G32</formula>
    </cfRule>
  </conditionalFormatting>
  <conditionalFormatting sqref="P33">
    <cfRule type="cellIs" dxfId="4" priority="293" operator="lessThanOrEqual">
      <formula>G33</formula>
    </cfRule>
  </conditionalFormatting>
  <conditionalFormatting sqref="P7">
    <cfRule type="cellIs" dxfId="4" priority="218" operator="lessThanOrEqual">
      <formula>G7</formula>
    </cfRule>
  </conditionalFormatting>
  <conditionalFormatting sqref="P8">
    <cfRule type="cellIs" dxfId="4" priority="223" operator="lessThanOrEqual">
      <formula>G8</formula>
    </cfRule>
  </conditionalFormatting>
  <conditionalFormatting sqref="P9">
    <cfRule type="cellIs" dxfId="4" priority="228" operator="lessThanOrEqual">
      <formula>G9</formula>
    </cfRule>
  </conditionalFormatting>
  <conditionalFormatting sqref="Q10">
    <cfRule type="cellIs" dxfId="4" priority="232" operator="lessThanOrEqual">
      <formula>H10</formula>
    </cfRule>
  </conditionalFormatting>
  <conditionalFormatting sqref="Q11">
    <cfRule type="cellIs" dxfId="4" priority="237" operator="lessThanOrEqual">
      <formula>H11</formula>
    </cfRule>
  </conditionalFormatting>
  <conditionalFormatting sqref="Q12">
    <cfRule type="cellIs" dxfId="4" priority="242" operator="lessThanOrEqual">
      <formula>H12</formula>
    </cfRule>
  </conditionalFormatting>
  <conditionalFormatting sqref="Q13">
    <cfRule type="cellIs" dxfId="4" priority="247" operator="lessThanOrEqual">
      <formula>H13</formula>
    </cfRule>
  </conditionalFormatting>
  <conditionalFormatting sqref="Q24">
    <cfRule type="cellIs" dxfId="4" priority="252" operator="lessThanOrEqual">
      <formula>H24</formula>
    </cfRule>
  </conditionalFormatting>
  <conditionalFormatting sqref="Q25">
    <cfRule type="cellIs" dxfId="4" priority="257" operator="lessThanOrEqual">
      <formula>H25</formula>
    </cfRule>
  </conditionalFormatting>
  <conditionalFormatting sqref="Q26">
    <cfRule type="cellIs" dxfId="4" priority="262" operator="lessThanOrEqual">
      <formula>H26</formula>
    </cfRule>
  </conditionalFormatting>
  <conditionalFormatting sqref="Q28">
    <cfRule type="cellIs" dxfId="4" priority="267" operator="lessThanOrEqual">
      <formula>H28</formula>
    </cfRule>
  </conditionalFormatting>
  <conditionalFormatting sqref="Q29">
    <cfRule type="cellIs" dxfId="4" priority="272" operator="lessThanOrEqual">
      <formula>H29</formula>
    </cfRule>
  </conditionalFormatting>
  <conditionalFormatting sqref="Q30">
    <cfRule type="cellIs" dxfId="4" priority="277" operator="lessThanOrEqual">
      <formula>H30</formula>
    </cfRule>
  </conditionalFormatting>
  <conditionalFormatting sqref="Q31">
    <cfRule type="cellIs" dxfId="4" priority="282" operator="lessThanOrEqual">
      <formula>H31</formula>
    </cfRule>
  </conditionalFormatting>
  <conditionalFormatting sqref="Q32">
    <cfRule type="cellIs" dxfId="4" priority="287" operator="lessThanOrEqual">
      <formula>H32</formula>
    </cfRule>
  </conditionalFormatting>
  <conditionalFormatting sqref="Q33">
    <cfRule type="cellIs" dxfId="4" priority="292" operator="lessThanOrEqual">
      <formula>H33</formula>
    </cfRule>
  </conditionalFormatting>
  <conditionalFormatting sqref="Q7">
    <cfRule type="cellIs" dxfId="4" priority="217" operator="lessThanOrEqual">
      <formula>H7</formula>
    </cfRule>
  </conditionalFormatting>
  <conditionalFormatting sqref="Q8">
    <cfRule type="cellIs" dxfId="4" priority="222" operator="lessThanOrEqual">
      <formula>H8</formula>
    </cfRule>
  </conditionalFormatting>
  <conditionalFormatting sqref="Q9">
    <cfRule type="cellIs" dxfId="4" priority="227" operator="lessThanOrEqual">
      <formula>H9</formula>
    </cfRule>
  </conditionalFormatting>
  <conditionalFormatting sqref="S11">
    <cfRule type="cellIs" dxfId="1" priority="300" operator="equal">
      <formula>0</formula>
    </cfRule>
    <cfRule type="cellIs" dxfId="2" priority="301" operator="lessThan">
      <formula>F11</formula>
    </cfRule>
  </conditionalFormatting>
  <conditionalFormatting sqref="S12">
    <cfRule type="cellIs" dxfId="1" priority="306" operator="equal">
      <formula>0</formula>
    </cfRule>
    <cfRule type="cellIs" dxfId="2" priority="307" operator="lessThan">
      <formula>F12</formula>
    </cfRule>
  </conditionalFormatting>
  <conditionalFormatting sqref="S13">
    <cfRule type="cellIs" dxfId="1" priority="312" operator="equal">
      <formula>0</formula>
    </cfRule>
    <cfRule type="cellIs" dxfId="2" priority="313" operator="lessThan">
      <formula>F13</formula>
    </cfRule>
  </conditionalFormatting>
  <conditionalFormatting sqref="S28">
    <cfRule type="cellIs" dxfId="1" priority="318" operator="equal">
      <formula>0</formula>
    </cfRule>
    <cfRule type="cellIs" dxfId="2" priority="319" operator="lessThan">
      <formula>F28</formula>
    </cfRule>
  </conditionalFormatting>
  <conditionalFormatting sqref="S29">
    <cfRule type="cellIs" dxfId="1" priority="324" operator="equal">
      <formula>0</formula>
    </cfRule>
    <cfRule type="cellIs" dxfId="2" priority="325" operator="lessThan">
      <formula>F29</formula>
    </cfRule>
  </conditionalFormatting>
  <conditionalFormatting sqref="S31">
    <cfRule type="cellIs" dxfId="1" priority="330" operator="equal">
      <formula>0</formula>
    </cfRule>
    <cfRule type="cellIs" dxfId="2" priority="331" operator="lessThan">
      <formula>F31</formula>
    </cfRule>
  </conditionalFormatting>
  <conditionalFormatting sqref="S33">
    <cfRule type="cellIs" dxfId="1" priority="336" operator="equal">
      <formula>0</formula>
    </cfRule>
    <cfRule type="cellIs" dxfId="2" priority="337" operator="lessThan">
      <formula>F33</formula>
    </cfRule>
  </conditionalFormatting>
  <conditionalFormatting sqref="S7">
    <cfRule type="cellIs" dxfId="1" priority="294" operator="equal">
      <formula>0</formula>
    </cfRule>
    <cfRule type="cellIs" dxfId="2" priority="295" operator="lessThan">
      <formula>F7</formula>
    </cfRule>
  </conditionalFormatting>
  <conditionalFormatting sqref="T11">
    <cfRule type="expression" dxfId="3" priority="302">
      <formula>AND(T11&gt;0,T11&lt;100)</formula>
    </cfRule>
    <cfRule type="cellIs" dxfId="1" priority="303" operator="greaterThan">
      <formula>S11</formula>
    </cfRule>
  </conditionalFormatting>
  <conditionalFormatting sqref="T12">
    <cfRule type="expression" dxfId="3" priority="308">
      <formula>AND(T12&gt;0,T12&lt;50)</formula>
    </cfRule>
    <cfRule type="cellIs" dxfId="1" priority="309" operator="greaterThan">
      <formula>S12</formula>
    </cfRule>
  </conditionalFormatting>
  <conditionalFormatting sqref="T13">
    <cfRule type="expression" dxfId="3" priority="314">
      <formula>AND(T13&gt;0,T13&lt;10)</formula>
    </cfRule>
    <cfRule type="cellIs" dxfId="1" priority="315" operator="greaterThan">
      <formula>S13</formula>
    </cfRule>
  </conditionalFormatting>
  <conditionalFormatting sqref="T28">
    <cfRule type="expression" dxfId="3" priority="320">
      <formula>AND(T28&gt;0,T28&lt;5)</formula>
    </cfRule>
    <cfRule type="cellIs" dxfId="1" priority="321" operator="greaterThan">
      <formula>S28</formula>
    </cfRule>
  </conditionalFormatting>
  <conditionalFormatting sqref="T29">
    <cfRule type="expression" dxfId="3" priority="326">
      <formula>AND(T29&gt;0,T29&lt;2000)</formula>
    </cfRule>
    <cfRule type="cellIs" dxfId="1" priority="327" operator="greaterThan">
      <formula>S29</formula>
    </cfRule>
  </conditionalFormatting>
  <conditionalFormatting sqref="T31">
    <cfRule type="expression" dxfId="3" priority="332">
      <formula>AND(T31&gt;0,T31&lt;5)</formula>
    </cfRule>
    <cfRule type="cellIs" dxfId="1" priority="333" operator="greaterThan">
      <formula>S31</formula>
    </cfRule>
  </conditionalFormatting>
  <conditionalFormatting sqref="T33">
    <cfRule type="expression" dxfId="3" priority="338">
      <formula>AND(T33&gt;0,T33&lt;5)</formula>
    </cfRule>
    <cfRule type="cellIs" dxfId="1" priority="339" operator="greaterThan">
      <formula>S33</formula>
    </cfRule>
  </conditionalFormatting>
  <conditionalFormatting sqref="T7">
    <cfRule type="expression" dxfId="3" priority="296">
      <formula>AND(T7&gt;0,T7&lt;2500)</formula>
    </cfRule>
    <cfRule type="cellIs" dxfId="1" priority="297" operator="greaterThan">
      <formula>S7</formula>
    </cfRule>
  </conditionalFormatting>
  <conditionalFormatting sqref="U11">
    <cfRule type="cellIs" dxfId="4" priority="305" operator="lessThanOrEqual">
      <formula>G11</formula>
    </cfRule>
  </conditionalFormatting>
  <conditionalFormatting sqref="U12">
    <cfRule type="cellIs" dxfId="4" priority="311" operator="lessThanOrEqual">
      <formula>G12</formula>
    </cfRule>
  </conditionalFormatting>
  <conditionalFormatting sqref="U13">
    <cfRule type="cellIs" dxfId="4" priority="317" operator="lessThanOrEqual">
      <formula>G13</formula>
    </cfRule>
  </conditionalFormatting>
  <conditionalFormatting sqref="U28">
    <cfRule type="cellIs" dxfId="4" priority="323" operator="lessThanOrEqual">
      <formula>G28</formula>
    </cfRule>
  </conditionalFormatting>
  <conditionalFormatting sqref="U29">
    <cfRule type="cellIs" dxfId="4" priority="329" operator="lessThanOrEqual">
      <formula>G29</formula>
    </cfRule>
  </conditionalFormatting>
  <conditionalFormatting sqref="U31">
    <cfRule type="cellIs" dxfId="4" priority="335" operator="lessThanOrEqual">
      <formula>G31</formula>
    </cfRule>
  </conditionalFormatting>
  <conditionalFormatting sqref="U33">
    <cfRule type="cellIs" dxfId="4" priority="341" operator="lessThanOrEqual">
      <formula>G33</formula>
    </cfRule>
  </conditionalFormatting>
  <conditionalFormatting sqref="U7">
    <cfRule type="cellIs" dxfId="4" priority="299" operator="lessThanOrEqual">
      <formula>G7</formula>
    </cfRule>
  </conditionalFormatting>
  <conditionalFormatting sqref="V11">
    <cfRule type="cellIs" dxfId="4" priority="304" operator="lessThanOrEqual">
      <formula>H11</formula>
    </cfRule>
  </conditionalFormatting>
  <conditionalFormatting sqref="V12">
    <cfRule type="cellIs" dxfId="4" priority="310" operator="lessThanOrEqual">
      <formula>H12</formula>
    </cfRule>
  </conditionalFormatting>
  <conditionalFormatting sqref="V13">
    <cfRule type="cellIs" dxfId="4" priority="316" operator="lessThanOrEqual">
      <formula>H13</formula>
    </cfRule>
  </conditionalFormatting>
  <conditionalFormatting sqref="V28">
    <cfRule type="cellIs" dxfId="4" priority="322" operator="lessThanOrEqual">
      <formula>H28</formula>
    </cfRule>
  </conditionalFormatting>
  <conditionalFormatting sqref="V29">
    <cfRule type="cellIs" dxfId="4" priority="328" operator="lessThanOrEqual">
      <formula>H29</formula>
    </cfRule>
  </conditionalFormatting>
  <conditionalFormatting sqref="V31">
    <cfRule type="cellIs" dxfId="4" priority="334" operator="lessThanOrEqual">
      <formula>H31</formula>
    </cfRule>
  </conditionalFormatting>
  <conditionalFormatting sqref="V33">
    <cfRule type="cellIs" dxfId="4" priority="340" operator="lessThanOrEqual">
      <formula>H33</formula>
    </cfRule>
  </conditionalFormatting>
  <conditionalFormatting sqref="V7">
    <cfRule type="cellIs" dxfId="4" priority="298" operator="lessThanOrEqual">
      <formula>H7</formula>
    </cfRule>
  </conditionalFormatting>
  <hyperlinks>
    <hyperlink ref="M7" r:id="rId1"/>
    <hyperlink ref="R7" r:id="rId2"/>
    <hyperlink ref="W7" r:id="rId3"/>
    <hyperlink ref="R8" r:id="rId4"/>
    <hyperlink ref="M9" r:id="rId5"/>
    <hyperlink ref="R9" r:id="rId6"/>
    <hyperlink ref="M10" r:id="rId7"/>
    <hyperlink ref="R10" r:id="rId8"/>
    <hyperlink ref="R11" r:id="rId9"/>
    <hyperlink ref="W11" r:id="rId10"/>
    <hyperlink ref="M12" r:id="rId11"/>
    <hyperlink ref="R12" r:id="rId12"/>
    <hyperlink ref="W12" r:id="rId13"/>
    <hyperlink ref="M13" r:id="rId14"/>
    <hyperlink ref="R13" r:id="rId15"/>
    <hyperlink ref="W13" r:id="rId16"/>
    <hyperlink ref="M15" r:id="rId17"/>
    <hyperlink ref="M16" r:id="rId18"/>
    <hyperlink ref="M17" r:id="rId19"/>
    <hyperlink ref="M18" r:id="rId20"/>
    <hyperlink ref="M19" r:id="rId21"/>
    <hyperlink ref="M20" r:id="rId22"/>
    <hyperlink ref="M21" r:id="rId23"/>
    <hyperlink ref="M22" r:id="rId24"/>
    <hyperlink ref="M23" r:id="rId25"/>
    <hyperlink ref="R24" r:id="rId26"/>
    <hyperlink ref="R25" r:id="rId27"/>
    <hyperlink ref="M26" r:id="rId28"/>
    <hyperlink ref="R26" r:id="rId29"/>
    <hyperlink ref="E28" r:id="rId30"/>
    <hyperlink ref="R28" r:id="rId31"/>
    <hyperlink ref="W28" r:id="rId32"/>
    <hyperlink ref="M29" r:id="rId33"/>
    <hyperlink ref="R29" r:id="rId34"/>
    <hyperlink ref="W29" r:id="rId35"/>
    <hyperlink ref="E30" r:id="rId36"/>
    <hyperlink ref="M30" r:id="rId37"/>
    <hyperlink ref="R30" r:id="rId38"/>
    <hyperlink ref="E31" r:id="rId39"/>
    <hyperlink ref="M31" r:id="rId40"/>
    <hyperlink ref="R31" r:id="rId41"/>
    <hyperlink ref="W31" r:id="rId42"/>
    <hyperlink ref="R32" r:id="rId43"/>
    <hyperlink ref="M33" r:id="rId44"/>
    <hyperlink ref="R33" r:id="rId45"/>
    <hyperlink ref="W33" r:id="rId46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backplane_v1. </vt:lpstr>
      <vt:lpstr>BoardQty</vt:lpstr>
      <vt:lpstr>farnell_part_data</vt:lpstr>
      <vt:lpstr>global_part_data</vt:lpstr>
      <vt:lpstr>mouser_part_data</vt:lpstr>
      <vt:lpstr>PURCHASE_DESCRIPTION</vt:lpstr>
      <vt:lpstr>rs_part_data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2021-01-06T12:29:36Z</dcterms:created>
  <dcterms:modified xsi:type="dcterms:W3CDTF">2021-01-06T12:29:36Z</dcterms:modified>
</cp:coreProperties>
</file>