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040" windowHeight="9390" firstSheet="6" activeTab="7"/>
  </bookViews>
  <sheets>
    <sheet name="8月新入职及工资调整信息" sheetId="19" r:id="rId1"/>
    <sheet name="8月考勤表" sheetId="22" r:id="rId2"/>
    <sheet name="8月集团工资汇总表" sheetId="23" r:id="rId3"/>
    <sheet name="8月税筹表" sheetId="24" r:id="rId4"/>
    <sheet name="京鹏基金社保" sheetId="1" r:id="rId5"/>
    <sheet name="京鹏基金公积金" sheetId="2" r:id="rId6"/>
    <sheet name="知识科技社保" sheetId="4" r:id="rId7"/>
    <sheet name="知识科技公积金" sheetId="5" r:id="rId8"/>
    <sheet name="知识科技工资" sheetId="6" r:id="rId9"/>
  </sheets>
  <externalReferences>
    <externalReference r:id="rId10"/>
    <externalReference r:id="rId11"/>
    <externalReference r:id="rId12"/>
    <externalReference r:id="rId13"/>
  </externalReferences>
  <definedNames>
    <definedName name="_xlnm._FilterDatabase" localSheetId="2" hidden="1">'8月集团工资汇总表'!$A$3:$BE$180</definedName>
    <definedName name="_xlnm._FilterDatabase" localSheetId="1" hidden="1">'8月考勤表'!$A$4:$L$113</definedName>
    <definedName name="_xlnm._FilterDatabase" localSheetId="3" hidden="1">'8月税筹表'!$A$2:$M$114</definedName>
    <definedName name="_xlnm._FilterDatabase" localSheetId="8" hidden="1">知识科技工资!$A$4:$V$112</definedName>
    <definedName name="_xlnm._FilterDatabase" localSheetId="7" hidden="1">知识科技公积金!$A$1:$K$95</definedName>
    <definedName name="_xlnm._FilterDatabase" localSheetId="6" hidden="1">知识科技社保!$A$5:$U$95</definedName>
  </definedNames>
  <calcPr calcId="124519"/>
</workbook>
</file>

<file path=xl/calcChain.xml><?xml version="1.0" encoding="utf-8"?>
<calcChain xmlns="http://schemas.openxmlformats.org/spreadsheetml/2006/main">
  <c r="AK19" i="23"/>
  <c r="AK20"/>
  <c r="AK21"/>
  <c r="AK22"/>
  <c r="AK43"/>
  <c r="AK102"/>
  <c r="AK164"/>
  <c r="AK165"/>
  <c r="AK166"/>
  <c r="AK167"/>
  <c r="AK168"/>
  <c r="AK169"/>
  <c r="AK170"/>
  <c r="AK171"/>
  <c r="AK172"/>
  <c r="AK173"/>
  <c r="AK174"/>
  <c r="AK175"/>
  <c r="AK176"/>
  <c r="H29" i="19" l="1"/>
  <c r="I29"/>
  <c r="J29"/>
  <c r="G29"/>
  <c r="L28"/>
  <c r="K28"/>
  <c r="G6" i="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K3" i="2"/>
  <c r="K2"/>
  <c r="AD5" i="23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BB174" s="1"/>
  <c r="AD175"/>
  <c r="BB175" s="1"/>
  <c r="AD176"/>
  <c r="BB176" s="1"/>
  <c r="AD4"/>
  <c r="AG5" l="1"/>
  <c r="AG6"/>
  <c r="AG7"/>
  <c r="AG8"/>
  <c r="AG9"/>
  <c r="AG10"/>
  <c r="AG11"/>
  <c r="AG12"/>
  <c r="AG13"/>
  <c r="AG15"/>
  <c r="AG16"/>
  <c r="AG19"/>
  <c r="AG20"/>
  <c r="AG21"/>
  <c r="AG22"/>
  <c r="AG24"/>
  <c r="AG26"/>
  <c r="AG27"/>
  <c r="AG28"/>
  <c r="AG29"/>
  <c r="AG30"/>
  <c r="AG33"/>
  <c r="AG34"/>
  <c r="AG37"/>
  <c r="AG39"/>
  <c r="AG40"/>
  <c r="AG41"/>
  <c r="AG42"/>
  <c r="AG44"/>
  <c r="AG45"/>
  <c r="AG46"/>
  <c r="AG49"/>
  <c r="AG50"/>
  <c r="AG51"/>
  <c r="AG52"/>
  <c r="AG53"/>
  <c r="AG54"/>
  <c r="AG55"/>
  <c r="AG56"/>
  <c r="AG57"/>
  <c r="AG58"/>
  <c r="AG59"/>
  <c r="AG61"/>
  <c r="AG62"/>
  <c r="AG63"/>
  <c r="AG64"/>
  <c r="AG65"/>
  <c r="AG66"/>
  <c r="AG67"/>
  <c r="AG68"/>
  <c r="AG70"/>
  <c r="AG71"/>
  <c r="AG76"/>
  <c r="AG77"/>
  <c r="AG80"/>
  <c r="AG82"/>
  <c r="AG83"/>
  <c r="AG84"/>
  <c r="AG85"/>
  <c r="AG86"/>
  <c r="AG87"/>
  <c r="AG88"/>
  <c r="AG89"/>
  <c r="AG90"/>
  <c r="AG91"/>
  <c r="AG92"/>
  <c r="AG93"/>
  <c r="AG94"/>
  <c r="AG95"/>
  <c r="AG98"/>
  <c r="AG99"/>
  <c r="AG100"/>
  <c r="AG101"/>
  <c r="AG102"/>
  <c r="AG103"/>
  <c r="AG104"/>
  <c r="AG105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6"/>
  <c r="AG147"/>
  <c r="AG148"/>
  <c r="AG149"/>
  <c r="AG151"/>
  <c r="AG153"/>
  <c r="AG154"/>
  <c r="AG155"/>
  <c r="AG156"/>
  <c r="AG157"/>
  <c r="AG158"/>
  <c r="AG161"/>
  <c r="AG164"/>
  <c r="AG165"/>
  <c r="AG166"/>
  <c r="AG167"/>
  <c r="AG168"/>
  <c r="AG169"/>
  <c r="AG170"/>
  <c r="AG171"/>
  <c r="AG172"/>
  <c r="AG173"/>
  <c r="AG174"/>
  <c r="K3" i="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2"/>
  <c r="E45" i="6"/>
  <c r="H85"/>
  <c r="M85" s="1"/>
  <c r="H108"/>
  <c r="H88"/>
  <c r="H87"/>
  <c r="E107"/>
  <c r="F13"/>
  <c r="N13"/>
  <c r="O13"/>
  <c r="M108"/>
  <c r="N108"/>
  <c r="O108"/>
  <c r="N107"/>
  <c r="O107"/>
  <c r="M88"/>
  <c r="AH132" i="23" s="1"/>
  <c r="N88" i="6"/>
  <c r="O88"/>
  <c r="N87"/>
  <c r="O87"/>
  <c r="N85"/>
  <c r="O85"/>
  <c r="G5"/>
  <c r="N5"/>
  <c r="O5"/>
  <c r="F6"/>
  <c r="N6"/>
  <c r="O6"/>
  <c r="F7"/>
  <c r="F5" s="1"/>
  <c r="N7"/>
  <c r="O7"/>
  <c r="E8"/>
  <c r="N8"/>
  <c r="O8"/>
  <c r="N9"/>
  <c r="O9"/>
  <c r="E10"/>
  <c r="N10"/>
  <c r="O10"/>
  <c r="F11"/>
  <c r="N11"/>
  <c r="O11"/>
  <c r="F12"/>
  <c r="N12"/>
  <c r="O12"/>
  <c r="E14"/>
  <c r="O14"/>
  <c r="E15"/>
  <c r="N15"/>
  <c r="O15"/>
  <c r="F16"/>
  <c r="N16"/>
  <c r="O16"/>
  <c r="N17"/>
  <c r="O17"/>
  <c r="E18"/>
  <c r="N18"/>
  <c r="O18"/>
  <c r="E19"/>
  <c r="N19"/>
  <c r="O19"/>
  <c r="F20"/>
  <c r="N20"/>
  <c r="O20"/>
  <c r="E21"/>
  <c r="N21"/>
  <c r="O21"/>
  <c r="F22"/>
  <c r="N22"/>
  <c r="O22"/>
  <c r="E23"/>
  <c r="F23" s="1"/>
  <c r="N23"/>
  <c r="O23"/>
  <c r="F24"/>
  <c r="N24"/>
  <c r="O24"/>
  <c r="F25"/>
  <c r="N25"/>
  <c r="O25"/>
  <c r="E26"/>
  <c r="N26"/>
  <c r="O26"/>
  <c r="E27"/>
  <c r="N27"/>
  <c r="O27"/>
  <c r="E28"/>
  <c r="N28"/>
  <c r="O28"/>
  <c r="E29"/>
  <c r="N29"/>
  <c r="O29"/>
  <c r="F30"/>
  <c r="N30"/>
  <c r="O30"/>
  <c r="F31"/>
  <c r="N31"/>
  <c r="O31"/>
  <c r="E32"/>
  <c r="N32"/>
  <c r="O32"/>
  <c r="F33"/>
  <c r="N33"/>
  <c r="O33"/>
  <c r="F34"/>
  <c r="N34"/>
  <c r="O34"/>
  <c r="N35"/>
  <c r="O35"/>
  <c r="F36"/>
  <c r="N36"/>
  <c r="O36"/>
  <c r="F37"/>
  <c r="N37"/>
  <c r="O37"/>
  <c r="N38"/>
  <c r="O38"/>
  <c r="E39"/>
  <c r="N39"/>
  <c r="O39"/>
  <c r="E40"/>
  <c r="F40" s="1"/>
  <c r="N40"/>
  <c r="O40"/>
  <c r="E41"/>
  <c r="N41"/>
  <c r="O41"/>
  <c r="E42"/>
  <c r="N42"/>
  <c r="O42"/>
  <c r="E43"/>
  <c r="N43"/>
  <c r="O43"/>
  <c r="E44"/>
  <c r="F44" s="1"/>
  <c r="N44"/>
  <c r="O44"/>
  <c r="N45"/>
  <c r="O45"/>
  <c r="E46"/>
  <c r="N46"/>
  <c r="O46"/>
  <c r="N47"/>
  <c r="O47"/>
  <c r="F48"/>
  <c r="N48"/>
  <c r="O48"/>
  <c r="F49"/>
  <c r="N49"/>
  <c r="O49"/>
  <c r="F50"/>
  <c r="N50"/>
  <c r="O50"/>
  <c r="F51"/>
  <c r="N51"/>
  <c r="O51"/>
  <c r="E52"/>
  <c r="N52"/>
  <c r="O52"/>
  <c r="E53"/>
  <c r="N53"/>
  <c r="O53"/>
  <c r="E54"/>
  <c r="N54"/>
  <c r="O54"/>
  <c r="N55"/>
  <c r="O55"/>
  <c r="E56"/>
  <c r="F56" s="1"/>
  <c r="N56"/>
  <c r="O56"/>
  <c r="E57"/>
  <c r="N57"/>
  <c r="O57"/>
  <c r="E58"/>
  <c r="N58"/>
  <c r="O58"/>
  <c r="E59"/>
  <c r="N59"/>
  <c r="O59"/>
  <c r="F60"/>
  <c r="N60"/>
  <c r="O60"/>
  <c r="F61"/>
  <c r="N61"/>
  <c r="O61"/>
  <c r="F62"/>
  <c r="N62"/>
  <c r="O62"/>
  <c r="F63"/>
  <c r="N63"/>
  <c r="O63"/>
  <c r="E64"/>
  <c r="N64"/>
  <c r="O64"/>
  <c r="F65"/>
  <c r="N65"/>
  <c r="O65"/>
  <c r="F66"/>
  <c r="N66"/>
  <c r="O66"/>
  <c r="E67"/>
  <c r="F67" s="1"/>
  <c r="N67"/>
  <c r="O67"/>
  <c r="E68"/>
  <c r="F68" s="1"/>
  <c r="N68"/>
  <c r="O68"/>
  <c r="F69"/>
  <c r="N69"/>
  <c r="O69"/>
  <c r="F70"/>
  <c r="N70"/>
  <c r="O70"/>
  <c r="E71"/>
  <c r="N71"/>
  <c r="O71"/>
  <c r="E72"/>
  <c r="N72"/>
  <c r="O72"/>
  <c r="E73"/>
  <c r="N73"/>
  <c r="O73"/>
  <c r="E74"/>
  <c r="N74"/>
  <c r="O74"/>
  <c r="E75"/>
  <c r="N75"/>
  <c r="O75"/>
  <c r="E76"/>
  <c r="N76"/>
  <c r="O76"/>
  <c r="F77"/>
  <c r="N77"/>
  <c r="O77"/>
  <c r="E78"/>
  <c r="N78"/>
  <c r="O78"/>
  <c r="F79"/>
  <c r="N79"/>
  <c r="O79"/>
  <c r="F80"/>
  <c r="N80"/>
  <c r="O80"/>
  <c r="E81"/>
  <c r="N81"/>
  <c r="O81"/>
  <c r="E82"/>
  <c r="F82" s="1"/>
  <c r="N82"/>
  <c r="O82"/>
  <c r="E83"/>
  <c r="N83"/>
  <c r="O83"/>
  <c r="E84"/>
  <c r="F84" s="1"/>
  <c r="N84"/>
  <c r="O84"/>
  <c r="E86"/>
  <c r="N86"/>
  <c r="O86"/>
  <c r="E89"/>
  <c r="N89"/>
  <c r="O89"/>
  <c r="E90"/>
  <c r="N90"/>
  <c r="O90"/>
  <c r="E91"/>
  <c r="N91"/>
  <c r="O91"/>
  <c r="E92"/>
  <c r="N92"/>
  <c r="O92"/>
  <c r="E93"/>
  <c r="N93"/>
  <c r="O93"/>
  <c r="F94"/>
  <c r="N94"/>
  <c r="O94"/>
  <c r="F95"/>
  <c r="N95"/>
  <c r="O95"/>
  <c r="F96"/>
  <c r="N96"/>
  <c r="O96"/>
  <c r="E97"/>
  <c r="N97"/>
  <c r="O97"/>
  <c r="F98"/>
  <c r="N98"/>
  <c r="O98"/>
  <c r="F99"/>
  <c r="N99"/>
  <c r="O99"/>
  <c r="F100"/>
  <c r="N100"/>
  <c r="O100"/>
  <c r="F101"/>
  <c r="N101"/>
  <c r="O101"/>
  <c r="E102"/>
  <c r="N102"/>
  <c r="O102"/>
  <c r="E103"/>
  <c r="N103"/>
  <c r="O103"/>
  <c r="E104"/>
  <c r="N104"/>
  <c r="O104"/>
  <c r="E105"/>
  <c r="N105"/>
  <c r="O105"/>
  <c r="E106"/>
  <c r="N106"/>
  <c r="O106"/>
  <c r="F109"/>
  <c r="N109"/>
  <c r="O109"/>
  <c r="F110"/>
  <c r="N110"/>
  <c r="O110"/>
  <c r="F111"/>
  <c r="N111"/>
  <c r="O111"/>
  <c r="T112"/>
  <c r="S112"/>
  <c r="R112"/>
  <c r="J112"/>
  <c r="E85"/>
  <c r="E87"/>
  <c r="E88"/>
  <c r="E108"/>
  <c r="AH10" i="23"/>
  <c r="AH12"/>
  <c r="AK12" s="1"/>
  <c r="AH26"/>
  <c r="AH27"/>
  <c r="AH33"/>
  <c r="AK33" s="1"/>
  <c r="AH34"/>
  <c r="AH37"/>
  <c r="AK37" s="1"/>
  <c r="AH41"/>
  <c r="AK41" s="1"/>
  <c r="AH44"/>
  <c r="AH49"/>
  <c r="AH53"/>
  <c r="AH54"/>
  <c r="AK54" s="1"/>
  <c r="AH56"/>
  <c r="AH59"/>
  <c r="AK59" s="1"/>
  <c r="AH65"/>
  <c r="AH66"/>
  <c r="AH68"/>
  <c r="AH76"/>
  <c r="AK76" s="1"/>
  <c r="AH77"/>
  <c r="AK77" s="1"/>
  <c r="AH82"/>
  <c r="AK82" s="1"/>
  <c r="AH84"/>
  <c r="AH85"/>
  <c r="AH87"/>
  <c r="AH88"/>
  <c r="AH89"/>
  <c r="AH90"/>
  <c r="AH91"/>
  <c r="AH99"/>
  <c r="AK99" s="1"/>
  <c r="AH101"/>
  <c r="AH103"/>
  <c r="AH113"/>
  <c r="AH117"/>
  <c r="AH118"/>
  <c r="AK118" s="1"/>
  <c r="AH119"/>
  <c r="AK119" s="1"/>
  <c r="AH120"/>
  <c r="AH121"/>
  <c r="AK121" s="1"/>
  <c r="AH122"/>
  <c r="AK122" s="1"/>
  <c r="AH123"/>
  <c r="AH125"/>
  <c r="AH133"/>
  <c r="AH148"/>
  <c r="AH149"/>
  <c r="AH151"/>
  <c r="AH154"/>
  <c r="AH155"/>
  <c r="AH156"/>
  <c r="AH158"/>
  <c r="E177"/>
  <c r="G3" i="24"/>
  <c r="G4"/>
  <c r="G5"/>
  <c r="G12"/>
  <c r="G29"/>
  <c r="G66"/>
  <c r="G68"/>
  <c r="G79"/>
  <c r="G80"/>
  <c r="G97"/>
  <c r="H17"/>
  <c r="M17" s="1"/>
  <c r="H76"/>
  <c r="F135" i="22"/>
  <c r="F134"/>
  <c r="F133"/>
  <c r="F132"/>
  <c r="F131"/>
  <c r="F130"/>
  <c r="F128"/>
  <c r="F127"/>
  <c r="F126"/>
  <c r="F125"/>
  <c r="F123"/>
  <c r="L112" i="6"/>
  <c r="K112"/>
  <c r="I112"/>
  <c r="H93" i="5"/>
  <c r="E66" i="24"/>
  <c r="E12"/>
  <c r="E29"/>
  <c r="M76"/>
  <c r="E97"/>
  <c r="M6"/>
  <c r="M7"/>
  <c r="M8"/>
  <c r="M9"/>
  <c r="M10"/>
  <c r="M11"/>
  <c r="M13"/>
  <c r="M14"/>
  <c r="M15"/>
  <c r="M16"/>
  <c r="M18"/>
  <c r="M19"/>
  <c r="M20"/>
  <c r="M21"/>
  <c r="M22"/>
  <c r="M23"/>
  <c r="M24"/>
  <c r="M25"/>
  <c r="M26"/>
  <c r="M27"/>
  <c r="M28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7"/>
  <c r="M69"/>
  <c r="M70"/>
  <c r="M71"/>
  <c r="M72"/>
  <c r="M73"/>
  <c r="M74"/>
  <c r="M75"/>
  <c r="M77"/>
  <c r="M78"/>
  <c r="M81"/>
  <c r="M82"/>
  <c r="M83"/>
  <c r="M84"/>
  <c r="M85"/>
  <c r="M86"/>
  <c r="M87"/>
  <c r="M88"/>
  <c r="M89"/>
  <c r="M90"/>
  <c r="M91"/>
  <c r="M92"/>
  <c r="M93"/>
  <c r="M94"/>
  <c r="M95"/>
  <c r="M96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AD177" i="23"/>
  <c r="AA4"/>
  <c r="AC4" s="1"/>
  <c r="G4"/>
  <c r="K4"/>
  <c r="O4"/>
  <c r="S4"/>
  <c r="AE4"/>
  <c r="AG4" s="1"/>
  <c r="BD4"/>
  <c r="AA5"/>
  <c r="AC5" s="1"/>
  <c r="G5"/>
  <c r="O5"/>
  <c r="S5"/>
  <c r="BD5"/>
  <c r="AA6"/>
  <c r="AC6" s="1"/>
  <c r="K6"/>
  <c r="O6"/>
  <c r="S6"/>
  <c r="U6" s="1"/>
  <c r="BD6"/>
  <c r="AA7"/>
  <c r="BC7" s="1"/>
  <c r="S7"/>
  <c r="BD7"/>
  <c r="AA8"/>
  <c r="BC8" s="1"/>
  <c r="BD8"/>
  <c r="AA9"/>
  <c r="BC9" s="1"/>
  <c r="BD9"/>
  <c r="AA10"/>
  <c r="AC10" s="1"/>
  <c r="BD10"/>
  <c r="AA11"/>
  <c r="BC11" s="1"/>
  <c r="BD11"/>
  <c r="AA13"/>
  <c r="AC13" s="1"/>
  <c r="BD13"/>
  <c r="AA14"/>
  <c r="AC14" s="1"/>
  <c r="O14"/>
  <c r="S14"/>
  <c r="AE14"/>
  <c r="AG14" s="1"/>
  <c r="BD14"/>
  <c r="AA15"/>
  <c r="BC15" s="1"/>
  <c r="O15"/>
  <c r="BD15"/>
  <c r="AA16"/>
  <c r="BC16" s="1"/>
  <c r="BD16"/>
  <c r="BB19"/>
  <c r="AA19"/>
  <c r="BC19" s="1"/>
  <c r="BD19"/>
  <c r="BB20"/>
  <c r="AA20"/>
  <c r="BC20" s="1"/>
  <c r="BD20"/>
  <c r="BB21"/>
  <c r="AA21"/>
  <c r="BC21" s="1"/>
  <c r="BD21"/>
  <c r="BB22"/>
  <c r="BC22"/>
  <c r="BD22"/>
  <c r="AA23"/>
  <c r="BC23" s="1"/>
  <c r="O23"/>
  <c r="S23"/>
  <c r="AE23"/>
  <c r="AG23" s="1"/>
  <c r="BD23"/>
  <c r="G24"/>
  <c r="BC24" s="1"/>
  <c r="O24"/>
  <c r="BD24"/>
  <c r="AA25"/>
  <c r="G25"/>
  <c r="O25"/>
  <c r="S25"/>
  <c r="AE25"/>
  <c r="AG25" s="1"/>
  <c r="BD25"/>
  <c r="AA28"/>
  <c r="BC28" s="1"/>
  <c r="BD28"/>
  <c r="AA29"/>
  <c r="BC29" s="1"/>
  <c r="BD29"/>
  <c r="AA30"/>
  <c r="BC30" s="1"/>
  <c r="G30"/>
  <c r="O30"/>
  <c r="BD30"/>
  <c r="AA32"/>
  <c r="BC32" s="1"/>
  <c r="G32"/>
  <c r="O32"/>
  <c r="AE32"/>
  <c r="AG32" s="1"/>
  <c r="BD32"/>
  <c r="AA33"/>
  <c r="AC33" s="1"/>
  <c r="G33"/>
  <c r="BD33"/>
  <c r="AA35"/>
  <c r="BC35" s="1"/>
  <c r="G35"/>
  <c r="AE35"/>
  <c r="AG35" s="1"/>
  <c r="BD35"/>
  <c r="AA36"/>
  <c r="G36"/>
  <c r="AE36"/>
  <c r="AG36" s="1"/>
  <c r="BD36"/>
  <c r="AA38"/>
  <c r="BC38" s="1"/>
  <c r="G38"/>
  <c r="AE38"/>
  <c r="AG38" s="1"/>
  <c r="BD38"/>
  <c r="F39"/>
  <c r="AA39"/>
  <c r="AC39" s="1"/>
  <c r="G39"/>
  <c r="BD39"/>
  <c r="AA40"/>
  <c r="AC40" s="1"/>
  <c r="G40"/>
  <c r="S40"/>
  <c r="BD40"/>
  <c r="AA41"/>
  <c r="AC41" s="1"/>
  <c r="G41"/>
  <c r="I41" s="1"/>
  <c r="BD41"/>
  <c r="AA42"/>
  <c r="BC42" s="1"/>
  <c r="G42"/>
  <c r="O42"/>
  <c r="BD42"/>
  <c r="BB43"/>
  <c r="AA43"/>
  <c r="BC43" s="1"/>
  <c r="AE43"/>
  <c r="AG43" s="1"/>
  <c r="BD43"/>
  <c r="AA44"/>
  <c r="AC44" s="1"/>
  <c r="BD44"/>
  <c r="AA45"/>
  <c r="BC45" s="1"/>
  <c r="BD45"/>
  <c r="AA46"/>
  <c r="BC46" s="1"/>
  <c r="G46"/>
  <c r="K46"/>
  <c r="O46"/>
  <c r="S46"/>
  <c r="BD46"/>
  <c r="BC50"/>
  <c r="BD50"/>
  <c r="BC51"/>
  <c r="BD51"/>
  <c r="AA52"/>
  <c r="BC52" s="1"/>
  <c r="K52"/>
  <c r="S52"/>
  <c r="BD52"/>
  <c r="AA55"/>
  <c r="AC55" s="1"/>
  <c r="S55"/>
  <c r="BD55"/>
  <c r="AA57"/>
  <c r="BC57" s="1"/>
  <c r="BD57"/>
  <c r="AA58"/>
  <c r="BC58" s="1"/>
  <c r="BD58"/>
  <c r="AA59"/>
  <c r="AC59" s="1"/>
  <c r="BD59"/>
  <c r="AA60"/>
  <c r="BC60" s="1"/>
  <c r="S60"/>
  <c r="AE60"/>
  <c r="AG60" s="1"/>
  <c r="BD60"/>
  <c r="AA61"/>
  <c r="BC61" s="1"/>
  <c r="BD61"/>
  <c r="AA62"/>
  <c r="BC62" s="1"/>
  <c r="BD62"/>
  <c r="AA63"/>
  <c r="BC63" s="1"/>
  <c r="BD63"/>
  <c r="AA64"/>
  <c r="BC64" s="1"/>
  <c r="BD64"/>
  <c r="AA67"/>
  <c r="BC67" s="1"/>
  <c r="BD67"/>
  <c r="AE69"/>
  <c r="AG69" s="1"/>
  <c r="BC69"/>
  <c r="BD69"/>
  <c r="BC70"/>
  <c r="BD70"/>
  <c r="BC71"/>
  <c r="BD71"/>
  <c r="AA73"/>
  <c r="AC73" s="1"/>
  <c r="G73"/>
  <c r="K73"/>
  <c r="O73"/>
  <c r="S73"/>
  <c r="AE73"/>
  <c r="AG73" s="1"/>
  <c r="BD73"/>
  <c r="AA74"/>
  <c r="AC74" s="1"/>
  <c r="K74"/>
  <c r="O74"/>
  <c r="Q74" s="1"/>
  <c r="S74"/>
  <c r="AE74"/>
  <c r="AG74" s="1"/>
  <c r="BD74"/>
  <c r="AA75"/>
  <c r="AC75" s="1"/>
  <c r="G75"/>
  <c r="K75"/>
  <c r="O75"/>
  <c r="S75"/>
  <c r="AE75"/>
  <c r="AG75" s="1"/>
  <c r="BD75"/>
  <c r="AA78"/>
  <c r="BC78" s="1"/>
  <c r="G78"/>
  <c r="O78"/>
  <c r="S78"/>
  <c r="AE78"/>
  <c r="AG78" s="1"/>
  <c r="BD78"/>
  <c r="AA79"/>
  <c r="BC79" s="1"/>
  <c r="K79"/>
  <c r="O79"/>
  <c r="S79"/>
  <c r="AE79"/>
  <c r="AG79" s="1"/>
  <c r="BD79"/>
  <c r="AA80"/>
  <c r="AC80" s="1"/>
  <c r="G80"/>
  <c r="K80"/>
  <c r="O80"/>
  <c r="S80"/>
  <c r="BD80"/>
  <c r="AA81"/>
  <c r="AC81" s="1"/>
  <c r="K81"/>
  <c r="O81"/>
  <c r="Q81" s="1"/>
  <c r="S81"/>
  <c r="AE81"/>
  <c r="AG81" s="1"/>
  <c r="BD81"/>
  <c r="AA83"/>
  <c r="BC83" s="1"/>
  <c r="BD83"/>
  <c r="AA84"/>
  <c r="BD84"/>
  <c r="AA86"/>
  <c r="BD86"/>
  <c r="BC90"/>
  <c r="BD90"/>
  <c r="BC91"/>
  <c r="BD91"/>
  <c r="BC92"/>
  <c r="BD92"/>
  <c r="BC93"/>
  <c r="BD93"/>
  <c r="BC94"/>
  <c r="BD94"/>
  <c r="BC95"/>
  <c r="BD95"/>
  <c r="AA98"/>
  <c r="BC98" s="1"/>
  <c r="BD98"/>
  <c r="AA99"/>
  <c r="AC99" s="1"/>
  <c r="BD99"/>
  <c r="AA100"/>
  <c r="BC100" s="1"/>
  <c r="BD100"/>
  <c r="AA101"/>
  <c r="AC101" s="1"/>
  <c r="BD101"/>
  <c r="BB102"/>
  <c r="AA102"/>
  <c r="BD102"/>
  <c r="AA103"/>
  <c r="AC103" s="1"/>
  <c r="BD103"/>
  <c r="BC104"/>
  <c r="BD104"/>
  <c r="BC105"/>
  <c r="BD105"/>
  <c r="AA106"/>
  <c r="BC106" s="1"/>
  <c r="S106"/>
  <c r="AE106"/>
  <c r="AG106" s="1"/>
  <c r="BD106"/>
  <c r="AA107"/>
  <c r="AC107" s="1"/>
  <c r="O107"/>
  <c r="AE107"/>
  <c r="AG107" s="1"/>
  <c r="BD107"/>
  <c r="AA108"/>
  <c r="AC108" s="1"/>
  <c r="AE108"/>
  <c r="AG108" s="1"/>
  <c r="BD108"/>
  <c r="AA109"/>
  <c r="AE109"/>
  <c r="BD109"/>
  <c r="AA110"/>
  <c r="G110"/>
  <c r="K110"/>
  <c r="O110"/>
  <c r="S110"/>
  <c r="U110" s="1"/>
  <c r="AE110"/>
  <c r="AG110" s="1"/>
  <c r="BD110"/>
  <c r="AA111"/>
  <c r="BC111" s="1"/>
  <c r="BD111"/>
  <c r="AA112"/>
  <c r="BC112" s="1"/>
  <c r="BD112"/>
  <c r="BC113"/>
  <c r="BD113"/>
  <c r="BC114"/>
  <c r="BD114"/>
  <c r="AA115"/>
  <c r="BC115" s="1"/>
  <c r="BD115"/>
  <c r="AA116"/>
  <c r="BC116" s="1"/>
  <c r="BD116"/>
  <c r="AA124"/>
  <c r="BC124" s="1"/>
  <c r="BD124"/>
  <c r="AA126"/>
  <c r="AC126" s="1"/>
  <c r="BD126"/>
  <c r="AA127"/>
  <c r="AC127" s="1"/>
  <c r="BD127"/>
  <c r="AA128"/>
  <c r="BC128" s="1"/>
  <c r="BD128"/>
  <c r="AA129"/>
  <c r="AC129" s="1"/>
  <c r="BD129"/>
  <c r="AA130"/>
  <c r="BC130" s="1"/>
  <c r="BD130"/>
  <c r="AA131"/>
  <c r="BC131" s="1"/>
  <c r="BD131"/>
  <c r="AA132"/>
  <c r="BC132" s="1"/>
  <c r="BD132"/>
  <c r="AA134"/>
  <c r="BC134" s="1"/>
  <c r="BD134"/>
  <c r="AA135"/>
  <c r="AC135" s="1"/>
  <c r="BD135"/>
  <c r="AA136"/>
  <c r="BC136" s="1"/>
  <c r="BD136"/>
  <c r="AA137"/>
  <c r="BC137" s="1"/>
  <c r="BD137"/>
  <c r="AA138"/>
  <c r="BC138" s="1"/>
  <c r="BD138"/>
  <c r="AA139"/>
  <c r="BC139" s="1"/>
  <c r="BD139"/>
  <c r="BC140"/>
  <c r="BD140"/>
  <c r="BC141"/>
  <c r="BD141"/>
  <c r="BC142"/>
  <c r="BD142"/>
  <c r="R146"/>
  <c r="AA146"/>
  <c r="AC146" s="1"/>
  <c r="K146"/>
  <c r="O146"/>
  <c r="BD146"/>
  <c r="AA147"/>
  <c r="AC147" s="1"/>
  <c r="K147"/>
  <c r="S147"/>
  <c r="AE147"/>
  <c r="BD147"/>
  <c r="AA149"/>
  <c r="BC149" s="1"/>
  <c r="BD149"/>
  <c r="AA150"/>
  <c r="AC150" s="1"/>
  <c r="AE150"/>
  <c r="BD150"/>
  <c r="AA152"/>
  <c r="BC152" s="1"/>
  <c r="AE152"/>
  <c r="AG152" s="1"/>
  <c r="BD152"/>
  <c r="AA153"/>
  <c r="BC153" s="1"/>
  <c r="S153"/>
  <c r="BD153"/>
  <c r="AA157"/>
  <c r="AC157" s="1"/>
  <c r="BD157"/>
  <c r="AA159"/>
  <c r="BC159" s="1"/>
  <c r="AE159"/>
  <c r="AG159" s="1"/>
  <c r="BD159"/>
  <c r="AA160"/>
  <c r="BC160" s="1"/>
  <c r="AE160"/>
  <c r="AG160" s="1"/>
  <c r="BD160"/>
  <c r="BC161"/>
  <c r="BD161"/>
  <c r="AA12"/>
  <c r="BC12" s="1"/>
  <c r="BD12"/>
  <c r="AA26"/>
  <c r="BC26" s="1"/>
  <c r="BD26"/>
  <c r="AA27"/>
  <c r="BC27" s="1"/>
  <c r="BD27"/>
  <c r="AA31"/>
  <c r="AC31" s="1"/>
  <c r="BD31"/>
  <c r="AA34"/>
  <c r="AC34" s="1"/>
  <c r="BD34"/>
  <c r="AA37"/>
  <c r="AC37" s="1"/>
  <c r="BD37"/>
  <c r="BC49"/>
  <c r="BD49"/>
  <c r="AA53"/>
  <c r="AC53" s="1"/>
  <c r="BD53"/>
  <c r="AA54"/>
  <c r="AC54" s="1"/>
  <c r="BD54"/>
  <c r="AA56"/>
  <c r="BC56" s="1"/>
  <c r="BD56"/>
  <c r="AA65"/>
  <c r="BD65"/>
  <c r="AA66"/>
  <c r="BC66" s="1"/>
  <c r="BD66"/>
  <c r="AA68"/>
  <c r="BC68" s="1"/>
  <c r="BD68"/>
  <c r="BD76"/>
  <c r="AA77"/>
  <c r="AC77" s="1"/>
  <c r="BD77"/>
  <c r="AA82"/>
  <c r="AC82" s="1"/>
  <c r="BD82"/>
  <c r="AA85"/>
  <c r="AC85" s="1"/>
  <c r="BD85"/>
  <c r="AA87"/>
  <c r="BC87" s="1"/>
  <c r="BD87"/>
  <c r="AA88"/>
  <c r="BC88" s="1"/>
  <c r="BD88"/>
  <c r="AA89"/>
  <c r="BC89" s="1"/>
  <c r="BD89"/>
  <c r="AA117"/>
  <c r="BC117" s="1"/>
  <c r="BD117"/>
  <c r="AA118"/>
  <c r="AC118" s="1"/>
  <c r="BD118"/>
  <c r="AA119"/>
  <c r="AC119" s="1"/>
  <c r="BD119"/>
  <c r="AA120"/>
  <c r="BC120" s="1"/>
  <c r="BD120"/>
  <c r="AA121"/>
  <c r="BC121" s="1"/>
  <c r="BD121"/>
  <c r="AA122"/>
  <c r="AC122" s="1"/>
  <c r="BD122"/>
  <c r="AA123"/>
  <c r="BC123" s="1"/>
  <c r="BD123"/>
  <c r="BC125"/>
  <c r="BD125"/>
  <c r="AA133"/>
  <c r="BC133" s="1"/>
  <c r="BD133"/>
  <c r="AA148"/>
  <c r="BC148" s="1"/>
  <c r="BD148"/>
  <c r="AA151"/>
  <c r="AC151" s="1"/>
  <c r="BD151"/>
  <c r="AA154"/>
  <c r="BC154" s="1"/>
  <c r="BD154"/>
  <c r="AA155"/>
  <c r="BC155" s="1"/>
  <c r="BD155"/>
  <c r="AA156"/>
  <c r="AC156" s="1"/>
  <c r="BD156"/>
  <c r="AA158"/>
  <c r="BD158"/>
  <c r="BB164"/>
  <c r="AA164"/>
  <c r="BD164"/>
  <c r="BB165"/>
  <c r="AA165"/>
  <c r="BC165" s="1"/>
  <c r="BD165"/>
  <c r="BB166"/>
  <c r="AA166"/>
  <c r="BC166" s="1"/>
  <c r="BD166"/>
  <c r="BB167"/>
  <c r="AA167"/>
  <c r="BC167" s="1"/>
  <c r="BD167"/>
  <c r="BB168"/>
  <c r="AA168"/>
  <c r="BC168" s="1"/>
  <c r="BD168"/>
  <c r="BB169"/>
  <c r="AA169"/>
  <c r="BD169"/>
  <c r="BB170"/>
  <c r="AA170"/>
  <c r="AC170" s="1"/>
  <c r="BD170"/>
  <c r="BB171"/>
  <c r="AA171"/>
  <c r="BC171" s="1"/>
  <c r="BD171"/>
  <c r="BB172"/>
  <c r="AA172"/>
  <c r="AC172" s="1"/>
  <c r="BD172"/>
  <c r="BB173"/>
  <c r="BC173"/>
  <c r="BD173"/>
  <c r="BC174"/>
  <c r="BD174"/>
  <c r="G31"/>
  <c r="S31"/>
  <c r="U31" s="1"/>
  <c r="AE31"/>
  <c r="AG31" s="1"/>
  <c r="G34"/>
  <c r="S34"/>
  <c r="G37"/>
  <c r="I37" s="1"/>
  <c r="S44"/>
  <c r="K53"/>
  <c r="O59"/>
  <c r="G77"/>
  <c r="K82"/>
  <c r="S84"/>
  <c r="BC84" s="1"/>
  <c r="S99"/>
  <c r="O101"/>
  <c r="G103"/>
  <c r="S151"/>
  <c r="S156"/>
  <c r="G76"/>
  <c r="K76"/>
  <c r="M76" s="1"/>
  <c r="O76"/>
  <c r="BA4"/>
  <c r="BA5"/>
  <c r="BA6"/>
  <c r="BA7"/>
  <c r="BA8"/>
  <c r="BA9"/>
  <c r="BA11"/>
  <c r="BA12"/>
  <c r="BA13"/>
  <c r="BA14"/>
  <c r="BA15"/>
  <c r="BA19"/>
  <c r="BA23"/>
  <c r="BA24"/>
  <c r="BA25"/>
  <c r="BA26"/>
  <c r="BA27"/>
  <c r="BA28"/>
  <c r="BA30"/>
  <c r="BA31"/>
  <c r="BA32"/>
  <c r="BA33"/>
  <c r="BA34"/>
  <c r="BA35"/>
  <c r="BA36"/>
  <c r="BA37"/>
  <c r="BA38"/>
  <c r="BA39"/>
  <c r="BA40"/>
  <c r="BA41"/>
  <c r="BA42"/>
  <c r="BA43"/>
  <c r="BA44"/>
  <c r="BA46"/>
  <c r="BA52"/>
  <c r="BA53"/>
  <c r="BA54"/>
  <c r="BA55"/>
  <c r="BA56"/>
  <c r="BA57"/>
  <c r="BA58"/>
  <c r="BA59"/>
  <c r="BA60"/>
  <c r="BA61"/>
  <c r="BA73"/>
  <c r="BA74"/>
  <c r="BA75"/>
  <c r="BA76"/>
  <c r="BA77"/>
  <c r="BA78"/>
  <c r="BA79"/>
  <c r="BA80"/>
  <c r="BA81"/>
  <c r="BA82"/>
  <c r="BA83"/>
  <c r="BA99"/>
  <c r="BA101"/>
  <c r="BA102"/>
  <c r="BA103"/>
  <c r="BA106"/>
  <c r="BA107"/>
  <c r="BA108"/>
  <c r="BA109"/>
  <c r="BA110"/>
  <c r="BA111"/>
  <c r="BA112"/>
  <c r="BA115"/>
  <c r="BA116"/>
  <c r="BA117"/>
  <c r="BA118"/>
  <c r="BA119"/>
  <c r="BA120"/>
  <c r="BA121"/>
  <c r="BA122"/>
  <c r="BA123"/>
  <c r="BA124"/>
  <c r="BA125"/>
  <c r="BA146"/>
  <c r="BA147"/>
  <c r="BA148"/>
  <c r="BA149"/>
  <c r="BA150"/>
  <c r="BA151"/>
  <c r="BA152"/>
  <c r="BA153"/>
  <c r="BA154"/>
  <c r="BA155"/>
  <c r="BA156"/>
  <c r="AZ177"/>
  <c r="AY177"/>
  <c r="AX177"/>
  <c r="AW4"/>
  <c r="AW5"/>
  <c r="AW6"/>
  <c r="AW7"/>
  <c r="AW8"/>
  <c r="AW9"/>
  <c r="AW11"/>
  <c r="AW12"/>
  <c r="AW13"/>
  <c r="AW14"/>
  <c r="AW15"/>
  <c r="AW19"/>
  <c r="AW23"/>
  <c r="AW24"/>
  <c r="AW25"/>
  <c r="AW26"/>
  <c r="AW27"/>
  <c r="AW28"/>
  <c r="AW30"/>
  <c r="AW31"/>
  <c r="AW32"/>
  <c r="AW33"/>
  <c r="AW34"/>
  <c r="AW35"/>
  <c r="AW36"/>
  <c r="AW37"/>
  <c r="AW38"/>
  <c r="AW39"/>
  <c r="AW40"/>
  <c r="AW41"/>
  <c r="AW42"/>
  <c r="AW43"/>
  <c r="AW44"/>
  <c r="AW46"/>
  <c r="AW52"/>
  <c r="AW53"/>
  <c r="AW54"/>
  <c r="AW55"/>
  <c r="AW56"/>
  <c r="AW57"/>
  <c r="AW58"/>
  <c r="AW59"/>
  <c r="AW60"/>
  <c r="AW61"/>
  <c r="AW73"/>
  <c r="AW74"/>
  <c r="AW75"/>
  <c r="AW76"/>
  <c r="AW77"/>
  <c r="AW78"/>
  <c r="AW79"/>
  <c r="AW80"/>
  <c r="AW81"/>
  <c r="AW82"/>
  <c r="AW83"/>
  <c r="AW99"/>
  <c r="AW101"/>
  <c r="AW102"/>
  <c r="AW103"/>
  <c r="AW106"/>
  <c r="AW107"/>
  <c r="AW108"/>
  <c r="AW109"/>
  <c r="AW110"/>
  <c r="AW111"/>
  <c r="AW112"/>
  <c r="AW115"/>
  <c r="AW116"/>
  <c r="AW117"/>
  <c r="AW118"/>
  <c r="AW119"/>
  <c r="AW120"/>
  <c r="AW121"/>
  <c r="AW122"/>
  <c r="AW123"/>
  <c r="AW124"/>
  <c r="AW125"/>
  <c r="AW146"/>
  <c r="AW147"/>
  <c r="AW148"/>
  <c r="AW149"/>
  <c r="AW150"/>
  <c r="AW151"/>
  <c r="AW152"/>
  <c r="AW153"/>
  <c r="AW154"/>
  <c r="AW155"/>
  <c r="AW156"/>
  <c r="AV177"/>
  <c r="AU177"/>
  <c r="AT177"/>
  <c r="AS4"/>
  <c r="AS5"/>
  <c r="AS6"/>
  <c r="AS7"/>
  <c r="AS8"/>
  <c r="AS9"/>
  <c r="AS11"/>
  <c r="AS12"/>
  <c r="AS13"/>
  <c r="AS14"/>
  <c r="AS15"/>
  <c r="AS19"/>
  <c r="AS23"/>
  <c r="AS24"/>
  <c r="AS25"/>
  <c r="AS26"/>
  <c r="AS27"/>
  <c r="AS28"/>
  <c r="AS30"/>
  <c r="AS31"/>
  <c r="AS32"/>
  <c r="AS33"/>
  <c r="AS34"/>
  <c r="AS35"/>
  <c r="AS36"/>
  <c r="AS37"/>
  <c r="AS38"/>
  <c r="AS39"/>
  <c r="AS40"/>
  <c r="AS41"/>
  <c r="AS42"/>
  <c r="AS43"/>
  <c r="AS44"/>
  <c r="AS46"/>
  <c r="AS52"/>
  <c r="AS53"/>
  <c r="AS54"/>
  <c r="AS55"/>
  <c r="AS56"/>
  <c r="AS57"/>
  <c r="AS58"/>
  <c r="AS59"/>
  <c r="AS60"/>
  <c r="AS61"/>
  <c r="AS73"/>
  <c r="AS74"/>
  <c r="AS75"/>
  <c r="AS76"/>
  <c r="AS77"/>
  <c r="AS78"/>
  <c r="AS79"/>
  <c r="AS80"/>
  <c r="AS81"/>
  <c r="AS82"/>
  <c r="AS83"/>
  <c r="AS99"/>
  <c r="AS101"/>
  <c r="AS102"/>
  <c r="AS103"/>
  <c r="AS106"/>
  <c r="AS107"/>
  <c r="AS108"/>
  <c r="AS109"/>
  <c r="AS110"/>
  <c r="AS111"/>
  <c r="AS112"/>
  <c r="AS115"/>
  <c r="AS116"/>
  <c r="AS117"/>
  <c r="AS118"/>
  <c r="AS119"/>
  <c r="AS120"/>
  <c r="AS121"/>
  <c r="AS122"/>
  <c r="AS123"/>
  <c r="AS124"/>
  <c r="AS125"/>
  <c r="AS146"/>
  <c r="AS147"/>
  <c r="AS148"/>
  <c r="AS149"/>
  <c r="AS150"/>
  <c r="AS151"/>
  <c r="AS152"/>
  <c r="AS153"/>
  <c r="AS154"/>
  <c r="AS155"/>
  <c r="AS156"/>
  <c r="AR177"/>
  <c r="AQ177"/>
  <c r="AP177"/>
  <c r="AO4"/>
  <c r="AO5"/>
  <c r="AO6"/>
  <c r="AO7"/>
  <c r="AO8"/>
  <c r="AO9"/>
  <c r="AO11"/>
  <c r="AO12"/>
  <c r="AO13"/>
  <c r="AO14"/>
  <c r="AO15"/>
  <c r="AO19"/>
  <c r="AO23"/>
  <c r="AO24"/>
  <c r="AO25"/>
  <c r="AO26"/>
  <c r="AO27"/>
  <c r="AO28"/>
  <c r="AO30"/>
  <c r="AO31"/>
  <c r="AO32"/>
  <c r="AO33"/>
  <c r="AO34"/>
  <c r="AO35"/>
  <c r="AO36"/>
  <c r="AO37"/>
  <c r="AO38"/>
  <c r="AO39"/>
  <c r="AO40"/>
  <c r="AO41"/>
  <c r="AO42"/>
  <c r="AO43"/>
  <c r="AO44"/>
  <c r="AO46"/>
  <c r="AO52"/>
  <c r="AO53"/>
  <c r="AO54"/>
  <c r="AO55"/>
  <c r="AO56"/>
  <c r="AO57"/>
  <c r="AO58"/>
  <c r="AO59"/>
  <c r="AO60"/>
  <c r="AO61"/>
  <c r="AO73"/>
  <c r="AO74"/>
  <c r="AO75"/>
  <c r="AO76"/>
  <c r="AO77"/>
  <c r="AO78"/>
  <c r="AO79"/>
  <c r="AO80"/>
  <c r="AO81"/>
  <c r="AO82"/>
  <c r="AO83"/>
  <c r="AO99"/>
  <c r="AO101"/>
  <c r="AO102"/>
  <c r="AO103"/>
  <c r="AO106"/>
  <c r="AO107"/>
  <c r="AO108"/>
  <c r="AO109"/>
  <c r="AO110"/>
  <c r="AO111"/>
  <c r="AO112"/>
  <c r="AO115"/>
  <c r="AO116"/>
  <c r="AO117"/>
  <c r="AO118"/>
  <c r="AO119"/>
  <c r="AO120"/>
  <c r="AO121"/>
  <c r="AO122"/>
  <c r="AO123"/>
  <c r="AO124"/>
  <c r="AO125"/>
  <c r="AO146"/>
  <c r="AO147"/>
  <c r="AO148"/>
  <c r="AO149"/>
  <c r="AO150"/>
  <c r="AO151"/>
  <c r="AO152"/>
  <c r="AO153"/>
  <c r="AO154"/>
  <c r="AO155"/>
  <c r="AO156"/>
  <c r="AN177"/>
  <c r="AM177"/>
  <c r="AL177"/>
  <c r="AJ177"/>
  <c r="AI177"/>
  <c r="AF177"/>
  <c r="AE177"/>
  <c r="AC15"/>
  <c r="AC20"/>
  <c r="AC23"/>
  <c r="AC25"/>
  <c r="AC43"/>
  <c r="AC45"/>
  <c r="AC56"/>
  <c r="AC57"/>
  <c r="AC66"/>
  <c r="AC84"/>
  <c r="AC98"/>
  <c r="AC109"/>
  <c r="AC110"/>
  <c r="AC148"/>
  <c r="AC149"/>
  <c r="AC154"/>
  <c r="AC24"/>
  <c r="AC76"/>
  <c r="AC125"/>
  <c r="AB177"/>
  <c r="Z177"/>
  <c r="Y4"/>
  <c r="Y5"/>
  <c r="Y6"/>
  <c r="Y7"/>
  <c r="Y8"/>
  <c r="Y9"/>
  <c r="Y10"/>
  <c r="Y11"/>
  <c r="Y12"/>
  <c r="Y13"/>
  <c r="Y14"/>
  <c r="Y15"/>
  <c r="Y19"/>
  <c r="Y20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6"/>
  <c r="Y52"/>
  <c r="Y53"/>
  <c r="Y54"/>
  <c r="Y55"/>
  <c r="Y56"/>
  <c r="Y57"/>
  <c r="Y58"/>
  <c r="Y59"/>
  <c r="Y60"/>
  <c r="Y61"/>
  <c r="Y62"/>
  <c r="Y63"/>
  <c r="Y64"/>
  <c r="Y65"/>
  <c r="Y66"/>
  <c r="Y67"/>
  <c r="Y68"/>
  <c r="Y73"/>
  <c r="Y74"/>
  <c r="Y75"/>
  <c r="Y76"/>
  <c r="Y77"/>
  <c r="Y78"/>
  <c r="Y79"/>
  <c r="Y80"/>
  <c r="Y81"/>
  <c r="Y82"/>
  <c r="Y83"/>
  <c r="Y84"/>
  <c r="Y85"/>
  <c r="Y89"/>
  <c r="Y98"/>
  <c r="Y99"/>
  <c r="Y101"/>
  <c r="Y102"/>
  <c r="Y103"/>
  <c r="Y106"/>
  <c r="Y107"/>
  <c r="Y108"/>
  <c r="Y109"/>
  <c r="Y110"/>
  <c r="Y111"/>
  <c r="Y112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46"/>
  <c r="Y147"/>
  <c r="Y148"/>
  <c r="Y149"/>
  <c r="Y150"/>
  <c r="Y151"/>
  <c r="Y152"/>
  <c r="Y153"/>
  <c r="Y154"/>
  <c r="Y155"/>
  <c r="Y156"/>
  <c r="Y157"/>
  <c r="Y158"/>
  <c r="Y159"/>
  <c r="Y160"/>
  <c r="Y164"/>
  <c r="Y165"/>
  <c r="Y166"/>
  <c r="Y167"/>
  <c r="Y168"/>
  <c r="Y169"/>
  <c r="Y170"/>
  <c r="X177"/>
  <c r="W177"/>
  <c r="V177"/>
  <c r="U4"/>
  <c r="U5"/>
  <c r="U7"/>
  <c r="U8"/>
  <c r="U9"/>
  <c r="U10"/>
  <c r="U11"/>
  <c r="U12"/>
  <c r="U13"/>
  <c r="U14"/>
  <c r="U15"/>
  <c r="U19"/>
  <c r="U23"/>
  <c r="U24"/>
  <c r="U25"/>
  <c r="U26"/>
  <c r="U27"/>
  <c r="U28"/>
  <c r="U30"/>
  <c r="U32"/>
  <c r="U33"/>
  <c r="U34"/>
  <c r="U35"/>
  <c r="U36"/>
  <c r="U37"/>
  <c r="U38"/>
  <c r="U39"/>
  <c r="U40"/>
  <c r="U41"/>
  <c r="U42"/>
  <c r="U43"/>
  <c r="U44"/>
  <c r="U46"/>
  <c r="U52"/>
  <c r="U53"/>
  <c r="U54"/>
  <c r="U55"/>
  <c r="U56"/>
  <c r="U57"/>
  <c r="U58"/>
  <c r="U59"/>
  <c r="U60"/>
  <c r="U61"/>
  <c r="U62"/>
  <c r="U64"/>
  <c r="U65"/>
  <c r="U66"/>
  <c r="U67"/>
  <c r="U68"/>
  <c r="U73"/>
  <c r="U74"/>
  <c r="U75"/>
  <c r="U76"/>
  <c r="U77"/>
  <c r="U78"/>
  <c r="U79"/>
  <c r="U80"/>
  <c r="U81"/>
  <c r="U82"/>
  <c r="U83"/>
  <c r="U84"/>
  <c r="U85"/>
  <c r="U89"/>
  <c r="U98"/>
  <c r="U101"/>
  <c r="U102"/>
  <c r="U103"/>
  <c r="U106"/>
  <c r="U107"/>
  <c r="U108"/>
  <c r="U109"/>
  <c r="U111"/>
  <c r="U112"/>
  <c r="U115"/>
  <c r="U116"/>
  <c r="U117"/>
  <c r="U118"/>
  <c r="U119"/>
  <c r="U120"/>
  <c r="U121"/>
  <c r="U122"/>
  <c r="U123"/>
  <c r="U124"/>
  <c r="U125"/>
  <c r="U126"/>
  <c r="U127"/>
  <c r="U128"/>
  <c r="U146"/>
  <c r="U147"/>
  <c r="U148"/>
  <c r="U149"/>
  <c r="U150"/>
  <c r="U151"/>
  <c r="U152"/>
  <c r="U153"/>
  <c r="U154"/>
  <c r="U155"/>
  <c r="U156"/>
  <c r="U157"/>
  <c r="U158"/>
  <c r="U164"/>
  <c r="U165"/>
  <c r="U166"/>
  <c r="U167"/>
  <c r="T177"/>
  <c r="R177"/>
  <c r="Q4"/>
  <c r="Q5"/>
  <c r="Q6"/>
  <c r="Q7"/>
  <c r="Q8"/>
  <c r="Q9"/>
  <c r="Q11"/>
  <c r="Q12"/>
  <c r="Q13"/>
  <c r="Q14"/>
  <c r="Q15"/>
  <c r="Q19"/>
  <c r="Q23"/>
  <c r="Q24"/>
  <c r="Q25"/>
  <c r="Q26"/>
  <c r="Q27"/>
  <c r="Q28"/>
  <c r="Q30"/>
  <c r="Q31"/>
  <c r="Q32"/>
  <c r="Q33"/>
  <c r="Q34"/>
  <c r="Q35"/>
  <c r="Q36"/>
  <c r="Q37"/>
  <c r="Q38"/>
  <c r="Q39"/>
  <c r="Q40"/>
  <c r="Q41"/>
  <c r="Q42"/>
  <c r="Q43"/>
  <c r="Q44"/>
  <c r="Q46"/>
  <c r="Q52"/>
  <c r="Q53"/>
  <c r="Q54"/>
  <c r="Q55"/>
  <c r="Q56"/>
  <c r="Q57"/>
  <c r="Q58"/>
  <c r="Q60"/>
  <c r="Q61"/>
  <c r="Q73"/>
  <c r="Q75"/>
  <c r="Q76"/>
  <c r="Q77"/>
  <c r="Q78"/>
  <c r="Q79"/>
  <c r="Q80"/>
  <c r="Q82"/>
  <c r="Q83"/>
  <c r="Q99"/>
  <c r="Q101"/>
  <c r="Q102"/>
  <c r="Q103"/>
  <c r="Q106"/>
  <c r="Q107"/>
  <c r="Q108"/>
  <c r="Q109"/>
  <c r="Q110"/>
  <c r="Q111"/>
  <c r="Q112"/>
  <c r="Q115"/>
  <c r="Q116"/>
  <c r="Q117"/>
  <c r="Q118"/>
  <c r="Q119"/>
  <c r="Q120"/>
  <c r="Q121"/>
  <c r="Q122"/>
  <c r="Q123"/>
  <c r="Q124"/>
  <c r="Q125"/>
  <c r="Q146"/>
  <c r="Q147"/>
  <c r="Q148"/>
  <c r="Q149"/>
  <c r="Q150"/>
  <c r="Q151"/>
  <c r="Q152"/>
  <c r="Q153"/>
  <c r="Q154"/>
  <c r="Q155"/>
  <c r="Q156"/>
  <c r="P177"/>
  <c r="O177"/>
  <c r="N177"/>
  <c r="M4"/>
  <c r="M5"/>
  <c r="M6"/>
  <c r="M7"/>
  <c r="M8"/>
  <c r="M11"/>
  <c r="M14"/>
  <c r="M15"/>
  <c r="M19"/>
  <c r="M23"/>
  <c r="M24"/>
  <c r="M25"/>
  <c r="M26"/>
  <c r="M30"/>
  <c r="M31"/>
  <c r="M32"/>
  <c r="M33"/>
  <c r="M34"/>
  <c r="M35"/>
  <c r="M36"/>
  <c r="M37"/>
  <c r="M38"/>
  <c r="M39"/>
  <c r="M40"/>
  <c r="M41"/>
  <c r="M42"/>
  <c r="M43"/>
  <c r="M44"/>
  <c r="M46"/>
  <c r="M52"/>
  <c r="M53"/>
  <c r="M54"/>
  <c r="M55"/>
  <c r="M56"/>
  <c r="M57"/>
  <c r="M58"/>
  <c r="M59"/>
  <c r="M60"/>
  <c r="M73"/>
  <c r="M74"/>
  <c r="M75"/>
  <c r="M77"/>
  <c r="M78"/>
  <c r="M79"/>
  <c r="M80"/>
  <c r="M81"/>
  <c r="M99"/>
  <c r="M101"/>
  <c r="M102"/>
  <c r="M103"/>
  <c r="M106"/>
  <c r="M107"/>
  <c r="M108"/>
  <c r="M109"/>
  <c r="M111"/>
  <c r="M112"/>
  <c r="M115"/>
  <c r="M116"/>
  <c r="M117"/>
  <c r="M118"/>
  <c r="M119"/>
  <c r="M120"/>
  <c r="M121"/>
  <c r="M122"/>
  <c r="M123"/>
  <c r="M124"/>
  <c r="M148"/>
  <c r="M149"/>
  <c r="M150"/>
  <c r="M151"/>
  <c r="M152"/>
  <c r="M153"/>
  <c r="M154"/>
  <c r="M155"/>
  <c r="M156"/>
  <c r="L177"/>
  <c r="J177"/>
  <c r="I4"/>
  <c r="I5"/>
  <c r="I6"/>
  <c r="I7"/>
  <c r="I8"/>
  <c r="I23"/>
  <c r="I24"/>
  <c r="I26"/>
  <c r="I30"/>
  <c r="I31"/>
  <c r="I32"/>
  <c r="I34"/>
  <c r="I35"/>
  <c r="I36"/>
  <c r="I38"/>
  <c r="I39"/>
  <c r="I40"/>
  <c r="I42"/>
  <c r="I43"/>
  <c r="I44"/>
  <c r="I46"/>
  <c r="I52"/>
  <c r="I53"/>
  <c r="F54"/>
  <c r="I55"/>
  <c r="I56"/>
  <c r="I57"/>
  <c r="I58"/>
  <c r="I59"/>
  <c r="I60"/>
  <c r="I73"/>
  <c r="I74"/>
  <c r="I75"/>
  <c r="I76"/>
  <c r="I77"/>
  <c r="I78"/>
  <c r="I79"/>
  <c r="I80"/>
  <c r="I81"/>
  <c r="I82"/>
  <c r="I99"/>
  <c r="I101"/>
  <c r="I102"/>
  <c r="I103"/>
  <c r="I106"/>
  <c r="I107"/>
  <c r="I108"/>
  <c r="I109"/>
  <c r="I110"/>
  <c r="I111"/>
  <c r="I112"/>
  <c r="I115"/>
  <c r="I116"/>
  <c r="I117"/>
  <c r="I118"/>
  <c r="I119"/>
  <c r="I120"/>
  <c r="I121"/>
  <c r="I122"/>
  <c r="I123"/>
  <c r="I124"/>
  <c r="I146"/>
  <c r="I147"/>
  <c r="I148"/>
  <c r="I149"/>
  <c r="I151"/>
  <c r="I152"/>
  <c r="I153"/>
  <c r="I155"/>
  <c r="H177"/>
  <c r="F177"/>
  <c r="K21" i="19"/>
  <c r="L21"/>
  <c r="K22"/>
  <c r="L22" s="1"/>
  <c r="K23"/>
  <c r="L23" s="1"/>
  <c r="K24"/>
  <c r="L24"/>
  <c r="K25"/>
  <c r="L25" s="1"/>
  <c r="K26"/>
  <c r="L26" s="1"/>
  <c r="K27"/>
  <c r="L27"/>
  <c r="F29"/>
  <c r="E29"/>
  <c r="D29"/>
  <c r="BB154" i="23" l="1"/>
  <c r="BE154" s="1"/>
  <c r="AK154"/>
  <c r="BB133"/>
  <c r="AK133"/>
  <c r="BB117"/>
  <c r="BE117" s="1"/>
  <c r="AK117"/>
  <c r="BB103"/>
  <c r="AK103"/>
  <c r="BB90"/>
  <c r="BE90" s="1"/>
  <c r="AK90"/>
  <c r="BB85"/>
  <c r="AK85"/>
  <c r="BB49"/>
  <c r="BE49" s="1"/>
  <c r="AK49"/>
  <c r="BB34"/>
  <c r="AK34"/>
  <c r="BB10"/>
  <c r="AK10"/>
  <c r="BB155"/>
  <c r="BE155" s="1"/>
  <c r="AK155"/>
  <c r="BB148"/>
  <c r="AK148"/>
  <c r="BB91"/>
  <c r="BE91" s="1"/>
  <c r="AK91"/>
  <c r="BB87"/>
  <c r="BE87" s="1"/>
  <c r="AK87"/>
  <c r="BB65"/>
  <c r="AK65"/>
  <c r="BB53"/>
  <c r="AK53"/>
  <c r="BB26"/>
  <c r="BE26" s="1"/>
  <c r="AK26"/>
  <c r="BB156"/>
  <c r="AK156"/>
  <c r="BB149"/>
  <c r="BE149" s="1"/>
  <c r="AK149"/>
  <c r="BB123"/>
  <c r="BE123" s="1"/>
  <c r="AK123"/>
  <c r="BB88"/>
  <c r="BE88" s="1"/>
  <c r="AK88"/>
  <c r="BB66"/>
  <c r="AK66"/>
  <c r="BB27"/>
  <c r="BE27" s="1"/>
  <c r="AK27"/>
  <c r="BB132"/>
  <c r="BE132" s="1"/>
  <c r="AK132"/>
  <c r="BB158"/>
  <c r="AK158"/>
  <c r="BB151"/>
  <c r="AK151"/>
  <c r="BB125"/>
  <c r="BE125" s="1"/>
  <c r="AK125"/>
  <c r="BB120"/>
  <c r="BE120" s="1"/>
  <c r="AK120"/>
  <c r="BB113"/>
  <c r="BE113" s="1"/>
  <c r="AK113"/>
  <c r="BB101"/>
  <c r="AK101"/>
  <c r="BB89"/>
  <c r="BE89" s="1"/>
  <c r="AK89"/>
  <c r="BB84"/>
  <c r="BE84" s="1"/>
  <c r="AK84"/>
  <c r="BB68"/>
  <c r="BE68" s="1"/>
  <c r="AK68"/>
  <c r="BB56"/>
  <c r="BE56" s="1"/>
  <c r="AK56"/>
  <c r="BB44"/>
  <c r="AK44"/>
  <c r="K29" i="19"/>
  <c r="L29"/>
  <c r="AC136" i="23"/>
  <c r="AC52"/>
  <c r="AC12"/>
  <c r="AC166"/>
  <c r="AC38"/>
  <c r="AC35"/>
  <c r="BC34"/>
  <c r="AC137"/>
  <c r="AC78"/>
  <c r="BC54"/>
  <c r="AC112"/>
  <c r="AC7"/>
  <c r="BC126"/>
  <c r="BC55"/>
  <c r="AC159"/>
  <c r="BC157"/>
  <c r="BC147"/>
  <c r="M87" i="6"/>
  <c r="AH131" i="23" s="1"/>
  <c r="H56" i="6"/>
  <c r="H62"/>
  <c r="H109"/>
  <c r="H31"/>
  <c r="BE173" i="23"/>
  <c r="AC171"/>
  <c r="AC30"/>
  <c r="AC8"/>
  <c r="BC77"/>
  <c r="BC122"/>
  <c r="BC10"/>
  <c r="AC28"/>
  <c r="AC132"/>
  <c r="AC42"/>
  <c r="AC32"/>
  <c r="AC11"/>
  <c r="AC88"/>
  <c r="AC87"/>
  <c r="AC64"/>
  <c r="BC127"/>
  <c r="BC40"/>
  <c r="BE22"/>
  <c r="AC168"/>
  <c r="AC124"/>
  <c r="AC58"/>
  <c r="BC135"/>
  <c r="BE165"/>
  <c r="AC21"/>
  <c r="BC82"/>
  <c r="BC53"/>
  <c r="BE174"/>
  <c r="BC80"/>
  <c r="AC106"/>
  <c r="AC63"/>
  <c r="AC79"/>
  <c r="AC62"/>
  <c r="AC46"/>
  <c r="BC99"/>
  <c r="BC103"/>
  <c r="BE20"/>
  <c r="AS177"/>
  <c r="BC39"/>
  <c r="AC167"/>
  <c r="AC153"/>
  <c r="AC111"/>
  <c r="AC100"/>
  <c r="AC83"/>
  <c r="AC67"/>
  <c r="BC119"/>
  <c r="BC85"/>
  <c r="BC37"/>
  <c r="BD177"/>
  <c r="BC108"/>
  <c r="BE43"/>
  <c r="AC165"/>
  <c r="AC123"/>
  <c r="AC131"/>
  <c r="AC89"/>
  <c r="AC16"/>
  <c r="AW177"/>
  <c r="BC156"/>
  <c r="BC172"/>
  <c r="BE172" s="1"/>
  <c r="BC170"/>
  <c r="BE170" s="1"/>
  <c r="BC118"/>
  <c r="BC129"/>
  <c r="BC13"/>
  <c r="AA177"/>
  <c r="BE166"/>
  <c r="AD178"/>
  <c r="BE168"/>
  <c r="BC107"/>
  <c r="BE21"/>
  <c r="BC14"/>
  <c r="AC130"/>
  <c r="AC61"/>
  <c r="AC27"/>
  <c r="AO177"/>
  <c r="BA177"/>
  <c r="AC155"/>
  <c r="AC139"/>
  <c r="AC128"/>
  <c r="AC117"/>
  <c r="AC26"/>
  <c r="BC101"/>
  <c r="BC73"/>
  <c r="H48" i="6"/>
  <c r="H20"/>
  <c r="F14"/>
  <c r="F72"/>
  <c r="F97"/>
  <c r="F38"/>
  <c r="F64"/>
  <c r="F58"/>
  <c r="F8"/>
  <c r="F104"/>
  <c r="F106"/>
  <c r="F46"/>
  <c r="F83"/>
  <c r="F108"/>
  <c r="F55"/>
  <c r="F21"/>
  <c r="BB118" i="23"/>
  <c r="F89" i="6"/>
  <c r="BB82" i="23"/>
  <c r="BE82" s="1"/>
  <c r="BB121"/>
  <c r="BE121" s="1"/>
  <c r="H100" i="6"/>
  <c r="BB12" i="23"/>
  <c r="BE12" s="1"/>
  <c r="BB41"/>
  <c r="H63" i="6"/>
  <c r="F54"/>
  <c r="H70"/>
  <c r="F57"/>
  <c r="F18"/>
  <c r="D112"/>
  <c r="H60"/>
  <c r="F93"/>
  <c r="F52"/>
  <c r="F39"/>
  <c r="H44"/>
  <c r="H34"/>
  <c r="F91"/>
  <c r="F76"/>
  <c r="H37"/>
  <c r="H96"/>
  <c r="H94"/>
  <c r="H24"/>
  <c r="H99"/>
  <c r="F81"/>
  <c r="H49"/>
  <c r="H40"/>
  <c r="F15"/>
  <c r="F107"/>
  <c r="N112"/>
  <c r="F59"/>
  <c r="F26"/>
  <c r="F86"/>
  <c r="F53"/>
  <c r="F88"/>
  <c r="F103"/>
  <c r="F75"/>
  <c r="H66"/>
  <c r="F41"/>
  <c r="F27"/>
  <c r="F17"/>
  <c r="F32"/>
  <c r="F105"/>
  <c r="F78"/>
  <c r="BB77" i="23"/>
  <c r="F47" i="6"/>
  <c r="F42"/>
  <c r="F87"/>
  <c r="BB59" i="23"/>
  <c r="BB76"/>
  <c r="F85" i="6"/>
  <c r="F74"/>
  <c r="H69"/>
  <c r="F35"/>
  <c r="F28"/>
  <c r="H16"/>
  <c r="F10"/>
  <c r="H5"/>
  <c r="K93" i="5"/>
  <c r="BB37" i="23"/>
  <c r="BE37" s="1"/>
  <c r="BB33"/>
  <c r="H98" i="6"/>
  <c r="H79"/>
  <c r="H30"/>
  <c r="H36"/>
  <c r="H23"/>
  <c r="BB119" i="23"/>
  <c r="H61" i="6"/>
  <c r="H51"/>
  <c r="H25"/>
  <c r="H12"/>
  <c r="BB99" i="23"/>
  <c r="H68" i="6"/>
  <c r="H77"/>
  <c r="H33"/>
  <c r="BB122" i="23"/>
  <c r="BE66"/>
  <c r="H111" i="6"/>
  <c r="H50"/>
  <c r="H110"/>
  <c r="H101"/>
  <c r="H84"/>
  <c r="H65"/>
  <c r="H7"/>
  <c r="H82"/>
  <c r="Y177" i="23"/>
  <c r="S177"/>
  <c r="AC134"/>
  <c r="BC109"/>
  <c r="AG109"/>
  <c r="BE167"/>
  <c r="BC31"/>
  <c r="BC86"/>
  <c r="AC86"/>
  <c r="AC115"/>
  <c r="AC9"/>
  <c r="BC59"/>
  <c r="Q59"/>
  <c r="Q177" s="1"/>
  <c r="U99"/>
  <c r="U177" s="1"/>
  <c r="AC19"/>
  <c r="BC151"/>
  <c r="BC110"/>
  <c r="M110"/>
  <c r="BC75"/>
  <c r="BC33"/>
  <c r="I33"/>
  <c r="BC4"/>
  <c r="G115" i="24"/>
  <c r="BC36" i="23"/>
  <c r="AC36"/>
  <c r="G177"/>
  <c r="BC25"/>
  <c r="BB54"/>
  <c r="BE54" s="1"/>
  <c r="I54"/>
  <c r="E115" i="24"/>
  <c r="AC29" i="23"/>
  <c r="BC146"/>
  <c r="M146"/>
  <c r="I25"/>
  <c r="AC152"/>
  <c r="AC138"/>
  <c r="AC121"/>
  <c r="AC60"/>
  <c r="BC41"/>
  <c r="BC164"/>
  <c r="BE164" s="1"/>
  <c r="AC164"/>
  <c r="M147"/>
  <c r="BC65"/>
  <c r="BE65" s="1"/>
  <c r="AC65"/>
  <c r="AC133"/>
  <c r="AC116"/>
  <c r="BC76"/>
  <c r="BC158"/>
  <c r="AC158"/>
  <c r="AC169"/>
  <c r="BC169"/>
  <c r="BE169" s="1"/>
  <c r="K177"/>
  <c r="M82"/>
  <c r="AC160"/>
  <c r="AC120"/>
  <c r="AC68"/>
  <c r="BE148"/>
  <c r="BC102"/>
  <c r="BE102" s="1"/>
  <c r="AC102"/>
  <c r="BE133"/>
  <c r="O112" i="6"/>
  <c r="K94" i="5" s="1"/>
  <c r="P108" i="6"/>
  <c r="Q108" s="1"/>
  <c r="U108" s="1"/>
  <c r="V108" s="1"/>
  <c r="AH160" i="23"/>
  <c r="BC81"/>
  <c r="BC74"/>
  <c r="BE19"/>
  <c r="BC44"/>
  <c r="BE44" s="1"/>
  <c r="BE171"/>
  <c r="BC5"/>
  <c r="AG150"/>
  <c r="BC150"/>
  <c r="BC6"/>
  <c r="F102" i="6"/>
  <c r="F43"/>
  <c r="P85"/>
  <c r="Q85" s="1"/>
  <c r="U85" s="1"/>
  <c r="V85" s="1"/>
  <c r="AH129" i="23"/>
  <c r="P87" i="6"/>
  <c r="Q87" s="1"/>
  <c r="U87" s="1"/>
  <c r="V87" s="1"/>
  <c r="E112"/>
  <c r="P88"/>
  <c r="Q88" s="1"/>
  <c r="U88" s="1"/>
  <c r="V88" s="1"/>
  <c r="F19"/>
  <c r="F45"/>
  <c r="H95"/>
  <c r="H67"/>
  <c r="F29"/>
  <c r="H22"/>
  <c r="H13"/>
  <c r="F73"/>
  <c r="F90"/>
  <c r="H11"/>
  <c r="F92"/>
  <c r="H80"/>
  <c r="F9"/>
  <c r="F71"/>
  <c r="H6"/>
  <c r="BE53" i="23" l="1"/>
  <c r="BE10"/>
  <c r="BE85"/>
  <c r="BE103"/>
  <c r="BE156"/>
  <c r="BE151"/>
  <c r="BE158"/>
  <c r="BE34"/>
  <c r="BB160"/>
  <c r="BE160" s="1"/>
  <c r="AK160"/>
  <c r="BB131"/>
  <c r="BE131" s="1"/>
  <c r="AK131"/>
  <c r="BB129"/>
  <c r="BE129" s="1"/>
  <c r="AK129"/>
  <c r="BE101"/>
  <c r="BE77"/>
  <c r="BE119"/>
  <c r="F98" i="4"/>
  <c r="F99" s="1"/>
  <c r="M95" i="6"/>
  <c r="AH140" i="23" s="1"/>
  <c r="M50" i="6"/>
  <c r="P50" s="1"/>
  <c r="Q50" s="1"/>
  <c r="M12"/>
  <c r="AH18" i="23" s="1"/>
  <c r="M23" i="6"/>
  <c r="AH13" i="23" s="1"/>
  <c r="AK13" s="1"/>
  <c r="M79" i="6"/>
  <c r="AH116" i="23" s="1"/>
  <c r="M16" i="6"/>
  <c r="P16" s="1"/>
  <c r="Q16" s="1"/>
  <c r="M96"/>
  <c r="P96" s="1"/>
  <c r="Q96" s="1"/>
  <c r="M31"/>
  <c r="P31" s="1"/>
  <c r="Q31" s="1"/>
  <c r="M109"/>
  <c r="P109" s="1"/>
  <c r="Q109" s="1"/>
  <c r="M111"/>
  <c r="P111" s="1"/>
  <c r="Q111" s="1"/>
  <c r="M33"/>
  <c r="AH50" i="23" s="1"/>
  <c r="M25" i="6"/>
  <c r="P25" s="1"/>
  <c r="Q25" s="1"/>
  <c r="M98"/>
  <c r="P98" s="1"/>
  <c r="Q98" s="1"/>
  <c r="M37"/>
  <c r="AH48" i="23" s="1"/>
  <c r="M63" i="6"/>
  <c r="P63" s="1"/>
  <c r="Q63" s="1"/>
  <c r="M6"/>
  <c r="AH5" i="23" s="1"/>
  <c r="M82" i="6"/>
  <c r="P82" s="1"/>
  <c r="Q82" s="1"/>
  <c r="M77"/>
  <c r="AH114" i="23" s="1"/>
  <c r="M40" i="6"/>
  <c r="P40" s="1"/>
  <c r="Q40" s="1"/>
  <c r="M60"/>
  <c r="P60" s="1"/>
  <c r="Q60" s="1"/>
  <c r="M56"/>
  <c r="M7"/>
  <c r="AH6" i="23" s="1"/>
  <c r="BB6" s="1"/>
  <c r="BE6" s="1"/>
  <c r="M68" i="6"/>
  <c r="P68" s="1"/>
  <c r="Q68" s="1"/>
  <c r="M51"/>
  <c r="AH72" i="23" s="1"/>
  <c r="M69" i="6"/>
  <c r="AH104" i="23" s="1"/>
  <c r="M49" i="6"/>
  <c r="P49" s="1"/>
  <c r="Q49" s="1"/>
  <c r="M13"/>
  <c r="AH7" i="23" s="1"/>
  <c r="M65" i="6"/>
  <c r="P65" s="1"/>
  <c r="Q65" s="1"/>
  <c r="M61"/>
  <c r="AH93" i="23" s="1"/>
  <c r="M66" i="6"/>
  <c r="P66" s="1"/>
  <c r="Q66" s="1"/>
  <c r="M34"/>
  <c r="AH51" i="23" s="1"/>
  <c r="M100" i="6"/>
  <c r="AH145" i="23" s="1"/>
  <c r="M20" i="6"/>
  <c r="AH24" i="23" s="1"/>
  <c r="AK24" s="1"/>
  <c r="M62" i="6"/>
  <c r="AH94" i="23" s="1"/>
  <c r="M80" i="6"/>
  <c r="AH115" i="23" s="1"/>
  <c r="AK115" s="1"/>
  <c r="M22" i="6"/>
  <c r="P22" s="1"/>
  <c r="Q22" s="1"/>
  <c r="M84"/>
  <c r="P84" s="1"/>
  <c r="Q84" s="1"/>
  <c r="M36"/>
  <c r="P36" s="1"/>
  <c r="Q36" s="1"/>
  <c r="M99"/>
  <c r="AH144" i="23" s="1"/>
  <c r="M44" i="6"/>
  <c r="AH67" i="23" s="1"/>
  <c r="M101" i="6"/>
  <c r="P101" s="1"/>
  <c r="Q101" s="1"/>
  <c r="M24"/>
  <c r="P24" s="1"/>
  <c r="Q24" s="1"/>
  <c r="M70"/>
  <c r="AH105" i="23" s="1"/>
  <c r="M11" i="6"/>
  <c r="P11" s="1"/>
  <c r="Q11" s="1"/>
  <c r="M67"/>
  <c r="AH98" i="23" s="1"/>
  <c r="M110" i="6"/>
  <c r="AH162" i="23" s="1"/>
  <c r="M30" i="6"/>
  <c r="AH42" i="23" s="1"/>
  <c r="AK42" s="1"/>
  <c r="M94" i="6"/>
  <c r="P94" s="1"/>
  <c r="Q94" s="1"/>
  <c r="M48"/>
  <c r="AH69" i="23" s="1"/>
  <c r="M5" i="6"/>
  <c r="P5" s="1"/>
  <c r="H97"/>
  <c r="H52"/>
  <c r="BE122" i="23"/>
  <c r="M177"/>
  <c r="I177"/>
  <c r="AG177"/>
  <c r="BE99"/>
  <c r="BE118"/>
  <c r="BE33"/>
  <c r="AC177"/>
  <c r="H35" i="6"/>
  <c r="H42"/>
  <c r="H27"/>
  <c r="H15"/>
  <c r="H93"/>
  <c r="H54"/>
  <c r="H46"/>
  <c r="H106"/>
  <c r="H76"/>
  <c r="H89"/>
  <c r="H104"/>
  <c r="H8"/>
  <c r="H47"/>
  <c r="H41"/>
  <c r="H53"/>
  <c r="H14"/>
  <c r="H92"/>
  <c r="H29"/>
  <c r="H74"/>
  <c r="H86"/>
  <c r="H78"/>
  <c r="H75"/>
  <c r="H26"/>
  <c r="H81"/>
  <c r="H91"/>
  <c r="H90"/>
  <c r="H105"/>
  <c r="H103"/>
  <c r="H59"/>
  <c r="H18"/>
  <c r="H21"/>
  <c r="H58"/>
  <c r="H45"/>
  <c r="H43"/>
  <c r="H10"/>
  <c r="H72"/>
  <c r="H57"/>
  <c r="H55"/>
  <c r="H64"/>
  <c r="H73"/>
  <c r="H19"/>
  <c r="H102"/>
  <c r="H32"/>
  <c r="H39"/>
  <c r="H38"/>
  <c r="H71"/>
  <c r="H28"/>
  <c r="H17"/>
  <c r="H107"/>
  <c r="H83"/>
  <c r="BE41" i="23"/>
  <c r="BE59"/>
  <c r="BE76"/>
  <c r="K95" i="5"/>
  <c r="AH100" i="23"/>
  <c r="H9" i="6"/>
  <c r="F112"/>
  <c r="BC177" i="23"/>
  <c r="BB69" l="1"/>
  <c r="BE69" s="1"/>
  <c r="AK69"/>
  <c r="BB144"/>
  <c r="AK144"/>
  <c r="BB67"/>
  <c r="BE67" s="1"/>
  <c r="AK67"/>
  <c r="BB145"/>
  <c r="AK145"/>
  <c r="BB72"/>
  <c r="AK72"/>
  <c r="BB98"/>
  <c r="BE98" s="1"/>
  <c r="AK98"/>
  <c r="BB93"/>
  <c r="BE93" s="1"/>
  <c r="AK93"/>
  <c r="BB104"/>
  <c r="BE104" s="1"/>
  <c r="AK104"/>
  <c r="BB116"/>
  <c r="BE116" s="1"/>
  <c r="AK116"/>
  <c r="BB140"/>
  <c r="BE140" s="1"/>
  <c r="AK140"/>
  <c r="BB162"/>
  <c r="AK162"/>
  <c r="BB94"/>
  <c r="BE94" s="1"/>
  <c r="AK94"/>
  <c r="BB114"/>
  <c r="BE114" s="1"/>
  <c r="AK114"/>
  <c r="BB48"/>
  <c r="AK48"/>
  <c r="BB100"/>
  <c r="BE100" s="1"/>
  <c r="AK100"/>
  <c r="BB105"/>
  <c r="BE105" s="1"/>
  <c r="AK105"/>
  <c r="BB51"/>
  <c r="BE51" s="1"/>
  <c r="AK51"/>
  <c r="BB50"/>
  <c r="BE50" s="1"/>
  <c r="AK50"/>
  <c r="BB18"/>
  <c r="AK18"/>
  <c r="P13" i="6"/>
  <c r="Q13" s="1"/>
  <c r="U13" s="1"/>
  <c r="V13" s="1"/>
  <c r="P48"/>
  <c r="Q48" s="1"/>
  <c r="U48" s="1"/>
  <c r="V48" s="1"/>
  <c r="P20"/>
  <c r="Q20" s="1"/>
  <c r="U20" s="1"/>
  <c r="V20" s="1"/>
  <c r="P100"/>
  <c r="Q100" s="1"/>
  <c r="AH95" i="23"/>
  <c r="AH40"/>
  <c r="AK40" s="1"/>
  <c r="AH61"/>
  <c r="AK61" s="1"/>
  <c r="F29" i="24"/>
  <c r="H29" s="1"/>
  <c r="M29" s="1"/>
  <c r="F12"/>
  <c r="H12" s="1"/>
  <c r="M12" s="1"/>
  <c r="F4"/>
  <c r="H4" s="1"/>
  <c r="M4" s="1"/>
  <c r="BB24" i="23"/>
  <c r="BE24" s="1"/>
  <c r="AH71"/>
  <c r="P67" i="6"/>
  <c r="Q67" s="1"/>
  <c r="U67" s="1"/>
  <c r="V67" s="1"/>
  <c r="P23"/>
  <c r="Q23" s="1"/>
  <c r="U23" s="1"/>
  <c r="V23" s="1"/>
  <c r="F79" i="24"/>
  <c r="H79" s="1"/>
  <c r="M79" s="1"/>
  <c r="F68"/>
  <c r="H68" s="1"/>
  <c r="M68" s="1"/>
  <c r="AH30" i="23"/>
  <c r="AK30" s="1"/>
  <c r="P95" i="6"/>
  <c r="Q95" s="1"/>
  <c r="U95" s="1"/>
  <c r="V95" s="1"/>
  <c r="AH23" i="23"/>
  <c r="F3" i="24"/>
  <c r="H3" s="1"/>
  <c r="M3" s="1"/>
  <c r="P33" i="6"/>
  <c r="Q33" s="1"/>
  <c r="F5" i="24"/>
  <c r="H5" s="1"/>
  <c r="M5" s="1"/>
  <c r="U94" i="6"/>
  <c r="V94" s="1"/>
  <c r="U22"/>
  <c r="V22" s="1"/>
  <c r="U68"/>
  <c r="V68" s="1"/>
  <c r="P6"/>
  <c r="Q6" s="1"/>
  <c r="U40"/>
  <c r="V40" s="1"/>
  <c r="U63"/>
  <c r="V63" s="1"/>
  <c r="U96"/>
  <c r="V96" s="1"/>
  <c r="P12"/>
  <c r="Q12" s="1"/>
  <c r="P34"/>
  <c r="Q34" s="1"/>
  <c r="P70"/>
  <c r="Q70" s="1"/>
  <c r="U24"/>
  <c r="V24" s="1"/>
  <c r="U36"/>
  <c r="V36" s="1"/>
  <c r="U66"/>
  <c r="V66" s="1"/>
  <c r="U49"/>
  <c r="V49" s="1"/>
  <c r="U111"/>
  <c r="V111" s="1"/>
  <c r="U16"/>
  <c r="V16" s="1"/>
  <c r="U50"/>
  <c r="V50" s="1"/>
  <c r="P30"/>
  <c r="Q30" s="1"/>
  <c r="AH32" i="23"/>
  <c r="AH92"/>
  <c r="U101" i="6"/>
  <c r="V101" s="1"/>
  <c r="U84"/>
  <c r="V84" s="1"/>
  <c r="U82"/>
  <c r="V82" s="1"/>
  <c r="U98"/>
  <c r="V98" s="1"/>
  <c r="U109"/>
  <c r="V109" s="1"/>
  <c r="U11"/>
  <c r="V11" s="1"/>
  <c r="U65"/>
  <c r="V65" s="1"/>
  <c r="U60"/>
  <c r="V60" s="1"/>
  <c r="U25"/>
  <c r="V25" s="1"/>
  <c r="U31"/>
  <c r="V31" s="1"/>
  <c r="P69"/>
  <c r="Q69" s="1"/>
  <c r="P51"/>
  <c r="Q51" s="1"/>
  <c r="BB13" i="23"/>
  <c r="BE13" s="1"/>
  <c r="P80" i="6"/>
  <c r="Q80" s="1"/>
  <c r="P61"/>
  <c r="Q61" s="1"/>
  <c r="P99"/>
  <c r="Q99" s="1"/>
  <c r="BB42" i="23"/>
  <c r="BE42" s="1"/>
  <c r="AH146"/>
  <c r="AK146" s="1"/>
  <c r="AH143"/>
  <c r="AH142"/>
  <c r="AH11"/>
  <c r="AK11" s="1"/>
  <c r="AH96"/>
  <c r="P44" i="6"/>
  <c r="Q44" s="1"/>
  <c r="F66" i="24"/>
  <c r="H66" s="1"/>
  <c r="M66" s="1"/>
  <c r="F97"/>
  <c r="H97" s="1"/>
  <c r="M97" s="1"/>
  <c r="F80"/>
  <c r="H80" s="1"/>
  <c r="M80" s="1"/>
  <c r="M18" i="6"/>
  <c r="AH35" i="23" s="1"/>
  <c r="M75" i="6"/>
  <c r="M29"/>
  <c r="M89"/>
  <c r="M42"/>
  <c r="M71"/>
  <c r="M55"/>
  <c r="P55" s="1"/>
  <c r="Q55" s="1"/>
  <c r="M45"/>
  <c r="P45" s="1"/>
  <c r="Q45" s="1"/>
  <c r="M78"/>
  <c r="AH112" i="23" s="1"/>
  <c r="AK112" s="1"/>
  <c r="M47" i="6"/>
  <c r="P47" s="1"/>
  <c r="Q47" s="1"/>
  <c r="M93"/>
  <c r="P93" s="1"/>
  <c r="Q93" s="1"/>
  <c r="AH163" i="23"/>
  <c r="M107" i="6"/>
  <c r="AH159" i="23" s="1"/>
  <c r="M38" i="6"/>
  <c r="P38" s="1"/>
  <c r="Q38" s="1"/>
  <c r="M19"/>
  <c r="P19" s="1"/>
  <c r="Q19" s="1"/>
  <c r="M57"/>
  <c r="AH78" i="23" s="1"/>
  <c r="AK78" s="1"/>
  <c r="M52" i="6"/>
  <c r="AH73" i="23" s="1"/>
  <c r="P56" i="6"/>
  <c r="Q56" s="1"/>
  <c r="AH83" i="23"/>
  <c r="AK83" s="1"/>
  <c r="AK6"/>
  <c r="AH47"/>
  <c r="AH128"/>
  <c r="M72" i="6"/>
  <c r="P72" s="1"/>
  <c r="Q72" s="1"/>
  <c r="M58"/>
  <c r="P58" s="1"/>
  <c r="Q58" s="1"/>
  <c r="M103"/>
  <c r="P103" s="1"/>
  <c r="Q103" s="1"/>
  <c r="M81"/>
  <c r="AH124" i="23" s="1"/>
  <c r="M86" i="6"/>
  <c r="M14"/>
  <c r="AH8" i="23" s="1"/>
  <c r="BB8" s="1"/>
  <c r="BE8" s="1"/>
  <c r="M8" i="6"/>
  <c r="P8" s="1"/>
  <c r="Q8" s="1"/>
  <c r="M106"/>
  <c r="P106" s="1"/>
  <c r="Q106" s="1"/>
  <c r="M15"/>
  <c r="P15" s="1"/>
  <c r="Q15" s="1"/>
  <c r="P62"/>
  <c r="Q62" s="1"/>
  <c r="P110"/>
  <c r="Q110" s="1"/>
  <c r="AH97" i="23"/>
  <c r="AH70"/>
  <c r="M17" i="6"/>
  <c r="AH25" i="23" s="1"/>
  <c r="M39" i="6"/>
  <c r="AH60" i="23" s="1"/>
  <c r="AK60" s="1"/>
  <c r="M73" i="6"/>
  <c r="AH161" i="23"/>
  <c r="AH17"/>
  <c r="AH4"/>
  <c r="BB4" s="1"/>
  <c r="AH126"/>
  <c r="P79" i="6"/>
  <c r="Q79" s="1"/>
  <c r="M10"/>
  <c r="AH16" i="23" s="1"/>
  <c r="M21" i="6"/>
  <c r="AH29" i="23" s="1"/>
  <c r="M105" i="6"/>
  <c r="AH152" i="23" s="1"/>
  <c r="M26" i="6"/>
  <c r="AH36" i="23" s="1"/>
  <c r="M74" i="6"/>
  <c r="P74" s="1"/>
  <c r="Q74" s="1"/>
  <c r="M53"/>
  <c r="AH74" i="23" s="1"/>
  <c r="M104" i="6"/>
  <c r="P104" s="1"/>
  <c r="Q104" s="1"/>
  <c r="M46"/>
  <c r="P46" s="1"/>
  <c r="Q46" s="1"/>
  <c r="M27"/>
  <c r="P7"/>
  <c r="Q7" s="1"/>
  <c r="P77"/>
  <c r="Q77" s="1"/>
  <c r="P37"/>
  <c r="Q37" s="1"/>
  <c r="AH141" i="23"/>
  <c r="M28" i="6"/>
  <c r="AH31" i="23" s="1"/>
  <c r="AK31" s="1"/>
  <c r="M32" i="6"/>
  <c r="AH46" i="23" s="1"/>
  <c r="AK46" s="1"/>
  <c r="M64" i="6"/>
  <c r="AH86" i="23" s="1"/>
  <c r="M43" i="6"/>
  <c r="M90"/>
  <c r="AH135" i="23" s="1"/>
  <c r="M41" i="6"/>
  <c r="P41" s="1"/>
  <c r="Q41" s="1"/>
  <c r="M54"/>
  <c r="P54" s="1"/>
  <c r="Q54" s="1"/>
  <c r="M97"/>
  <c r="P97" s="1"/>
  <c r="Q97" s="1"/>
  <c r="M83"/>
  <c r="AH127" i="23" s="1"/>
  <c r="M102" i="6"/>
  <c r="M59"/>
  <c r="AH81" i="23" s="1"/>
  <c r="M91" i="6"/>
  <c r="P91" s="1"/>
  <c r="Q91" s="1"/>
  <c r="M92"/>
  <c r="AH137" i="23" s="1"/>
  <c r="M76" i="6"/>
  <c r="P76" s="1"/>
  <c r="Q76" s="1"/>
  <c r="M35"/>
  <c r="P35" s="1"/>
  <c r="Q35" s="1"/>
  <c r="M9"/>
  <c r="AH15" i="23" s="1"/>
  <c r="AK15" s="1"/>
  <c r="P52" i="6"/>
  <c r="Q52" s="1"/>
  <c r="P18"/>
  <c r="Q18" s="1"/>
  <c r="H112"/>
  <c r="BB5" i="23"/>
  <c r="BE5" s="1"/>
  <c r="AK5"/>
  <c r="BB115"/>
  <c r="BE115" s="1"/>
  <c r="Q5" i="6"/>
  <c r="BB7" i="23"/>
  <c r="BE7" s="1"/>
  <c r="AK7"/>
  <c r="BB135" l="1"/>
  <c r="BE135" s="1"/>
  <c r="AK135"/>
  <c r="BB81"/>
  <c r="BE81" s="1"/>
  <c r="AK81"/>
  <c r="BB86"/>
  <c r="BE86" s="1"/>
  <c r="AK86"/>
  <c r="BB36"/>
  <c r="BE36" s="1"/>
  <c r="AK36"/>
  <c r="BB161"/>
  <c r="BE161" s="1"/>
  <c r="AK161"/>
  <c r="BB70"/>
  <c r="BE70" s="1"/>
  <c r="AK70"/>
  <c r="BB23"/>
  <c r="BE23" s="1"/>
  <c r="AK23"/>
  <c r="BB141"/>
  <c r="BE141" s="1"/>
  <c r="AK141"/>
  <c r="BB16"/>
  <c r="BE16" s="1"/>
  <c r="AK16"/>
  <c r="BB17"/>
  <c r="AK17"/>
  <c r="BB25"/>
  <c r="BE25" s="1"/>
  <c r="AK25"/>
  <c r="BB163"/>
  <c r="AK163"/>
  <c r="BB96"/>
  <c r="AK96"/>
  <c r="BB71"/>
  <c r="BE71" s="1"/>
  <c r="AK71"/>
  <c r="BB127"/>
  <c r="BE127" s="1"/>
  <c r="AK127"/>
  <c r="BB74"/>
  <c r="BE74" s="1"/>
  <c r="AK74"/>
  <c r="BB29"/>
  <c r="BE29" s="1"/>
  <c r="AK29"/>
  <c r="BB47"/>
  <c r="AK47"/>
  <c r="BB73"/>
  <c r="BE73" s="1"/>
  <c r="AK73"/>
  <c r="BB159"/>
  <c r="BE159" s="1"/>
  <c r="AK159"/>
  <c r="BB35"/>
  <c r="BE35" s="1"/>
  <c r="AK35"/>
  <c r="BB143"/>
  <c r="AK143"/>
  <c r="BB32"/>
  <c r="BE32" s="1"/>
  <c r="AK32"/>
  <c r="BB95"/>
  <c r="BE95" s="1"/>
  <c r="AK95"/>
  <c r="BB137"/>
  <c r="BE137" s="1"/>
  <c r="AK137"/>
  <c r="BB152"/>
  <c r="BE152" s="1"/>
  <c r="AK152"/>
  <c r="BB126"/>
  <c r="BE126" s="1"/>
  <c r="AK126"/>
  <c r="BB97"/>
  <c r="AK97"/>
  <c r="BB124"/>
  <c r="BE124" s="1"/>
  <c r="AK124"/>
  <c r="BB128"/>
  <c r="BE128" s="1"/>
  <c r="AK128"/>
  <c r="BB142"/>
  <c r="BE142" s="1"/>
  <c r="AK142"/>
  <c r="BB92"/>
  <c r="BE92" s="1"/>
  <c r="AK92"/>
  <c r="P17" i="6"/>
  <c r="Q17" s="1"/>
  <c r="U17" s="1"/>
  <c r="V17" s="1"/>
  <c r="BB61" i="23"/>
  <c r="BE61" s="1"/>
  <c r="U100" i="6"/>
  <c r="V100" s="1"/>
  <c r="BB40" i="23"/>
  <c r="BE40" s="1"/>
  <c r="BB11"/>
  <c r="BE11" s="1"/>
  <c r="BB30"/>
  <c r="BE30" s="1"/>
  <c r="U33" i="6"/>
  <c r="V33" s="1"/>
  <c r="P10"/>
  <c r="Q10" s="1"/>
  <c r="U10" s="1"/>
  <c r="V10" s="1"/>
  <c r="P83"/>
  <c r="Q83" s="1"/>
  <c r="U83" s="1"/>
  <c r="V83" s="1"/>
  <c r="AH79" i="23"/>
  <c r="AK79" s="1"/>
  <c r="P78" i="6"/>
  <c r="Q78" s="1"/>
  <c r="U79"/>
  <c r="V79" s="1"/>
  <c r="U45"/>
  <c r="V45" s="1"/>
  <c r="U70"/>
  <c r="V70" s="1"/>
  <c r="BB31" i="23"/>
  <c r="BE31" s="1"/>
  <c r="P28" i="6"/>
  <c r="Q28" s="1"/>
  <c r="U91"/>
  <c r="V91" s="1"/>
  <c r="U97"/>
  <c r="V97" s="1"/>
  <c r="U93"/>
  <c r="V93" s="1"/>
  <c r="U35"/>
  <c r="V35" s="1"/>
  <c r="U19"/>
  <c r="V19" s="1"/>
  <c r="U55"/>
  <c r="V55" s="1"/>
  <c r="M115" i="24"/>
  <c r="U6" i="6"/>
  <c r="V6" s="1"/>
  <c r="AH138" i="23"/>
  <c r="U7" i="6"/>
  <c r="V7" s="1"/>
  <c r="U8"/>
  <c r="V8" s="1"/>
  <c r="U103"/>
  <c r="V103" s="1"/>
  <c r="U47"/>
  <c r="V47" s="1"/>
  <c r="U99"/>
  <c r="V99" s="1"/>
  <c r="P90"/>
  <c r="Q90" s="1"/>
  <c r="U76"/>
  <c r="V76" s="1"/>
  <c r="U41"/>
  <c r="V41" s="1"/>
  <c r="U110"/>
  <c r="V110" s="1"/>
  <c r="U56"/>
  <c r="V56" s="1"/>
  <c r="U38"/>
  <c r="V38" s="1"/>
  <c r="U44"/>
  <c r="V44" s="1"/>
  <c r="U61"/>
  <c r="V61" s="1"/>
  <c r="U15"/>
  <c r="V15" s="1"/>
  <c r="U72"/>
  <c r="V72" s="1"/>
  <c r="U51"/>
  <c r="V51" s="1"/>
  <c r="U46"/>
  <c r="V46" s="1"/>
  <c r="U69"/>
  <c r="V69" s="1"/>
  <c r="U30"/>
  <c r="V30" s="1"/>
  <c r="U34"/>
  <c r="V34" s="1"/>
  <c r="P9"/>
  <c r="Q9" s="1"/>
  <c r="U52"/>
  <c r="V52" s="1"/>
  <c r="U37"/>
  <c r="V37" s="1"/>
  <c r="U106"/>
  <c r="V106" s="1"/>
  <c r="U12"/>
  <c r="V12" s="1"/>
  <c r="U54"/>
  <c r="V54" s="1"/>
  <c r="U77"/>
  <c r="V77" s="1"/>
  <c r="U104"/>
  <c r="V104" s="1"/>
  <c r="BB146" i="23"/>
  <c r="BE146" s="1"/>
  <c r="U18" i="6"/>
  <c r="V18" s="1"/>
  <c r="U62"/>
  <c r="V62" s="1"/>
  <c r="U58"/>
  <c r="V58" s="1"/>
  <c r="U80"/>
  <c r="V80" s="1"/>
  <c r="BB112" i="23"/>
  <c r="BE112" s="1"/>
  <c r="U74" i="6"/>
  <c r="V74" s="1"/>
  <c r="H115" i="24"/>
  <c r="F115"/>
  <c r="AH111" i="23"/>
  <c r="AK111" s="1"/>
  <c r="P105" i="6"/>
  <c r="Q105" s="1"/>
  <c r="P21"/>
  <c r="Q21" s="1"/>
  <c r="BB46" i="23"/>
  <c r="BE46" s="1"/>
  <c r="AH150"/>
  <c r="P53" i="6"/>
  <c r="Q53" s="1"/>
  <c r="AH80" i="23"/>
  <c r="P14" i="6"/>
  <c r="Q14" s="1"/>
  <c r="AH14" i="23"/>
  <c r="AK14" s="1"/>
  <c r="AH58"/>
  <c r="AK58" s="1"/>
  <c r="AK8"/>
  <c r="AH109"/>
  <c r="AK109" s="1"/>
  <c r="AD179"/>
  <c r="AD180" s="1"/>
  <c r="P107" i="6"/>
  <c r="Q107" s="1"/>
  <c r="P92"/>
  <c r="Q92" s="1"/>
  <c r="AH62" i="23"/>
  <c r="AH64"/>
  <c r="P43" i="6"/>
  <c r="Q43" s="1"/>
  <c r="AH130" i="23"/>
  <c r="P86" i="6"/>
  <c r="Q86" s="1"/>
  <c r="M112"/>
  <c r="AH178" i="23" s="1"/>
  <c r="BB60"/>
  <c r="BE60" s="1"/>
  <c r="P89" i="6"/>
  <c r="Q89" s="1"/>
  <c r="AH134" i="23"/>
  <c r="BB78"/>
  <c r="BE78" s="1"/>
  <c r="P81" i="6"/>
  <c r="Q81" s="1"/>
  <c r="AH107" i="23"/>
  <c r="AH39"/>
  <c r="AK39" s="1"/>
  <c r="P29" i="6"/>
  <c r="Q29" s="1"/>
  <c r="AH139" i="23"/>
  <c r="P102" i="6"/>
  <c r="Q102" s="1"/>
  <c r="AH147" i="23"/>
  <c r="AK147" s="1"/>
  <c r="AH157"/>
  <c r="P57" i="6"/>
  <c r="Q57" s="1"/>
  <c r="AH45" i="23"/>
  <c r="AH55"/>
  <c r="AK55" s="1"/>
  <c r="AH75"/>
  <c r="AK75" s="1"/>
  <c r="AH28"/>
  <c r="AK28" s="1"/>
  <c r="BB83"/>
  <c r="BE83" s="1"/>
  <c r="AK4"/>
  <c r="P39" i="6"/>
  <c r="Q39" s="1"/>
  <c r="AH52" i="23"/>
  <c r="AK52" s="1"/>
  <c r="P71" i="6"/>
  <c r="Q71" s="1"/>
  <c r="AH106" i="23"/>
  <c r="AK106" s="1"/>
  <c r="P75" i="6"/>
  <c r="Q75" s="1"/>
  <c r="AH110" i="23"/>
  <c r="AK110" s="1"/>
  <c r="P32" i="6"/>
  <c r="Q32" s="1"/>
  <c r="P59"/>
  <c r="Q59" s="1"/>
  <c r="P26"/>
  <c r="Q26" s="1"/>
  <c r="AH108" i="23"/>
  <c r="AK108" s="1"/>
  <c r="P73" i="6"/>
  <c r="Q73" s="1"/>
  <c r="P64"/>
  <c r="Q64" s="1"/>
  <c r="AH57" i="23"/>
  <c r="AH136"/>
  <c r="AH153"/>
  <c r="AK153" s="1"/>
  <c r="AH9"/>
  <c r="AK9" s="1"/>
  <c r="AH38"/>
  <c r="AK38" s="1"/>
  <c r="P27" i="6"/>
  <c r="Q27" s="1"/>
  <c r="AH63" i="23"/>
  <c r="P42" i="6"/>
  <c r="Q42" s="1"/>
  <c r="BB15" i="23"/>
  <c r="BE15" s="1"/>
  <c r="U5" i="6"/>
  <c r="BE4" i="23"/>
  <c r="BB136" l="1"/>
  <c r="BE136" s="1"/>
  <c r="AK136"/>
  <c r="BB139"/>
  <c r="BE139" s="1"/>
  <c r="AK139"/>
  <c r="BB138"/>
  <c r="BE138" s="1"/>
  <c r="AK138"/>
  <c r="BB63"/>
  <c r="BE63" s="1"/>
  <c r="AK63"/>
  <c r="BB45"/>
  <c r="BE45" s="1"/>
  <c r="AK45"/>
  <c r="BB107"/>
  <c r="BE107" s="1"/>
  <c r="AK107"/>
  <c r="BB130"/>
  <c r="BE130" s="1"/>
  <c r="AK130"/>
  <c r="BB80"/>
  <c r="BE80" s="1"/>
  <c r="AK80"/>
  <c r="BB134"/>
  <c r="BE134" s="1"/>
  <c r="AK134"/>
  <c r="BB62"/>
  <c r="BE62" s="1"/>
  <c r="AK62"/>
  <c r="BB57"/>
  <c r="BE57" s="1"/>
  <c r="AK57"/>
  <c r="BB157"/>
  <c r="BE157" s="1"/>
  <c r="AK157"/>
  <c r="BB64"/>
  <c r="BE64" s="1"/>
  <c r="AK64"/>
  <c r="BB150"/>
  <c r="BE150" s="1"/>
  <c r="AK150"/>
  <c r="U78" i="6"/>
  <c r="V78" s="1"/>
  <c r="BB153" i="23"/>
  <c r="BE153" s="1"/>
  <c r="BB79"/>
  <c r="BE79" s="1"/>
  <c r="BB58"/>
  <c r="BE58" s="1"/>
  <c r="U26" i="6"/>
  <c r="V26" s="1"/>
  <c r="U14"/>
  <c r="V14" s="1"/>
  <c r="BB75" i="23"/>
  <c r="BE75" s="1"/>
  <c r="U59" i="6"/>
  <c r="V59" s="1"/>
  <c r="U39"/>
  <c r="V39" s="1"/>
  <c r="U57"/>
  <c r="V57" s="1"/>
  <c r="U81"/>
  <c r="V81" s="1"/>
  <c r="U43"/>
  <c r="V43" s="1"/>
  <c r="U28"/>
  <c r="V28" s="1"/>
  <c r="U71"/>
  <c r="V71" s="1"/>
  <c r="U86"/>
  <c r="V86" s="1"/>
  <c r="BB9" i="23"/>
  <c r="BE9" s="1"/>
  <c r="U27" i="6"/>
  <c r="V27" s="1"/>
  <c r="U90"/>
  <c r="V90" s="1"/>
  <c r="U42"/>
  <c r="V42" s="1"/>
  <c r="U107"/>
  <c r="V107" s="1"/>
  <c r="U9"/>
  <c r="V9" s="1"/>
  <c r="U29"/>
  <c r="V29" s="1"/>
  <c r="U105"/>
  <c r="V105" s="1"/>
  <c r="U73"/>
  <c r="V73" s="1"/>
  <c r="U32"/>
  <c r="V32" s="1"/>
  <c r="U92"/>
  <c r="V92" s="1"/>
  <c r="U53"/>
  <c r="V53" s="1"/>
  <c r="BB14" i="23"/>
  <c r="BE14" s="1"/>
  <c r="U64" i="6"/>
  <c r="V64" s="1"/>
  <c r="U102"/>
  <c r="V102" s="1"/>
  <c r="U89"/>
  <c r="V89" s="1"/>
  <c r="BB52" i="23"/>
  <c r="BE52" s="1"/>
  <c r="U75" i="6"/>
  <c r="V75" s="1"/>
  <c r="U21"/>
  <c r="V21" s="1"/>
  <c r="BB55" i="23"/>
  <c r="BE55" s="1"/>
  <c r="BB109"/>
  <c r="BE109" s="1"/>
  <c r="BB111"/>
  <c r="BE111" s="1"/>
  <c r="BB147"/>
  <c r="BE147" s="1"/>
  <c r="BB106"/>
  <c r="BE106" s="1"/>
  <c r="Q112" i="6"/>
  <c r="AH177" i="23"/>
  <c r="AH179" s="1"/>
  <c r="BB28"/>
  <c r="BE28" s="1"/>
  <c r="BB39"/>
  <c r="BE39" s="1"/>
  <c r="BB38"/>
  <c r="BE38" s="1"/>
  <c r="BB108"/>
  <c r="BE108" s="1"/>
  <c r="BB110"/>
  <c r="BE110" s="1"/>
  <c r="P112" i="6"/>
  <c r="V5"/>
  <c r="AK177" i="23" l="1"/>
  <c r="V112" i="6"/>
  <c r="U112"/>
  <c r="BB177" i="23"/>
  <c r="BE177"/>
</calcChain>
</file>

<file path=xl/sharedStrings.xml><?xml version="1.0" encoding="utf-8"?>
<sst xmlns="http://schemas.openxmlformats.org/spreadsheetml/2006/main" count="3353" uniqueCount="1024">
  <si>
    <t>序号</t>
  </si>
  <si>
    <t>姓名</t>
  </si>
  <si>
    <t>部门</t>
  </si>
  <si>
    <t>入职时间</t>
  </si>
  <si>
    <t>试用期工资</t>
  </si>
  <si>
    <t>转正后工资</t>
  </si>
  <si>
    <t>备注</t>
  </si>
  <si>
    <t>银行卡复印件</t>
  </si>
  <si>
    <t>陈思奇</t>
  </si>
  <si>
    <t>人力资本</t>
  </si>
  <si>
    <t>三个月</t>
  </si>
  <si>
    <t>曾雪连</t>
  </si>
  <si>
    <t>集成服务中心</t>
  </si>
  <si>
    <t>已给聂芬</t>
  </si>
  <si>
    <t>赖慧愈</t>
  </si>
  <si>
    <t>林杰浩</t>
  </si>
  <si>
    <t>覃芳龄</t>
  </si>
  <si>
    <t>财税法集群</t>
  </si>
  <si>
    <t>张伟</t>
  </si>
  <si>
    <t>常哲</t>
  </si>
  <si>
    <t>王媛媛</t>
  </si>
  <si>
    <t>合作发展中心</t>
  </si>
  <si>
    <t>聂芬</t>
  </si>
  <si>
    <t>罗思洁</t>
  </si>
  <si>
    <t>梁立硕</t>
  </si>
  <si>
    <t>整合传播中心</t>
  </si>
  <si>
    <t>邓思顿</t>
  </si>
  <si>
    <t>知识集群</t>
  </si>
  <si>
    <t>六个月</t>
  </si>
  <si>
    <t>刘泽泳</t>
  </si>
  <si>
    <t>刘静</t>
  </si>
  <si>
    <t>李果太</t>
  </si>
  <si>
    <t>张贺宣</t>
  </si>
  <si>
    <t>叶玲燕</t>
  </si>
  <si>
    <t>刘九章</t>
  </si>
  <si>
    <t>王铭</t>
  </si>
  <si>
    <t>调整前</t>
  </si>
  <si>
    <t>调整后</t>
  </si>
  <si>
    <t>合计</t>
  </si>
  <si>
    <t>调整额度</t>
  </si>
  <si>
    <t>基本工资</t>
  </si>
  <si>
    <t>津贴</t>
  </si>
  <si>
    <t>奖金</t>
  </si>
  <si>
    <t>涂国员</t>
  </si>
  <si>
    <t>丁小春</t>
  </si>
  <si>
    <t>曾波</t>
  </si>
  <si>
    <t>黄俊铖</t>
  </si>
  <si>
    <t>赵丽君</t>
  </si>
  <si>
    <t>原田</t>
  </si>
  <si>
    <t>蔡迪</t>
  </si>
  <si>
    <t>朱凡</t>
  </si>
  <si>
    <t>SAAS集群</t>
  </si>
  <si>
    <t>杨玉梅</t>
  </si>
  <si>
    <t>李彩玲</t>
  </si>
  <si>
    <t>徐亮</t>
  </si>
  <si>
    <t>胡蓉</t>
  </si>
  <si>
    <t>人力资本部</t>
  </si>
  <si>
    <t>吴诗曼</t>
  </si>
  <si>
    <t>汤真伟</t>
  </si>
  <si>
    <t>所属部门</t>
  </si>
  <si>
    <t>手机号</t>
  </si>
  <si>
    <t>应出勤天数</t>
  </si>
  <si>
    <t>实际出勤天数</t>
  </si>
  <si>
    <t>缺勤天数</t>
  </si>
  <si>
    <t>马曼璇</t>
  </si>
  <si>
    <t>31</t>
  </si>
  <si>
    <t>0</t>
  </si>
  <si>
    <t>10</t>
  </si>
  <si>
    <t>离职</t>
  </si>
  <si>
    <t>15002064615</t>
  </si>
  <si>
    <t>1</t>
  </si>
  <si>
    <t>4</t>
  </si>
  <si>
    <t>覃恩侨</t>
  </si>
  <si>
    <t>13603049872</t>
  </si>
  <si>
    <t>李景秋</t>
  </si>
  <si>
    <t>15986821582</t>
  </si>
  <si>
    <t>试用期</t>
  </si>
  <si>
    <t>13684959570</t>
  </si>
  <si>
    <t>27</t>
  </si>
  <si>
    <t>15709108592</t>
  </si>
  <si>
    <t>22</t>
  </si>
  <si>
    <t>17301842765</t>
  </si>
  <si>
    <t>16</t>
  </si>
  <si>
    <t>18923490748</t>
  </si>
  <si>
    <t>7</t>
  </si>
  <si>
    <t>徐国连</t>
  </si>
  <si>
    <t>18665316214</t>
  </si>
  <si>
    <t>18118633089</t>
  </si>
  <si>
    <t>王亚文</t>
  </si>
  <si>
    <t>3</t>
  </si>
  <si>
    <t>胡克华</t>
  </si>
  <si>
    <t>13510294668</t>
  </si>
  <si>
    <t>李斌</t>
  </si>
  <si>
    <t>23</t>
  </si>
  <si>
    <t>18922800755</t>
  </si>
  <si>
    <t>13632792374</t>
  </si>
  <si>
    <t>15889599494</t>
  </si>
  <si>
    <t>石生仑</t>
  </si>
  <si>
    <t>18640971217</t>
  </si>
  <si>
    <t>谭开强</t>
  </si>
  <si>
    <t>13922202088</t>
  </si>
  <si>
    <t>马福臣</t>
  </si>
  <si>
    <t>15012852486</t>
  </si>
  <si>
    <t>张铭焯</t>
  </si>
  <si>
    <t>13924886158</t>
  </si>
  <si>
    <t>吴开权</t>
  </si>
  <si>
    <t>18818990429</t>
  </si>
  <si>
    <t>孟宪滨</t>
  </si>
  <si>
    <t>18</t>
  </si>
  <si>
    <t>汤迦禄</t>
  </si>
  <si>
    <t>13342062151</t>
  </si>
  <si>
    <t>市场与用户集群-渠道</t>
  </si>
  <si>
    <t>邹骏</t>
  </si>
  <si>
    <t>19924565831</t>
  </si>
  <si>
    <t>刘金花</t>
  </si>
  <si>
    <t>12</t>
  </si>
  <si>
    <t>唐艳涛</t>
  </si>
  <si>
    <t>13632999553</t>
  </si>
  <si>
    <t>祝得娴</t>
  </si>
  <si>
    <t>13612906757</t>
  </si>
  <si>
    <t>宋卫华</t>
  </si>
  <si>
    <t>18675649748</t>
  </si>
  <si>
    <t>13826577405</t>
  </si>
  <si>
    <t>谢广东</t>
  </si>
  <si>
    <t>18611558567</t>
  </si>
  <si>
    <t>李允标</t>
  </si>
  <si>
    <t>18818705721</t>
  </si>
  <si>
    <t>8</t>
  </si>
  <si>
    <t>曹霞</t>
  </si>
  <si>
    <t>13418460121</t>
  </si>
  <si>
    <t>18665805795</t>
  </si>
  <si>
    <t>市场与用户集群-集服</t>
  </si>
  <si>
    <t>5</t>
  </si>
  <si>
    <t>13</t>
  </si>
  <si>
    <t>孟楠楠</t>
  </si>
  <si>
    <t>17</t>
  </si>
  <si>
    <t>高文远</t>
  </si>
  <si>
    <t>2</t>
  </si>
  <si>
    <t>陈海静</t>
  </si>
  <si>
    <t>18770047522</t>
  </si>
  <si>
    <t>钟欣彤</t>
  </si>
  <si>
    <t>13823763530</t>
  </si>
  <si>
    <t>朱聪</t>
  </si>
  <si>
    <t>13632918410</t>
  </si>
  <si>
    <t>裴春晓</t>
  </si>
  <si>
    <t>13823386965</t>
  </si>
  <si>
    <t>廖嘉宜</t>
  </si>
  <si>
    <t>13632767402</t>
  </si>
  <si>
    <t>林醒霞</t>
  </si>
  <si>
    <t>15817290417</t>
  </si>
  <si>
    <t>周智萍</t>
  </si>
  <si>
    <t>13631690646</t>
  </si>
  <si>
    <t>韦仕荣</t>
  </si>
  <si>
    <t>18566205808</t>
  </si>
  <si>
    <t>行政会务部</t>
  </si>
  <si>
    <t>詹杰龙</t>
  </si>
  <si>
    <t>15818778254</t>
  </si>
  <si>
    <t>徐文强</t>
  </si>
  <si>
    <t>13632756246</t>
  </si>
  <si>
    <t>钟深连</t>
  </si>
  <si>
    <t>13392845041</t>
  </si>
  <si>
    <t>王小芳</t>
  </si>
  <si>
    <t>15190994653</t>
  </si>
  <si>
    <t>知识集群-商学院</t>
  </si>
  <si>
    <t>张宏强</t>
  </si>
  <si>
    <t>18675552991</t>
  </si>
  <si>
    <t>黄伟超</t>
  </si>
  <si>
    <t>邵铁健</t>
  </si>
  <si>
    <t>13570828698</t>
  </si>
  <si>
    <t>周奕彤</t>
  </si>
  <si>
    <t>13824337343</t>
  </si>
  <si>
    <t>13128919191</t>
  </si>
  <si>
    <t>26</t>
  </si>
  <si>
    <t>13302782025</t>
  </si>
  <si>
    <t>15016376645</t>
  </si>
  <si>
    <t>陈汉锰</t>
  </si>
  <si>
    <t>15989535395</t>
  </si>
  <si>
    <t>农乐</t>
  </si>
  <si>
    <t>11</t>
  </si>
  <si>
    <t>林秀映</t>
  </si>
  <si>
    <t>13510501262</t>
  </si>
  <si>
    <t>温东岳</t>
  </si>
  <si>
    <t>13632294011</t>
  </si>
  <si>
    <t>赵泽辉</t>
  </si>
  <si>
    <t>13430380816</t>
  </si>
  <si>
    <t>刘婧娴</t>
  </si>
  <si>
    <t>13265626338</t>
  </si>
  <si>
    <t>韦品玉</t>
  </si>
  <si>
    <t>15177479572</t>
  </si>
  <si>
    <t>13924679577</t>
  </si>
  <si>
    <t>肖立兵</t>
  </si>
  <si>
    <t>18617189676</t>
  </si>
  <si>
    <t>18594211094</t>
  </si>
  <si>
    <t>连锐</t>
  </si>
  <si>
    <t>13632031302</t>
  </si>
  <si>
    <t>刘强</t>
  </si>
  <si>
    <t>15811808783</t>
  </si>
  <si>
    <t>陈宽</t>
  </si>
  <si>
    <t>13971441035</t>
  </si>
  <si>
    <t>邓常青</t>
  </si>
  <si>
    <t>15616104092</t>
  </si>
  <si>
    <t>李紫茵</t>
  </si>
  <si>
    <t>15814407543</t>
  </si>
  <si>
    <t>胡嘉莹</t>
  </si>
  <si>
    <t>18565824792</t>
  </si>
  <si>
    <t>范广争</t>
  </si>
  <si>
    <t>18816783052</t>
  </si>
  <si>
    <t>罗婷升</t>
  </si>
  <si>
    <t>15622244661</t>
  </si>
  <si>
    <t>13537563903</t>
  </si>
  <si>
    <t>28</t>
  </si>
  <si>
    <t>黄雨婷</t>
  </si>
  <si>
    <t>15119242852</t>
  </si>
  <si>
    <t>13510223763</t>
  </si>
  <si>
    <t>肖钊雄</t>
  </si>
  <si>
    <t>15113738563</t>
  </si>
  <si>
    <t>13826589957</t>
  </si>
  <si>
    <t>综合部门</t>
  </si>
  <si>
    <t>刘建刚</t>
  </si>
  <si>
    <t>13902977078</t>
  </si>
  <si>
    <t>李建辉</t>
  </si>
  <si>
    <t>13922283006</t>
  </si>
  <si>
    <t>许亚梅</t>
  </si>
  <si>
    <t>15002084998</t>
  </si>
  <si>
    <t>知识集群-研究中心</t>
  </si>
  <si>
    <t>18514281103</t>
  </si>
  <si>
    <t>许亚红</t>
  </si>
  <si>
    <t>17521181510</t>
  </si>
  <si>
    <t>王振华</t>
  </si>
  <si>
    <t>13006688787</t>
  </si>
  <si>
    <t>吴泽宏</t>
  </si>
  <si>
    <t>15914167626</t>
  </si>
  <si>
    <t>13798399073</t>
  </si>
  <si>
    <t>15218703211</t>
  </si>
  <si>
    <t>离职，工资已结算</t>
  </si>
  <si>
    <t>13760337417</t>
  </si>
  <si>
    <t>21</t>
  </si>
  <si>
    <t>董事长办公室</t>
  </si>
  <si>
    <t>黄振峰</t>
  </si>
  <si>
    <t>18620363810</t>
  </si>
  <si>
    <t>聂杨</t>
  </si>
  <si>
    <t>18801067332</t>
  </si>
  <si>
    <t>周德胜</t>
  </si>
  <si>
    <t>13182099663</t>
  </si>
  <si>
    <t>杨宇</t>
  </si>
  <si>
    <t>18665365527</t>
  </si>
  <si>
    <t>马伟</t>
  </si>
  <si>
    <t>18948345215</t>
  </si>
  <si>
    <t>程国栋</t>
  </si>
  <si>
    <t>18680372957</t>
  </si>
  <si>
    <t>张俏</t>
  </si>
  <si>
    <t>13927460959</t>
  </si>
  <si>
    <t>颜爱</t>
  </si>
  <si>
    <t>13670274907</t>
  </si>
  <si>
    <t>方巧君</t>
  </si>
  <si>
    <t>18002500664</t>
  </si>
  <si>
    <t>利柱成</t>
  </si>
  <si>
    <t>13480809918</t>
  </si>
  <si>
    <t>2018年员工薪酬明细表</t>
  </si>
  <si>
    <t>工资总额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</si>
  <si>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</si>
  <si>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</si>
  <si>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</si>
  <si>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</si>
  <si>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</si>
  <si>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</si>
  <si>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</si>
  <si>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</si>
  <si>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</si>
  <si>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</si>
  <si>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</si>
  <si>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</si>
  <si>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工资合计</t>
  </si>
  <si>
    <t>提成合计</t>
  </si>
  <si>
    <t>补贴合计</t>
  </si>
  <si>
    <t>总合计</t>
  </si>
  <si>
    <t>应发工资</t>
  </si>
  <si>
    <t>提成</t>
  </si>
  <si>
    <t>补贴</t>
  </si>
  <si>
    <t>应发合计</t>
  </si>
  <si>
    <t>聂扬</t>
  </si>
  <si>
    <t>郭晏</t>
  </si>
  <si>
    <t>杨燕伊</t>
  </si>
  <si>
    <t>研究中心</t>
  </si>
  <si>
    <t>叶文山</t>
  </si>
  <si>
    <t>产融中心</t>
  </si>
  <si>
    <t>中力资本</t>
  </si>
  <si>
    <t>李娜</t>
  </si>
  <si>
    <t>徐海峰</t>
  </si>
  <si>
    <t>吴逸夫</t>
  </si>
  <si>
    <t>商学院</t>
  </si>
  <si>
    <t>吴沁琳</t>
  </si>
  <si>
    <t>邹健朗</t>
  </si>
  <si>
    <t>咨询中心</t>
  </si>
  <si>
    <t>王忠宝</t>
  </si>
  <si>
    <t>吴国强</t>
  </si>
  <si>
    <t>黄亮</t>
  </si>
  <si>
    <t>黄斌</t>
  </si>
  <si>
    <t>曾俊锋</t>
  </si>
  <si>
    <t>袁琨</t>
  </si>
  <si>
    <t>沈豪源</t>
  </si>
  <si>
    <t>何艳艳</t>
  </si>
  <si>
    <t>刘乐俐</t>
  </si>
  <si>
    <t>张宏湖</t>
  </si>
  <si>
    <t>周茜</t>
  </si>
  <si>
    <t>杨飞</t>
  </si>
  <si>
    <t>林少茵</t>
  </si>
  <si>
    <t>何志容</t>
  </si>
  <si>
    <t>财务管理部</t>
  </si>
  <si>
    <t>李志萍</t>
  </si>
  <si>
    <t>战略支援中心</t>
  </si>
  <si>
    <t>洪雪鹏</t>
  </si>
  <si>
    <t>王魁</t>
  </si>
  <si>
    <t>黄辉煌</t>
  </si>
  <si>
    <t>王珂</t>
  </si>
  <si>
    <t>荆树闯</t>
  </si>
  <si>
    <t>郑少博</t>
  </si>
  <si>
    <t>夏卫超</t>
  </si>
  <si>
    <t xml:space="preserve">谭雪晴 </t>
  </si>
  <si>
    <t>杨序国</t>
  </si>
  <si>
    <t>许飞</t>
  </si>
  <si>
    <t>蔡旭</t>
  </si>
  <si>
    <t>陈航</t>
  </si>
  <si>
    <t>张琪</t>
  </si>
  <si>
    <t>郭磊</t>
  </si>
  <si>
    <t>广州总经办</t>
  </si>
  <si>
    <t>曹晓锋</t>
  </si>
  <si>
    <t>周雪玲</t>
  </si>
  <si>
    <t>广州客服部</t>
  </si>
  <si>
    <t>刘可欣</t>
  </si>
  <si>
    <t>陈智健</t>
  </si>
  <si>
    <t>张丹</t>
  </si>
  <si>
    <t>广州营销部</t>
  </si>
  <si>
    <t>罗炳健</t>
  </si>
  <si>
    <t>吴祉淇</t>
  </si>
  <si>
    <t>马慧敏</t>
  </si>
  <si>
    <t>刘佳玲</t>
  </si>
  <si>
    <t>合计：</t>
  </si>
  <si>
    <t>备注：顺序以入职时间排列</t>
  </si>
  <si>
    <t xml:space="preserve">             </t>
  </si>
  <si>
    <t>制表：</t>
  </si>
  <si>
    <t>单位正常缴费明细</t>
  </si>
  <si>
    <t>单位编号：1009890</t>
  </si>
  <si>
    <t>分区编号：南山区</t>
  </si>
  <si>
    <t>单位名称：京鹏股权投资基金管理（深圳）有限公司</t>
  </si>
  <si>
    <t>状态标记：已入财务帐</t>
  </si>
  <si>
    <t>应收金额</t>
  </si>
  <si>
    <t>养老保险</t>
  </si>
  <si>
    <t>医疗保险</t>
  </si>
  <si>
    <t>工伤保险</t>
  </si>
  <si>
    <t>失业保险</t>
  </si>
  <si>
    <t>生育医疗</t>
  </si>
  <si>
    <t>个人编号</t>
  </si>
  <si>
    <t>身份证号</t>
  </si>
  <si>
    <t>应收合计</t>
  </si>
  <si>
    <t>个人合计</t>
  </si>
  <si>
    <t>单位合计</t>
  </si>
  <si>
    <t>缴费基数</t>
  </si>
  <si>
    <t>个人交</t>
  </si>
  <si>
    <t>单位交</t>
  </si>
  <si>
    <t>工作部门</t>
  </si>
  <si>
    <t>621219951</t>
  </si>
  <si>
    <t>412728198212136452</t>
  </si>
  <si>
    <t/>
  </si>
  <si>
    <t>642097569</t>
  </si>
  <si>
    <t>210283198802201056</t>
  </si>
  <si>
    <t>当月正常缴费人数：2</t>
  </si>
  <si>
    <t>深户人数：1</t>
  </si>
  <si>
    <t>非深户人数：1</t>
  </si>
  <si>
    <t>失业保险费抵扣金额：0.0</t>
  </si>
  <si>
    <t>单位补退明细</t>
  </si>
  <si>
    <t>起始年月</t>
  </si>
  <si>
    <t>补交总金额</t>
  </si>
  <si>
    <t>补交专户</t>
  </si>
  <si>
    <t>补交总共济</t>
  </si>
  <si>
    <t>补交合计：0.0</t>
  </si>
  <si>
    <t>个人补交合计：0.0</t>
  </si>
  <si>
    <t>单位补交合计：0.0</t>
  </si>
  <si>
    <t>单位缴费明细</t>
  </si>
  <si>
    <t>个人公积金账号</t>
  </si>
  <si>
    <t>身份证号码</t>
  </si>
  <si>
    <t>缴存基数</t>
  </si>
  <si>
    <t>单位缴存比例</t>
  </si>
  <si>
    <t>个人缴存比例</t>
  </si>
  <si>
    <t>缴存额</t>
  </si>
  <si>
    <t>缴存月份</t>
  </si>
  <si>
    <t>20219106132</t>
  </si>
  <si>
    <t>3000.00</t>
  </si>
  <si>
    <t>0.05</t>
  </si>
  <si>
    <t>20987321921</t>
  </si>
  <si>
    <t>2200.00</t>
  </si>
  <si>
    <t>计薪天数</t>
  </si>
  <si>
    <t>应发</t>
  </si>
  <si>
    <t>应扣</t>
  </si>
  <si>
    <t>实发金额</t>
  </si>
  <si>
    <t>补发</t>
  </si>
  <si>
    <t>其它</t>
  </si>
  <si>
    <t>社会保险</t>
  </si>
  <si>
    <t>公积金</t>
  </si>
  <si>
    <t>纳税额</t>
  </si>
  <si>
    <t>个人所得税</t>
  </si>
  <si>
    <t>赔偿</t>
  </si>
  <si>
    <t>挂账</t>
  </si>
  <si>
    <t>应扣合计</t>
  </si>
  <si>
    <t>单位编号：478191</t>
  </si>
  <si>
    <t>分区编号：罗湖区</t>
  </si>
  <si>
    <t>单位名称：深圳中力知识科技有限公司</t>
  </si>
  <si>
    <t>2796066</t>
  </si>
  <si>
    <t>360124197711075413</t>
  </si>
  <si>
    <t>105084989</t>
  </si>
  <si>
    <t>432522197209074051</t>
  </si>
  <si>
    <t>500252833</t>
  </si>
  <si>
    <t>44030319901020601X</t>
  </si>
  <si>
    <t>500255740</t>
  </si>
  <si>
    <t>460102199205270026</t>
  </si>
  <si>
    <t>500411234</t>
  </si>
  <si>
    <t>440301199011191136</t>
  </si>
  <si>
    <t>500515063</t>
  </si>
  <si>
    <t>430903198711076621</t>
  </si>
  <si>
    <t>600108636</t>
  </si>
  <si>
    <t>440301196011297818</t>
  </si>
  <si>
    <t>601011491</t>
  </si>
  <si>
    <t>210702197810070011</t>
  </si>
  <si>
    <t>604257244</t>
  </si>
  <si>
    <t>362203197705200033</t>
  </si>
  <si>
    <t>604283980</t>
  </si>
  <si>
    <t>220681197802021617</t>
  </si>
  <si>
    <t>604410947</t>
  </si>
  <si>
    <t>422324198104200087</t>
  </si>
  <si>
    <t>604852477</t>
  </si>
  <si>
    <t>412821198307182014</t>
  </si>
  <si>
    <t>610297903</t>
  </si>
  <si>
    <t>420111198009075711</t>
  </si>
  <si>
    <t>611350240</t>
  </si>
  <si>
    <t>211402198109080229</t>
  </si>
  <si>
    <t>613500784</t>
  </si>
  <si>
    <t>445224198406053167</t>
  </si>
  <si>
    <t>614314600</t>
  </si>
  <si>
    <t>32128419810226442X</t>
  </si>
  <si>
    <t>614907994</t>
  </si>
  <si>
    <t>441581197702239228</t>
  </si>
  <si>
    <t>618903615</t>
  </si>
  <si>
    <t>445281198908226774</t>
  </si>
  <si>
    <t>619751840</t>
  </si>
  <si>
    <t>432422197304291614</t>
  </si>
  <si>
    <t>621353822</t>
  </si>
  <si>
    <t>452122198809020336</t>
  </si>
  <si>
    <t>621374288</t>
  </si>
  <si>
    <t>430525198603130092</t>
  </si>
  <si>
    <t>621485953</t>
  </si>
  <si>
    <t>51390219860929272X</t>
  </si>
  <si>
    <t>625462764</t>
  </si>
  <si>
    <t>440881198908201612</t>
  </si>
  <si>
    <t>625498669</t>
  </si>
  <si>
    <t>43022419861005462X</t>
  </si>
  <si>
    <t>626040108</t>
  </si>
  <si>
    <t>42082119820927007X</t>
  </si>
  <si>
    <t>628939917</t>
  </si>
  <si>
    <t>441283198809093565</t>
  </si>
  <si>
    <t>630010718</t>
  </si>
  <si>
    <t>440981199112157222</t>
  </si>
  <si>
    <t>630018584</t>
  </si>
  <si>
    <t>420983198309222467</t>
  </si>
  <si>
    <t>630097182</t>
  </si>
  <si>
    <t>510727198205270026</t>
  </si>
  <si>
    <t>630611285</t>
  </si>
  <si>
    <t>320623198807227969</t>
  </si>
  <si>
    <t>632585711</t>
  </si>
  <si>
    <t>430224198812287747</t>
  </si>
  <si>
    <t>632701378</t>
  </si>
  <si>
    <t>441621199408233229</t>
  </si>
  <si>
    <t>632757234</t>
  </si>
  <si>
    <t>622801198601140433</t>
  </si>
  <si>
    <t>634074506</t>
  </si>
  <si>
    <t>430781198607073023</t>
  </si>
  <si>
    <t>635596866</t>
  </si>
  <si>
    <t>441323199403188947</t>
  </si>
  <si>
    <t>635909301</t>
  </si>
  <si>
    <t>13230219781021381X</t>
  </si>
  <si>
    <t>636414503</t>
  </si>
  <si>
    <t>513902198711292195</t>
  </si>
  <si>
    <t>636517589</t>
  </si>
  <si>
    <t>360121198712105835</t>
  </si>
  <si>
    <t>636546817</t>
  </si>
  <si>
    <t>441522199011021114</t>
  </si>
  <si>
    <t>637075275</t>
  </si>
  <si>
    <t>612422199205294425</t>
  </si>
  <si>
    <t>637420828</t>
  </si>
  <si>
    <t>44522219940205405X</t>
  </si>
  <si>
    <t>637968925</t>
  </si>
  <si>
    <t>452124199104101520</t>
  </si>
  <si>
    <t>638298105</t>
  </si>
  <si>
    <t>445281199204150913</t>
  </si>
  <si>
    <t>638703586</t>
  </si>
  <si>
    <t>440881199407303842</t>
  </si>
  <si>
    <t>639225281</t>
  </si>
  <si>
    <t>440823199205270022</t>
  </si>
  <si>
    <t>639259993</t>
  </si>
  <si>
    <t>450521198610088767</t>
  </si>
  <si>
    <t>639868116</t>
  </si>
  <si>
    <t>44152219910917002X</t>
  </si>
  <si>
    <t>640069925</t>
  </si>
  <si>
    <t>441523199201207581</t>
  </si>
  <si>
    <t>640190547</t>
  </si>
  <si>
    <t>360428199012240839</t>
  </si>
  <si>
    <t>640503780</t>
  </si>
  <si>
    <t>411121199202214513</t>
  </si>
  <si>
    <t>640758248</t>
  </si>
  <si>
    <t>362203197701240011</t>
  </si>
  <si>
    <t>641251158</t>
  </si>
  <si>
    <t>445224198709101277</t>
  </si>
  <si>
    <t>641754081</t>
  </si>
  <si>
    <t>360481199112252820</t>
  </si>
  <si>
    <t>641766105</t>
  </si>
  <si>
    <t>440102197705173633</t>
  </si>
  <si>
    <t>641886127</t>
  </si>
  <si>
    <t>441501199404274022</t>
  </si>
  <si>
    <t>642020709</t>
  </si>
  <si>
    <t>362203197812080655</t>
  </si>
  <si>
    <t>642774764</t>
  </si>
  <si>
    <t>43022519890508251X</t>
  </si>
  <si>
    <t>642776000</t>
  </si>
  <si>
    <t>440902197106250012</t>
  </si>
  <si>
    <t>643059676</t>
  </si>
  <si>
    <t>441522199303154277</t>
  </si>
  <si>
    <t>643277835</t>
  </si>
  <si>
    <t>441424198504092239</t>
  </si>
  <si>
    <t>643279257</t>
  </si>
  <si>
    <t>441283198708143578</t>
  </si>
  <si>
    <t>643450266</t>
  </si>
  <si>
    <t>430703199112259577</t>
  </si>
  <si>
    <t>644055156</t>
  </si>
  <si>
    <t>421125199205170955</t>
  </si>
  <si>
    <t>644604525</t>
  </si>
  <si>
    <t>330182198109052318</t>
  </si>
  <si>
    <t>645144039</t>
  </si>
  <si>
    <t>421024199104150830</t>
  </si>
  <si>
    <t>645165461</t>
  </si>
  <si>
    <t>440681199302193156</t>
  </si>
  <si>
    <t>645277600</t>
  </si>
  <si>
    <t>441523199508127615</t>
  </si>
  <si>
    <t>645453937</t>
  </si>
  <si>
    <t>362321198811198611</t>
  </si>
  <si>
    <t>645508548</t>
  </si>
  <si>
    <t>410328199303070517</t>
  </si>
  <si>
    <t>645906496</t>
  </si>
  <si>
    <t>320683197807054561</t>
  </si>
  <si>
    <t>646629242</t>
  </si>
  <si>
    <t>445102199405290639</t>
  </si>
  <si>
    <t>646842686</t>
  </si>
  <si>
    <t>440306199201260819</t>
  </si>
  <si>
    <t>648065929</t>
  </si>
  <si>
    <t>452724199509242121</t>
  </si>
  <si>
    <t>648248443</t>
  </si>
  <si>
    <t>620102198901091510</t>
  </si>
  <si>
    <t>648383328</t>
  </si>
  <si>
    <t>432522199608154904</t>
  </si>
  <si>
    <t>648802290</t>
  </si>
  <si>
    <t>320623198205187963</t>
  </si>
  <si>
    <t>648873559</t>
  </si>
  <si>
    <t>320204199504231315</t>
  </si>
  <si>
    <t>649101683</t>
  </si>
  <si>
    <t>421221199104284013</t>
  </si>
  <si>
    <t>649188219</t>
  </si>
  <si>
    <t>230102198702211660</t>
  </si>
  <si>
    <t>649188300</t>
  </si>
  <si>
    <t>230221198908110915</t>
  </si>
  <si>
    <t>649999672</t>
  </si>
  <si>
    <t>441225199012190019</t>
  </si>
  <si>
    <t>650005933</t>
  </si>
  <si>
    <t>61242519840312419X</t>
  </si>
  <si>
    <t>20059994955</t>
  </si>
  <si>
    <t>20063668427</t>
  </si>
  <si>
    <t>20065849630</t>
  </si>
  <si>
    <t>6</t>
  </si>
  <si>
    <t>20089972588</t>
  </si>
  <si>
    <t>20104073225</t>
  </si>
  <si>
    <t>412821830718201</t>
  </si>
  <si>
    <t>9</t>
  </si>
  <si>
    <t>20115740658</t>
  </si>
  <si>
    <t>20194079133</t>
  </si>
  <si>
    <t>20194693838</t>
  </si>
  <si>
    <t>20274004041</t>
  </si>
  <si>
    <t>14</t>
  </si>
  <si>
    <t>15</t>
  </si>
  <si>
    <t>20307690952</t>
  </si>
  <si>
    <t>340828198811103324</t>
  </si>
  <si>
    <t>20308108993</t>
  </si>
  <si>
    <t>20308321617</t>
  </si>
  <si>
    <t>20315970405</t>
  </si>
  <si>
    <t>19</t>
  </si>
  <si>
    <t>20316880707</t>
  </si>
  <si>
    <t>20</t>
  </si>
  <si>
    <t>20318349521</t>
  </si>
  <si>
    <t>20349510121</t>
  </si>
  <si>
    <t>20350472603</t>
  </si>
  <si>
    <t>20368470385</t>
  </si>
  <si>
    <t>24</t>
  </si>
  <si>
    <t>20368470959</t>
  </si>
  <si>
    <t>25</t>
  </si>
  <si>
    <t>20368718435</t>
  </si>
  <si>
    <t>20370163133</t>
  </si>
  <si>
    <t>20391459683</t>
  </si>
  <si>
    <t>20416879673</t>
  </si>
  <si>
    <t>29</t>
  </si>
  <si>
    <t>20454393606</t>
  </si>
  <si>
    <t>30</t>
  </si>
  <si>
    <t>20507943862</t>
  </si>
  <si>
    <t>20509116032</t>
  </si>
  <si>
    <t>32</t>
  </si>
  <si>
    <t>20603745097</t>
  </si>
  <si>
    <t>33</t>
  </si>
  <si>
    <t>20603745384</t>
  </si>
  <si>
    <t>34</t>
  </si>
  <si>
    <t>20635676148</t>
  </si>
  <si>
    <t>35</t>
  </si>
  <si>
    <t>20668671779</t>
  </si>
  <si>
    <t>36</t>
  </si>
  <si>
    <t>20668672099</t>
  </si>
  <si>
    <t>37</t>
  </si>
  <si>
    <t>20686764039</t>
  </si>
  <si>
    <t>38</t>
  </si>
  <si>
    <t>20689164076</t>
  </si>
  <si>
    <t>39</t>
  </si>
  <si>
    <t>20716588481</t>
  </si>
  <si>
    <t>40</t>
  </si>
  <si>
    <t>20723249162</t>
  </si>
  <si>
    <t>41</t>
  </si>
  <si>
    <t>20755874997</t>
  </si>
  <si>
    <t>42</t>
  </si>
  <si>
    <t>20756126655</t>
  </si>
  <si>
    <t>43</t>
  </si>
  <si>
    <t>20813637161</t>
  </si>
  <si>
    <t>44</t>
  </si>
  <si>
    <t>20825953224</t>
  </si>
  <si>
    <t>45</t>
  </si>
  <si>
    <t>20843231188</t>
  </si>
  <si>
    <t>46</t>
  </si>
  <si>
    <t>20843558683</t>
  </si>
  <si>
    <t>47</t>
  </si>
  <si>
    <t>20844808523</t>
  </si>
  <si>
    <t>48</t>
  </si>
  <si>
    <t>20851204501</t>
  </si>
  <si>
    <t>49</t>
  </si>
  <si>
    <t>20886023293</t>
  </si>
  <si>
    <t>50</t>
  </si>
  <si>
    <t>51</t>
  </si>
  <si>
    <t>20895524744</t>
  </si>
  <si>
    <t>52</t>
  </si>
  <si>
    <t>20908958263</t>
  </si>
  <si>
    <t>53</t>
  </si>
  <si>
    <t>20913656886</t>
  </si>
  <si>
    <t>54</t>
  </si>
  <si>
    <t>20920350037</t>
  </si>
  <si>
    <t>55</t>
  </si>
  <si>
    <t>20941750169</t>
  </si>
  <si>
    <t>56</t>
  </si>
  <si>
    <t>20989668103</t>
  </si>
  <si>
    <t>57</t>
  </si>
  <si>
    <t>21030152418</t>
  </si>
  <si>
    <t>58</t>
  </si>
  <si>
    <t>21030315603</t>
  </si>
  <si>
    <t>59</t>
  </si>
  <si>
    <t>21048278842</t>
  </si>
  <si>
    <t>60</t>
  </si>
  <si>
    <t>21048360985</t>
  </si>
  <si>
    <t>61</t>
  </si>
  <si>
    <t>21053111509</t>
  </si>
  <si>
    <t>62</t>
  </si>
  <si>
    <t>21055341655</t>
  </si>
  <si>
    <t>63</t>
  </si>
  <si>
    <t>21087409065</t>
  </si>
  <si>
    <t>64</t>
  </si>
  <si>
    <t>21099885862</t>
  </si>
  <si>
    <t>65</t>
  </si>
  <si>
    <t>21102602408</t>
  </si>
  <si>
    <t>66</t>
  </si>
  <si>
    <t>21116835431</t>
  </si>
  <si>
    <t>67</t>
  </si>
  <si>
    <t>21147551501</t>
  </si>
  <si>
    <t>68</t>
  </si>
  <si>
    <t>21161061608</t>
  </si>
  <si>
    <t>69</t>
  </si>
  <si>
    <t>70</t>
  </si>
  <si>
    <t>21162168441</t>
  </si>
  <si>
    <t>71</t>
  </si>
  <si>
    <t>21176259970</t>
  </si>
  <si>
    <t>72</t>
  </si>
  <si>
    <t>21185153210</t>
  </si>
  <si>
    <t>73</t>
  </si>
  <si>
    <t>21222146965</t>
  </si>
  <si>
    <t>21289924974</t>
  </si>
  <si>
    <t>75</t>
  </si>
  <si>
    <t>21308412772</t>
  </si>
  <si>
    <t>76</t>
  </si>
  <si>
    <t>77</t>
  </si>
  <si>
    <t>21335444353</t>
  </si>
  <si>
    <t>78</t>
  </si>
  <si>
    <t>21335737196</t>
  </si>
  <si>
    <t>79</t>
  </si>
  <si>
    <t>21351749834</t>
  </si>
  <si>
    <t>80</t>
  </si>
  <si>
    <t>21351749963</t>
  </si>
  <si>
    <t>81</t>
  </si>
  <si>
    <t>82</t>
  </si>
  <si>
    <t>21351750430</t>
  </si>
  <si>
    <t>83</t>
  </si>
  <si>
    <t>21355805548</t>
  </si>
  <si>
    <t>84</t>
  </si>
  <si>
    <t>21380086010</t>
  </si>
  <si>
    <t>85</t>
  </si>
  <si>
    <t>21380086139</t>
  </si>
  <si>
    <t>86</t>
  </si>
  <si>
    <t>21391412235</t>
  </si>
  <si>
    <t>87</t>
  </si>
  <si>
    <t>21391412364</t>
  </si>
  <si>
    <t>88</t>
  </si>
  <si>
    <t>21391412493</t>
  </si>
  <si>
    <t>89</t>
  </si>
  <si>
    <t>21391412522</t>
  </si>
  <si>
    <t>90</t>
  </si>
  <si>
    <t>21391412651</t>
  </si>
  <si>
    <t>91</t>
  </si>
  <si>
    <t>21391443344</t>
  </si>
  <si>
    <t>深圳中力知识科技有限公司</t>
  </si>
  <si>
    <t>赛俊</t>
  </si>
  <si>
    <t>总经办</t>
  </si>
  <si>
    <t>李海波</t>
  </si>
  <si>
    <t>营销部</t>
  </si>
  <si>
    <t>部门</t>
    <phoneticPr fontId="23" type="noConversion"/>
  </si>
  <si>
    <t>姓名</t>
    <phoneticPr fontId="23" type="noConversion"/>
  </si>
  <si>
    <t>入职时间</t>
    <phoneticPr fontId="23" type="noConversion"/>
  </si>
  <si>
    <t>是否深户</t>
    <phoneticPr fontId="21" type="noConversion"/>
  </si>
  <si>
    <t>工资筹划部分</t>
    <phoneticPr fontId="21" type="noConversion"/>
  </si>
  <si>
    <t>公司多缴公积金</t>
    <phoneticPr fontId="21" type="noConversion"/>
  </si>
  <si>
    <t>出差补助</t>
    <phoneticPr fontId="21" type="noConversion"/>
  </si>
  <si>
    <t>油耗交通</t>
    <phoneticPr fontId="21" type="noConversion"/>
  </si>
  <si>
    <t>住房补贴</t>
    <phoneticPr fontId="21" type="noConversion"/>
  </si>
  <si>
    <t>发票报销</t>
    <phoneticPr fontId="21" type="noConversion"/>
  </si>
  <si>
    <t>其它待筹划</t>
    <phoneticPr fontId="21" type="noConversion"/>
  </si>
  <si>
    <t>综合部门</t>
    <phoneticPr fontId="23" type="noConversion"/>
  </si>
  <si>
    <t>许亚梅</t>
    <phoneticPr fontId="23" type="noConversion"/>
  </si>
  <si>
    <t>董事长办公室</t>
    <phoneticPr fontId="23" type="noConversion"/>
  </si>
  <si>
    <t>杨宇</t>
    <phoneticPr fontId="23" type="noConversion"/>
  </si>
  <si>
    <t>董事长办公室</t>
    <phoneticPr fontId="23" type="noConversion"/>
  </si>
  <si>
    <t>黄振峰</t>
    <phoneticPr fontId="23" type="noConversion"/>
  </si>
  <si>
    <t>聂扬</t>
    <phoneticPr fontId="23" type="noConversion"/>
  </si>
  <si>
    <t>郭晏</t>
    <phoneticPr fontId="23" type="noConversion"/>
  </si>
  <si>
    <t>周德胜</t>
    <phoneticPr fontId="23" type="noConversion"/>
  </si>
  <si>
    <t>杨燕伊</t>
    <phoneticPr fontId="23" type="noConversion"/>
  </si>
  <si>
    <t>研究中心</t>
    <phoneticPr fontId="23" type="noConversion"/>
  </si>
  <si>
    <t>许亚红</t>
    <phoneticPr fontId="23" type="noConversion"/>
  </si>
  <si>
    <t>叶文山</t>
    <phoneticPr fontId="23" type="noConversion"/>
  </si>
  <si>
    <t>原田</t>
    <phoneticPr fontId="23" type="noConversion"/>
  </si>
  <si>
    <t>产融中心</t>
    <phoneticPr fontId="23" type="noConversion"/>
  </si>
  <si>
    <t>马伟</t>
    <phoneticPr fontId="23" type="noConversion"/>
  </si>
  <si>
    <t>程国栋</t>
    <phoneticPr fontId="23" type="noConversion"/>
  </si>
  <si>
    <t>中力资本</t>
    <phoneticPr fontId="23" type="noConversion"/>
  </si>
  <si>
    <t>李娜</t>
    <phoneticPr fontId="23" type="noConversion"/>
  </si>
  <si>
    <t>徐海峰</t>
    <phoneticPr fontId="23" type="noConversion"/>
  </si>
  <si>
    <t>吴逸夫</t>
    <phoneticPr fontId="23" type="noConversion"/>
  </si>
  <si>
    <t>商学院</t>
    <phoneticPr fontId="23" type="noConversion"/>
  </si>
  <si>
    <t>黄俊铖</t>
    <phoneticPr fontId="23" type="noConversion"/>
  </si>
  <si>
    <t>张宏强</t>
    <phoneticPr fontId="23" type="noConversion"/>
  </si>
  <si>
    <t>黄伟超</t>
    <phoneticPr fontId="23" type="noConversion"/>
  </si>
  <si>
    <t>周奕彤</t>
    <phoneticPr fontId="23" type="noConversion"/>
  </si>
  <si>
    <t>咨询中心</t>
    <phoneticPr fontId="23" type="noConversion"/>
  </si>
  <si>
    <t>曾波</t>
    <phoneticPr fontId="23" type="noConversion"/>
  </si>
  <si>
    <t>孟宪滨</t>
    <phoneticPr fontId="23" type="noConversion"/>
  </si>
  <si>
    <t>王忠宝</t>
    <phoneticPr fontId="23" type="noConversion"/>
  </si>
  <si>
    <t>马福臣</t>
    <phoneticPr fontId="23" type="noConversion"/>
  </si>
  <si>
    <t>张铭焯</t>
    <phoneticPr fontId="23" type="noConversion"/>
  </si>
  <si>
    <t>吴开权</t>
    <phoneticPr fontId="23" type="noConversion"/>
  </si>
  <si>
    <t>丁小春</t>
    <phoneticPr fontId="23" type="noConversion"/>
  </si>
  <si>
    <t>李斌</t>
    <phoneticPr fontId="23" type="noConversion"/>
  </si>
  <si>
    <t>涂国员</t>
    <phoneticPr fontId="23" type="noConversion"/>
  </si>
  <si>
    <t>蔡迪</t>
    <phoneticPr fontId="23" type="noConversion"/>
  </si>
  <si>
    <t>王亚文</t>
    <phoneticPr fontId="23" type="noConversion"/>
  </si>
  <si>
    <t>汤迦禄</t>
    <phoneticPr fontId="23" type="noConversion"/>
  </si>
  <si>
    <t>咨询中心</t>
    <phoneticPr fontId="23" type="noConversion"/>
  </si>
  <si>
    <t>徐国连</t>
    <phoneticPr fontId="23" type="noConversion"/>
  </si>
  <si>
    <t>整合传播中心</t>
    <phoneticPr fontId="23" type="noConversion"/>
  </si>
  <si>
    <t>吴泽宏</t>
    <phoneticPr fontId="23" type="noConversion"/>
  </si>
  <si>
    <t>刘婧娴</t>
    <phoneticPr fontId="23" type="noConversion"/>
  </si>
  <si>
    <t>林秀映</t>
    <phoneticPr fontId="23" type="noConversion"/>
  </si>
  <si>
    <t>颜爱</t>
    <phoneticPr fontId="23" type="noConversion"/>
  </si>
  <si>
    <t>方巧君</t>
    <phoneticPr fontId="23" type="noConversion"/>
  </si>
  <si>
    <t>张俏</t>
    <phoneticPr fontId="23" type="noConversion"/>
  </si>
  <si>
    <t>整合传播中心</t>
    <phoneticPr fontId="23" type="noConversion"/>
  </si>
  <si>
    <t>利柱成</t>
    <phoneticPr fontId="23" type="noConversion"/>
  </si>
  <si>
    <t>汤真伟</t>
    <phoneticPr fontId="23" type="noConversion"/>
  </si>
  <si>
    <t>集成服务中心</t>
    <phoneticPr fontId="23" type="noConversion"/>
  </si>
  <si>
    <t>林醒霞</t>
    <phoneticPr fontId="23" type="noConversion"/>
  </si>
  <si>
    <t>集成服务中心</t>
    <phoneticPr fontId="23" type="noConversion"/>
  </si>
  <si>
    <t>周智萍</t>
    <phoneticPr fontId="23" type="noConversion"/>
  </si>
  <si>
    <t>汤迦禄</t>
    <phoneticPr fontId="23" type="noConversion"/>
  </si>
  <si>
    <t>韦仕荣</t>
    <phoneticPr fontId="23" type="noConversion"/>
  </si>
  <si>
    <t>徐亮</t>
    <phoneticPr fontId="23" type="noConversion"/>
  </si>
  <si>
    <t>陈海静</t>
    <phoneticPr fontId="23" type="noConversion"/>
  </si>
  <si>
    <t>孟楠楠</t>
    <phoneticPr fontId="23" type="noConversion"/>
  </si>
  <si>
    <t>高文远</t>
    <phoneticPr fontId="23" type="noConversion"/>
  </si>
  <si>
    <t>财务管理部</t>
    <phoneticPr fontId="23" type="noConversion"/>
  </si>
  <si>
    <t>覃恩侨</t>
    <phoneticPr fontId="23" type="noConversion"/>
  </si>
  <si>
    <t>李景秋</t>
    <phoneticPr fontId="23" type="noConversion"/>
  </si>
  <si>
    <t>游 丹</t>
    <phoneticPr fontId="23" type="noConversion"/>
  </si>
  <si>
    <t>行政会务部</t>
    <phoneticPr fontId="23" type="noConversion"/>
  </si>
  <si>
    <t>钟深连</t>
    <phoneticPr fontId="23" type="noConversion"/>
  </si>
  <si>
    <t>王小芳</t>
    <phoneticPr fontId="23" type="noConversion"/>
  </si>
  <si>
    <t>人力资本</t>
    <phoneticPr fontId="23" type="noConversion"/>
  </si>
  <si>
    <t>胡蓉</t>
    <phoneticPr fontId="23" type="noConversion"/>
  </si>
  <si>
    <t>吴诗曼</t>
    <phoneticPr fontId="23" type="noConversion"/>
  </si>
  <si>
    <t>黄辉煌</t>
    <phoneticPr fontId="23" type="noConversion"/>
  </si>
  <si>
    <t>韦品玉</t>
    <phoneticPr fontId="23" type="noConversion"/>
  </si>
  <si>
    <t>朱凡</t>
    <phoneticPr fontId="23" type="noConversion"/>
  </si>
  <si>
    <t>肖立兵</t>
    <phoneticPr fontId="23" type="noConversion"/>
  </si>
  <si>
    <t>李彩玲</t>
    <phoneticPr fontId="23" type="noConversion"/>
  </si>
  <si>
    <t>连锐</t>
    <phoneticPr fontId="23" type="noConversion"/>
  </si>
  <si>
    <t>刘强</t>
    <phoneticPr fontId="23" type="noConversion"/>
  </si>
  <si>
    <t>陈宽</t>
    <phoneticPr fontId="23" type="noConversion"/>
  </si>
  <si>
    <t>邓常青</t>
    <phoneticPr fontId="23" type="noConversion"/>
  </si>
  <si>
    <t>战略支援中心</t>
    <phoneticPr fontId="23" type="noConversion"/>
  </si>
  <si>
    <t>杨序国</t>
    <phoneticPr fontId="23" type="noConversion"/>
  </si>
  <si>
    <t>李紫茵</t>
    <phoneticPr fontId="23" type="noConversion"/>
  </si>
  <si>
    <t>黄雨婷</t>
    <phoneticPr fontId="23" type="noConversion"/>
  </si>
  <si>
    <t>胡嘉莹</t>
    <phoneticPr fontId="23" type="noConversion"/>
  </si>
  <si>
    <t>范广争</t>
    <phoneticPr fontId="23" type="noConversion"/>
  </si>
  <si>
    <t>罗婷升</t>
    <phoneticPr fontId="23" type="noConversion"/>
  </si>
  <si>
    <t>肖钊雄</t>
    <phoneticPr fontId="23" type="noConversion"/>
  </si>
  <si>
    <t>合作发展中心</t>
    <phoneticPr fontId="23" type="noConversion"/>
  </si>
  <si>
    <t>刘金花</t>
    <phoneticPr fontId="23" type="noConversion"/>
  </si>
  <si>
    <t>唐艳涛</t>
    <phoneticPr fontId="23" type="noConversion"/>
  </si>
  <si>
    <t>谢广东</t>
    <phoneticPr fontId="23" type="noConversion"/>
  </si>
  <si>
    <t>李允标</t>
    <phoneticPr fontId="23" type="noConversion"/>
  </si>
  <si>
    <t>曹霞</t>
    <phoneticPr fontId="23" type="noConversion"/>
  </si>
  <si>
    <t>广州总经办</t>
    <phoneticPr fontId="23" type="noConversion"/>
  </si>
  <si>
    <t>曹晓锋</t>
    <phoneticPr fontId="23" type="noConversion"/>
  </si>
  <si>
    <t>周雪玲</t>
    <phoneticPr fontId="23" type="noConversion"/>
  </si>
  <si>
    <t>广州客服部</t>
    <phoneticPr fontId="23" type="noConversion"/>
  </si>
  <si>
    <t>刘可欣</t>
    <phoneticPr fontId="23" type="noConversion"/>
  </si>
  <si>
    <t>陈智健</t>
    <phoneticPr fontId="23" type="noConversion"/>
  </si>
  <si>
    <t>张丹</t>
    <phoneticPr fontId="23" type="noConversion"/>
  </si>
  <si>
    <t>广州营销部</t>
    <phoneticPr fontId="23" type="noConversion"/>
  </si>
  <si>
    <t>罗炳健</t>
    <phoneticPr fontId="23" type="noConversion"/>
  </si>
  <si>
    <t>吴祉淇</t>
    <phoneticPr fontId="23" type="noConversion"/>
  </si>
  <si>
    <t>马慧敏</t>
    <phoneticPr fontId="23" type="noConversion"/>
  </si>
  <si>
    <t>刘佳玲</t>
    <phoneticPr fontId="23" type="noConversion"/>
  </si>
  <si>
    <t>合计：</t>
    <phoneticPr fontId="23" type="noConversion"/>
  </si>
  <si>
    <t>是</t>
    <phoneticPr fontId="20" type="noConversion"/>
  </si>
  <si>
    <t>否</t>
    <phoneticPr fontId="20" type="noConversion"/>
  </si>
  <si>
    <t xml:space="preserve">唐榕涛   </t>
    <phoneticPr fontId="17" type="noConversion"/>
  </si>
  <si>
    <t>刘建刚</t>
    <phoneticPr fontId="17" type="noConversion"/>
  </si>
  <si>
    <t>汤迦禄</t>
    <phoneticPr fontId="17" type="noConversion"/>
  </si>
  <si>
    <t>聂杨</t>
    <phoneticPr fontId="17" type="noConversion"/>
  </si>
  <si>
    <t>游丹</t>
    <phoneticPr fontId="17" type="noConversion"/>
  </si>
  <si>
    <t>贺江波</t>
    <phoneticPr fontId="17" type="noConversion"/>
  </si>
  <si>
    <t>刘定华</t>
    <phoneticPr fontId="17" type="noConversion"/>
  </si>
  <si>
    <t>合计</t>
    <phoneticPr fontId="17" type="noConversion"/>
  </si>
  <si>
    <t>奖金</t>
    <phoneticPr fontId="17" type="noConversion"/>
  </si>
  <si>
    <t>201808 - 201808</t>
  </si>
  <si>
    <t>220.00</t>
  </si>
  <si>
    <t>300.00</t>
  </si>
  <si>
    <t>441402199509302043</t>
  </si>
  <si>
    <t>21407143379</t>
  </si>
  <si>
    <t>92</t>
  </si>
  <si>
    <t>230604199605131815</t>
  </si>
  <si>
    <t>21407143250</t>
  </si>
  <si>
    <t>450423199310051016</t>
  </si>
  <si>
    <t>21407143121</t>
  </si>
  <si>
    <t>511622199511261345</t>
  </si>
  <si>
    <t>21407143092</t>
  </si>
  <si>
    <t>430922199801294220</t>
  </si>
  <si>
    <t>21063573835</t>
  </si>
  <si>
    <t>440582199207165115</t>
  </si>
  <si>
    <t>廖炜桂</t>
  </si>
  <si>
    <t>21012415050</t>
  </si>
  <si>
    <t>362430199109104538</t>
  </si>
  <si>
    <t>肖冬文</t>
  </si>
  <si>
    <t>20974154834</t>
  </si>
  <si>
    <t>362228199004074413</t>
  </si>
  <si>
    <t>吴永昌</t>
  </si>
  <si>
    <t>20858066073</t>
  </si>
  <si>
    <t>430425197701226514</t>
  </si>
  <si>
    <t>20843399806</t>
  </si>
  <si>
    <t>刘定华</t>
  </si>
  <si>
    <t>单位应缴合计：1393.0</t>
  </si>
  <si>
    <t>个人应缴合计：638.36</t>
  </si>
  <si>
    <t>当月应缴合计：2031.36</t>
  </si>
  <si>
    <t>当月失业保险缴费总额：57.2</t>
  </si>
  <si>
    <t>单位正常缴费合计：1393.0</t>
  </si>
  <si>
    <t>个人正常缴费合计：638.36</t>
  </si>
  <si>
    <t>当月正常缴费合计：2031.36</t>
  </si>
  <si>
    <t>打印日期：2018-08-27 15:58:47.0</t>
  </si>
  <si>
    <t>台帐年月：2018年8月</t>
  </si>
  <si>
    <t>单位应缴合计：56738.29</t>
  </si>
  <si>
    <t>个人应缴合计：25870.88</t>
  </si>
  <si>
    <t>当月应缴合计：82609.17</t>
  </si>
  <si>
    <t>当月失业保险缴费总额：2970.0</t>
  </si>
  <si>
    <t>单位正常缴费合计：56738.29</t>
  </si>
  <si>
    <t>个人正常缴费合计：25870.88</t>
  </si>
  <si>
    <t>当月正常缴费合计：82609.17</t>
  </si>
  <si>
    <t>非深户人数：63</t>
  </si>
  <si>
    <t>深户人数：27</t>
  </si>
  <si>
    <t>当月正常缴费人数：90</t>
  </si>
  <si>
    <t>650230249</t>
  </si>
  <si>
    <t>650230233</t>
  </si>
  <si>
    <t>650230135</t>
  </si>
  <si>
    <t>647140961</t>
  </si>
  <si>
    <t>641958429</t>
  </si>
  <si>
    <t>639514376</t>
  </si>
  <si>
    <t>629236009</t>
  </si>
  <si>
    <t>614119063</t>
  </si>
  <si>
    <t>打印日期：2018-08-27 15:24:46.968</t>
  </si>
  <si>
    <t>2018年8月工资明细表</t>
    <phoneticPr fontId="17" type="noConversion"/>
  </si>
  <si>
    <t>8月新入职员工信息</t>
    <phoneticPr fontId="17" type="noConversion"/>
  </si>
  <si>
    <t>手机号码</t>
  </si>
  <si>
    <t>商业SaaS</t>
  </si>
  <si>
    <t>集成服务</t>
  </si>
  <si>
    <t>贺卿</t>
  </si>
  <si>
    <t>61252319861020024X</t>
  </si>
  <si>
    <t>渠道合作</t>
  </si>
  <si>
    <t>邹安霞</t>
  </si>
  <si>
    <t>410184197907132564</t>
  </si>
  <si>
    <t>产融集群</t>
  </si>
  <si>
    <t>王汴京</t>
  </si>
  <si>
    <t>410205196108151019</t>
  </si>
  <si>
    <t>黄芳华</t>
  </si>
  <si>
    <t>452627199309010725</t>
  </si>
  <si>
    <t>文案宣传</t>
  </si>
  <si>
    <t>许俊龙</t>
  </si>
  <si>
    <t>350823198909034937</t>
  </si>
  <si>
    <t>耿奕</t>
  </si>
  <si>
    <t>44030319880621271X</t>
  </si>
  <si>
    <t>集约运营集群</t>
  </si>
  <si>
    <t>邓凤</t>
  </si>
  <si>
    <t>430621198912091429</t>
  </si>
  <si>
    <t>詹健</t>
  </si>
  <si>
    <t>420582198801170015</t>
  </si>
  <si>
    <t>张宁</t>
  </si>
  <si>
    <t>511304198705020618</t>
  </si>
  <si>
    <t>连锐</t>
    <phoneticPr fontId="17" type="noConversion"/>
  </si>
  <si>
    <t>王小芳</t>
    <phoneticPr fontId="17" type="noConversion"/>
  </si>
  <si>
    <t>行政会务</t>
    <phoneticPr fontId="17" type="noConversion"/>
  </si>
  <si>
    <t>黄振峰</t>
    <phoneticPr fontId="17" type="noConversion"/>
  </si>
  <si>
    <t>董办</t>
    <phoneticPr fontId="17" type="noConversion"/>
  </si>
  <si>
    <t>聂杨</t>
    <phoneticPr fontId="17" type="noConversion"/>
  </si>
  <si>
    <t>邹安霞</t>
    <phoneticPr fontId="17" type="noConversion"/>
  </si>
  <si>
    <t>产融集群</t>
    <phoneticPr fontId="17" type="noConversion"/>
  </si>
  <si>
    <t>陈宽</t>
    <phoneticPr fontId="17" type="noConversion"/>
  </si>
  <si>
    <t>邓常青</t>
    <phoneticPr fontId="17" type="noConversion"/>
  </si>
  <si>
    <t>李紫茵</t>
    <phoneticPr fontId="17" type="noConversion"/>
  </si>
  <si>
    <t>战略支援中心</t>
    <phoneticPr fontId="17" type="noConversion"/>
  </si>
  <si>
    <t>8月工资调整信息</t>
    <phoneticPr fontId="17" type="noConversion"/>
  </si>
  <si>
    <t>王汴京</t>
    <phoneticPr fontId="17" type="noConversion"/>
  </si>
  <si>
    <t>黄芳华</t>
    <phoneticPr fontId="17" type="noConversion"/>
  </si>
  <si>
    <t>许俊龙</t>
    <phoneticPr fontId="17" type="noConversion"/>
  </si>
  <si>
    <t>詹健</t>
    <phoneticPr fontId="17" type="noConversion"/>
  </si>
  <si>
    <t>张宁</t>
    <phoneticPr fontId="17" type="noConversion"/>
  </si>
  <si>
    <t>耿奕</t>
    <phoneticPr fontId="17" type="noConversion"/>
  </si>
  <si>
    <t>周翠雯</t>
  </si>
  <si>
    <t>李成龙</t>
  </si>
  <si>
    <t>考勤结果统计(月)</t>
  </si>
  <si>
    <t>2018-09-03 11:46</t>
  </si>
  <si>
    <t>病假/时</t>
  </si>
  <si>
    <t>事假/时</t>
  </si>
  <si>
    <t>调休/时</t>
  </si>
  <si>
    <t>年假/时</t>
  </si>
  <si>
    <t>其他带薪假/时</t>
  </si>
  <si>
    <t>18938674917-01</t>
  </si>
  <si>
    <t>15217766402</t>
  </si>
  <si>
    <t>13828859413</t>
  </si>
  <si>
    <t>19928797067</t>
  </si>
  <si>
    <t>15012701572</t>
  </si>
  <si>
    <t>13632948620</t>
  </si>
  <si>
    <t>15012617341</t>
  </si>
  <si>
    <t>13715090127</t>
  </si>
  <si>
    <t>15219508176</t>
  </si>
  <si>
    <t>19928729313</t>
  </si>
  <si>
    <t>13692295695</t>
  </si>
  <si>
    <t>行政会务</t>
  </si>
  <si>
    <t>18814443195</t>
  </si>
  <si>
    <t>13689597280-01</t>
  </si>
  <si>
    <t>18862248724-01</t>
  </si>
  <si>
    <t>影视传媒</t>
  </si>
  <si>
    <t>13723708631-01</t>
  </si>
  <si>
    <t>商业智能集群</t>
  </si>
  <si>
    <t>13631573864</t>
  </si>
  <si>
    <t>15692094680</t>
  </si>
  <si>
    <t>13726048434-01</t>
  </si>
  <si>
    <t>网络运营</t>
  </si>
  <si>
    <t>18719033241</t>
  </si>
  <si>
    <t>13902444874</t>
  </si>
  <si>
    <t>文案宣传/平面设计</t>
  </si>
  <si>
    <t>13450065185</t>
  </si>
  <si>
    <t>-- 报表结束 --</t>
  </si>
  <si>
    <t>8月1日转正及晋升</t>
  </si>
  <si>
    <t>市场部</t>
  </si>
  <si>
    <t>试用期，新入职</t>
  </si>
  <si>
    <t>8月1日转正</t>
  </si>
  <si>
    <t>吴永昌</t>
    <phoneticPr fontId="17" type="noConversion"/>
  </si>
  <si>
    <t>廖炜桂</t>
    <phoneticPr fontId="17" type="noConversion"/>
  </si>
  <si>
    <t>邓凤</t>
    <phoneticPr fontId="17" type="noConversion"/>
  </si>
  <si>
    <t>肖冬文</t>
    <phoneticPr fontId="17" type="noConversion"/>
  </si>
  <si>
    <t>贺卿</t>
    <phoneticPr fontId="17" type="noConversion"/>
  </si>
  <si>
    <t>张宁</t>
    <phoneticPr fontId="17" type="noConversion"/>
  </si>
  <si>
    <t>黄芳华</t>
    <phoneticPr fontId="17" type="noConversion"/>
  </si>
  <si>
    <t>耿奕</t>
    <phoneticPr fontId="17" type="noConversion"/>
  </si>
  <si>
    <t>邹安霞</t>
    <phoneticPr fontId="17" type="noConversion"/>
  </si>
  <si>
    <t>王汴京</t>
    <phoneticPr fontId="17" type="noConversion"/>
  </si>
  <si>
    <t>许俊龙</t>
    <phoneticPr fontId="17" type="noConversion"/>
  </si>
  <si>
    <t>詹健</t>
    <phoneticPr fontId="17" type="noConversion"/>
  </si>
  <si>
    <t>2018年8月税筹汇总表</t>
    <phoneticPr fontId="21" type="noConversion"/>
  </si>
  <si>
    <t>周翠雯</t>
    <phoneticPr fontId="17" type="noConversion"/>
  </si>
  <si>
    <t>李成龙</t>
    <phoneticPr fontId="17" type="noConversion"/>
  </si>
  <si>
    <t>试用期本月转正，转正无调薪</t>
  </si>
  <si>
    <t>新增车辆管理职务，薪酬晋级</t>
  </si>
  <si>
    <t>试用期本月转正，转正调薪</t>
  </si>
  <si>
    <t>本月薪酬晋级</t>
  </si>
  <si>
    <t>赵丽君</t>
    <phoneticPr fontId="17" type="noConversion"/>
  </si>
  <si>
    <t>曹霞</t>
    <phoneticPr fontId="17" type="noConversion"/>
  </si>
  <si>
    <t>现缴纳公积金</t>
    <phoneticPr fontId="20" type="noConversion"/>
  </si>
  <si>
    <t>原缴纳公积金</t>
    <phoneticPr fontId="20" type="noConversion"/>
  </si>
  <si>
    <t>中力基金</t>
  </si>
  <si>
    <t>13530576636</t>
  </si>
  <si>
    <t>试用期本月转正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</si>
</sst>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#,##0.00_);[Red]\(#,##0.00\)"/>
    <numFmt numFmtId="177" formatCode="0.00_);[Red]\(0.00\)"/>
    <numFmt numFmtId="178" formatCode="0_);[Red]\(0\)"/>
    <numFmt numFmtId="182" formatCode="yyyy&quot;年&quot;m&quot;月&quot;d&quot;日&quot;;@"/>
    <numFmt numFmtId="183" formatCode="0.00;[Red]0.00"/>
    <numFmt numFmtId="184" formatCode="#,##0.00_ "/>
  </numFmts>
  <fonts count="43">
    <font>
      <sz val="11"/>
      <color theme="1"/>
      <name val="宋体"/>
      <charset val="134"/>
      <scheme val="minor"/>
    </font>
    <font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2"/>
      <name val="Tahoma"/>
      <family val="2"/>
    </font>
    <font>
      <b/>
      <sz val="9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Arial"/>
      <family val="2"/>
    </font>
    <font>
      <sz val="9"/>
      <color rgb="FFFF0000"/>
      <name val="宋体"/>
      <family val="3"/>
      <charset val="134"/>
    </font>
    <font>
      <sz val="9"/>
      <color rgb="FF00B050"/>
      <name val="宋体"/>
      <family val="3"/>
      <charset val="134"/>
    </font>
    <font>
      <sz val="9"/>
      <color theme="4" tint="-0.249977111117893"/>
      <name val="宋体"/>
      <family val="3"/>
      <charset val="134"/>
    </font>
    <font>
      <b/>
      <sz val="10"/>
      <color theme="4" tint="-0.249977111117893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B050"/>
      <name val="宋体"/>
      <family val="3"/>
      <charset val="134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9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9" fontId="30" fillId="0" borderId="0" applyFont="0" applyFill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3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 wrapText="1"/>
    </xf>
    <xf numFmtId="43" fontId="5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3" fontId="0" fillId="0" borderId="0" xfId="0" applyNumberFormat="1">
      <alignment vertical="center"/>
    </xf>
    <xf numFmtId="0" fontId="0" fillId="0" borderId="0" xfId="0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83" fontId="2" fillId="0" borderId="1" xfId="3" applyNumberFormat="1" applyFont="1" applyBorder="1" applyAlignment="1">
      <alignment horizontal="center" vertical="center"/>
    </xf>
    <xf numFmtId="49" fontId="3" fillId="0" borderId="1" xfId="7" applyNumberFormat="1" applyFont="1" applyFill="1" applyBorder="1" applyAlignment="1">
      <alignment vertical="center" shrinkToFit="1" readingOrder="1"/>
    </xf>
    <xf numFmtId="182" fontId="3" fillId="0" borderId="0" xfId="6" applyNumberFormat="1" applyFont="1" applyBorder="1" applyAlignment="1">
      <alignment horizontal="center" vertical="center"/>
    </xf>
    <xf numFmtId="43" fontId="3" fillId="0" borderId="1" xfId="6" applyNumberFormat="1" applyFont="1" applyBorder="1" applyAlignment="1">
      <alignment horizontal="center" vertical="center"/>
    </xf>
    <xf numFmtId="182" fontId="10" fillId="0" borderId="1" xfId="4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49" fontId="3" fillId="0" borderId="1" xfId="7" applyNumberFormat="1" applyFont="1" applyFill="1" applyBorder="1" applyAlignment="1">
      <alignment vertical="center" wrapText="1" shrinkToFit="1" readingOrder="1"/>
    </xf>
    <xf numFmtId="182" fontId="3" fillId="0" borderId="1" xfId="0" applyNumberFormat="1" applyFont="1" applyFill="1" applyBorder="1" applyAlignment="1">
      <alignment horizontal="center" vertical="center" wrapText="1"/>
    </xf>
    <xf numFmtId="0" fontId="10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83" fontId="1" fillId="0" borderId="0" xfId="0" applyNumberFormat="1" applyFont="1" applyFill="1" applyBorder="1" applyAlignment="1">
      <alignment horizontal="center" vertical="center"/>
    </xf>
    <xf numFmtId="183" fontId="2" fillId="7" borderId="1" xfId="5" applyNumberFormat="1" applyFont="1" applyFill="1" applyBorder="1" applyAlignment="1">
      <alignment horizontal="center" vertical="center" wrapText="1"/>
    </xf>
    <xf numFmtId="183" fontId="2" fillId="0" borderId="1" xfId="5" applyNumberFormat="1" applyFont="1" applyFill="1" applyBorder="1" applyAlignment="1">
      <alignment horizontal="center" vertical="center" wrapText="1"/>
    </xf>
    <xf numFmtId="43" fontId="1" fillId="0" borderId="0" xfId="1" applyFont="1" applyFill="1" applyBorder="1" applyAlignment="1">
      <alignment horizontal="center" vertical="center"/>
    </xf>
    <xf numFmtId="43" fontId="2" fillId="8" borderId="1" xfId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0" borderId="1" xfId="7" applyNumberFormat="1" applyFont="1" applyFill="1" applyBorder="1" applyAlignment="1">
      <alignment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82" fontId="2" fillId="0" borderId="1" xfId="0" applyNumberFormat="1" applyFont="1" applyFill="1" applyBorder="1" applyAlignment="1">
      <alignment vertical="center" wrapText="1"/>
    </xf>
    <xf numFmtId="43" fontId="11" fillId="0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82" fontId="3" fillId="0" borderId="0" xfId="0" applyNumberFormat="1" applyFont="1" applyFill="1" applyBorder="1" applyAlignment="1">
      <alignment horizontal="center" vertical="center"/>
    </xf>
    <xf numFmtId="183" fontId="3" fillId="0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49" fontId="24" fillId="0" borderId="17" xfId="7" applyNumberFormat="1" applyFont="1" applyFill="1" applyBorder="1" applyAlignment="1">
      <alignment vertical="center" shrinkToFit="1" readingOrder="1"/>
    </xf>
    <xf numFmtId="0" fontId="24" fillId="0" borderId="18" xfId="0" applyNumberFormat="1" applyFont="1" applyFill="1" applyBorder="1" applyAlignment="1">
      <alignment horizontal="center" vertical="center" wrapText="1"/>
    </xf>
    <xf numFmtId="182" fontId="24" fillId="0" borderId="18" xfId="6" applyNumberFormat="1" applyFont="1" applyBorder="1" applyAlignment="1">
      <alignment horizontal="center" vertical="center"/>
    </xf>
    <xf numFmtId="182" fontId="25" fillId="0" borderId="18" xfId="4" applyNumberFormat="1" applyFont="1" applyFill="1" applyBorder="1" applyAlignment="1">
      <alignment horizontal="center" vertical="center"/>
    </xf>
    <xf numFmtId="0" fontId="24" fillId="5" borderId="18" xfId="0" applyNumberFormat="1" applyFont="1" applyFill="1" applyBorder="1" applyAlignment="1">
      <alignment horizontal="center" vertical="center" wrapText="1"/>
    </xf>
    <xf numFmtId="182" fontId="25" fillId="0" borderId="18" xfId="4" applyNumberFormat="1" applyFont="1" applyFill="1" applyBorder="1" applyAlignment="1" applyProtection="1">
      <alignment horizontal="center" vertical="center"/>
      <protection locked="0"/>
    </xf>
    <xf numFmtId="49" fontId="24" fillId="0" borderId="17" xfId="7" applyNumberFormat="1" applyFont="1" applyFill="1" applyBorder="1" applyAlignment="1">
      <alignment vertical="center" wrapText="1" shrinkToFit="1" readingOrder="1"/>
    </xf>
    <xf numFmtId="182" fontId="24" fillId="0" borderId="18" xfId="0" applyNumberFormat="1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5" borderId="18" xfId="0" applyFont="1" applyFill="1" applyBorder="1" applyAlignment="1">
      <alignment horizontal="center" vertical="center" wrapText="1"/>
    </xf>
    <xf numFmtId="49" fontId="24" fillId="0" borderId="17" xfId="7" applyNumberFormat="1" applyFont="1" applyFill="1" applyBorder="1" applyAlignment="1">
      <alignment vertical="center" shrinkToFit="1"/>
    </xf>
    <xf numFmtId="177" fontId="24" fillId="0" borderId="18" xfId="0" applyNumberFormat="1" applyFont="1" applyFill="1" applyBorder="1" applyAlignment="1">
      <alignment horizontal="center" vertical="center"/>
    </xf>
    <xf numFmtId="0" fontId="22" fillId="0" borderId="21" xfId="0" applyNumberFormat="1" applyFont="1" applyFill="1" applyBorder="1" applyAlignment="1">
      <alignment horizontal="center" vertical="center" wrapText="1"/>
    </xf>
    <xf numFmtId="0" fontId="22" fillId="0" borderId="22" xfId="0" applyNumberFormat="1" applyFont="1" applyFill="1" applyBorder="1" applyAlignment="1">
      <alignment horizontal="center" vertical="center" wrapText="1"/>
    </xf>
    <xf numFmtId="182" fontId="22" fillId="0" borderId="22" xfId="0" applyNumberFormat="1" applyFont="1" applyFill="1" applyBorder="1" applyAlignment="1">
      <alignment vertical="center" wrapText="1"/>
    </xf>
    <xf numFmtId="43" fontId="0" fillId="0" borderId="0" xfId="0" applyNumberFormat="1" applyAlignment="1">
      <alignment horizontal="right" vertical="center"/>
    </xf>
    <xf numFmtId="49" fontId="3" fillId="2" borderId="1" xfId="7" applyNumberFormat="1" applyFont="1" applyFill="1" applyBorder="1" applyAlignment="1">
      <alignment vertical="center" shrinkToFit="1"/>
    </xf>
    <xf numFmtId="182" fontId="10" fillId="2" borderId="1" xfId="4" applyNumberFormat="1" applyFont="1" applyFill="1" applyBorder="1" applyAlignment="1">
      <alignment horizontal="center" vertical="center"/>
    </xf>
    <xf numFmtId="43" fontId="3" fillId="2" borderId="1" xfId="6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49" fontId="3" fillId="2" borderId="1" xfId="7" applyNumberFormat="1" applyFont="1" applyFill="1" applyBorder="1" applyAlignment="1">
      <alignment vertical="center" shrinkToFit="1" readingOrder="1"/>
    </xf>
    <xf numFmtId="182" fontId="3" fillId="2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/>
    </xf>
    <xf numFmtId="182" fontId="0" fillId="0" borderId="0" xfId="0" applyNumberFormat="1">
      <alignment vertical="center"/>
    </xf>
    <xf numFmtId="184" fontId="9" fillId="0" borderId="0" xfId="0" applyNumberFormat="1" applyFont="1" applyFill="1" applyBorder="1" applyAlignment="1">
      <alignment horizontal="left" vertical="center"/>
    </xf>
    <xf numFmtId="184" fontId="1" fillId="0" borderId="0" xfId="0" applyNumberFormat="1" applyFont="1" applyFill="1" applyBorder="1" applyAlignment="1">
      <alignment horizontal="center" vertical="center"/>
    </xf>
    <xf numFmtId="184" fontId="2" fillId="0" borderId="1" xfId="3" applyNumberFormat="1" applyFont="1" applyBorder="1" applyAlignment="1">
      <alignment horizontal="center" vertical="center"/>
    </xf>
    <xf numFmtId="184" fontId="3" fillId="0" borderId="1" xfId="0" applyNumberFormat="1" applyFont="1" applyFill="1" applyBorder="1" applyAlignment="1">
      <alignment horizontal="center" vertical="center" wrapText="1"/>
    </xf>
    <xf numFmtId="184" fontId="2" fillId="7" borderId="1" xfId="5" applyNumberFormat="1" applyFont="1" applyFill="1" applyBorder="1" applyAlignment="1">
      <alignment horizontal="center" vertical="center" wrapText="1"/>
    </xf>
    <xf numFmtId="184" fontId="2" fillId="0" borderId="1" xfId="5" applyNumberFormat="1" applyFont="1" applyFill="1" applyBorder="1" applyAlignment="1">
      <alignment horizontal="center" vertical="center" wrapText="1"/>
    </xf>
    <xf numFmtId="184" fontId="2" fillId="0" borderId="1" xfId="0" applyNumberFormat="1" applyFont="1" applyFill="1" applyBorder="1" applyAlignment="1">
      <alignment horizontal="center" vertical="center" wrapText="1"/>
    </xf>
    <xf numFmtId="184" fontId="2" fillId="0" borderId="1" xfId="1" applyNumberFormat="1" applyFont="1" applyFill="1" applyBorder="1" applyAlignment="1">
      <alignment horizontal="center" vertical="center" wrapText="1"/>
    </xf>
    <xf numFmtId="184" fontId="2" fillId="7" borderId="1" xfId="1" applyNumberFormat="1" applyFont="1" applyFill="1" applyBorder="1" applyAlignment="1">
      <alignment horizontal="center" vertical="center" wrapText="1"/>
    </xf>
    <xf numFmtId="184" fontId="3" fillId="0" borderId="0" xfId="0" applyNumberFormat="1" applyFont="1" applyFill="1" applyBorder="1" applyAlignment="1">
      <alignment horizontal="center" vertical="center"/>
    </xf>
    <xf numFmtId="184" fontId="3" fillId="0" borderId="0" xfId="1" applyNumberFormat="1" applyFont="1" applyFill="1" applyBorder="1" applyAlignment="1">
      <alignment horizontal="center" vertical="center"/>
    </xf>
    <xf numFmtId="184" fontId="0" fillId="0" borderId="0" xfId="0" applyNumberFormat="1">
      <alignment vertical="center"/>
    </xf>
    <xf numFmtId="184" fontId="3" fillId="0" borderId="1" xfId="0" applyNumberFormat="1" applyFont="1" applyFill="1" applyBorder="1" applyAlignment="1">
      <alignment horizontal="right" vertical="center" wrapText="1"/>
    </xf>
    <xf numFmtId="184" fontId="2" fillId="7" borderId="1" xfId="5" applyNumberFormat="1" applyFont="1" applyFill="1" applyBorder="1" applyAlignment="1">
      <alignment horizontal="right" vertical="center" wrapText="1"/>
    </xf>
    <xf numFmtId="183" fontId="2" fillId="7" borderId="1" xfId="5" applyNumberFormat="1" applyFont="1" applyFill="1" applyBorder="1" applyAlignment="1">
      <alignment horizontal="right" vertical="center" wrapText="1"/>
    </xf>
    <xf numFmtId="183" fontId="3" fillId="0" borderId="1" xfId="0" applyNumberFormat="1" applyFont="1" applyFill="1" applyBorder="1" applyAlignment="1">
      <alignment horizontal="right" vertical="center" wrapText="1"/>
    </xf>
    <xf numFmtId="43" fontId="2" fillId="8" borderId="1" xfId="1" applyFont="1" applyFill="1" applyBorder="1" applyAlignment="1">
      <alignment horizontal="right" vertical="center" wrapText="1"/>
    </xf>
    <xf numFmtId="176" fontId="2" fillId="9" borderId="1" xfId="0" applyNumberFormat="1" applyFont="1" applyFill="1" applyBorder="1" applyAlignment="1">
      <alignment horizontal="right" vertical="center" wrapText="1"/>
    </xf>
    <xf numFmtId="184" fontId="2" fillId="0" borderId="1" xfId="5" applyNumberFormat="1" applyFont="1" applyFill="1" applyBorder="1" applyAlignment="1">
      <alignment horizontal="right" vertical="center" wrapText="1"/>
    </xf>
    <xf numFmtId="184" fontId="3" fillId="3" borderId="1" xfId="0" applyNumberFormat="1" applyFont="1" applyFill="1" applyBorder="1" applyAlignment="1">
      <alignment horizontal="right" vertical="center" wrapText="1"/>
    </xf>
    <xf numFmtId="184" fontId="2" fillId="3" borderId="1" xfId="5" applyNumberFormat="1" applyFont="1" applyFill="1" applyBorder="1" applyAlignment="1">
      <alignment horizontal="right" vertical="center" wrapText="1"/>
    </xf>
    <xf numFmtId="183" fontId="2" fillId="3" borderId="1" xfId="5" applyNumberFormat="1" applyFont="1" applyFill="1" applyBorder="1" applyAlignment="1">
      <alignment horizontal="right" vertical="center" wrapText="1"/>
    </xf>
    <xf numFmtId="183" fontId="3" fillId="3" borderId="1" xfId="0" applyNumberFormat="1" applyFont="1" applyFill="1" applyBorder="1" applyAlignment="1">
      <alignment horizontal="right" vertical="center" wrapText="1"/>
    </xf>
    <xf numFmtId="184" fontId="2" fillId="0" borderId="0" xfId="0" applyNumberFormat="1" applyFont="1" applyFill="1" applyBorder="1" applyAlignment="1">
      <alignment horizontal="right" vertical="center" wrapText="1"/>
    </xf>
    <xf numFmtId="184" fontId="3" fillId="2" borderId="1" xfId="0" applyNumberFormat="1" applyFont="1" applyFill="1" applyBorder="1" applyAlignment="1">
      <alignment horizontal="right" vertical="center" wrapText="1"/>
    </xf>
    <xf numFmtId="184" fontId="2" fillId="2" borderId="1" xfId="5" applyNumberFormat="1" applyFont="1" applyFill="1" applyBorder="1" applyAlignment="1">
      <alignment horizontal="right" vertical="center" wrapText="1"/>
    </xf>
    <xf numFmtId="183" fontId="2" fillId="2" borderId="1" xfId="5" applyNumberFormat="1" applyFont="1" applyFill="1" applyBorder="1" applyAlignment="1">
      <alignment horizontal="right" vertical="center" wrapText="1"/>
    </xf>
    <xf numFmtId="183" fontId="3" fillId="2" borderId="1" xfId="0" applyNumberFormat="1" applyFont="1" applyFill="1" applyBorder="1" applyAlignment="1">
      <alignment horizontal="right" vertical="center" wrapText="1"/>
    </xf>
    <xf numFmtId="184" fontId="1" fillId="0" borderId="1" xfId="0" applyNumberFormat="1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" fillId="0" borderId="13" xfId="3" applyNumberFormat="1" applyFont="1" applyBorder="1" applyAlignment="1">
      <alignment horizontal="center" vertical="center"/>
    </xf>
    <xf numFmtId="178" fontId="3" fillId="0" borderId="14" xfId="3" applyNumberFormat="1" applyFont="1" applyFill="1" applyBorder="1" applyAlignment="1">
      <alignment horizontal="center" vertical="center"/>
    </xf>
    <xf numFmtId="182" fontId="3" fillId="0" borderId="14" xfId="3" applyNumberFormat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6" xfId="1" applyFont="1" applyBorder="1" applyAlignment="1">
      <alignment horizontal="center" vertical="center"/>
    </xf>
    <xf numFmtId="43" fontId="0" fillId="0" borderId="18" xfId="1" applyFont="1" applyBorder="1">
      <alignment vertical="center"/>
    </xf>
    <xf numFmtId="43" fontId="0" fillId="0" borderId="19" xfId="1" applyFont="1" applyBorder="1">
      <alignment vertical="center"/>
    </xf>
    <xf numFmtId="43" fontId="0" fillId="0" borderId="20" xfId="1" applyFont="1" applyBorder="1">
      <alignment vertical="center"/>
    </xf>
    <xf numFmtId="43" fontId="0" fillId="0" borderId="22" xfId="1" applyFont="1" applyBorder="1">
      <alignment vertical="center"/>
    </xf>
    <xf numFmtId="43" fontId="0" fillId="0" borderId="23" xfId="1" applyFont="1" applyBorder="1">
      <alignment vertical="center"/>
    </xf>
    <xf numFmtId="43" fontId="0" fillId="0" borderId="24" xfId="1" applyFont="1" applyBorder="1">
      <alignment vertical="center"/>
    </xf>
    <xf numFmtId="43" fontId="0" fillId="0" borderId="0" xfId="1" applyFont="1">
      <alignment vertical="center"/>
    </xf>
    <xf numFmtId="0" fontId="3" fillId="10" borderId="1" xfId="0" applyNumberFormat="1" applyFont="1" applyFill="1" applyBorder="1" applyAlignment="1">
      <alignment horizontal="center" vertical="center" wrapText="1"/>
    </xf>
    <xf numFmtId="49" fontId="3" fillId="10" borderId="1" xfId="7" applyNumberFormat="1" applyFont="1" applyFill="1" applyBorder="1" applyAlignment="1">
      <alignment vertical="center" shrinkToFit="1" readingOrder="1"/>
    </xf>
    <xf numFmtId="182" fontId="10" fillId="10" borderId="1" xfId="4" applyNumberFormat="1" applyFont="1" applyFill="1" applyBorder="1" applyAlignment="1" applyProtection="1">
      <alignment horizontal="center" vertical="center"/>
      <protection locked="0"/>
    </xf>
    <xf numFmtId="43" fontId="3" fillId="10" borderId="1" xfId="6" applyNumberFormat="1" applyFont="1" applyFill="1" applyBorder="1" applyAlignment="1">
      <alignment horizontal="center" vertical="center"/>
    </xf>
    <xf numFmtId="184" fontId="3" fillId="10" borderId="1" xfId="0" applyNumberFormat="1" applyFont="1" applyFill="1" applyBorder="1" applyAlignment="1">
      <alignment horizontal="right" vertical="center" wrapText="1"/>
    </xf>
    <xf numFmtId="184" fontId="2" fillId="10" borderId="1" xfId="5" applyNumberFormat="1" applyFont="1" applyFill="1" applyBorder="1" applyAlignment="1">
      <alignment horizontal="right" vertical="center" wrapText="1"/>
    </xf>
    <xf numFmtId="183" fontId="2" fillId="10" borderId="1" xfId="5" applyNumberFormat="1" applyFont="1" applyFill="1" applyBorder="1" applyAlignment="1">
      <alignment horizontal="right" vertical="center" wrapText="1"/>
    </xf>
    <xf numFmtId="183" fontId="3" fillId="10" borderId="1" xfId="0" applyNumberFormat="1" applyFont="1" applyFill="1" applyBorder="1" applyAlignment="1">
      <alignment horizontal="right" vertical="center" wrapText="1"/>
    </xf>
    <xf numFmtId="0" fontId="0" fillId="10" borderId="0" xfId="0" applyFill="1">
      <alignment vertical="center"/>
    </xf>
    <xf numFmtId="182" fontId="10" fillId="10" borderId="1" xfId="4" applyNumberFormat="1" applyFont="1" applyFill="1" applyBorder="1" applyAlignment="1">
      <alignment horizontal="center" vertical="center"/>
    </xf>
    <xf numFmtId="49" fontId="3" fillId="10" borderId="1" xfId="7" applyNumberFormat="1" applyFont="1" applyFill="1" applyBorder="1" applyAlignment="1">
      <alignment vertical="center" wrapText="1" shrinkToFit="1" readingOrder="1"/>
    </xf>
    <xf numFmtId="0" fontId="3" fillId="10" borderId="6" xfId="0" applyFont="1" applyFill="1" applyBorder="1" applyAlignment="1">
      <alignment horizontal="center" vertical="center" wrapText="1"/>
    </xf>
    <xf numFmtId="182" fontId="3" fillId="10" borderId="1" xfId="0" applyNumberFormat="1" applyFont="1" applyFill="1" applyBorder="1" applyAlignment="1">
      <alignment horizontal="center" vertical="center" wrapText="1"/>
    </xf>
    <xf numFmtId="49" fontId="3" fillId="10" borderId="1" xfId="7" applyNumberFormat="1" applyFont="1" applyFill="1" applyBorder="1" applyAlignment="1">
      <alignment vertical="center" shrinkToFit="1"/>
    </xf>
    <xf numFmtId="177" fontId="3" fillId="10" borderId="1" xfId="0" applyNumberFormat="1" applyFont="1" applyFill="1" applyBorder="1" applyAlignment="1">
      <alignment horizontal="center" vertical="center"/>
    </xf>
    <xf numFmtId="184" fontId="1" fillId="10" borderId="1" xfId="0" applyNumberFormat="1" applyFont="1" applyFill="1" applyBorder="1" applyAlignment="1">
      <alignment horizontal="right" vertical="center"/>
    </xf>
    <xf numFmtId="0" fontId="3" fillId="12" borderId="1" xfId="0" applyNumberFormat="1" applyFont="1" applyFill="1" applyBorder="1" applyAlignment="1">
      <alignment horizontal="center" vertical="center" wrapText="1"/>
    </xf>
    <xf numFmtId="49" fontId="3" fillId="12" borderId="1" xfId="7" applyNumberFormat="1" applyFont="1" applyFill="1" applyBorder="1" applyAlignment="1">
      <alignment vertical="center" shrinkToFit="1" readingOrder="1"/>
    </xf>
    <xf numFmtId="182" fontId="10" fillId="12" borderId="1" xfId="4" applyNumberFormat="1" applyFont="1" applyFill="1" applyBorder="1" applyAlignment="1">
      <alignment horizontal="center" vertical="center"/>
    </xf>
    <xf numFmtId="43" fontId="3" fillId="12" borderId="1" xfId="6" applyNumberFormat="1" applyFont="1" applyFill="1" applyBorder="1" applyAlignment="1">
      <alignment horizontal="center" vertical="center"/>
    </xf>
    <xf numFmtId="184" fontId="3" fillId="12" borderId="1" xfId="0" applyNumberFormat="1" applyFont="1" applyFill="1" applyBorder="1" applyAlignment="1">
      <alignment horizontal="right" vertical="center" wrapText="1"/>
    </xf>
    <xf numFmtId="184" fontId="2" fillId="12" borderId="1" xfId="5" applyNumberFormat="1" applyFont="1" applyFill="1" applyBorder="1" applyAlignment="1">
      <alignment horizontal="right" vertical="center" wrapText="1"/>
    </xf>
    <xf numFmtId="183" fontId="2" fillId="12" borderId="1" xfId="5" applyNumberFormat="1" applyFont="1" applyFill="1" applyBorder="1" applyAlignment="1">
      <alignment horizontal="right" vertical="center" wrapText="1"/>
    </xf>
    <xf numFmtId="183" fontId="3" fillId="12" borderId="1" xfId="0" applyNumberFormat="1" applyFont="1" applyFill="1" applyBorder="1" applyAlignment="1">
      <alignment horizontal="right" vertical="center" wrapText="1"/>
    </xf>
    <xf numFmtId="0" fontId="0" fillId="12" borderId="0" xfId="0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43" fontId="2" fillId="0" borderId="1" xfId="3" applyNumberFormat="1" applyFont="1" applyBorder="1" applyAlignment="1">
      <alignment horizontal="center" vertical="center"/>
    </xf>
    <xf numFmtId="43" fontId="2" fillId="4" borderId="1" xfId="3" applyNumberFormat="1" applyFont="1" applyFill="1" applyBorder="1" applyAlignment="1">
      <alignment horizontal="center" vertical="center"/>
    </xf>
    <xf numFmtId="43" fontId="2" fillId="0" borderId="1" xfId="3" applyNumberFormat="1" applyFont="1" applyBorder="1" applyAlignment="1">
      <alignment horizontal="right" vertical="center"/>
    </xf>
    <xf numFmtId="0" fontId="5" fillId="10" borderId="1" xfId="0" applyFont="1" applyFill="1" applyBorder="1" applyAlignment="1"/>
    <xf numFmtId="43" fontId="5" fillId="0" borderId="1" xfId="0" applyNumberFormat="1" applyFont="1" applyBorder="1">
      <alignment vertical="center"/>
    </xf>
    <xf numFmtId="43" fontId="5" fillId="0" borderId="1" xfId="0" applyNumberFormat="1" applyFont="1" applyFill="1" applyBorder="1" applyAlignment="1">
      <alignment vertical="center"/>
    </xf>
    <xf numFmtId="43" fontId="5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43" fontId="5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43" fontId="5" fillId="0" borderId="7" xfId="0" applyNumberFormat="1" applyFont="1" applyBorder="1">
      <alignment vertical="center"/>
    </xf>
    <xf numFmtId="43" fontId="5" fillId="0" borderId="1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43" fontId="5" fillId="0" borderId="1" xfId="0" applyNumberFormat="1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vertical="center"/>
    </xf>
    <xf numFmtId="43" fontId="27" fillId="0" borderId="1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3" fontId="5" fillId="13" borderId="1" xfId="0" applyNumberFormat="1" applyFont="1" applyFill="1" applyBorder="1">
      <alignment vertical="center"/>
    </xf>
    <xf numFmtId="0" fontId="0" fillId="0" borderId="0" xfId="0" applyAlignment="1"/>
    <xf numFmtId="0" fontId="28" fillId="0" borderId="0" xfId="0" applyFont="1" applyAlignment="1"/>
    <xf numFmtId="0" fontId="29" fillId="0" borderId="0" xfId="0" applyFont="1" applyAlignment="1"/>
    <xf numFmtId="0" fontId="5" fillId="0" borderId="1" xfId="0" applyFont="1" applyFill="1" applyBorder="1" applyAlignment="1">
      <alignment horizontal="center" vertical="center"/>
    </xf>
    <xf numFmtId="49" fontId="3" fillId="0" borderId="9" xfId="7" applyNumberFormat="1" applyFont="1" applyFill="1" applyBorder="1" applyAlignment="1">
      <alignment horizontal="center" vertical="center" textRotation="255" shrinkToFit="1" readingOrder="1"/>
    </xf>
    <xf numFmtId="0" fontId="31" fillId="0" borderId="1" xfId="0" applyFont="1" applyFill="1" applyBorder="1" applyAlignment="1">
      <alignment horizontal="center" vertical="center"/>
    </xf>
    <xf numFmtId="184" fontId="31" fillId="0" borderId="1" xfId="8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quotePrefix="1" applyFont="1" applyFill="1" applyBorder="1" applyAlignment="1">
      <alignment horizontal="center" vertical="center"/>
    </xf>
    <xf numFmtId="14" fontId="32" fillId="0" borderId="7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14" fontId="32" fillId="0" borderId="0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/>
    <xf numFmtId="0" fontId="35" fillId="0" borderId="0" xfId="0" applyFont="1">
      <alignment vertical="center"/>
    </xf>
    <xf numFmtId="0" fontId="12" fillId="4" borderId="26" xfId="0" applyFont="1" applyFill="1" applyBorder="1">
      <alignment vertical="center"/>
    </xf>
    <xf numFmtId="0" fontId="12" fillId="0" borderId="26" xfId="0" applyFont="1" applyBorder="1" applyAlignment="1">
      <alignment horizontal="left" vertical="center"/>
    </xf>
    <xf numFmtId="0" fontId="12" fillId="0" borderId="26" xfId="0" applyFont="1" applyFill="1" applyBorder="1" applyAlignment="1">
      <alignment horizontal="left" vertical="center"/>
    </xf>
    <xf numFmtId="0" fontId="36" fillId="0" borderId="26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36" fillId="0" borderId="26" xfId="0" applyFont="1" applyBorder="1" applyAlignment="1">
      <alignment horizontal="left" vertical="center"/>
    </xf>
    <xf numFmtId="0" fontId="37" fillId="0" borderId="26" xfId="0" applyFont="1" applyBorder="1" applyAlignment="1">
      <alignment horizontal="left" vertical="center"/>
    </xf>
    <xf numFmtId="0" fontId="38" fillId="0" borderId="26" xfId="0" applyFont="1" applyBorder="1" applyAlignment="1">
      <alignment horizontal="left" vertical="center"/>
    </xf>
    <xf numFmtId="0" fontId="12" fillId="0" borderId="0" xfId="0" applyFont="1">
      <alignment vertical="center"/>
    </xf>
    <xf numFmtId="0" fontId="33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9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40" fillId="0" borderId="1" xfId="0" applyFont="1" applyBorder="1">
      <alignment vertical="center"/>
    </xf>
    <xf numFmtId="0" fontId="34" fillId="0" borderId="1" xfId="0" applyFont="1" applyBorder="1">
      <alignment vertical="center"/>
    </xf>
    <xf numFmtId="0" fontId="41" fillId="0" borderId="1" xfId="0" applyFont="1" applyBorder="1">
      <alignment vertical="center"/>
    </xf>
    <xf numFmtId="0" fontId="5" fillId="10" borderId="6" xfId="0" applyFont="1" applyFill="1" applyBorder="1" applyAlignment="1"/>
    <xf numFmtId="0" fontId="5" fillId="0" borderId="6" xfId="0" applyFont="1" applyFill="1" applyBorder="1" applyAlignment="1"/>
    <xf numFmtId="0" fontId="3" fillId="0" borderId="26" xfId="0" applyNumberFormat="1" applyFont="1" applyFill="1" applyBorder="1" applyAlignment="1">
      <alignment horizontal="center" vertical="center" wrapText="1"/>
    </xf>
    <xf numFmtId="182" fontId="10" fillId="0" borderId="26" xfId="4" applyNumberFormat="1" applyFont="1" applyFill="1" applyBorder="1" applyAlignment="1">
      <alignment horizontal="center" vertical="center"/>
    </xf>
    <xf numFmtId="43" fontId="3" fillId="0" borderId="26" xfId="6" applyNumberFormat="1" applyFont="1" applyBorder="1" applyAlignment="1">
      <alignment horizontal="center" vertical="center"/>
    </xf>
    <xf numFmtId="184" fontId="3" fillId="0" borderId="26" xfId="0" applyNumberFormat="1" applyFont="1" applyFill="1" applyBorder="1" applyAlignment="1">
      <alignment horizontal="right" vertical="center" wrapText="1"/>
    </xf>
    <xf numFmtId="184" fontId="2" fillId="7" borderId="26" xfId="5" applyNumberFormat="1" applyFont="1" applyFill="1" applyBorder="1" applyAlignment="1">
      <alignment horizontal="right" vertical="center" wrapText="1"/>
    </xf>
    <xf numFmtId="183" fontId="2" fillId="7" borderId="26" xfId="5" applyNumberFormat="1" applyFont="1" applyFill="1" applyBorder="1" applyAlignment="1">
      <alignment horizontal="right" vertical="center" wrapText="1"/>
    </xf>
    <xf numFmtId="183" fontId="3" fillId="0" borderId="26" xfId="0" applyNumberFormat="1" applyFont="1" applyFill="1" applyBorder="1" applyAlignment="1">
      <alignment horizontal="right" vertical="center" wrapText="1"/>
    </xf>
    <xf numFmtId="43" fontId="2" fillId="8" borderId="26" xfId="1" applyFont="1" applyFill="1" applyBorder="1" applyAlignment="1">
      <alignment horizontal="right" vertical="center" wrapText="1"/>
    </xf>
    <xf numFmtId="176" fontId="2" fillId="9" borderId="26" xfId="0" applyNumberFormat="1" applyFont="1" applyFill="1" applyBorder="1" applyAlignment="1">
      <alignment horizontal="right" vertical="center" wrapText="1"/>
    </xf>
    <xf numFmtId="184" fontId="3" fillId="0" borderId="0" xfId="0" applyNumberFormat="1" applyFont="1" applyFill="1" applyBorder="1" applyAlignment="1">
      <alignment horizontal="right" vertical="center" wrapText="1"/>
    </xf>
    <xf numFmtId="184" fontId="2" fillId="0" borderId="26" xfId="5" applyNumberFormat="1" applyFont="1" applyFill="1" applyBorder="1" applyAlignment="1">
      <alignment horizontal="right" vertical="center" wrapText="1"/>
    </xf>
    <xf numFmtId="184" fontId="3" fillId="3" borderId="26" xfId="0" applyNumberFormat="1" applyFont="1" applyFill="1" applyBorder="1" applyAlignment="1">
      <alignment horizontal="right" vertical="center" wrapText="1"/>
    </xf>
    <xf numFmtId="184" fontId="2" fillId="3" borderId="26" xfId="5" applyNumberFormat="1" applyFont="1" applyFill="1" applyBorder="1" applyAlignment="1">
      <alignment horizontal="right" vertical="center" wrapText="1"/>
    </xf>
    <xf numFmtId="183" fontId="2" fillId="3" borderId="26" xfId="5" applyNumberFormat="1" applyFont="1" applyFill="1" applyBorder="1" applyAlignment="1">
      <alignment horizontal="right" vertical="center" wrapText="1"/>
    </xf>
    <xf numFmtId="183" fontId="3" fillId="3" borderId="26" xfId="0" applyNumberFormat="1" applyFont="1" applyFill="1" applyBorder="1" applyAlignment="1">
      <alignment horizontal="right" vertical="center" wrapText="1"/>
    </xf>
    <xf numFmtId="0" fontId="3" fillId="5" borderId="26" xfId="0" applyFont="1" applyFill="1" applyBorder="1" applyAlignment="1">
      <alignment horizontal="center" vertical="center" wrapText="1"/>
    </xf>
    <xf numFmtId="182" fontId="3" fillId="0" borderId="26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right" vertical="center" wrapText="1"/>
    </xf>
    <xf numFmtId="43" fontId="2" fillId="0" borderId="1" xfId="5" applyNumberFormat="1" applyFont="1" applyFill="1" applyBorder="1" applyAlignment="1">
      <alignment horizontal="center" vertical="center" wrapText="1"/>
    </xf>
    <xf numFmtId="43" fontId="3" fillId="0" borderId="26" xfId="0" applyNumberFormat="1" applyFont="1" applyFill="1" applyBorder="1" applyAlignment="1">
      <alignment horizontal="right" vertical="center" wrapText="1"/>
    </xf>
    <xf numFmtId="0" fontId="6" fillId="0" borderId="26" xfId="0" applyFont="1" applyBorder="1" applyAlignment="1">
      <alignment horizontal="left" vertical="center"/>
    </xf>
    <xf numFmtId="0" fontId="6" fillId="4" borderId="26" xfId="0" applyFont="1" applyFill="1" applyBorder="1">
      <alignment vertical="center"/>
    </xf>
    <xf numFmtId="0" fontId="6" fillId="0" borderId="2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right" vertical="center" wrapText="1"/>
    </xf>
    <xf numFmtId="43" fontId="2" fillId="7" borderId="1" xfId="5" applyNumberFormat="1" applyFont="1" applyFill="1" applyBorder="1" applyAlignment="1">
      <alignment horizontal="center" vertical="center" wrapText="1"/>
    </xf>
    <xf numFmtId="43" fontId="0" fillId="0" borderId="0" xfId="0" applyNumberFormat="1" applyAlignment="1"/>
    <xf numFmtId="0" fontId="0" fillId="3" borderId="0" xfId="0" applyFill="1" applyAlignment="1"/>
    <xf numFmtId="0" fontId="0" fillId="3" borderId="0" xfId="0" applyNumberFormat="1" applyFill="1" applyAlignment="1"/>
    <xf numFmtId="184" fontId="35" fillId="0" borderId="0" xfId="1" applyNumberFormat="1" applyFont="1" applyAlignment="1">
      <alignment horizontal="right" vertical="center"/>
    </xf>
    <xf numFmtId="184" fontId="12" fillId="4" borderId="26" xfId="1" applyNumberFormat="1" applyFont="1" applyFill="1" applyBorder="1" applyAlignment="1">
      <alignment horizontal="right" vertical="center"/>
    </xf>
    <xf numFmtId="184" fontId="12" fillId="0" borderId="26" xfId="1" applyNumberFormat="1" applyFont="1" applyBorder="1" applyAlignment="1">
      <alignment horizontal="right" vertical="center"/>
    </xf>
    <xf numFmtId="184" fontId="12" fillId="0" borderId="26" xfId="1" applyNumberFormat="1" applyFont="1" applyFill="1" applyBorder="1" applyAlignment="1">
      <alignment horizontal="right" vertical="center"/>
    </xf>
    <xf numFmtId="184" fontId="0" fillId="0" borderId="0" xfId="1" applyNumberFormat="1" applyFont="1" applyAlignment="1">
      <alignment horizontal="right" vertical="center"/>
    </xf>
    <xf numFmtId="184" fontId="12" fillId="4" borderId="1" xfId="1" applyNumberFormat="1" applyFont="1" applyFill="1" applyBorder="1" applyAlignment="1">
      <alignment horizontal="right" vertical="center"/>
    </xf>
    <xf numFmtId="184" fontId="12" fillId="0" borderId="1" xfId="1" applyNumberFormat="1" applyFont="1" applyBorder="1" applyAlignment="1">
      <alignment horizontal="right" vertical="center"/>
    </xf>
    <xf numFmtId="184" fontId="0" fillId="0" borderId="1" xfId="1" applyNumberFormat="1" applyFont="1" applyBorder="1" applyAlignment="1">
      <alignment horizontal="right" vertical="center"/>
    </xf>
    <xf numFmtId="0" fontId="5" fillId="0" borderId="26" xfId="0" applyFont="1" applyFill="1" applyBorder="1" applyAlignment="1">
      <alignment horizontal="center" vertical="center"/>
    </xf>
    <xf numFmtId="0" fontId="27" fillId="0" borderId="26" xfId="0" applyFont="1" applyFill="1" applyBorder="1" applyAlignment="1">
      <alignment horizontal="center" vertical="center"/>
    </xf>
    <xf numFmtId="43" fontId="5" fillId="0" borderId="26" xfId="0" applyNumberFormat="1" applyFont="1" applyBorder="1" applyAlignment="1">
      <alignment horizontal="center" vertical="center"/>
    </xf>
    <xf numFmtId="43" fontId="5" fillId="0" borderId="26" xfId="0" applyNumberFormat="1" applyFont="1" applyFill="1" applyBorder="1" applyAlignment="1">
      <alignment horizontal="center" vertical="center"/>
    </xf>
    <xf numFmtId="43" fontId="14" fillId="0" borderId="27" xfId="1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42" fillId="0" borderId="0" xfId="0" applyFont="1">
      <alignment vertical="center"/>
    </xf>
    <xf numFmtId="43" fontId="2" fillId="7" borderId="1" xfId="5" applyNumberFormat="1" applyFont="1" applyFill="1" applyBorder="1" applyAlignment="1">
      <alignment horizontal="right" vertical="center" wrapText="1"/>
    </xf>
    <xf numFmtId="43" fontId="3" fillId="12" borderId="1" xfId="0" applyNumberFormat="1" applyFont="1" applyFill="1" applyBorder="1" applyAlignment="1">
      <alignment horizontal="right" vertical="center" wrapText="1"/>
    </xf>
    <xf numFmtId="43" fontId="3" fillId="3" borderId="1" xfId="0" applyNumberFormat="1" applyFont="1" applyFill="1" applyBorder="1" applyAlignment="1">
      <alignment horizontal="right" vertical="center" wrapText="1"/>
    </xf>
    <xf numFmtId="43" fontId="3" fillId="3" borderId="26" xfId="0" applyNumberFormat="1" applyFont="1" applyFill="1" applyBorder="1" applyAlignment="1">
      <alignment horizontal="right" vertical="center" wrapText="1"/>
    </xf>
    <xf numFmtId="43" fontId="2" fillId="7" borderId="26" xfId="5" applyNumberFormat="1" applyFont="1" applyFill="1" applyBorder="1" applyAlignment="1">
      <alignment horizontal="right" vertical="center" wrapText="1"/>
    </xf>
    <xf numFmtId="43" fontId="3" fillId="10" borderId="1" xfId="0" applyNumberFormat="1" applyFont="1" applyFill="1" applyBorder="1" applyAlignment="1">
      <alignment horizontal="right" vertical="center" wrapText="1"/>
    </xf>
    <xf numFmtId="0" fontId="26" fillId="0" borderId="4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27" fillId="0" borderId="4" xfId="0" applyNumberFormat="1" applyFont="1" applyFill="1" applyBorder="1" applyAlignment="1">
      <alignment horizontal="center" vertical="center"/>
    </xf>
    <xf numFmtId="14" fontId="27" fillId="0" borderId="5" xfId="0" applyNumberFormat="1" applyFont="1" applyFill="1" applyBorder="1" applyAlignment="1">
      <alignment horizontal="center" vertical="center"/>
    </xf>
    <xf numFmtId="14" fontId="27" fillId="0" borderId="6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3" fontId="2" fillId="0" borderId="7" xfId="1" applyFont="1" applyFill="1" applyBorder="1" applyAlignment="1" applyProtection="1">
      <alignment horizontal="center" vertical="center" wrapText="1"/>
    </xf>
    <xf numFmtId="43" fontId="2" fillId="0" borderId="2" xfId="1" applyFont="1" applyFill="1" applyBorder="1" applyAlignment="1" applyProtection="1">
      <alignment horizontal="center" vertical="center" wrapText="1"/>
    </xf>
    <xf numFmtId="176" fontId="2" fillId="9" borderId="7" xfId="3" applyNumberFormat="1" applyFont="1" applyFill="1" applyBorder="1" applyAlignment="1">
      <alignment horizontal="center" vertical="center"/>
    </xf>
    <xf numFmtId="176" fontId="2" fillId="9" borderId="2" xfId="3" applyNumberFormat="1" applyFont="1" applyFill="1" applyBorder="1" applyAlignment="1">
      <alignment horizontal="center" vertical="center"/>
    </xf>
    <xf numFmtId="184" fontId="2" fillId="0" borderId="4" xfId="3" applyNumberFormat="1" applyFont="1" applyFill="1" applyBorder="1" applyAlignment="1" applyProtection="1">
      <alignment horizontal="center" vertical="center" wrapText="1"/>
    </xf>
    <xf numFmtId="184" fontId="2" fillId="0" borderId="5" xfId="3" applyNumberFormat="1" applyFont="1" applyFill="1" applyBorder="1" applyAlignment="1" applyProtection="1">
      <alignment horizontal="center" vertical="center" wrapText="1"/>
    </xf>
    <xf numFmtId="184" fontId="2" fillId="0" borderId="6" xfId="3" applyNumberFormat="1" applyFont="1" applyFill="1" applyBorder="1" applyAlignment="1" applyProtection="1">
      <alignment horizontal="center" vertical="center" wrapText="1"/>
    </xf>
    <xf numFmtId="183" fontId="2" fillId="0" borderId="4" xfId="3" applyNumberFormat="1" applyFont="1" applyFill="1" applyBorder="1" applyAlignment="1" applyProtection="1">
      <alignment horizontal="center" vertical="center" wrapText="1"/>
    </xf>
    <xf numFmtId="183" fontId="2" fillId="0" borderId="5" xfId="3" applyNumberFormat="1" applyFont="1" applyFill="1" applyBorder="1" applyAlignment="1" applyProtection="1">
      <alignment horizontal="center" vertical="center" wrapText="1"/>
    </xf>
    <xf numFmtId="183" fontId="2" fillId="0" borderId="6" xfId="3" applyNumberFormat="1" applyFont="1" applyFill="1" applyBorder="1" applyAlignment="1" applyProtection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178" fontId="2" fillId="0" borderId="7" xfId="3" applyNumberFormat="1" applyFont="1" applyBorder="1" applyAlignment="1">
      <alignment horizontal="center" vertical="center"/>
    </xf>
    <xf numFmtId="178" fontId="2" fillId="0" borderId="2" xfId="3" applyNumberFormat="1" applyFont="1" applyBorder="1" applyAlignment="1">
      <alignment horizontal="center" vertical="center"/>
    </xf>
    <xf numFmtId="178" fontId="2" fillId="0" borderId="7" xfId="3" applyNumberFormat="1" applyFont="1" applyFill="1" applyBorder="1" applyAlignment="1">
      <alignment horizontal="center" vertical="center"/>
    </xf>
    <xf numFmtId="178" fontId="2" fillId="0" borderId="2" xfId="3" applyNumberFormat="1" applyFont="1" applyFill="1" applyBorder="1" applyAlignment="1">
      <alignment horizontal="center" vertical="center"/>
    </xf>
    <xf numFmtId="182" fontId="2" fillId="0" borderId="7" xfId="3" applyNumberFormat="1" applyFont="1" applyBorder="1" applyAlignment="1">
      <alignment horizontal="center" vertical="center"/>
    </xf>
    <xf numFmtId="182" fontId="2" fillId="0" borderId="2" xfId="3" applyNumberFormat="1" applyFont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left" vertical="center"/>
    </xf>
    <xf numFmtId="43" fontId="2" fillId="0" borderId="7" xfId="3" applyNumberFormat="1" applyFont="1" applyBorder="1" applyAlignment="1">
      <alignment horizontal="center" vertical="center"/>
    </xf>
    <xf numFmtId="43" fontId="2" fillId="0" borderId="2" xfId="3" applyNumberFormat="1" applyFont="1" applyBorder="1" applyAlignment="1">
      <alignment horizontal="center" vertical="center"/>
    </xf>
    <xf numFmtId="43" fontId="2" fillId="0" borderId="4" xfId="3" applyNumberFormat="1" applyFont="1" applyFill="1" applyBorder="1" applyAlignment="1" applyProtection="1">
      <alignment horizontal="center" vertical="center" wrapText="1"/>
    </xf>
    <xf numFmtId="43" fontId="2" fillId="0" borderId="5" xfId="3" applyNumberFormat="1" applyFont="1" applyFill="1" applyBorder="1" applyAlignment="1" applyProtection="1">
      <alignment horizontal="center" vertical="center" wrapText="1"/>
    </xf>
    <xf numFmtId="43" fontId="2" fillId="0" borderId="6" xfId="3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8" fontId="2" fillId="0" borderId="1" xfId="3" applyNumberFormat="1" applyFont="1" applyBorder="1" applyAlignment="1">
      <alignment horizontal="center" vertical="center"/>
    </xf>
    <xf numFmtId="43" fontId="8" fillId="0" borderId="0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3" fontId="2" fillId="0" borderId="1" xfId="3" applyNumberFormat="1" applyFont="1" applyFill="1" applyBorder="1" applyAlignment="1" applyProtection="1">
      <alignment horizontal="center" vertical="center" wrapText="1"/>
    </xf>
    <xf numFmtId="43" fontId="2" fillId="0" borderId="1" xfId="3" applyNumberFormat="1" applyFont="1" applyFill="1" applyBorder="1" applyAlignment="1" applyProtection="1">
      <alignment horizontal="right" vertical="center" wrapText="1"/>
    </xf>
    <xf numFmtId="49" fontId="3" fillId="0" borderId="10" xfId="7" applyNumberFormat="1" applyFont="1" applyFill="1" applyBorder="1" applyAlignment="1">
      <alignment horizontal="center" vertical="center" textRotation="255" shrinkToFit="1"/>
    </xf>
    <xf numFmtId="49" fontId="3" fillId="0" borderId="9" xfId="7" applyNumberFormat="1" applyFont="1" applyFill="1" applyBorder="1" applyAlignment="1">
      <alignment horizontal="center" vertical="center" textRotation="255" shrinkToFit="1"/>
    </xf>
    <xf numFmtId="49" fontId="3" fillId="0" borderId="7" xfId="7" applyNumberFormat="1" applyFont="1" applyFill="1" applyBorder="1" applyAlignment="1">
      <alignment horizontal="center" vertical="center" textRotation="255" shrinkToFit="1"/>
    </xf>
    <xf numFmtId="49" fontId="3" fillId="0" borderId="8" xfId="7" applyNumberFormat="1" applyFont="1" applyFill="1" applyBorder="1" applyAlignment="1">
      <alignment horizontal="center" vertical="center" textRotation="255" shrinkToFit="1"/>
    </xf>
    <xf numFmtId="0" fontId="3" fillId="0" borderId="7" xfId="0" applyFont="1" applyFill="1" applyBorder="1" applyAlignment="1">
      <alignment horizontal="center" vertical="center" textRotation="255" readingOrder="1"/>
    </xf>
    <xf numFmtId="0" fontId="3" fillId="0" borderId="8" xfId="0" applyFont="1" applyFill="1" applyBorder="1" applyAlignment="1">
      <alignment horizontal="center" vertical="center" textRotation="255" readingOrder="1"/>
    </xf>
    <xf numFmtId="0" fontId="3" fillId="0" borderId="2" xfId="0" applyFont="1" applyFill="1" applyBorder="1" applyAlignment="1">
      <alignment horizontal="center" vertical="center" textRotation="255" readingOrder="1"/>
    </xf>
    <xf numFmtId="49" fontId="3" fillId="0" borderId="7" xfId="7" applyNumberFormat="1" applyFont="1" applyFill="1" applyBorder="1" applyAlignment="1">
      <alignment horizontal="center" vertical="center" textRotation="255" shrinkToFit="1" readingOrder="1"/>
    </xf>
    <xf numFmtId="49" fontId="3" fillId="0" borderId="8" xfId="7" applyNumberFormat="1" applyFont="1" applyFill="1" applyBorder="1" applyAlignment="1">
      <alignment horizontal="center" vertical="center" textRotation="255" shrinkToFit="1" readingOrder="1"/>
    </xf>
    <xf numFmtId="49" fontId="3" fillId="0" borderId="2" xfId="7" applyNumberFormat="1" applyFont="1" applyFill="1" applyBorder="1" applyAlignment="1">
      <alignment horizontal="center" vertical="center" textRotation="255" shrinkToFit="1" readingOrder="1"/>
    </xf>
    <xf numFmtId="49" fontId="3" fillId="0" borderId="7" xfId="7" applyNumberFormat="1" applyFont="1" applyFill="1" applyBorder="1" applyAlignment="1">
      <alignment horizontal="center" vertical="center" textRotation="255" wrapText="1" shrinkToFit="1"/>
    </xf>
    <xf numFmtId="49" fontId="3" fillId="0" borderId="8" xfId="7" applyNumberFormat="1" applyFont="1" applyFill="1" applyBorder="1" applyAlignment="1">
      <alignment horizontal="center" vertical="center" textRotation="255" wrapText="1" shrinkToFit="1"/>
    </xf>
    <xf numFmtId="49" fontId="3" fillId="0" borderId="2" xfId="7" applyNumberFormat="1" applyFont="1" applyFill="1" applyBorder="1" applyAlignment="1">
      <alignment horizontal="center" vertical="center" textRotation="255" wrapText="1" shrinkToFit="1"/>
    </xf>
    <xf numFmtId="43" fontId="2" fillId="2" borderId="7" xfId="3" applyNumberFormat="1" applyFont="1" applyFill="1" applyBorder="1" applyAlignment="1">
      <alignment horizontal="center" vertical="center"/>
    </xf>
    <xf numFmtId="43" fontId="2" fillId="2" borderId="2" xfId="3" applyNumberFormat="1" applyFont="1" applyFill="1" applyBorder="1" applyAlignment="1">
      <alignment horizontal="center" vertical="center"/>
    </xf>
    <xf numFmtId="43" fontId="2" fillId="0" borderId="1" xfId="3" applyNumberFormat="1" applyFont="1" applyBorder="1" applyAlignment="1">
      <alignment horizontal="center" vertical="center" wrapText="1"/>
    </xf>
    <xf numFmtId="43" fontId="2" fillId="0" borderId="1" xfId="3" applyNumberFormat="1" applyFont="1" applyFill="1" applyBorder="1" applyAlignment="1">
      <alignment horizontal="center" vertical="center"/>
    </xf>
    <xf numFmtId="43" fontId="2" fillId="0" borderId="6" xfId="3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3" fillId="0" borderId="4" xfId="7" applyNumberFormat="1" applyFont="1" applyFill="1" applyBorder="1" applyAlignment="1">
      <alignment horizontal="center" vertical="center" textRotation="255" shrinkToFit="1" readingOrder="1"/>
    </xf>
    <xf numFmtId="49" fontId="3" fillId="0" borderId="10" xfId="7" applyNumberFormat="1" applyFont="1" applyFill="1" applyBorder="1" applyAlignment="1">
      <alignment horizontal="center" vertical="center" textRotation="255" shrinkToFit="1" readingOrder="1"/>
    </xf>
    <xf numFmtId="49" fontId="3" fillId="0" borderId="9" xfId="7" applyNumberFormat="1" applyFont="1" applyFill="1" applyBorder="1" applyAlignment="1">
      <alignment horizontal="center" vertical="center" textRotation="255" shrinkToFit="1" readingOrder="1"/>
    </xf>
    <xf numFmtId="49" fontId="3" fillId="0" borderId="3" xfId="7" applyNumberFormat="1" applyFont="1" applyFill="1" applyBorder="1" applyAlignment="1">
      <alignment horizontal="center" vertical="center" textRotation="255" shrinkToFit="1"/>
    </xf>
    <xf numFmtId="49" fontId="3" fillId="0" borderId="1" xfId="7" applyNumberFormat="1" applyFont="1" applyFill="1" applyBorder="1" applyAlignment="1">
      <alignment horizontal="center" vertical="center" textRotation="255" shrinkToFit="1" readingOrder="1"/>
    </xf>
    <xf numFmtId="0" fontId="29" fillId="3" borderId="0" xfId="0" applyFont="1" applyFill="1" applyAlignment="1"/>
    <xf numFmtId="43" fontId="0" fillId="3" borderId="0" xfId="0" applyNumberFormat="1" applyFill="1" applyAlignment="1"/>
  </cellXfs>
  <cellStyles count="9">
    <cellStyle name="百分比" xfId="8" builtinId="5"/>
    <cellStyle name="常规" xfId="0" builtinId="0"/>
    <cellStyle name="常规 3" xfId="3"/>
    <cellStyle name="常规 4" xfId="4"/>
    <cellStyle name="常规 5" xfId="5"/>
    <cellStyle name="常规 7" xfId="6"/>
    <cellStyle name="常规 9" xfId="2"/>
    <cellStyle name="常规_Sheet1" xfId="7"/>
    <cellStyle name="千位分隔" xfId="1" builtin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Documents\WeChat%20Files\YANG15002064615\Files\&#20013;&#21147;&#38598;&#22242;6&#26376;&#25552;&#25104;&#27719;&#24635;--&#35203;&#33459;&#40836;--V3.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0986;&#32435;&#23703;&#20301;&#24037;&#20316;&#20869;&#23481;\2018.07&#20013;&#21147;&#38598;&#22242;&#24037;&#36164;&#34920;--V2.0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istrator\Documents\WeChat%20Files\YANG15002064615\Files\2018.07&#20013;&#21147;&#38598;&#22242;&#24037;&#36164;&#34920;--V2.0%20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111\Documents\WeChat%20Files\nie1376800486\Attachment\&#20013;&#21147;&#38598;&#22242;&#32844;&#24037;&#34218;&#37228;2018&#24180;6&#26376;2018.07.17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小咨询提成（竖版）截止7月"/>
      <sheetName val="2018.06中力提成汇总"/>
      <sheetName val="Sheet1"/>
      <sheetName val="2018.05大课课酬"/>
      <sheetName val="2018.07大课课酬"/>
      <sheetName val="2018.05高管提成"/>
      <sheetName val="2018.06高管提成"/>
      <sheetName val="2018.06会务提成"/>
      <sheetName val="2018.06集服基础提成"/>
      <sheetName val="2018.06集服项目提成"/>
      <sheetName val="2018.06会员服务提成"/>
      <sheetName val="2018.06合作发展提成"/>
      <sheetName val="2018.06大咨询提成"/>
      <sheetName val="2018.06财务提成"/>
    </sheetNames>
    <sheetDataSet>
      <sheetData sheetId="0" refreshError="1"/>
      <sheetData sheetId="1">
        <row r="2">
          <cell r="B2" t="str">
            <v>姓名</v>
          </cell>
          <cell r="C2" t="str">
            <v>备注</v>
          </cell>
          <cell r="D2" t="str">
            <v>大课课酬</v>
          </cell>
          <cell r="E2" t="str">
            <v>高管提成</v>
          </cell>
          <cell r="F2" t="str">
            <v>会务提成</v>
          </cell>
          <cell r="G2" t="str">
            <v>集服提成</v>
          </cell>
          <cell r="H2" t="str">
            <v>会员服务提成</v>
          </cell>
          <cell r="I2" t="str">
            <v>网络运营提成</v>
          </cell>
          <cell r="J2" t="str">
            <v>合作发展提成</v>
          </cell>
          <cell r="K2" t="str">
            <v>财务提成</v>
          </cell>
          <cell r="L2" t="str">
            <v>小咨询提成</v>
          </cell>
          <cell r="M2" t="str">
            <v>大咨询提成</v>
          </cell>
          <cell r="N2" t="str">
            <v>月度合计</v>
          </cell>
        </row>
        <row r="3">
          <cell r="B3" t="str">
            <v>刘建刚</v>
          </cell>
          <cell r="D3">
            <v>42000</v>
          </cell>
          <cell r="E3">
            <v>30278</v>
          </cell>
          <cell r="F3">
            <v>0</v>
          </cell>
          <cell r="G3">
            <v>0</v>
          </cell>
          <cell r="H3">
            <v>0</v>
          </cell>
          <cell r="J3" t="str">
            <v>0</v>
          </cell>
          <cell r="K3" t="str">
            <v>0</v>
          </cell>
          <cell r="L3">
            <v>0</v>
          </cell>
          <cell r="M3" t="str">
            <v>0</v>
          </cell>
          <cell r="N3">
            <v>72278</v>
          </cell>
        </row>
        <row r="4">
          <cell r="B4" t="str">
            <v>李建辉</v>
          </cell>
          <cell r="D4">
            <v>48000</v>
          </cell>
          <cell r="E4">
            <v>24222.400000000001</v>
          </cell>
          <cell r="F4">
            <v>0</v>
          </cell>
          <cell r="G4">
            <v>0</v>
          </cell>
          <cell r="H4">
            <v>0</v>
          </cell>
          <cell r="J4" t="str">
            <v>0</v>
          </cell>
          <cell r="K4" t="str">
            <v>0</v>
          </cell>
          <cell r="L4">
            <v>14000</v>
          </cell>
          <cell r="M4" t="str">
            <v>0</v>
          </cell>
          <cell r="N4">
            <v>86222.399999999994</v>
          </cell>
        </row>
        <row r="5">
          <cell r="B5" t="str">
            <v>许亚梅</v>
          </cell>
          <cell r="E5">
            <v>25678</v>
          </cell>
          <cell r="F5">
            <v>0</v>
          </cell>
          <cell r="G5">
            <v>0</v>
          </cell>
          <cell r="H5" t="str">
            <v>0</v>
          </cell>
          <cell r="J5" t="str">
            <v>0</v>
          </cell>
          <cell r="K5" t="str">
            <v>0</v>
          </cell>
          <cell r="L5">
            <v>0</v>
          </cell>
          <cell r="M5" t="str">
            <v>0</v>
          </cell>
          <cell r="N5">
            <v>25678</v>
          </cell>
        </row>
        <row r="6">
          <cell r="B6" t="str">
            <v>杨 宇</v>
          </cell>
          <cell r="C6" t="str">
            <v>调</v>
          </cell>
          <cell r="E6">
            <v>0</v>
          </cell>
          <cell r="F6">
            <v>0</v>
          </cell>
          <cell r="G6">
            <v>0</v>
          </cell>
          <cell r="H6" t="str">
            <v>0</v>
          </cell>
          <cell r="J6" t="str">
            <v>0</v>
          </cell>
          <cell r="K6" t="str">
            <v>0</v>
          </cell>
          <cell r="L6">
            <v>0</v>
          </cell>
          <cell r="M6" t="str">
            <v>0</v>
          </cell>
          <cell r="N6">
            <v>0</v>
          </cell>
        </row>
        <row r="7">
          <cell r="B7" t="str">
            <v>黄振峰</v>
          </cell>
          <cell r="E7">
            <v>0</v>
          </cell>
          <cell r="F7">
            <v>0</v>
          </cell>
          <cell r="G7">
            <v>0</v>
          </cell>
          <cell r="H7" t="str">
            <v>0</v>
          </cell>
          <cell r="J7" t="str">
            <v>0</v>
          </cell>
          <cell r="K7" t="str">
            <v>0</v>
          </cell>
          <cell r="L7">
            <v>0</v>
          </cell>
          <cell r="M7" t="str">
            <v>0</v>
          </cell>
          <cell r="N7">
            <v>0</v>
          </cell>
        </row>
        <row r="8">
          <cell r="B8" t="str">
            <v>聂杨</v>
          </cell>
          <cell r="E8">
            <v>0</v>
          </cell>
          <cell r="F8">
            <v>400</v>
          </cell>
          <cell r="G8">
            <v>0</v>
          </cell>
          <cell r="H8" t="str">
            <v>0</v>
          </cell>
          <cell r="J8" t="str">
            <v>0</v>
          </cell>
          <cell r="K8" t="str">
            <v>0</v>
          </cell>
          <cell r="L8">
            <v>0</v>
          </cell>
          <cell r="M8" t="str">
            <v>0</v>
          </cell>
          <cell r="N8">
            <v>400</v>
          </cell>
        </row>
        <row r="9">
          <cell r="B9" t="str">
            <v>郭 晏</v>
          </cell>
          <cell r="C9" t="str">
            <v>调</v>
          </cell>
          <cell r="E9">
            <v>0</v>
          </cell>
          <cell r="F9">
            <v>0</v>
          </cell>
          <cell r="G9">
            <v>0</v>
          </cell>
          <cell r="H9" t="str">
            <v>0</v>
          </cell>
          <cell r="J9" t="str">
            <v>0</v>
          </cell>
          <cell r="K9" t="str">
            <v>0</v>
          </cell>
          <cell r="L9">
            <v>0</v>
          </cell>
          <cell r="M9" t="str">
            <v>0</v>
          </cell>
          <cell r="N9">
            <v>0</v>
          </cell>
        </row>
        <row r="10">
          <cell r="B10" t="str">
            <v>周德胜</v>
          </cell>
          <cell r="E10">
            <v>0</v>
          </cell>
          <cell r="F10">
            <v>400</v>
          </cell>
          <cell r="G10">
            <v>0</v>
          </cell>
          <cell r="H10" t="str">
            <v>0</v>
          </cell>
          <cell r="J10" t="str">
            <v>0</v>
          </cell>
          <cell r="K10" t="str">
            <v>0</v>
          </cell>
          <cell r="L10">
            <v>0</v>
          </cell>
          <cell r="M10" t="str">
            <v>0</v>
          </cell>
          <cell r="N10">
            <v>400</v>
          </cell>
        </row>
        <row r="11">
          <cell r="B11" t="str">
            <v>杨燕伊</v>
          </cell>
          <cell r="E11">
            <v>0</v>
          </cell>
          <cell r="F11">
            <v>800</v>
          </cell>
          <cell r="G11">
            <v>0</v>
          </cell>
          <cell r="H11" t="str">
            <v>0</v>
          </cell>
          <cell r="J11" t="str">
            <v>0</v>
          </cell>
          <cell r="K11" t="str">
            <v>0</v>
          </cell>
          <cell r="L11">
            <v>0</v>
          </cell>
          <cell r="M11" t="str">
            <v>0</v>
          </cell>
          <cell r="N11">
            <v>800</v>
          </cell>
        </row>
        <row r="12">
          <cell r="B12" t="str">
            <v>许亚红</v>
          </cell>
          <cell r="E12">
            <v>0</v>
          </cell>
          <cell r="F12">
            <v>0</v>
          </cell>
          <cell r="G12">
            <v>0</v>
          </cell>
          <cell r="H12" t="str">
            <v>0</v>
          </cell>
          <cell r="J12" t="str">
            <v>0</v>
          </cell>
          <cell r="K12" t="str">
            <v>0</v>
          </cell>
          <cell r="L12">
            <v>1500</v>
          </cell>
          <cell r="M12" t="str">
            <v>0</v>
          </cell>
          <cell r="N12">
            <v>1500</v>
          </cell>
        </row>
        <row r="13">
          <cell r="B13" t="str">
            <v>叶文山</v>
          </cell>
          <cell r="E13">
            <v>0</v>
          </cell>
          <cell r="F13">
            <v>0</v>
          </cell>
          <cell r="G13">
            <v>0</v>
          </cell>
          <cell r="H13" t="str">
            <v>0</v>
          </cell>
          <cell r="J13" t="str">
            <v>0</v>
          </cell>
          <cell r="K13" t="str">
            <v>0</v>
          </cell>
          <cell r="L13">
            <v>0</v>
          </cell>
          <cell r="M13" t="str">
            <v>0</v>
          </cell>
          <cell r="N13">
            <v>0</v>
          </cell>
        </row>
        <row r="14">
          <cell r="B14" t="str">
            <v>原田</v>
          </cell>
          <cell r="E14">
            <v>0</v>
          </cell>
          <cell r="F14">
            <v>0</v>
          </cell>
          <cell r="G14">
            <v>0</v>
          </cell>
          <cell r="H14" t="str">
            <v>0</v>
          </cell>
          <cell r="J14" t="str">
            <v>0</v>
          </cell>
          <cell r="K14" t="str">
            <v>0</v>
          </cell>
          <cell r="L14">
            <v>5500</v>
          </cell>
          <cell r="M14" t="str">
            <v>0</v>
          </cell>
          <cell r="N14">
            <v>5500</v>
          </cell>
        </row>
        <row r="15">
          <cell r="B15" t="str">
            <v>马伟</v>
          </cell>
          <cell r="D15">
            <v>3000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J15" t="str">
            <v>0</v>
          </cell>
          <cell r="K15" t="str">
            <v>0</v>
          </cell>
          <cell r="L15">
            <v>10300</v>
          </cell>
          <cell r="M15">
            <v>2250</v>
          </cell>
          <cell r="N15">
            <v>15550</v>
          </cell>
        </row>
        <row r="16">
          <cell r="B16" t="str">
            <v>杨宇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J16" t="str">
            <v>0</v>
          </cell>
          <cell r="K16" t="str">
            <v>0</v>
          </cell>
          <cell r="L16">
            <v>0</v>
          </cell>
          <cell r="M16" t="str">
            <v>0</v>
          </cell>
          <cell r="N16">
            <v>0</v>
          </cell>
        </row>
        <row r="17">
          <cell r="B17" t="str">
            <v>程国栋</v>
          </cell>
          <cell r="E17">
            <v>0</v>
          </cell>
          <cell r="F17">
            <v>0</v>
          </cell>
          <cell r="G17">
            <v>0</v>
          </cell>
          <cell r="H17" t="str">
            <v>0</v>
          </cell>
          <cell r="J17" t="str">
            <v>0</v>
          </cell>
          <cell r="K17" t="str">
            <v>0</v>
          </cell>
          <cell r="L17">
            <v>0</v>
          </cell>
          <cell r="M17" t="str">
            <v>0</v>
          </cell>
          <cell r="N17">
            <v>0</v>
          </cell>
        </row>
        <row r="18">
          <cell r="B18" t="str">
            <v>马 伟</v>
          </cell>
          <cell r="C18" t="str">
            <v>调</v>
          </cell>
          <cell r="E18">
            <v>0</v>
          </cell>
          <cell r="F18">
            <v>0</v>
          </cell>
          <cell r="G18">
            <v>0</v>
          </cell>
          <cell r="H18" t="str">
            <v>0</v>
          </cell>
          <cell r="J18" t="str">
            <v>0</v>
          </cell>
          <cell r="K18" t="str">
            <v>0</v>
          </cell>
          <cell r="L18">
            <v>0</v>
          </cell>
          <cell r="N18">
            <v>0</v>
          </cell>
        </row>
        <row r="19">
          <cell r="B19" t="str">
            <v>李娜</v>
          </cell>
          <cell r="E19">
            <v>0</v>
          </cell>
          <cell r="F19">
            <v>0</v>
          </cell>
          <cell r="G19">
            <v>0</v>
          </cell>
          <cell r="H19" t="str">
            <v>0</v>
          </cell>
          <cell r="J19" t="str">
            <v>0</v>
          </cell>
          <cell r="K19" t="str">
            <v>0</v>
          </cell>
          <cell r="L19">
            <v>0</v>
          </cell>
          <cell r="M19" t="str">
            <v>0</v>
          </cell>
          <cell r="N19">
            <v>0</v>
          </cell>
        </row>
        <row r="20">
          <cell r="B20" t="str">
            <v>徐海峰</v>
          </cell>
          <cell r="E20">
            <v>0</v>
          </cell>
          <cell r="F20">
            <v>0</v>
          </cell>
          <cell r="G20">
            <v>0</v>
          </cell>
          <cell r="H20" t="str">
            <v>0</v>
          </cell>
          <cell r="J20" t="str">
            <v>0</v>
          </cell>
          <cell r="K20" t="str">
            <v>0</v>
          </cell>
          <cell r="L20">
            <v>0</v>
          </cell>
          <cell r="M20" t="str">
            <v>0</v>
          </cell>
          <cell r="N20">
            <v>0</v>
          </cell>
        </row>
        <row r="21">
          <cell r="B21" t="str">
            <v>吴逸夫</v>
          </cell>
          <cell r="E21">
            <v>0</v>
          </cell>
          <cell r="F21">
            <v>0</v>
          </cell>
          <cell r="G21">
            <v>0</v>
          </cell>
          <cell r="H21" t="str">
            <v>0</v>
          </cell>
          <cell r="J21" t="str">
            <v>0</v>
          </cell>
          <cell r="K21" t="str">
            <v>0</v>
          </cell>
          <cell r="L21">
            <v>0</v>
          </cell>
          <cell r="M21" t="str">
            <v>0</v>
          </cell>
          <cell r="N21">
            <v>0</v>
          </cell>
        </row>
        <row r="22">
          <cell r="B22" t="str">
            <v>邵铁健</v>
          </cell>
          <cell r="D22">
            <v>69000</v>
          </cell>
          <cell r="E22">
            <v>0</v>
          </cell>
          <cell r="F22">
            <v>0</v>
          </cell>
          <cell r="G22">
            <v>0</v>
          </cell>
          <cell r="H22">
            <v>1000</v>
          </cell>
          <cell r="J22" t="str">
            <v>0</v>
          </cell>
          <cell r="K22" t="str">
            <v>0</v>
          </cell>
          <cell r="L22">
            <v>45480</v>
          </cell>
          <cell r="M22">
            <v>13500</v>
          </cell>
          <cell r="N22">
            <v>128980</v>
          </cell>
        </row>
        <row r="23">
          <cell r="B23" t="str">
            <v>赵丽君</v>
          </cell>
          <cell r="E23">
            <v>0</v>
          </cell>
          <cell r="F23">
            <v>0</v>
          </cell>
          <cell r="G23">
            <v>0</v>
          </cell>
          <cell r="H23" t="str">
            <v>0</v>
          </cell>
          <cell r="J23" t="str">
            <v>0</v>
          </cell>
          <cell r="K23" t="str">
            <v>0</v>
          </cell>
          <cell r="L23">
            <v>0</v>
          </cell>
          <cell r="M23" t="str">
            <v>0</v>
          </cell>
          <cell r="N23">
            <v>0</v>
          </cell>
        </row>
        <row r="24">
          <cell r="B24" t="str">
            <v>黄俊铖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J24" t="str">
            <v>0</v>
          </cell>
          <cell r="K24" t="str">
            <v>0</v>
          </cell>
          <cell r="L24">
            <v>65690</v>
          </cell>
          <cell r="M24">
            <v>5250</v>
          </cell>
          <cell r="N24">
            <v>70940</v>
          </cell>
        </row>
        <row r="25">
          <cell r="B25" t="str">
            <v>张宏强</v>
          </cell>
          <cell r="D25">
            <v>10000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J25" t="str">
            <v>0</v>
          </cell>
          <cell r="K25" t="str">
            <v>0</v>
          </cell>
          <cell r="L25">
            <v>35000</v>
          </cell>
          <cell r="M25">
            <v>30000</v>
          </cell>
          <cell r="N25">
            <v>75000</v>
          </cell>
        </row>
        <row r="26">
          <cell r="B26" t="str">
            <v>吴沁琳</v>
          </cell>
          <cell r="C26" t="str">
            <v>离职</v>
          </cell>
          <cell r="E26">
            <v>0</v>
          </cell>
          <cell r="F26">
            <v>0</v>
          </cell>
          <cell r="G26">
            <v>0</v>
          </cell>
          <cell r="H26" t="str">
            <v>0</v>
          </cell>
          <cell r="J26" t="str">
            <v>0</v>
          </cell>
          <cell r="K26" t="str">
            <v>0</v>
          </cell>
          <cell r="L26">
            <v>500</v>
          </cell>
          <cell r="M26" t="str">
            <v>0</v>
          </cell>
          <cell r="N26">
            <v>500</v>
          </cell>
        </row>
        <row r="27">
          <cell r="B27" t="str">
            <v>邹健朗</v>
          </cell>
          <cell r="C27" t="str">
            <v>离职</v>
          </cell>
          <cell r="E27">
            <v>0</v>
          </cell>
          <cell r="F27">
            <v>0</v>
          </cell>
          <cell r="G27">
            <v>0</v>
          </cell>
          <cell r="H27" t="str">
            <v>0</v>
          </cell>
          <cell r="J27" t="str">
            <v>0</v>
          </cell>
          <cell r="K27" t="str">
            <v>0</v>
          </cell>
          <cell r="L27">
            <v>0</v>
          </cell>
          <cell r="M27" t="str">
            <v>0</v>
          </cell>
          <cell r="N27">
            <v>0</v>
          </cell>
        </row>
        <row r="28">
          <cell r="B28" t="str">
            <v>黄伟超</v>
          </cell>
          <cell r="E28">
            <v>0</v>
          </cell>
          <cell r="F28">
            <v>0</v>
          </cell>
          <cell r="G28">
            <v>0</v>
          </cell>
          <cell r="H28" t="str">
            <v>0</v>
          </cell>
          <cell r="J28" t="str">
            <v>0</v>
          </cell>
          <cell r="K28" t="str">
            <v>0</v>
          </cell>
          <cell r="L28">
            <v>7000</v>
          </cell>
          <cell r="M28" t="str">
            <v>0</v>
          </cell>
          <cell r="N28">
            <v>7000</v>
          </cell>
        </row>
        <row r="29">
          <cell r="B29" t="str">
            <v>赵曼廷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L29">
            <v>30190</v>
          </cell>
          <cell r="N29">
            <v>30190</v>
          </cell>
        </row>
        <row r="30">
          <cell r="B30" t="str">
            <v>周奕彤</v>
          </cell>
          <cell r="E30">
            <v>0</v>
          </cell>
          <cell r="F30">
            <v>0</v>
          </cell>
          <cell r="G30">
            <v>0</v>
          </cell>
          <cell r="H30" t="str">
            <v>0</v>
          </cell>
          <cell r="J30" t="str">
            <v>0</v>
          </cell>
          <cell r="K30" t="str">
            <v>0</v>
          </cell>
          <cell r="L30">
            <v>0</v>
          </cell>
          <cell r="M30" t="str">
            <v>0</v>
          </cell>
          <cell r="N30">
            <v>0</v>
          </cell>
        </row>
        <row r="31">
          <cell r="B31" t="str">
            <v>曾波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 t="str">
            <v>0</v>
          </cell>
          <cell r="K31" t="str">
            <v>0</v>
          </cell>
          <cell r="L31">
            <v>0</v>
          </cell>
          <cell r="M31">
            <v>49325</v>
          </cell>
          <cell r="N31">
            <v>49325</v>
          </cell>
        </row>
        <row r="32">
          <cell r="B32" t="str">
            <v>石生仑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 t="str">
            <v>0</v>
          </cell>
          <cell r="K32" t="str">
            <v>0</v>
          </cell>
          <cell r="L32">
            <v>0</v>
          </cell>
          <cell r="M32">
            <v>30000</v>
          </cell>
          <cell r="N32">
            <v>30000</v>
          </cell>
        </row>
        <row r="33">
          <cell r="B33" t="str">
            <v>谭开强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 t="str">
            <v>0</v>
          </cell>
          <cell r="K33" t="str">
            <v>0</v>
          </cell>
          <cell r="L33">
            <v>0</v>
          </cell>
          <cell r="M33">
            <v>64275</v>
          </cell>
          <cell r="N33">
            <v>64275</v>
          </cell>
        </row>
        <row r="34">
          <cell r="B34" t="str">
            <v>孟宪滨</v>
          </cell>
          <cell r="E34">
            <v>0</v>
          </cell>
          <cell r="F34">
            <v>0</v>
          </cell>
          <cell r="G34">
            <v>0</v>
          </cell>
          <cell r="H34">
            <v>2000</v>
          </cell>
          <cell r="J34" t="str">
            <v>0</v>
          </cell>
          <cell r="K34" t="str">
            <v>0</v>
          </cell>
          <cell r="L34">
            <v>16000</v>
          </cell>
          <cell r="M34" t="str">
            <v>0</v>
          </cell>
          <cell r="N34">
            <v>18000</v>
          </cell>
        </row>
        <row r="35">
          <cell r="B35" t="str">
            <v>王忠宝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J35" t="str">
            <v>0</v>
          </cell>
          <cell r="K35" t="str">
            <v>0</v>
          </cell>
          <cell r="M35" t="str">
            <v>0</v>
          </cell>
          <cell r="N35">
            <v>0</v>
          </cell>
        </row>
        <row r="36">
          <cell r="B36" t="str">
            <v>张宏 强</v>
          </cell>
          <cell r="C36" t="str">
            <v>调</v>
          </cell>
          <cell r="E36">
            <v>0</v>
          </cell>
          <cell r="F36">
            <v>0</v>
          </cell>
          <cell r="G36">
            <v>0</v>
          </cell>
          <cell r="H36" t="str">
            <v>0</v>
          </cell>
          <cell r="J36" t="str">
            <v>0</v>
          </cell>
          <cell r="K36" t="str">
            <v>0</v>
          </cell>
          <cell r="L36">
            <v>0</v>
          </cell>
          <cell r="N36">
            <v>0</v>
          </cell>
        </row>
        <row r="37">
          <cell r="B37" t="str">
            <v>马福臣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J37" t="str">
            <v>0</v>
          </cell>
          <cell r="K37" t="str">
            <v>0</v>
          </cell>
          <cell r="L37">
            <v>4000</v>
          </cell>
          <cell r="M37">
            <v>54750</v>
          </cell>
          <cell r="N37">
            <v>58750</v>
          </cell>
        </row>
        <row r="38">
          <cell r="B38" t="str">
            <v>吴国强</v>
          </cell>
          <cell r="C38" t="str">
            <v>离职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J38" t="str">
            <v>0</v>
          </cell>
          <cell r="K38" t="str">
            <v>0</v>
          </cell>
          <cell r="L38">
            <v>9500</v>
          </cell>
          <cell r="M38" t="str">
            <v>0</v>
          </cell>
          <cell r="N38">
            <v>9500</v>
          </cell>
        </row>
        <row r="39">
          <cell r="B39" t="str">
            <v>张铭焯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J39" t="str">
            <v>0</v>
          </cell>
          <cell r="K39" t="str">
            <v>0</v>
          </cell>
          <cell r="L39">
            <v>0</v>
          </cell>
          <cell r="M39">
            <v>9000</v>
          </cell>
          <cell r="N39">
            <v>9000</v>
          </cell>
        </row>
        <row r="40">
          <cell r="B40" t="str">
            <v>吴开权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J40" t="str">
            <v>0</v>
          </cell>
          <cell r="K40" t="str">
            <v>0</v>
          </cell>
          <cell r="L40">
            <v>0</v>
          </cell>
          <cell r="M40">
            <v>25650</v>
          </cell>
          <cell r="N40">
            <v>25650</v>
          </cell>
        </row>
        <row r="41">
          <cell r="B41" t="str">
            <v>丁小春</v>
          </cell>
          <cell r="E41">
            <v>0</v>
          </cell>
          <cell r="F41">
            <v>0</v>
          </cell>
          <cell r="G41">
            <v>0</v>
          </cell>
          <cell r="H41" t="str">
            <v>0</v>
          </cell>
          <cell r="J41" t="str">
            <v>0</v>
          </cell>
          <cell r="K41" t="str">
            <v>0</v>
          </cell>
          <cell r="L41">
            <v>6500</v>
          </cell>
          <cell r="M41">
            <v>3850</v>
          </cell>
          <cell r="N41">
            <v>10350</v>
          </cell>
        </row>
        <row r="42">
          <cell r="B42" t="str">
            <v>李斌</v>
          </cell>
          <cell r="E42">
            <v>0</v>
          </cell>
          <cell r="F42">
            <v>0</v>
          </cell>
          <cell r="G42">
            <v>0</v>
          </cell>
          <cell r="H42" t="str">
            <v>0</v>
          </cell>
          <cell r="J42" t="str">
            <v>0</v>
          </cell>
          <cell r="K42" t="str">
            <v>0</v>
          </cell>
          <cell r="L42">
            <v>11000</v>
          </cell>
          <cell r="M42" t="str">
            <v>0</v>
          </cell>
          <cell r="N42">
            <v>11000</v>
          </cell>
        </row>
        <row r="43">
          <cell r="B43" t="str">
            <v>涂国员</v>
          </cell>
          <cell r="E43">
            <v>0</v>
          </cell>
          <cell r="F43">
            <v>0</v>
          </cell>
          <cell r="G43">
            <v>0</v>
          </cell>
          <cell r="H43" t="str">
            <v>0</v>
          </cell>
          <cell r="J43" t="str">
            <v>0</v>
          </cell>
          <cell r="K43" t="str">
            <v>0</v>
          </cell>
          <cell r="L43">
            <v>500</v>
          </cell>
          <cell r="M43" t="str">
            <v>0</v>
          </cell>
          <cell r="N43">
            <v>500</v>
          </cell>
        </row>
        <row r="44">
          <cell r="B44" t="str">
            <v>蔡迪</v>
          </cell>
          <cell r="E44">
            <v>0</v>
          </cell>
          <cell r="F44">
            <v>0</v>
          </cell>
          <cell r="G44">
            <v>0</v>
          </cell>
          <cell r="H44" t="str">
            <v>0</v>
          </cell>
          <cell r="J44" t="str">
            <v>0</v>
          </cell>
          <cell r="K44" t="str">
            <v>0</v>
          </cell>
          <cell r="L44">
            <v>500</v>
          </cell>
          <cell r="M44">
            <v>8775</v>
          </cell>
          <cell r="N44">
            <v>9275</v>
          </cell>
        </row>
        <row r="45">
          <cell r="B45" t="str">
            <v>王亚文</v>
          </cell>
          <cell r="E45">
            <v>0</v>
          </cell>
          <cell r="F45">
            <v>0</v>
          </cell>
          <cell r="G45">
            <v>0</v>
          </cell>
          <cell r="H45" t="str">
            <v>0</v>
          </cell>
          <cell r="J45" t="str">
            <v>0</v>
          </cell>
          <cell r="K45" t="str">
            <v>0</v>
          </cell>
          <cell r="L45">
            <v>0</v>
          </cell>
          <cell r="M45" t="str">
            <v>0</v>
          </cell>
          <cell r="N45">
            <v>0</v>
          </cell>
        </row>
        <row r="46">
          <cell r="B46" t="str">
            <v>汤迦 禄</v>
          </cell>
          <cell r="E46">
            <v>0</v>
          </cell>
          <cell r="F46">
            <v>0</v>
          </cell>
          <cell r="G46">
            <v>0</v>
          </cell>
          <cell r="H46" t="str">
            <v>0</v>
          </cell>
          <cell r="J46" t="str">
            <v>0</v>
          </cell>
          <cell r="K46" t="str">
            <v>0</v>
          </cell>
          <cell r="L46">
            <v>0</v>
          </cell>
          <cell r="M46" t="str">
            <v>0</v>
          </cell>
          <cell r="N46">
            <v>0</v>
          </cell>
        </row>
        <row r="47">
          <cell r="B47" t="str">
            <v>徐国连</v>
          </cell>
          <cell r="E47">
            <v>0</v>
          </cell>
          <cell r="F47">
            <v>0</v>
          </cell>
          <cell r="G47">
            <v>0</v>
          </cell>
          <cell r="H47" t="str">
            <v>0</v>
          </cell>
          <cell r="J47" t="str">
            <v>0</v>
          </cell>
          <cell r="K47" t="str">
            <v>0</v>
          </cell>
          <cell r="L47">
            <v>0</v>
          </cell>
          <cell r="M47" t="str">
            <v>0</v>
          </cell>
          <cell r="N47">
            <v>0</v>
          </cell>
        </row>
        <row r="48">
          <cell r="B48" t="str">
            <v>贺江波</v>
          </cell>
          <cell r="E48">
            <v>0</v>
          </cell>
          <cell r="F48">
            <v>0</v>
          </cell>
          <cell r="G48">
            <v>0</v>
          </cell>
          <cell r="H48" t="str">
            <v>0</v>
          </cell>
          <cell r="J48" t="str">
            <v>0</v>
          </cell>
          <cell r="K48" t="str">
            <v>0</v>
          </cell>
          <cell r="L48">
            <v>0</v>
          </cell>
          <cell r="M48">
            <v>4500</v>
          </cell>
          <cell r="N48">
            <v>4500</v>
          </cell>
        </row>
        <row r="49">
          <cell r="B49" t="str">
            <v>王振华</v>
          </cell>
          <cell r="E49">
            <v>0</v>
          </cell>
          <cell r="F49">
            <v>0</v>
          </cell>
          <cell r="G49">
            <v>0</v>
          </cell>
          <cell r="H49" t="str">
            <v>0</v>
          </cell>
          <cell r="J49" t="str">
            <v>0</v>
          </cell>
          <cell r="K49" t="str">
            <v>0</v>
          </cell>
          <cell r="L49">
            <v>0</v>
          </cell>
          <cell r="M49" t="str">
            <v>0</v>
          </cell>
          <cell r="N49">
            <v>0</v>
          </cell>
        </row>
        <row r="50">
          <cell r="B50" t="str">
            <v>黄亮</v>
          </cell>
          <cell r="C50" t="str">
            <v>离职</v>
          </cell>
          <cell r="E50">
            <v>0</v>
          </cell>
          <cell r="F50">
            <v>0</v>
          </cell>
          <cell r="G50">
            <v>0</v>
          </cell>
          <cell r="H50" t="str">
            <v>0</v>
          </cell>
          <cell r="J50" t="str">
            <v>0</v>
          </cell>
          <cell r="K50" t="str">
            <v>0</v>
          </cell>
          <cell r="L50">
            <v>0</v>
          </cell>
          <cell r="M50" t="str">
            <v>0</v>
          </cell>
          <cell r="N50">
            <v>0</v>
          </cell>
        </row>
        <row r="51">
          <cell r="B51" t="str">
            <v>黄斌</v>
          </cell>
          <cell r="C51" t="str">
            <v>离职</v>
          </cell>
          <cell r="E51">
            <v>0</v>
          </cell>
          <cell r="F51">
            <v>0</v>
          </cell>
          <cell r="G51">
            <v>0</v>
          </cell>
          <cell r="H51" t="str">
            <v>0</v>
          </cell>
          <cell r="J51" t="str">
            <v>0</v>
          </cell>
          <cell r="K51" t="str">
            <v>0</v>
          </cell>
          <cell r="L51">
            <v>0</v>
          </cell>
          <cell r="M51" t="str">
            <v>0</v>
          </cell>
          <cell r="N51">
            <v>0</v>
          </cell>
        </row>
        <row r="52">
          <cell r="B52" t="str">
            <v>吴泽宏</v>
          </cell>
          <cell r="E52">
            <v>0</v>
          </cell>
          <cell r="F52">
            <v>400</v>
          </cell>
          <cell r="G52">
            <v>0</v>
          </cell>
          <cell r="H52" t="str">
            <v>0</v>
          </cell>
          <cell r="J52" t="str">
            <v>0</v>
          </cell>
          <cell r="K52" t="str">
            <v>0</v>
          </cell>
          <cell r="L52">
            <v>0</v>
          </cell>
          <cell r="M52" t="str">
            <v>0</v>
          </cell>
          <cell r="N52">
            <v>400</v>
          </cell>
        </row>
        <row r="53">
          <cell r="B53" t="str">
            <v>曾俊锋</v>
          </cell>
          <cell r="C53" t="str">
            <v>离职</v>
          </cell>
          <cell r="E53">
            <v>0</v>
          </cell>
          <cell r="F53">
            <v>0</v>
          </cell>
          <cell r="G53">
            <v>0</v>
          </cell>
          <cell r="H53" t="str">
            <v>0</v>
          </cell>
          <cell r="J53" t="str">
            <v>0</v>
          </cell>
          <cell r="K53" t="str">
            <v>0</v>
          </cell>
          <cell r="L53">
            <v>0</v>
          </cell>
          <cell r="M53" t="str">
            <v>0</v>
          </cell>
          <cell r="N53">
            <v>0</v>
          </cell>
        </row>
        <row r="54">
          <cell r="B54" t="str">
            <v>刘婧娴</v>
          </cell>
          <cell r="E54">
            <v>0</v>
          </cell>
          <cell r="F54">
            <v>0</v>
          </cell>
          <cell r="G54">
            <v>0</v>
          </cell>
          <cell r="H54" t="str">
            <v>0</v>
          </cell>
          <cell r="J54" t="str">
            <v>0</v>
          </cell>
          <cell r="K54" t="str">
            <v>0</v>
          </cell>
          <cell r="L54">
            <v>0</v>
          </cell>
          <cell r="M54" t="str">
            <v>0</v>
          </cell>
          <cell r="N54">
            <v>0</v>
          </cell>
        </row>
        <row r="55">
          <cell r="B55" t="str">
            <v>陈汉锰</v>
          </cell>
          <cell r="E55">
            <v>0</v>
          </cell>
          <cell r="F55">
            <v>0</v>
          </cell>
          <cell r="G55">
            <v>0</v>
          </cell>
          <cell r="H55" t="str">
            <v>0</v>
          </cell>
          <cell r="J55" t="str">
            <v>0</v>
          </cell>
          <cell r="K55" t="str">
            <v>0</v>
          </cell>
          <cell r="L55">
            <v>0</v>
          </cell>
          <cell r="M55" t="str">
            <v>0</v>
          </cell>
          <cell r="N55">
            <v>0</v>
          </cell>
        </row>
        <row r="56">
          <cell r="B56" t="str">
            <v>农乐</v>
          </cell>
          <cell r="E56">
            <v>0</v>
          </cell>
          <cell r="F56">
            <v>1000</v>
          </cell>
          <cell r="G56">
            <v>0</v>
          </cell>
          <cell r="H56" t="str">
            <v>0</v>
          </cell>
          <cell r="J56" t="str">
            <v>0</v>
          </cell>
          <cell r="K56" t="str">
            <v>0</v>
          </cell>
          <cell r="L56">
            <v>0</v>
          </cell>
          <cell r="M56" t="str">
            <v>0</v>
          </cell>
          <cell r="N56">
            <v>1000</v>
          </cell>
        </row>
        <row r="57">
          <cell r="B57" t="str">
            <v>林秀映</v>
          </cell>
          <cell r="E57">
            <v>0</v>
          </cell>
          <cell r="F57">
            <v>400</v>
          </cell>
          <cell r="G57">
            <v>0</v>
          </cell>
          <cell r="H57" t="str">
            <v>0</v>
          </cell>
          <cell r="J57" t="str">
            <v>0</v>
          </cell>
          <cell r="K57" t="str">
            <v>0</v>
          </cell>
          <cell r="L57">
            <v>0</v>
          </cell>
          <cell r="M57" t="str">
            <v>0</v>
          </cell>
          <cell r="N57">
            <v>400</v>
          </cell>
        </row>
        <row r="58">
          <cell r="B58" t="str">
            <v>颜爱</v>
          </cell>
          <cell r="E58">
            <v>0</v>
          </cell>
          <cell r="F58">
            <v>0</v>
          </cell>
          <cell r="G58">
            <v>0</v>
          </cell>
          <cell r="H58" t="str">
            <v>0</v>
          </cell>
          <cell r="J58" t="str">
            <v>0</v>
          </cell>
          <cell r="K58" t="str">
            <v>0</v>
          </cell>
          <cell r="L58">
            <v>0</v>
          </cell>
          <cell r="M58" t="str">
            <v>0</v>
          </cell>
          <cell r="N58">
            <v>0</v>
          </cell>
        </row>
        <row r="59">
          <cell r="B59" t="str">
            <v>方巧君</v>
          </cell>
          <cell r="E59">
            <v>0</v>
          </cell>
          <cell r="F59">
            <v>0</v>
          </cell>
          <cell r="G59">
            <v>0</v>
          </cell>
          <cell r="H59" t="str">
            <v>0</v>
          </cell>
          <cell r="J59" t="str">
            <v>0</v>
          </cell>
          <cell r="K59" t="str">
            <v>0</v>
          </cell>
          <cell r="L59">
            <v>0</v>
          </cell>
          <cell r="M59" t="str">
            <v>0</v>
          </cell>
          <cell r="N59">
            <v>0</v>
          </cell>
        </row>
        <row r="60">
          <cell r="B60" t="str">
            <v>张俏</v>
          </cell>
          <cell r="E60">
            <v>0</v>
          </cell>
          <cell r="F60">
            <v>0</v>
          </cell>
          <cell r="G60">
            <v>0</v>
          </cell>
          <cell r="H60" t="str">
            <v>0</v>
          </cell>
          <cell r="J60" t="str">
            <v>0</v>
          </cell>
          <cell r="K60" t="str">
            <v>0</v>
          </cell>
          <cell r="L60">
            <v>0</v>
          </cell>
          <cell r="M60" t="str">
            <v>0</v>
          </cell>
          <cell r="N60">
            <v>0</v>
          </cell>
        </row>
        <row r="61">
          <cell r="B61" t="str">
            <v>利柱成</v>
          </cell>
          <cell r="E61">
            <v>0</v>
          </cell>
          <cell r="F61">
            <v>0</v>
          </cell>
          <cell r="G61">
            <v>0</v>
          </cell>
          <cell r="H61" t="str">
            <v>0</v>
          </cell>
          <cell r="J61" t="str">
            <v>0</v>
          </cell>
          <cell r="K61" t="str">
            <v>0</v>
          </cell>
          <cell r="L61">
            <v>0</v>
          </cell>
          <cell r="M61" t="str">
            <v>0</v>
          </cell>
          <cell r="N61">
            <v>0</v>
          </cell>
        </row>
        <row r="62">
          <cell r="B62" t="str">
            <v>袁琨</v>
          </cell>
          <cell r="C62" t="str">
            <v>离职</v>
          </cell>
          <cell r="E62">
            <v>0</v>
          </cell>
          <cell r="F62">
            <v>0</v>
          </cell>
          <cell r="G62">
            <v>0</v>
          </cell>
          <cell r="H62" t="str">
            <v>0</v>
          </cell>
          <cell r="J62" t="str">
            <v>0</v>
          </cell>
          <cell r="K62" t="str">
            <v>0</v>
          </cell>
          <cell r="L62">
            <v>0</v>
          </cell>
          <cell r="M62" t="str">
            <v>0</v>
          </cell>
          <cell r="N62">
            <v>0</v>
          </cell>
        </row>
        <row r="63">
          <cell r="B63" t="str">
            <v>沈豪源</v>
          </cell>
          <cell r="C63" t="str">
            <v>离职</v>
          </cell>
          <cell r="E63">
            <v>0</v>
          </cell>
          <cell r="F63">
            <v>400</v>
          </cell>
          <cell r="G63">
            <v>0</v>
          </cell>
          <cell r="H63" t="str">
            <v>0</v>
          </cell>
          <cell r="J63" t="str">
            <v>0</v>
          </cell>
          <cell r="K63" t="str">
            <v>0</v>
          </cell>
          <cell r="L63">
            <v>0</v>
          </cell>
          <cell r="M63" t="str">
            <v>0</v>
          </cell>
          <cell r="N63">
            <v>400</v>
          </cell>
        </row>
        <row r="64">
          <cell r="B64" t="str">
            <v>汤真伟</v>
          </cell>
          <cell r="E64">
            <v>0</v>
          </cell>
          <cell r="F64">
            <v>0</v>
          </cell>
          <cell r="G64">
            <v>0</v>
          </cell>
          <cell r="H64" t="str">
            <v>0</v>
          </cell>
          <cell r="J64" t="str">
            <v>0</v>
          </cell>
          <cell r="K64" t="str">
            <v>0</v>
          </cell>
          <cell r="L64">
            <v>0</v>
          </cell>
          <cell r="M64" t="str">
            <v>0</v>
          </cell>
          <cell r="N64">
            <v>0</v>
          </cell>
        </row>
        <row r="65">
          <cell r="B65" t="str">
            <v>何艳艳</v>
          </cell>
          <cell r="C65" t="str">
            <v>离职</v>
          </cell>
          <cell r="E65">
            <v>0</v>
          </cell>
          <cell r="F65">
            <v>0</v>
          </cell>
          <cell r="G65">
            <v>0</v>
          </cell>
          <cell r="H65" t="str">
            <v>0</v>
          </cell>
          <cell r="J65" t="str">
            <v>0</v>
          </cell>
          <cell r="K65" t="str">
            <v>0</v>
          </cell>
          <cell r="L65">
            <v>0</v>
          </cell>
          <cell r="M65" t="str">
            <v>0</v>
          </cell>
          <cell r="N65">
            <v>0</v>
          </cell>
        </row>
        <row r="66">
          <cell r="B66" t="str">
            <v>钟欣彤</v>
          </cell>
          <cell r="E66">
            <v>0</v>
          </cell>
          <cell r="F66">
            <v>800</v>
          </cell>
          <cell r="G66">
            <v>21214.400000000001</v>
          </cell>
          <cell r="H66" t="str">
            <v>0</v>
          </cell>
          <cell r="J66" t="str">
            <v>0</v>
          </cell>
          <cell r="K66" t="str">
            <v>0</v>
          </cell>
          <cell r="L66">
            <v>0</v>
          </cell>
          <cell r="M66" t="str">
            <v>0</v>
          </cell>
          <cell r="N66">
            <v>22014.400000000001</v>
          </cell>
        </row>
        <row r="67">
          <cell r="B67" t="str">
            <v>朱聪</v>
          </cell>
          <cell r="E67">
            <v>0</v>
          </cell>
          <cell r="F67">
            <v>400</v>
          </cell>
          <cell r="G67">
            <v>4398</v>
          </cell>
          <cell r="H67" t="str">
            <v>0</v>
          </cell>
          <cell r="J67" t="str">
            <v>0</v>
          </cell>
          <cell r="K67" t="str">
            <v>0</v>
          </cell>
          <cell r="L67">
            <v>0</v>
          </cell>
          <cell r="M67" t="str">
            <v>0</v>
          </cell>
          <cell r="N67">
            <v>4798</v>
          </cell>
        </row>
        <row r="68">
          <cell r="B68" t="str">
            <v>裴春晓</v>
          </cell>
          <cell r="E68">
            <v>0</v>
          </cell>
          <cell r="F68">
            <v>800</v>
          </cell>
          <cell r="G68">
            <v>12752</v>
          </cell>
          <cell r="H68" t="str">
            <v>0</v>
          </cell>
          <cell r="J68" t="str">
            <v>0</v>
          </cell>
          <cell r="K68" t="str">
            <v>0</v>
          </cell>
          <cell r="L68">
            <v>0</v>
          </cell>
          <cell r="M68" t="str">
            <v>0</v>
          </cell>
          <cell r="N68">
            <v>13552</v>
          </cell>
        </row>
        <row r="69">
          <cell r="B69" t="str">
            <v>唐榕涛</v>
          </cell>
          <cell r="C69" t="str">
            <v>离职</v>
          </cell>
          <cell r="E69">
            <v>0</v>
          </cell>
          <cell r="F69">
            <v>0</v>
          </cell>
          <cell r="G69">
            <v>0</v>
          </cell>
          <cell r="H69" t="str">
            <v>0</v>
          </cell>
          <cell r="J69" t="str">
            <v>0</v>
          </cell>
          <cell r="K69" t="str">
            <v>0</v>
          </cell>
          <cell r="L69">
            <v>0</v>
          </cell>
          <cell r="M69" t="str">
            <v>0</v>
          </cell>
          <cell r="N69">
            <v>0</v>
          </cell>
        </row>
        <row r="70">
          <cell r="B70" t="str">
            <v>刘乐俐</v>
          </cell>
          <cell r="C70" t="str">
            <v>离职</v>
          </cell>
          <cell r="E70">
            <v>0</v>
          </cell>
          <cell r="F70">
            <v>0</v>
          </cell>
          <cell r="G70">
            <v>0</v>
          </cell>
          <cell r="H70" t="str">
            <v>0</v>
          </cell>
          <cell r="J70" t="str">
            <v>0</v>
          </cell>
          <cell r="K70" t="str">
            <v>0</v>
          </cell>
          <cell r="L70">
            <v>0</v>
          </cell>
          <cell r="M70" t="str">
            <v>0</v>
          </cell>
          <cell r="N70">
            <v>0</v>
          </cell>
        </row>
        <row r="71">
          <cell r="B71" t="str">
            <v>林醒霞</v>
          </cell>
          <cell r="E71">
            <v>0</v>
          </cell>
          <cell r="F71">
            <v>400</v>
          </cell>
          <cell r="G71">
            <v>1695.58</v>
          </cell>
          <cell r="H71" t="str">
            <v>0</v>
          </cell>
          <cell r="J71" t="str">
            <v>0</v>
          </cell>
          <cell r="K71" t="str">
            <v>0</v>
          </cell>
          <cell r="L71">
            <v>0</v>
          </cell>
          <cell r="M71" t="str">
            <v>0</v>
          </cell>
          <cell r="N71">
            <v>2095.58</v>
          </cell>
        </row>
        <row r="72">
          <cell r="B72" t="str">
            <v>廖嘉宜</v>
          </cell>
          <cell r="E72">
            <v>0</v>
          </cell>
          <cell r="F72">
            <v>400</v>
          </cell>
          <cell r="G72">
            <v>3814</v>
          </cell>
          <cell r="H72" t="str">
            <v>0</v>
          </cell>
          <cell r="J72" t="str">
            <v>0</v>
          </cell>
          <cell r="K72" t="str">
            <v>0</v>
          </cell>
          <cell r="L72">
            <v>0</v>
          </cell>
          <cell r="M72" t="str">
            <v>0</v>
          </cell>
          <cell r="N72">
            <v>4214</v>
          </cell>
        </row>
        <row r="73">
          <cell r="B73" t="str">
            <v>周智萍</v>
          </cell>
          <cell r="E73">
            <v>0</v>
          </cell>
          <cell r="F73">
            <v>400</v>
          </cell>
          <cell r="G73">
            <v>10318</v>
          </cell>
          <cell r="H73" t="str">
            <v>0</v>
          </cell>
          <cell r="J73" t="str">
            <v>0</v>
          </cell>
          <cell r="K73" t="str">
            <v>0</v>
          </cell>
          <cell r="L73">
            <v>0</v>
          </cell>
          <cell r="M73" t="str">
            <v>0</v>
          </cell>
          <cell r="N73">
            <v>10718</v>
          </cell>
        </row>
        <row r="74">
          <cell r="B74" t="str">
            <v>汤迦禄</v>
          </cell>
          <cell r="C74" t="str">
            <v>调</v>
          </cell>
          <cell r="E74">
            <v>0</v>
          </cell>
          <cell r="F74">
            <v>0</v>
          </cell>
          <cell r="G74">
            <v>0</v>
          </cell>
          <cell r="H74" t="str">
            <v>0</v>
          </cell>
          <cell r="J74" t="str">
            <v>0</v>
          </cell>
          <cell r="K74" t="str">
            <v>0</v>
          </cell>
          <cell r="L74">
            <v>0</v>
          </cell>
          <cell r="M74" t="str">
            <v>0</v>
          </cell>
          <cell r="N74">
            <v>0</v>
          </cell>
        </row>
        <row r="75">
          <cell r="B75" t="str">
            <v>韦仕荣</v>
          </cell>
          <cell r="E75">
            <v>0</v>
          </cell>
          <cell r="F75">
            <v>0</v>
          </cell>
          <cell r="G75">
            <v>0</v>
          </cell>
          <cell r="H75" t="str">
            <v>0</v>
          </cell>
          <cell r="J75" t="str">
            <v>0</v>
          </cell>
          <cell r="K75" t="str">
            <v>0</v>
          </cell>
          <cell r="L75">
            <v>0</v>
          </cell>
          <cell r="M75" t="str">
            <v>0</v>
          </cell>
          <cell r="N75">
            <v>0</v>
          </cell>
        </row>
        <row r="76">
          <cell r="B76" t="str">
            <v>张宏湖</v>
          </cell>
          <cell r="C76" t="str">
            <v>离职</v>
          </cell>
          <cell r="E76">
            <v>0</v>
          </cell>
          <cell r="F76">
            <v>0</v>
          </cell>
          <cell r="G76">
            <v>0</v>
          </cell>
          <cell r="H76" t="str">
            <v>0</v>
          </cell>
          <cell r="J76" t="str">
            <v>0</v>
          </cell>
          <cell r="K76" t="str">
            <v>0</v>
          </cell>
          <cell r="L76">
            <v>0</v>
          </cell>
          <cell r="M76" t="str">
            <v>0</v>
          </cell>
          <cell r="N76">
            <v>0</v>
          </cell>
        </row>
        <row r="77">
          <cell r="B77" t="str">
            <v>徐 亮</v>
          </cell>
          <cell r="C77" t="str">
            <v>调</v>
          </cell>
          <cell r="E77">
            <v>0</v>
          </cell>
          <cell r="F77">
            <v>0</v>
          </cell>
          <cell r="G77">
            <v>0</v>
          </cell>
          <cell r="H77" t="str">
            <v>0</v>
          </cell>
          <cell r="K77" t="str">
            <v>0</v>
          </cell>
          <cell r="L77">
            <v>0</v>
          </cell>
          <cell r="M77" t="str">
            <v>0</v>
          </cell>
          <cell r="N77">
            <v>0</v>
          </cell>
        </row>
        <row r="78">
          <cell r="B78" t="str">
            <v>陈海静</v>
          </cell>
          <cell r="E78">
            <v>0</v>
          </cell>
          <cell r="F78">
            <v>0</v>
          </cell>
          <cell r="G78">
            <v>0</v>
          </cell>
          <cell r="H78" t="str">
            <v>0</v>
          </cell>
          <cell r="J78" t="str">
            <v>0</v>
          </cell>
          <cell r="K78" t="str">
            <v>0</v>
          </cell>
          <cell r="L78">
            <v>0</v>
          </cell>
          <cell r="M78" t="str">
            <v>0</v>
          </cell>
          <cell r="N78">
            <v>0</v>
          </cell>
        </row>
        <row r="79">
          <cell r="B79" t="str">
            <v>孟楠楠</v>
          </cell>
          <cell r="E79">
            <v>0</v>
          </cell>
          <cell r="F79">
            <v>0</v>
          </cell>
          <cell r="G79">
            <v>9240</v>
          </cell>
          <cell r="H79" t="str">
            <v>0</v>
          </cell>
          <cell r="J79" t="str">
            <v>0</v>
          </cell>
          <cell r="K79" t="str">
            <v>0</v>
          </cell>
          <cell r="L79">
            <v>0</v>
          </cell>
          <cell r="M79" t="str">
            <v>0</v>
          </cell>
          <cell r="N79">
            <v>9240</v>
          </cell>
        </row>
        <row r="80">
          <cell r="B80" t="str">
            <v>周茜</v>
          </cell>
          <cell r="C80" t="str">
            <v>离职</v>
          </cell>
          <cell r="E80">
            <v>0</v>
          </cell>
          <cell r="F80">
            <v>0</v>
          </cell>
          <cell r="G80">
            <v>0</v>
          </cell>
          <cell r="H80" t="str">
            <v>0</v>
          </cell>
          <cell r="J80" t="str">
            <v>0</v>
          </cell>
          <cell r="K80" t="str">
            <v>0</v>
          </cell>
          <cell r="L80">
            <v>0</v>
          </cell>
          <cell r="M80" t="str">
            <v>0</v>
          </cell>
          <cell r="N80">
            <v>0</v>
          </cell>
        </row>
        <row r="81">
          <cell r="B81" t="str">
            <v>高文远</v>
          </cell>
          <cell r="E81">
            <v>0</v>
          </cell>
          <cell r="F81">
            <v>0</v>
          </cell>
          <cell r="G81">
            <v>0</v>
          </cell>
          <cell r="H81" t="str">
            <v>0</v>
          </cell>
          <cell r="J81" t="str">
            <v>0</v>
          </cell>
          <cell r="K81" t="str">
            <v>0</v>
          </cell>
          <cell r="L81">
            <v>0</v>
          </cell>
          <cell r="M81" t="str">
            <v>0</v>
          </cell>
          <cell r="N81">
            <v>0</v>
          </cell>
        </row>
        <row r="82">
          <cell r="B82" t="str">
            <v>杨飞</v>
          </cell>
          <cell r="C82" t="str">
            <v>离职</v>
          </cell>
          <cell r="E82">
            <v>0</v>
          </cell>
          <cell r="F82">
            <v>0</v>
          </cell>
          <cell r="G82">
            <v>0</v>
          </cell>
          <cell r="H82" t="str">
            <v>0</v>
          </cell>
          <cell r="J82" t="str">
            <v>0</v>
          </cell>
          <cell r="K82" t="str">
            <v>0</v>
          </cell>
          <cell r="L82">
            <v>0</v>
          </cell>
          <cell r="M82" t="str">
            <v>0</v>
          </cell>
          <cell r="N82">
            <v>0</v>
          </cell>
        </row>
        <row r="83">
          <cell r="B83" t="str">
            <v>林少茵</v>
          </cell>
          <cell r="C83" t="str">
            <v>离职</v>
          </cell>
          <cell r="E83">
            <v>0</v>
          </cell>
          <cell r="F83">
            <v>0</v>
          </cell>
          <cell r="G83">
            <v>0</v>
          </cell>
          <cell r="H83" t="str">
            <v>0</v>
          </cell>
          <cell r="J83" t="str">
            <v>0</v>
          </cell>
          <cell r="K83" t="str">
            <v>0</v>
          </cell>
          <cell r="L83">
            <v>0</v>
          </cell>
          <cell r="M83" t="str">
            <v>0</v>
          </cell>
          <cell r="N83">
            <v>0</v>
          </cell>
        </row>
        <row r="84">
          <cell r="B84" t="str">
            <v>何志容</v>
          </cell>
          <cell r="C84" t="str">
            <v>离职</v>
          </cell>
          <cell r="E84">
            <v>0</v>
          </cell>
          <cell r="F84">
            <v>0</v>
          </cell>
          <cell r="G84">
            <v>0</v>
          </cell>
          <cell r="H84" t="str">
            <v>0</v>
          </cell>
          <cell r="J84" t="str">
            <v>0</v>
          </cell>
          <cell r="K84" t="str">
            <v>0</v>
          </cell>
          <cell r="L84">
            <v>0</v>
          </cell>
          <cell r="M84" t="str">
            <v>0</v>
          </cell>
          <cell r="N84">
            <v>0</v>
          </cell>
        </row>
        <row r="85">
          <cell r="B85" t="str">
            <v>覃恩侨</v>
          </cell>
          <cell r="E85">
            <v>0</v>
          </cell>
          <cell r="F85">
            <v>0</v>
          </cell>
          <cell r="G85">
            <v>0</v>
          </cell>
          <cell r="H85" t="str">
            <v>0</v>
          </cell>
          <cell r="J85" t="str">
            <v>0</v>
          </cell>
          <cell r="K85" t="str">
            <v>0</v>
          </cell>
          <cell r="L85">
            <v>0</v>
          </cell>
          <cell r="M85" t="str">
            <v>0</v>
          </cell>
          <cell r="N85">
            <v>0</v>
          </cell>
        </row>
        <row r="86">
          <cell r="B86" t="str">
            <v>李志萍</v>
          </cell>
          <cell r="E86">
            <v>0</v>
          </cell>
          <cell r="F86">
            <v>0</v>
          </cell>
          <cell r="G86">
            <v>0</v>
          </cell>
          <cell r="H86" t="str">
            <v>0</v>
          </cell>
          <cell r="J86" t="str">
            <v>0</v>
          </cell>
          <cell r="K86">
            <v>504</v>
          </cell>
          <cell r="L86">
            <v>0</v>
          </cell>
          <cell r="M86" t="str">
            <v>0</v>
          </cell>
          <cell r="N86">
            <v>504</v>
          </cell>
        </row>
        <row r="87">
          <cell r="B87" t="str">
            <v>李景秋</v>
          </cell>
          <cell r="E87">
            <v>0</v>
          </cell>
          <cell r="F87">
            <v>0</v>
          </cell>
          <cell r="G87">
            <v>0</v>
          </cell>
          <cell r="H87" t="str">
            <v>0</v>
          </cell>
          <cell r="J87" t="str">
            <v>0</v>
          </cell>
          <cell r="K87" t="str">
            <v>0</v>
          </cell>
          <cell r="L87">
            <v>0</v>
          </cell>
          <cell r="M87" t="str">
            <v>0</v>
          </cell>
          <cell r="N87">
            <v>0</v>
          </cell>
        </row>
        <row r="88">
          <cell r="B88" t="str">
            <v>马曼璇</v>
          </cell>
          <cell r="E88">
            <v>0</v>
          </cell>
          <cell r="F88">
            <v>0</v>
          </cell>
          <cell r="G88">
            <v>0</v>
          </cell>
          <cell r="H88" t="str">
            <v>0</v>
          </cell>
          <cell r="J88" t="str">
            <v>0</v>
          </cell>
          <cell r="K88">
            <v>504</v>
          </cell>
          <cell r="L88">
            <v>0</v>
          </cell>
          <cell r="M88" t="str">
            <v>0</v>
          </cell>
          <cell r="N88">
            <v>504</v>
          </cell>
        </row>
        <row r="89">
          <cell r="B89" t="str">
            <v>杨玉梅</v>
          </cell>
          <cell r="E89">
            <v>0</v>
          </cell>
          <cell r="F89">
            <v>0</v>
          </cell>
          <cell r="G89">
            <v>0</v>
          </cell>
          <cell r="H89" t="str">
            <v>0</v>
          </cell>
          <cell r="J89" t="str">
            <v>0</v>
          </cell>
          <cell r="K89">
            <v>504</v>
          </cell>
          <cell r="L89">
            <v>0</v>
          </cell>
          <cell r="M89" t="str">
            <v>0</v>
          </cell>
          <cell r="N89">
            <v>504</v>
          </cell>
        </row>
        <row r="90">
          <cell r="B90" t="str">
            <v>游丹</v>
          </cell>
          <cell r="E90">
            <v>0</v>
          </cell>
          <cell r="F90">
            <v>0</v>
          </cell>
          <cell r="G90">
            <v>0</v>
          </cell>
          <cell r="H90" t="str">
            <v>0</v>
          </cell>
          <cell r="J90" t="str">
            <v>0</v>
          </cell>
          <cell r="K90">
            <v>504</v>
          </cell>
          <cell r="L90">
            <v>0</v>
          </cell>
          <cell r="M90" t="str">
            <v>0</v>
          </cell>
          <cell r="N90">
            <v>504</v>
          </cell>
        </row>
        <row r="91">
          <cell r="B91" t="str">
            <v>詹杰龙</v>
          </cell>
          <cell r="E91">
            <v>0</v>
          </cell>
          <cell r="F91">
            <v>1680</v>
          </cell>
          <cell r="G91">
            <v>0</v>
          </cell>
          <cell r="H91" t="str">
            <v>0</v>
          </cell>
          <cell r="J91" t="str">
            <v>0</v>
          </cell>
          <cell r="K91" t="str">
            <v>0</v>
          </cell>
          <cell r="L91">
            <v>0</v>
          </cell>
          <cell r="M91" t="str">
            <v>0</v>
          </cell>
          <cell r="N91">
            <v>1680</v>
          </cell>
        </row>
        <row r="92">
          <cell r="B92" t="str">
            <v>徐文强</v>
          </cell>
          <cell r="E92">
            <v>0</v>
          </cell>
          <cell r="F92">
            <v>2416</v>
          </cell>
          <cell r="G92">
            <v>0</v>
          </cell>
          <cell r="H92" t="str">
            <v>0</v>
          </cell>
          <cell r="J92" t="str">
            <v>0</v>
          </cell>
          <cell r="K92" t="str">
            <v>0</v>
          </cell>
          <cell r="L92">
            <v>0</v>
          </cell>
          <cell r="M92" t="str">
            <v>0</v>
          </cell>
          <cell r="N92">
            <v>2416</v>
          </cell>
        </row>
        <row r="93">
          <cell r="B93" t="str">
            <v>钟深连</v>
          </cell>
          <cell r="E93">
            <v>0</v>
          </cell>
          <cell r="F93">
            <v>0</v>
          </cell>
          <cell r="G93">
            <v>0</v>
          </cell>
          <cell r="H93" t="str">
            <v>0</v>
          </cell>
          <cell r="J93" t="str">
            <v>0</v>
          </cell>
          <cell r="K93" t="str">
            <v>0</v>
          </cell>
          <cell r="L93">
            <v>0</v>
          </cell>
          <cell r="M93" t="str">
            <v>0</v>
          </cell>
          <cell r="N93">
            <v>0</v>
          </cell>
        </row>
        <row r="94">
          <cell r="B94" t="str">
            <v>王小芳</v>
          </cell>
          <cell r="E94">
            <v>0</v>
          </cell>
          <cell r="F94">
            <v>800</v>
          </cell>
          <cell r="G94">
            <v>0</v>
          </cell>
          <cell r="H94" t="str">
            <v>0</v>
          </cell>
          <cell r="J94" t="str">
            <v>0</v>
          </cell>
          <cell r="K94" t="str">
            <v>0</v>
          </cell>
          <cell r="L94">
            <v>0</v>
          </cell>
          <cell r="M94" t="str">
            <v>0</v>
          </cell>
          <cell r="N94">
            <v>800</v>
          </cell>
        </row>
        <row r="95">
          <cell r="B95" t="str">
            <v>胡克华</v>
          </cell>
          <cell r="E95">
            <v>9083.4</v>
          </cell>
          <cell r="F95">
            <v>0</v>
          </cell>
          <cell r="G95">
            <v>0</v>
          </cell>
          <cell r="H95">
            <v>1000</v>
          </cell>
          <cell r="J95" t="str">
            <v>0</v>
          </cell>
          <cell r="K95" t="str">
            <v>0</v>
          </cell>
          <cell r="L95">
            <v>16500</v>
          </cell>
          <cell r="M95">
            <v>25500</v>
          </cell>
          <cell r="N95">
            <v>52083.4</v>
          </cell>
        </row>
        <row r="96">
          <cell r="B96" t="str">
            <v>胡蓉</v>
          </cell>
          <cell r="E96">
            <v>0</v>
          </cell>
          <cell r="F96">
            <v>0</v>
          </cell>
          <cell r="G96">
            <v>0</v>
          </cell>
          <cell r="H96" t="str">
            <v>0</v>
          </cell>
          <cell r="J96" t="str">
            <v>0</v>
          </cell>
          <cell r="K96" t="str">
            <v>0</v>
          </cell>
          <cell r="L96">
            <v>0</v>
          </cell>
          <cell r="M96" t="str">
            <v>0</v>
          </cell>
          <cell r="N96">
            <v>0</v>
          </cell>
        </row>
        <row r="97">
          <cell r="B97" t="str">
            <v>吴诗曼</v>
          </cell>
          <cell r="E97">
            <v>0</v>
          </cell>
          <cell r="F97">
            <v>0</v>
          </cell>
          <cell r="G97">
            <v>0</v>
          </cell>
          <cell r="H97" t="str">
            <v>0</v>
          </cell>
          <cell r="J97" t="str">
            <v>0</v>
          </cell>
          <cell r="K97" t="str">
            <v>0</v>
          </cell>
          <cell r="L97">
            <v>0</v>
          </cell>
          <cell r="M97" t="str">
            <v>0</v>
          </cell>
          <cell r="N97">
            <v>0</v>
          </cell>
        </row>
        <row r="98">
          <cell r="B98" t="str">
            <v>温东岳</v>
          </cell>
          <cell r="E98">
            <v>0</v>
          </cell>
          <cell r="F98">
            <v>0</v>
          </cell>
          <cell r="G98">
            <v>0</v>
          </cell>
          <cell r="H98" t="str">
            <v>0</v>
          </cell>
          <cell r="J98" t="str">
            <v>0</v>
          </cell>
          <cell r="K98" t="str">
            <v>0</v>
          </cell>
          <cell r="L98">
            <v>0</v>
          </cell>
          <cell r="M98" t="str">
            <v>0</v>
          </cell>
          <cell r="N98">
            <v>0</v>
          </cell>
        </row>
        <row r="99">
          <cell r="B99" t="str">
            <v>赵泽辉</v>
          </cell>
          <cell r="E99">
            <v>0</v>
          </cell>
          <cell r="F99">
            <v>0</v>
          </cell>
          <cell r="G99">
            <v>0</v>
          </cell>
          <cell r="H99" t="str">
            <v>0</v>
          </cell>
          <cell r="J99" t="str">
            <v>0</v>
          </cell>
          <cell r="K99" t="str">
            <v>0</v>
          </cell>
          <cell r="L99">
            <v>0</v>
          </cell>
          <cell r="M99" t="str">
            <v>0</v>
          </cell>
          <cell r="N99">
            <v>0</v>
          </cell>
        </row>
        <row r="100">
          <cell r="B100" t="str">
            <v>洪雪鹏</v>
          </cell>
          <cell r="C100" t="str">
            <v>离职</v>
          </cell>
          <cell r="E100">
            <v>0</v>
          </cell>
          <cell r="F100">
            <v>0</v>
          </cell>
          <cell r="G100">
            <v>0</v>
          </cell>
          <cell r="H100" t="str">
            <v>0</v>
          </cell>
          <cell r="J100" t="str">
            <v>0</v>
          </cell>
          <cell r="K100" t="str">
            <v>0</v>
          </cell>
          <cell r="L100">
            <v>0</v>
          </cell>
          <cell r="M100" t="str">
            <v>0</v>
          </cell>
          <cell r="N100">
            <v>0</v>
          </cell>
        </row>
        <row r="101">
          <cell r="B101" t="str">
            <v>王魁</v>
          </cell>
          <cell r="C101" t="str">
            <v>离职</v>
          </cell>
          <cell r="E101">
            <v>0</v>
          </cell>
          <cell r="F101">
            <v>0</v>
          </cell>
          <cell r="G101">
            <v>0</v>
          </cell>
          <cell r="H101" t="str">
            <v>0</v>
          </cell>
          <cell r="J101" t="str">
            <v>0</v>
          </cell>
          <cell r="K101" t="str">
            <v>0</v>
          </cell>
          <cell r="L101">
            <v>0</v>
          </cell>
          <cell r="M101" t="str">
            <v>0</v>
          </cell>
          <cell r="N101">
            <v>0</v>
          </cell>
        </row>
        <row r="102">
          <cell r="B102" t="str">
            <v>黄辉煌</v>
          </cell>
          <cell r="E102">
            <v>0</v>
          </cell>
          <cell r="F102">
            <v>0</v>
          </cell>
          <cell r="G102">
            <v>0</v>
          </cell>
          <cell r="H102" t="str">
            <v>0</v>
          </cell>
          <cell r="J102" t="str">
            <v>0</v>
          </cell>
          <cell r="K102" t="str">
            <v>0</v>
          </cell>
          <cell r="L102">
            <v>0</v>
          </cell>
          <cell r="M102" t="str">
            <v>0</v>
          </cell>
          <cell r="N102">
            <v>0</v>
          </cell>
        </row>
        <row r="103">
          <cell r="B103" t="str">
            <v>王珂</v>
          </cell>
          <cell r="C103" t="str">
            <v>离职</v>
          </cell>
          <cell r="E103">
            <v>0</v>
          </cell>
          <cell r="F103">
            <v>0</v>
          </cell>
          <cell r="G103">
            <v>0</v>
          </cell>
          <cell r="H103" t="str">
            <v>0</v>
          </cell>
          <cell r="J103" t="str">
            <v>0</v>
          </cell>
          <cell r="K103" t="str">
            <v>0</v>
          </cell>
          <cell r="L103">
            <v>0</v>
          </cell>
          <cell r="M103" t="str">
            <v>0</v>
          </cell>
          <cell r="N103">
            <v>0</v>
          </cell>
        </row>
        <row r="104">
          <cell r="B104" t="str">
            <v>荆树闯</v>
          </cell>
          <cell r="C104" t="str">
            <v>离职</v>
          </cell>
          <cell r="E104">
            <v>0</v>
          </cell>
          <cell r="F104">
            <v>0</v>
          </cell>
          <cell r="G104">
            <v>0</v>
          </cell>
          <cell r="H104" t="str">
            <v>0</v>
          </cell>
          <cell r="J104" t="str">
            <v>0</v>
          </cell>
          <cell r="K104" t="str">
            <v>0</v>
          </cell>
          <cell r="L104">
            <v>0</v>
          </cell>
          <cell r="M104" t="str">
            <v>0</v>
          </cell>
          <cell r="N104">
            <v>0</v>
          </cell>
        </row>
        <row r="105">
          <cell r="B105" t="str">
            <v>郑少博</v>
          </cell>
          <cell r="C105" t="str">
            <v>离职</v>
          </cell>
          <cell r="E105">
            <v>0</v>
          </cell>
          <cell r="F105">
            <v>0</v>
          </cell>
          <cell r="G105">
            <v>0</v>
          </cell>
          <cell r="H105" t="str">
            <v>0</v>
          </cell>
          <cell r="J105" t="str">
            <v>0</v>
          </cell>
          <cell r="K105" t="str">
            <v>0</v>
          </cell>
          <cell r="L105">
            <v>0</v>
          </cell>
          <cell r="M105" t="str">
            <v>0</v>
          </cell>
          <cell r="N105">
            <v>0</v>
          </cell>
        </row>
        <row r="106">
          <cell r="B106" t="str">
            <v>夏卫超</v>
          </cell>
          <cell r="C106" t="str">
            <v>离职</v>
          </cell>
          <cell r="E106">
            <v>0</v>
          </cell>
          <cell r="F106">
            <v>0</v>
          </cell>
          <cell r="G106">
            <v>0</v>
          </cell>
          <cell r="H106" t="str">
            <v>0</v>
          </cell>
          <cell r="J106" t="str">
            <v>0</v>
          </cell>
          <cell r="K106" t="str">
            <v>0</v>
          </cell>
          <cell r="L106">
            <v>0</v>
          </cell>
          <cell r="M106" t="str">
            <v>0</v>
          </cell>
          <cell r="N106">
            <v>0</v>
          </cell>
        </row>
        <row r="107">
          <cell r="B107" t="str">
            <v>韦品玉</v>
          </cell>
          <cell r="E107">
            <v>0</v>
          </cell>
          <cell r="F107">
            <v>0</v>
          </cell>
          <cell r="G107">
            <v>0</v>
          </cell>
          <cell r="H107" t="str">
            <v>0</v>
          </cell>
          <cell r="J107" t="str">
            <v>0</v>
          </cell>
          <cell r="K107" t="str">
            <v>0</v>
          </cell>
          <cell r="L107">
            <v>0</v>
          </cell>
          <cell r="M107" t="str">
            <v>0</v>
          </cell>
          <cell r="N107">
            <v>0</v>
          </cell>
        </row>
        <row r="108">
          <cell r="B108" t="str">
            <v>谭雪晴</v>
          </cell>
          <cell r="C108" t="str">
            <v>离职</v>
          </cell>
          <cell r="E108">
            <v>0</v>
          </cell>
          <cell r="F108">
            <v>0</v>
          </cell>
          <cell r="G108">
            <v>0</v>
          </cell>
          <cell r="H108" t="str">
            <v>0</v>
          </cell>
          <cell r="J108" t="str">
            <v>0</v>
          </cell>
          <cell r="K108" t="str">
            <v>0</v>
          </cell>
          <cell r="L108">
            <v>0</v>
          </cell>
          <cell r="M108" t="str">
            <v>0</v>
          </cell>
          <cell r="N108">
            <v>0</v>
          </cell>
        </row>
        <row r="109">
          <cell r="B109" t="str">
            <v>朱凡</v>
          </cell>
          <cell r="E109">
            <v>0</v>
          </cell>
          <cell r="F109">
            <v>0</v>
          </cell>
          <cell r="G109">
            <v>0</v>
          </cell>
          <cell r="H109" t="str">
            <v>0</v>
          </cell>
          <cell r="J109" t="str">
            <v>0</v>
          </cell>
          <cell r="K109" t="str">
            <v>0</v>
          </cell>
          <cell r="L109">
            <v>0</v>
          </cell>
          <cell r="M109" t="str">
            <v>0</v>
          </cell>
          <cell r="N109">
            <v>0</v>
          </cell>
        </row>
        <row r="110">
          <cell r="B110" t="str">
            <v>肖立兵</v>
          </cell>
          <cell r="E110">
            <v>0</v>
          </cell>
          <cell r="F110">
            <v>0</v>
          </cell>
          <cell r="G110">
            <v>0</v>
          </cell>
          <cell r="H110" t="str">
            <v>0</v>
          </cell>
          <cell r="J110" t="str">
            <v>0</v>
          </cell>
          <cell r="K110" t="str">
            <v>0</v>
          </cell>
          <cell r="L110">
            <v>0</v>
          </cell>
          <cell r="M110" t="str">
            <v>0</v>
          </cell>
          <cell r="N110">
            <v>0</v>
          </cell>
        </row>
        <row r="111">
          <cell r="B111" t="str">
            <v>李彩玲</v>
          </cell>
          <cell r="E111">
            <v>0</v>
          </cell>
          <cell r="F111">
            <v>0</v>
          </cell>
          <cell r="G111">
            <v>0</v>
          </cell>
          <cell r="H111" t="str">
            <v>0</v>
          </cell>
          <cell r="J111" t="str">
            <v>0</v>
          </cell>
          <cell r="K111" t="str">
            <v>0</v>
          </cell>
          <cell r="L111">
            <v>0</v>
          </cell>
          <cell r="M111" t="str">
            <v>0</v>
          </cell>
          <cell r="N111">
            <v>0</v>
          </cell>
        </row>
        <row r="112">
          <cell r="B112" t="str">
            <v>连锐</v>
          </cell>
          <cell r="E112">
            <v>0</v>
          </cell>
          <cell r="F112">
            <v>0</v>
          </cell>
          <cell r="G112">
            <v>0</v>
          </cell>
          <cell r="H112" t="str">
            <v>0</v>
          </cell>
          <cell r="J112" t="str">
            <v>0</v>
          </cell>
          <cell r="K112" t="str">
            <v>0</v>
          </cell>
          <cell r="L112">
            <v>0</v>
          </cell>
          <cell r="M112" t="str">
            <v>0</v>
          </cell>
          <cell r="N112">
            <v>0</v>
          </cell>
        </row>
        <row r="113">
          <cell r="B113" t="str">
            <v>刘强</v>
          </cell>
          <cell r="E113">
            <v>0</v>
          </cell>
          <cell r="F113">
            <v>0</v>
          </cell>
          <cell r="G113">
            <v>0</v>
          </cell>
          <cell r="H113" t="str">
            <v>0</v>
          </cell>
          <cell r="J113" t="str">
            <v>0</v>
          </cell>
          <cell r="K113" t="str">
            <v>0</v>
          </cell>
          <cell r="L113">
            <v>0</v>
          </cell>
          <cell r="M113" t="str">
            <v>0</v>
          </cell>
          <cell r="N113">
            <v>0</v>
          </cell>
        </row>
        <row r="114">
          <cell r="B114" t="str">
            <v>陈宽</v>
          </cell>
          <cell r="E114">
            <v>0</v>
          </cell>
          <cell r="F114">
            <v>0</v>
          </cell>
          <cell r="G114">
            <v>0</v>
          </cell>
          <cell r="H114" t="str">
            <v>0</v>
          </cell>
          <cell r="J114" t="str">
            <v>0</v>
          </cell>
          <cell r="K114" t="str">
            <v>0</v>
          </cell>
          <cell r="L114">
            <v>0</v>
          </cell>
          <cell r="M114" t="str">
            <v>0</v>
          </cell>
          <cell r="N114">
            <v>0</v>
          </cell>
        </row>
        <row r="115">
          <cell r="B115" t="str">
            <v>邓常青</v>
          </cell>
          <cell r="E115">
            <v>0</v>
          </cell>
          <cell r="F115">
            <v>0</v>
          </cell>
          <cell r="G115">
            <v>0</v>
          </cell>
          <cell r="H115" t="str">
            <v>0</v>
          </cell>
          <cell r="J115" t="str">
            <v>0</v>
          </cell>
          <cell r="K115" t="str">
            <v>0</v>
          </cell>
          <cell r="L115">
            <v>0</v>
          </cell>
          <cell r="M115" t="str">
            <v>0</v>
          </cell>
          <cell r="N115">
            <v>0</v>
          </cell>
        </row>
        <row r="116">
          <cell r="B116" t="str">
            <v>杨序国</v>
          </cell>
          <cell r="E116">
            <v>0</v>
          </cell>
          <cell r="F116">
            <v>0</v>
          </cell>
          <cell r="G116">
            <v>0</v>
          </cell>
          <cell r="H116" t="str">
            <v>0</v>
          </cell>
          <cell r="J116" t="str">
            <v>0</v>
          </cell>
          <cell r="K116" t="str">
            <v>0</v>
          </cell>
          <cell r="L116">
            <v>0</v>
          </cell>
          <cell r="M116" t="str">
            <v>0</v>
          </cell>
          <cell r="N116">
            <v>0</v>
          </cell>
        </row>
        <row r="117">
          <cell r="B117" t="str">
            <v>李紫茵</v>
          </cell>
          <cell r="E117">
            <v>0</v>
          </cell>
          <cell r="F117">
            <v>0</v>
          </cell>
          <cell r="G117">
            <v>0</v>
          </cell>
          <cell r="H117" t="str">
            <v>0</v>
          </cell>
          <cell r="J117" t="str">
            <v>0</v>
          </cell>
          <cell r="K117" t="str">
            <v>0</v>
          </cell>
          <cell r="L117">
            <v>0</v>
          </cell>
          <cell r="M117" t="str">
            <v>0</v>
          </cell>
          <cell r="N117">
            <v>0</v>
          </cell>
        </row>
        <row r="118">
          <cell r="B118" t="str">
            <v>黄雨婷</v>
          </cell>
          <cell r="E118">
            <v>0</v>
          </cell>
          <cell r="F118">
            <v>0</v>
          </cell>
          <cell r="G118">
            <v>0</v>
          </cell>
          <cell r="H118" t="str">
            <v>0</v>
          </cell>
          <cell r="J118" t="str">
            <v>0</v>
          </cell>
          <cell r="K118" t="str">
            <v>0</v>
          </cell>
          <cell r="L118">
            <v>0</v>
          </cell>
          <cell r="M118" t="str">
            <v>0</v>
          </cell>
          <cell r="N118">
            <v>0</v>
          </cell>
        </row>
        <row r="119">
          <cell r="B119" t="str">
            <v>胡嘉莹</v>
          </cell>
          <cell r="E119">
            <v>0</v>
          </cell>
          <cell r="F119">
            <v>0</v>
          </cell>
          <cell r="G119">
            <v>0</v>
          </cell>
          <cell r="H119" t="str">
            <v>0</v>
          </cell>
          <cell r="J119" t="str">
            <v>0</v>
          </cell>
          <cell r="K119" t="str">
            <v>0</v>
          </cell>
          <cell r="L119">
            <v>0</v>
          </cell>
          <cell r="M119" t="str">
            <v>0</v>
          </cell>
          <cell r="N119">
            <v>0</v>
          </cell>
        </row>
        <row r="120">
          <cell r="B120" t="str">
            <v>范广争</v>
          </cell>
          <cell r="E120">
            <v>0</v>
          </cell>
          <cell r="F120">
            <v>0</v>
          </cell>
          <cell r="G120">
            <v>0</v>
          </cell>
          <cell r="H120" t="str">
            <v>0</v>
          </cell>
          <cell r="J120" t="str">
            <v>0</v>
          </cell>
          <cell r="K120" t="str">
            <v>0</v>
          </cell>
          <cell r="L120">
            <v>0</v>
          </cell>
          <cell r="M120" t="str">
            <v>0</v>
          </cell>
          <cell r="N120">
            <v>0</v>
          </cell>
        </row>
        <row r="121">
          <cell r="B121" t="str">
            <v>罗婷升</v>
          </cell>
          <cell r="E121">
            <v>0</v>
          </cell>
          <cell r="F121">
            <v>0</v>
          </cell>
          <cell r="G121">
            <v>0</v>
          </cell>
          <cell r="H121" t="str">
            <v>0</v>
          </cell>
          <cell r="J121" t="str">
            <v>0</v>
          </cell>
          <cell r="K121" t="str">
            <v>0</v>
          </cell>
          <cell r="L121">
            <v>0</v>
          </cell>
          <cell r="M121" t="str">
            <v>0</v>
          </cell>
          <cell r="N121">
            <v>0</v>
          </cell>
        </row>
        <row r="122">
          <cell r="B122" t="str">
            <v>肖钊雄</v>
          </cell>
          <cell r="E122">
            <v>0</v>
          </cell>
          <cell r="F122">
            <v>0</v>
          </cell>
          <cell r="G122">
            <v>0</v>
          </cell>
          <cell r="H122" t="str">
            <v>0</v>
          </cell>
          <cell r="J122" t="str">
            <v>0</v>
          </cell>
          <cell r="K122" t="str">
            <v>0</v>
          </cell>
          <cell r="L122">
            <v>0</v>
          </cell>
          <cell r="M122" t="str">
            <v>0</v>
          </cell>
          <cell r="N122">
            <v>0</v>
          </cell>
        </row>
        <row r="123">
          <cell r="B123" t="str">
            <v>宋卫华</v>
          </cell>
          <cell r="E123">
            <v>25678</v>
          </cell>
          <cell r="F123">
            <v>0</v>
          </cell>
          <cell r="G123">
            <v>0</v>
          </cell>
          <cell r="H123">
            <v>0</v>
          </cell>
          <cell r="J123" t="str">
            <v>0</v>
          </cell>
          <cell r="K123" t="str">
            <v>0</v>
          </cell>
          <cell r="L123">
            <v>0</v>
          </cell>
          <cell r="M123" t="str">
            <v>0</v>
          </cell>
          <cell r="N123">
            <v>25678</v>
          </cell>
        </row>
        <row r="124">
          <cell r="B124" t="str">
            <v>邹骏</v>
          </cell>
          <cell r="E124">
            <v>0</v>
          </cell>
          <cell r="F124">
            <v>0</v>
          </cell>
          <cell r="G124">
            <v>0</v>
          </cell>
          <cell r="H124" t="str">
            <v>0</v>
          </cell>
          <cell r="J124">
            <v>8940</v>
          </cell>
          <cell r="K124" t="str">
            <v>0</v>
          </cell>
          <cell r="L124">
            <v>0</v>
          </cell>
          <cell r="M124" t="str">
            <v>0</v>
          </cell>
          <cell r="N124">
            <v>8940</v>
          </cell>
        </row>
        <row r="125">
          <cell r="B125" t="str">
            <v>许飞</v>
          </cell>
          <cell r="C125" t="str">
            <v>离职</v>
          </cell>
          <cell r="E125">
            <v>0</v>
          </cell>
          <cell r="F125">
            <v>0</v>
          </cell>
          <cell r="G125">
            <v>0</v>
          </cell>
          <cell r="H125" t="str">
            <v>0</v>
          </cell>
          <cell r="J125" t="str">
            <v>0</v>
          </cell>
          <cell r="K125" t="str">
            <v>0</v>
          </cell>
          <cell r="L125">
            <v>0</v>
          </cell>
          <cell r="M125" t="str">
            <v>0</v>
          </cell>
          <cell r="N125">
            <v>0</v>
          </cell>
        </row>
        <row r="126">
          <cell r="B126" t="str">
            <v>刘金花</v>
          </cell>
          <cell r="E126">
            <v>0</v>
          </cell>
          <cell r="F126">
            <v>0</v>
          </cell>
          <cell r="G126">
            <v>0</v>
          </cell>
          <cell r="H126" t="str">
            <v>0</v>
          </cell>
          <cell r="J126" t="str">
            <v>0</v>
          </cell>
          <cell r="K126" t="str">
            <v>0</v>
          </cell>
          <cell r="L126">
            <v>0</v>
          </cell>
          <cell r="M126" t="str">
            <v>0</v>
          </cell>
          <cell r="N126">
            <v>0</v>
          </cell>
        </row>
        <row r="127">
          <cell r="B127" t="str">
            <v>徐亮</v>
          </cell>
          <cell r="E127">
            <v>0</v>
          </cell>
          <cell r="F127">
            <v>0</v>
          </cell>
          <cell r="G127">
            <v>0</v>
          </cell>
          <cell r="H127" t="str">
            <v>0</v>
          </cell>
          <cell r="J127">
            <v>1900</v>
          </cell>
          <cell r="K127" t="str">
            <v>0</v>
          </cell>
          <cell r="L127">
            <v>0</v>
          </cell>
          <cell r="M127" t="str">
            <v>0</v>
          </cell>
          <cell r="N127">
            <v>1900</v>
          </cell>
        </row>
        <row r="128">
          <cell r="B128" t="str">
            <v>蔡旭</v>
          </cell>
          <cell r="C128" t="str">
            <v>离职</v>
          </cell>
          <cell r="E128">
            <v>0</v>
          </cell>
          <cell r="F128">
            <v>0</v>
          </cell>
          <cell r="G128">
            <v>0</v>
          </cell>
          <cell r="H128" t="str">
            <v>0</v>
          </cell>
          <cell r="J128">
            <v>3400</v>
          </cell>
          <cell r="K128" t="str">
            <v>0</v>
          </cell>
          <cell r="L128">
            <v>0</v>
          </cell>
          <cell r="M128" t="str">
            <v>0</v>
          </cell>
          <cell r="N128">
            <v>3400</v>
          </cell>
        </row>
        <row r="129">
          <cell r="B129" t="str">
            <v>祝得娴</v>
          </cell>
          <cell r="E129">
            <v>0</v>
          </cell>
          <cell r="F129">
            <v>0</v>
          </cell>
          <cell r="G129">
            <v>0</v>
          </cell>
          <cell r="H129" t="str">
            <v>0</v>
          </cell>
          <cell r="J129">
            <v>300</v>
          </cell>
          <cell r="K129" t="str">
            <v>0</v>
          </cell>
          <cell r="L129">
            <v>0</v>
          </cell>
          <cell r="M129" t="str">
            <v>0</v>
          </cell>
          <cell r="N129">
            <v>300</v>
          </cell>
        </row>
        <row r="130">
          <cell r="B130" t="str">
            <v>唐艳涛</v>
          </cell>
          <cell r="E130">
            <v>0</v>
          </cell>
          <cell r="F130">
            <v>0</v>
          </cell>
          <cell r="G130">
            <v>0</v>
          </cell>
          <cell r="H130" t="str">
            <v>0</v>
          </cell>
          <cell r="J130">
            <v>3200</v>
          </cell>
          <cell r="K130" t="str">
            <v>0</v>
          </cell>
          <cell r="L130">
            <v>0</v>
          </cell>
          <cell r="M130" t="str">
            <v>0</v>
          </cell>
          <cell r="N130">
            <v>3200</v>
          </cell>
        </row>
        <row r="131">
          <cell r="B131" t="str">
            <v>郭晏</v>
          </cell>
          <cell r="C131" t="str">
            <v>离职</v>
          </cell>
          <cell r="E131">
            <v>0</v>
          </cell>
          <cell r="F131">
            <v>400</v>
          </cell>
          <cell r="G131">
            <v>0</v>
          </cell>
          <cell r="H131" t="str">
            <v>0</v>
          </cell>
          <cell r="J131" t="str">
            <v>0</v>
          </cell>
          <cell r="K131" t="str">
            <v>0</v>
          </cell>
          <cell r="L131">
            <v>0</v>
          </cell>
          <cell r="M131" t="str">
            <v>0</v>
          </cell>
          <cell r="N131">
            <v>400</v>
          </cell>
        </row>
        <row r="132">
          <cell r="B132" t="str">
            <v>陈航</v>
          </cell>
          <cell r="C132" t="str">
            <v>离职</v>
          </cell>
          <cell r="E132">
            <v>0</v>
          </cell>
          <cell r="F132">
            <v>0</v>
          </cell>
          <cell r="G132">
            <v>0</v>
          </cell>
          <cell r="H132" t="str">
            <v>0</v>
          </cell>
          <cell r="J132" t="str">
            <v>0</v>
          </cell>
          <cell r="K132" t="str">
            <v>0</v>
          </cell>
          <cell r="L132">
            <v>0</v>
          </cell>
          <cell r="M132" t="str">
            <v>0</v>
          </cell>
          <cell r="N132">
            <v>0</v>
          </cell>
        </row>
        <row r="133">
          <cell r="B133" t="str">
            <v>张琪</v>
          </cell>
          <cell r="C133" t="str">
            <v>离职</v>
          </cell>
          <cell r="E133">
            <v>0</v>
          </cell>
          <cell r="F133">
            <v>0</v>
          </cell>
          <cell r="G133">
            <v>0</v>
          </cell>
          <cell r="H133" t="str">
            <v>0</v>
          </cell>
          <cell r="J133" t="str">
            <v>0</v>
          </cell>
          <cell r="K133" t="str">
            <v>0</v>
          </cell>
          <cell r="L133">
            <v>0</v>
          </cell>
          <cell r="M133" t="str">
            <v>0</v>
          </cell>
          <cell r="N133">
            <v>0</v>
          </cell>
        </row>
        <row r="134">
          <cell r="B134" t="str">
            <v>谢广东</v>
          </cell>
          <cell r="E134">
            <v>0</v>
          </cell>
          <cell r="F134">
            <v>0</v>
          </cell>
          <cell r="G134">
            <v>0</v>
          </cell>
          <cell r="H134" t="str">
            <v>0</v>
          </cell>
          <cell r="J134">
            <v>900</v>
          </cell>
          <cell r="K134" t="str">
            <v>0</v>
          </cell>
          <cell r="L134">
            <v>0</v>
          </cell>
          <cell r="M134" t="str">
            <v>0</v>
          </cell>
          <cell r="N134">
            <v>900</v>
          </cell>
        </row>
        <row r="135">
          <cell r="B135" t="str">
            <v>郭磊</v>
          </cell>
          <cell r="C135" t="str">
            <v>离职</v>
          </cell>
          <cell r="E135">
            <v>0</v>
          </cell>
          <cell r="F135">
            <v>0</v>
          </cell>
          <cell r="G135">
            <v>0</v>
          </cell>
          <cell r="H135" t="str">
            <v>0</v>
          </cell>
          <cell r="J135" t="str">
            <v>0</v>
          </cell>
          <cell r="K135" t="str">
            <v>0</v>
          </cell>
          <cell r="L135">
            <v>0</v>
          </cell>
          <cell r="M135" t="str">
            <v>0</v>
          </cell>
          <cell r="N135">
            <v>0</v>
          </cell>
        </row>
        <row r="136">
          <cell r="B136" t="str">
            <v>李允标</v>
          </cell>
          <cell r="E136">
            <v>0</v>
          </cell>
          <cell r="F136">
            <v>0</v>
          </cell>
          <cell r="G136">
            <v>0</v>
          </cell>
          <cell r="H136" t="str">
            <v>0</v>
          </cell>
          <cell r="J136">
            <v>400</v>
          </cell>
          <cell r="K136" t="str">
            <v>0</v>
          </cell>
          <cell r="L136">
            <v>0</v>
          </cell>
          <cell r="M136" t="str">
            <v>0</v>
          </cell>
          <cell r="N136">
            <v>400</v>
          </cell>
        </row>
        <row r="137">
          <cell r="B137" t="str">
            <v>曹霞</v>
          </cell>
          <cell r="E137">
            <v>0</v>
          </cell>
          <cell r="F137">
            <v>0</v>
          </cell>
          <cell r="G137">
            <v>0</v>
          </cell>
          <cell r="H137" t="str">
            <v>0</v>
          </cell>
          <cell r="J137">
            <v>300</v>
          </cell>
          <cell r="K137" t="str">
            <v>0</v>
          </cell>
          <cell r="L137">
            <v>0</v>
          </cell>
          <cell r="M137" t="str">
            <v>0</v>
          </cell>
          <cell r="N137">
            <v>300</v>
          </cell>
        </row>
        <row r="138">
          <cell r="B138" t="str">
            <v>曹晓锋</v>
          </cell>
          <cell r="E138">
            <v>0</v>
          </cell>
          <cell r="F138">
            <v>0</v>
          </cell>
          <cell r="G138">
            <v>0</v>
          </cell>
          <cell r="H138" t="str">
            <v>0</v>
          </cell>
          <cell r="J138" t="str">
            <v>0</v>
          </cell>
          <cell r="K138" t="str">
            <v>0</v>
          </cell>
          <cell r="L138">
            <v>0</v>
          </cell>
          <cell r="M138" t="str">
            <v>0</v>
          </cell>
          <cell r="N138">
            <v>0</v>
          </cell>
        </row>
        <row r="139">
          <cell r="B139" t="str">
            <v>周雪玲</v>
          </cell>
          <cell r="E139">
            <v>0</v>
          </cell>
          <cell r="F139">
            <v>0</v>
          </cell>
          <cell r="G139">
            <v>0</v>
          </cell>
          <cell r="H139" t="str">
            <v>0</v>
          </cell>
          <cell r="J139" t="str">
            <v>0</v>
          </cell>
          <cell r="K139" t="str">
            <v>0</v>
          </cell>
          <cell r="L139">
            <v>0</v>
          </cell>
          <cell r="M139" t="str">
            <v>0</v>
          </cell>
          <cell r="N139">
            <v>0</v>
          </cell>
        </row>
        <row r="140">
          <cell r="B140" t="str">
            <v>刘可欣</v>
          </cell>
          <cell r="E140">
            <v>0</v>
          </cell>
          <cell r="F140">
            <v>0</v>
          </cell>
          <cell r="G140">
            <v>0</v>
          </cell>
          <cell r="H140" t="str">
            <v>0</v>
          </cell>
          <cell r="J140" t="str">
            <v>0</v>
          </cell>
          <cell r="K140" t="str">
            <v>0</v>
          </cell>
          <cell r="L140">
            <v>0</v>
          </cell>
          <cell r="M140" t="str">
            <v>0</v>
          </cell>
          <cell r="N140">
            <v>0</v>
          </cell>
        </row>
        <row r="141">
          <cell r="B141" t="str">
            <v>陈智健</v>
          </cell>
          <cell r="E141">
            <v>0</v>
          </cell>
          <cell r="F141">
            <v>0</v>
          </cell>
          <cell r="G141">
            <v>0</v>
          </cell>
          <cell r="H141" t="str">
            <v>0</v>
          </cell>
          <cell r="J141" t="str">
            <v>0</v>
          </cell>
          <cell r="K141" t="str">
            <v>0</v>
          </cell>
          <cell r="L141">
            <v>0</v>
          </cell>
          <cell r="M141" t="str">
            <v>0</v>
          </cell>
          <cell r="N141">
            <v>0</v>
          </cell>
        </row>
        <row r="142">
          <cell r="B142" t="str">
            <v>张丹</v>
          </cell>
          <cell r="E142">
            <v>0</v>
          </cell>
          <cell r="F142">
            <v>0</v>
          </cell>
          <cell r="G142">
            <v>0</v>
          </cell>
          <cell r="H142" t="str">
            <v>0</v>
          </cell>
          <cell r="J142" t="str">
            <v>0</v>
          </cell>
          <cell r="K142" t="str">
            <v>0</v>
          </cell>
          <cell r="L142">
            <v>0</v>
          </cell>
          <cell r="M142" t="str">
            <v>0</v>
          </cell>
          <cell r="N142">
            <v>0</v>
          </cell>
        </row>
        <row r="143">
          <cell r="B143" t="str">
            <v>罗炳健</v>
          </cell>
          <cell r="E143">
            <v>0</v>
          </cell>
          <cell r="F143">
            <v>0</v>
          </cell>
          <cell r="G143">
            <v>0</v>
          </cell>
          <cell r="H143" t="str">
            <v>0</v>
          </cell>
          <cell r="J143" t="str">
            <v>0</v>
          </cell>
          <cell r="K143" t="str">
            <v>0</v>
          </cell>
          <cell r="L143">
            <v>0</v>
          </cell>
          <cell r="M143" t="str">
            <v>0</v>
          </cell>
          <cell r="N143">
            <v>0</v>
          </cell>
        </row>
        <row r="144">
          <cell r="B144" t="str">
            <v>吴祉淇</v>
          </cell>
          <cell r="E144">
            <v>0</v>
          </cell>
          <cell r="F144">
            <v>0</v>
          </cell>
          <cell r="G144">
            <v>0</v>
          </cell>
          <cell r="H144" t="str">
            <v>0</v>
          </cell>
          <cell r="J144" t="str">
            <v>0</v>
          </cell>
          <cell r="K144" t="str">
            <v>0</v>
          </cell>
          <cell r="L144">
            <v>0</v>
          </cell>
          <cell r="M144" t="str">
            <v>0</v>
          </cell>
          <cell r="N144">
            <v>0</v>
          </cell>
        </row>
        <row r="145">
          <cell r="B145" t="str">
            <v>马慧敏</v>
          </cell>
          <cell r="E145">
            <v>0</v>
          </cell>
          <cell r="F145">
            <v>0</v>
          </cell>
          <cell r="G145">
            <v>0</v>
          </cell>
          <cell r="H145" t="str">
            <v>0</v>
          </cell>
          <cell r="J145" t="str">
            <v>0</v>
          </cell>
          <cell r="K145" t="str">
            <v>0</v>
          </cell>
          <cell r="L145">
            <v>0</v>
          </cell>
          <cell r="M145" t="str">
            <v>0</v>
          </cell>
          <cell r="N145">
            <v>0</v>
          </cell>
        </row>
        <row r="146">
          <cell r="B146" t="str">
            <v>刘佳玲</v>
          </cell>
          <cell r="E146">
            <v>0</v>
          </cell>
          <cell r="F146">
            <v>0</v>
          </cell>
          <cell r="G146">
            <v>0</v>
          </cell>
          <cell r="H146" t="str">
            <v>0</v>
          </cell>
          <cell r="J146" t="str">
            <v>0</v>
          </cell>
          <cell r="K146" t="str">
            <v>0</v>
          </cell>
          <cell r="L146">
            <v>0</v>
          </cell>
          <cell r="M146" t="str">
            <v>0</v>
          </cell>
          <cell r="N146">
            <v>0</v>
          </cell>
        </row>
        <row r="147">
          <cell r="D147">
            <v>172000</v>
          </cell>
          <cell r="E147">
            <v>114939.79999999999</v>
          </cell>
          <cell r="F147">
            <v>12296</v>
          </cell>
          <cell r="G147">
            <v>63431.98</v>
          </cell>
          <cell r="H147">
            <v>4000</v>
          </cell>
          <cell r="I147">
            <v>0</v>
          </cell>
          <cell r="J147">
            <v>19340</v>
          </cell>
          <cell r="K147">
            <v>2016</v>
          </cell>
          <cell r="L147">
            <v>279660</v>
          </cell>
          <cell r="M147">
            <v>326625</v>
          </cell>
          <cell r="N147">
            <v>994308.78</v>
          </cell>
        </row>
        <row r="150">
          <cell r="B150" t="str">
            <v>制表：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7月新入职及工资调整信息"/>
      <sheetName val="7月考勤表"/>
      <sheetName val="7月集团工资汇总表"/>
      <sheetName val="7月税筹表"/>
      <sheetName val="京鹏基金社保"/>
      <sheetName val="京鹏基金公积金"/>
      <sheetName val="京鹏工资"/>
      <sheetName val="知识科技社保"/>
      <sheetName val="知识科技公积金"/>
      <sheetName val="知识科技工资"/>
      <sheetName val="中力宝社保"/>
      <sheetName val="中力宝公积金"/>
      <sheetName val="中力宝工资"/>
      <sheetName val="中力顾问社保"/>
      <sheetName val="中力顾问公积金"/>
      <sheetName val="中力顾问工资"/>
      <sheetName val="中力基金社保"/>
      <sheetName val="中力基金公积金"/>
      <sheetName val="中力基金工资"/>
      <sheetName val="广州中力社保"/>
      <sheetName val="广州中力公积金"/>
      <sheetName val="广州中力工资"/>
      <sheetName val="Sheet1"/>
    </sheetNames>
    <sheetDataSet>
      <sheetData sheetId="0"/>
      <sheetData sheetId="1"/>
      <sheetData sheetId="2">
        <row r="2">
          <cell r="C2" t="str">
            <v>姓名</v>
          </cell>
          <cell r="D2" t="str">
            <v>入职时间</v>
          </cell>
          <cell r="E2" t="str">
            <v>工资总额</v>
          </cell>
          <cell r="F2" t="str">
            <v>1月</v>
          </cell>
          <cell r="J2" t="str">
            <v>2月</v>
          </cell>
          <cell r="N2" t="str">
            <v>3月</v>
          </cell>
          <cell r="R2" t="str">
            <v>4月</v>
          </cell>
          <cell r="V2" t="str">
            <v>5月</v>
          </cell>
          <cell r="Z2" t="str">
            <v>6月</v>
          </cell>
          <cell r="AD2" t="str">
            <v>7月</v>
          </cell>
        </row>
        <row r="3">
          <cell r="F3" t="str">
            <v>应发工资</v>
          </cell>
          <cell r="G3" t="str">
            <v>提成</v>
          </cell>
          <cell r="H3" t="str">
            <v>补贴</v>
          </cell>
          <cell r="I3" t="str">
            <v>应发合计</v>
          </cell>
          <cell r="J3" t="str">
            <v>应发工资</v>
          </cell>
          <cell r="K3" t="str">
            <v>提成</v>
          </cell>
          <cell r="L3" t="str">
            <v>补贴</v>
          </cell>
          <cell r="M3" t="str">
            <v>应发合计</v>
          </cell>
          <cell r="N3" t="str">
            <v>应发工资</v>
          </cell>
          <cell r="O3" t="str">
            <v>提成</v>
          </cell>
          <cell r="P3" t="str">
            <v>补贴</v>
          </cell>
          <cell r="Q3" t="str">
            <v>应发合计</v>
          </cell>
          <cell r="R3" t="str">
            <v>应发工资</v>
          </cell>
          <cell r="S3" t="str">
            <v>提成</v>
          </cell>
          <cell r="T3" t="str">
            <v>补贴</v>
          </cell>
          <cell r="U3" t="str">
            <v>应发合计</v>
          </cell>
          <cell r="V3" t="str">
            <v>应发工资</v>
          </cell>
          <cell r="W3" t="str">
            <v>提成</v>
          </cell>
          <cell r="X3" t="str">
            <v>补贴</v>
          </cell>
          <cell r="Y3" t="str">
            <v>应发合计</v>
          </cell>
          <cell r="Z3" t="str">
            <v>应发工资</v>
          </cell>
          <cell r="AA3" t="str">
            <v>提成</v>
          </cell>
          <cell r="AB3" t="str">
            <v>补贴</v>
          </cell>
          <cell r="AC3" t="str">
            <v>应发合计</v>
          </cell>
          <cell r="AD3" t="str">
            <v>应发工资</v>
          </cell>
        </row>
        <row r="4">
          <cell r="C4" t="str">
            <v>刘建刚</v>
          </cell>
          <cell r="D4">
            <v>41883</v>
          </cell>
          <cell r="E4">
            <v>50000</v>
          </cell>
          <cell r="F4">
            <v>38000</v>
          </cell>
          <cell r="G4">
            <v>74030</v>
          </cell>
          <cell r="I4">
            <v>112030</v>
          </cell>
          <cell r="J4">
            <v>38000</v>
          </cell>
          <cell r="K4">
            <v>9260</v>
          </cell>
          <cell r="M4">
            <v>47260</v>
          </cell>
          <cell r="N4">
            <v>38000</v>
          </cell>
          <cell r="O4">
            <v>12340</v>
          </cell>
          <cell r="Q4">
            <v>50340</v>
          </cell>
          <cell r="R4">
            <v>38000</v>
          </cell>
          <cell r="S4">
            <v>119648</v>
          </cell>
          <cell r="U4">
            <v>157648</v>
          </cell>
          <cell r="V4">
            <v>38000</v>
          </cell>
          <cell r="Y4">
            <v>38000</v>
          </cell>
          <cell r="Z4">
            <v>38000</v>
          </cell>
          <cell r="AA4">
            <v>72278</v>
          </cell>
          <cell r="AC4">
            <v>110278</v>
          </cell>
          <cell r="AD4">
            <v>22000</v>
          </cell>
        </row>
        <row r="5">
          <cell r="C5" t="str">
            <v>李建辉</v>
          </cell>
          <cell r="D5">
            <v>41883</v>
          </cell>
          <cell r="E5">
            <v>50000</v>
          </cell>
          <cell r="F5">
            <v>33000</v>
          </cell>
          <cell r="G5">
            <v>54799</v>
          </cell>
          <cell r="I5">
            <v>87799</v>
          </cell>
          <cell r="J5">
            <v>33000</v>
          </cell>
          <cell r="K5">
            <v>7408</v>
          </cell>
          <cell r="M5">
            <v>40408</v>
          </cell>
          <cell r="N5">
            <v>33000</v>
          </cell>
          <cell r="O5">
            <v>9872</v>
          </cell>
          <cell r="Q5">
            <v>42872</v>
          </cell>
          <cell r="R5">
            <v>33000</v>
          </cell>
          <cell r="S5">
            <v>83518.399999999994</v>
          </cell>
          <cell r="U5">
            <v>116518.39999999999</v>
          </cell>
          <cell r="V5">
            <v>33000</v>
          </cell>
          <cell r="Y5">
            <v>33000</v>
          </cell>
          <cell r="Z5">
            <v>33000</v>
          </cell>
          <cell r="AA5">
            <v>86222.399999999994</v>
          </cell>
          <cell r="AC5">
            <v>119222.39999999999</v>
          </cell>
          <cell r="AD5">
            <v>22000</v>
          </cell>
        </row>
        <row r="6">
          <cell r="C6" t="str">
            <v>许亚梅</v>
          </cell>
          <cell r="D6">
            <v>41883</v>
          </cell>
          <cell r="E6">
            <v>30000</v>
          </cell>
          <cell r="F6">
            <v>24000</v>
          </cell>
          <cell r="G6">
            <v>11205</v>
          </cell>
          <cell r="I6">
            <v>35205</v>
          </cell>
          <cell r="J6">
            <v>24000</v>
          </cell>
          <cell r="K6">
            <v>6260</v>
          </cell>
          <cell r="M6">
            <v>30260</v>
          </cell>
          <cell r="N6">
            <v>26000</v>
          </cell>
          <cell r="O6">
            <v>9340</v>
          </cell>
          <cell r="Q6">
            <v>35340</v>
          </cell>
          <cell r="R6">
            <v>26000</v>
          </cell>
          <cell r="S6">
            <v>8049</v>
          </cell>
          <cell r="U6">
            <v>34049</v>
          </cell>
          <cell r="V6">
            <v>26000</v>
          </cell>
          <cell r="Y6">
            <v>26000</v>
          </cell>
          <cell r="Z6">
            <v>26000</v>
          </cell>
          <cell r="AA6">
            <v>25678</v>
          </cell>
          <cell r="AC6">
            <v>51678</v>
          </cell>
          <cell r="AD6">
            <v>18000</v>
          </cell>
        </row>
        <row r="7">
          <cell r="C7" t="str">
            <v>黄振峰</v>
          </cell>
          <cell r="D7">
            <v>43024</v>
          </cell>
          <cell r="E7">
            <v>15000</v>
          </cell>
          <cell r="F7">
            <v>9838.7099999999991</v>
          </cell>
          <cell r="I7">
            <v>9838.7099999999991</v>
          </cell>
          <cell r="J7">
            <v>10000</v>
          </cell>
          <cell r="M7">
            <v>10000</v>
          </cell>
          <cell r="N7">
            <v>14516.13</v>
          </cell>
          <cell r="Q7">
            <v>14516.13</v>
          </cell>
          <cell r="R7">
            <v>15000</v>
          </cell>
          <cell r="S7">
            <v>400</v>
          </cell>
          <cell r="U7">
            <v>15400</v>
          </cell>
          <cell r="V7">
            <v>15000</v>
          </cell>
          <cell r="W7">
            <v>400</v>
          </cell>
          <cell r="Y7">
            <v>15400</v>
          </cell>
          <cell r="Z7">
            <v>14000</v>
          </cell>
          <cell r="AA7">
            <v>0</v>
          </cell>
          <cell r="AC7">
            <v>14000</v>
          </cell>
          <cell r="AD7">
            <v>15000</v>
          </cell>
        </row>
        <row r="8">
          <cell r="C8" t="str">
            <v>聂杨</v>
          </cell>
          <cell r="D8">
            <v>43046</v>
          </cell>
          <cell r="E8">
            <v>8000</v>
          </cell>
          <cell r="F8">
            <v>7612.9</v>
          </cell>
          <cell r="I8">
            <v>7612.9</v>
          </cell>
          <cell r="J8">
            <v>7500</v>
          </cell>
          <cell r="M8">
            <v>7500</v>
          </cell>
          <cell r="N8">
            <v>8000</v>
          </cell>
          <cell r="Q8">
            <v>8000</v>
          </cell>
          <cell r="R8">
            <v>8000</v>
          </cell>
          <cell r="U8">
            <v>8000</v>
          </cell>
          <cell r="V8">
            <v>7870.97</v>
          </cell>
          <cell r="W8">
            <v>400</v>
          </cell>
          <cell r="Y8">
            <v>8270.9700000000012</v>
          </cell>
          <cell r="Z8">
            <v>8000</v>
          </cell>
          <cell r="AA8">
            <v>400</v>
          </cell>
          <cell r="AC8">
            <v>8400</v>
          </cell>
          <cell r="AD8">
            <v>7969.03</v>
          </cell>
        </row>
        <row r="9">
          <cell r="C9" t="str">
            <v>周德胜</v>
          </cell>
          <cell r="D9">
            <v>43160</v>
          </cell>
          <cell r="E9">
            <v>8000</v>
          </cell>
          <cell r="N9">
            <v>7380.6451612903202</v>
          </cell>
          <cell r="Q9">
            <v>7380.6451612903202</v>
          </cell>
          <cell r="R9">
            <v>8000</v>
          </cell>
          <cell r="U9">
            <v>8000</v>
          </cell>
          <cell r="V9">
            <v>7870.97</v>
          </cell>
          <cell r="W9">
            <v>400</v>
          </cell>
          <cell r="Y9">
            <v>8270.9700000000012</v>
          </cell>
          <cell r="Z9">
            <v>8000</v>
          </cell>
          <cell r="AA9">
            <v>400</v>
          </cell>
          <cell r="AC9">
            <v>8400</v>
          </cell>
          <cell r="AD9">
            <v>8000</v>
          </cell>
        </row>
        <row r="10">
          <cell r="C10" t="str">
            <v>杨燕伊</v>
          </cell>
          <cell r="D10">
            <v>43193</v>
          </cell>
          <cell r="E10">
            <v>8000</v>
          </cell>
          <cell r="R10">
            <v>7360</v>
          </cell>
          <cell r="U10">
            <v>7360</v>
          </cell>
          <cell r="V10">
            <v>7483.87</v>
          </cell>
          <cell r="Y10">
            <v>7483.87</v>
          </cell>
          <cell r="Z10">
            <v>5666.67</v>
          </cell>
          <cell r="AA10">
            <v>800</v>
          </cell>
          <cell r="AC10">
            <v>6466.67</v>
          </cell>
          <cell r="AD10">
            <v>0</v>
          </cell>
        </row>
        <row r="11">
          <cell r="C11" t="str">
            <v>许亚红</v>
          </cell>
          <cell r="D11">
            <v>43154</v>
          </cell>
          <cell r="E11">
            <v>30000</v>
          </cell>
          <cell r="J11">
            <v>6300</v>
          </cell>
          <cell r="M11">
            <v>6300</v>
          </cell>
          <cell r="N11">
            <v>30000</v>
          </cell>
          <cell r="Q11">
            <v>30000</v>
          </cell>
          <cell r="R11">
            <v>30000</v>
          </cell>
          <cell r="U11">
            <v>30000</v>
          </cell>
          <cell r="V11">
            <v>30000</v>
          </cell>
          <cell r="Y11">
            <v>30000</v>
          </cell>
          <cell r="Z11">
            <v>30000</v>
          </cell>
          <cell r="AA11">
            <v>1500</v>
          </cell>
          <cell r="AC11">
            <v>31500</v>
          </cell>
          <cell r="AD11">
            <v>18000</v>
          </cell>
        </row>
        <row r="12">
          <cell r="C12" t="str">
            <v>叶文山</v>
          </cell>
          <cell r="D12">
            <v>43168</v>
          </cell>
          <cell r="E12">
            <v>15000</v>
          </cell>
          <cell r="N12">
            <v>11129.032258064501</v>
          </cell>
          <cell r="Q12">
            <v>11129.032258064501</v>
          </cell>
          <cell r="R12">
            <v>15000</v>
          </cell>
          <cell r="U12">
            <v>15000</v>
          </cell>
          <cell r="V12">
            <v>15000</v>
          </cell>
          <cell r="Y12">
            <v>15000</v>
          </cell>
          <cell r="Z12">
            <v>15000</v>
          </cell>
          <cell r="AA12">
            <v>0</v>
          </cell>
          <cell r="AC12">
            <v>15000</v>
          </cell>
          <cell r="AD12">
            <v>0</v>
          </cell>
        </row>
        <row r="13">
          <cell r="C13" t="str">
            <v>原田</v>
          </cell>
          <cell r="D13">
            <v>43182</v>
          </cell>
          <cell r="E13">
            <v>10000</v>
          </cell>
          <cell r="N13">
            <v>2612.9032258064499</v>
          </cell>
          <cell r="Q13">
            <v>2612.9032258064499</v>
          </cell>
          <cell r="R13">
            <v>9000</v>
          </cell>
          <cell r="U13">
            <v>9000</v>
          </cell>
          <cell r="V13">
            <v>9000</v>
          </cell>
          <cell r="Y13">
            <v>9000</v>
          </cell>
          <cell r="Z13">
            <v>9000</v>
          </cell>
          <cell r="AA13">
            <v>5500</v>
          </cell>
          <cell r="AC13">
            <v>14500</v>
          </cell>
          <cell r="AD13">
            <v>9322.58</v>
          </cell>
        </row>
        <row r="14">
          <cell r="C14" t="str">
            <v>马伟</v>
          </cell>
          <cell r="D14">
            <v>42125</v>
          </cell>
          <cell r="E14">
            <v>25000</v>
          </cell>
          <cell r="F14">
            <v>20000</v>
          </cell>
          <cell r="J14">
            <v>22000</v>
          </cell>
          <cell r="L14">
            <v>4000</v>
          </cell>
          <cell r="M14">
            <v>26000</v>
          </cell>
          <cell r="N14">
            <v>20000</v>
          </cell>
          <cell r="O14">
            <v>28000</v>
          </cell>
          <cell r="Q14">
            <v>48000</v>
          </cell>
          <cell r="R14">
            <v>24000</v>
          </cell>
          <cell r="S14">
            <v>55665</v>
          </cell>
          <cell r="U14">
            <v>79665</v>
          </cell>
          <cell r="V14">
            <v>20000</v>
          </cell>
          <cell r="Y14">
            <v>20000</v>
          </cell>
          <cell r="Z14">
            <v>20029</v>
          </cell>
          <cell r="AA14">
            <v>15550</v>
          </cell>
          <cell r="AC14">
            <v>35579</v>
          </cell>
          <cell r="AD14">
            <v>20000</v>
          </cell>
        </row>
        <row r="15">
          <cell r="C15" t="str">
            <v>杨宇</v>
          </cell>
          <cell r="D15">
            <v>42125</v>
          </cell>
          <cell r="E15">
            <v>14000</v>
          </cell>
          <cell r="F15">
            <v>14000</v>
          </cell>
          <cell r="G15">
            <v>6500</v>
          </cell>
          <cell r="J15">
            <v>14000</v>
          </cell>
          <cell r="M15">
            <v>14000</v>
          </cell>
          <cell r="N15">
            <v>14000</v>
          </cell>
          <cell r="O15">
            <v>33000</v>
          </cell>
          <cell r="Q15">
            <v>47000</v>
          </cell>
          <cell r="R15">
            <v>14000</v>
          </cell>
          <cell r="S15">
            <v>28000</v>
          </cell>
          <cell r="U15">
            <v>42000</v>
          </cell>
          <cell r="V15">
            <v>14000</v>
          </cell>
          <cell r="Y15">
            <v>14000</v>
          </cell>
          <cell r="Z15">
            <v>14000</v>
          </cell>
          <cell r="AA15">
            <v>0</v>
          </cell>
          <cell r="AC15">
            <v>14000</v>
          </cell>
          <cell r="AD15">
            <v>14000</v>
          </cell>
        </row>
        <row r="16">
          <cell r="C16" t="str">
            <v>程国栋</v>
          </cell>
          <cell r="D16">
            <v>43273</v>
          </cell>
          <cell r="E16">
            <v>9000</v>
          </cell>
          <cell r="Z16">
            <v>2700</v>
          </cell>
          <cell r="AA16">
            <v>0</v>
          </cell>
          <cell r="AC16">
            <v>2700</v>
          </cell>
          <cell r="AD16">
            <v>9000</v>
          </cell>
        </row>
        <row r="17">
          <cell r="C17" t="str">
            <v>李娜</v>
          </cell>
          <cell r="D17">
            <v>42907</v>
          </cell>
          <cell r="E17">
            <v>8000</v>
          </cell>
          <cell r="F17">
            <v>8000</v>
          </cell>
          <cell r="I17">
            <v>6967.7419354838703</v>
          </cell>
          <cell r="J17">
            <v>8000</v>
          </cell>
          <cell r="M17">
            <v>8000</v>
          </cell>
          <cell r="N17">
            <v>7741.9354838709696</v>
          </cell>
          <cell r="Q17">
            <v>7741.9354838709696</v>
          </cell>
          <cell r="R17">
            <v>8000</v>
          </cell>
          <cell r="U17">
            <v>8000</v>
          </cell>
          <cell r="V17">
            <v>8000</v>
          </cell>
          <cell r="Y17">
            <v>8000</v>
          </cell>
          <cell r="Z17">
            <v>8029</v>
          </cell>
          <cell r="AA17">
            <v>0</v>
          </cell>
          <cell r="AC17">
            <v>8029</v>
          </cell>
          <cell r="AD17">
            <v>7896.77</v>
          </cell>
        </row>
        <row r="18">
          <cell r="C18" t="str">
            <v>徐海峰</v>
          </cell>
          <cell r="D18">
            <v>42860</v>
          </cell>
          <cell r="E18">
            <v>8000</v>
          </cell>
          <cell r="V18">
            <v>6967.74</v>
          </cell>
          <cell r="Y18">
            <v>6967.74</v>
          </cell>
          <cell r="Z18">
            <v>7762.33</v>
          </cell>
          <cell r="AA18">
            <v>0</v>
          </cell>
          <cell r="AC18">
            <v>7762.33</v>
          </cell>
          <cell r="AD18">
            <v>8000</v>
          </cell>
        </row>
        <row r="19">
          <cell r="C19" t="str">
            <v>吴逸夫</v>
          </cell>
          <cell r="D19">
            <v>43251</v>
          </cell>
          <cell r="E19">
            <v>6000</v>
          </cell>
          <cell r="Z19">
            <v>6200</v>
          </cell>
          <cell r="AA19">
            <v>0</v>
          </cell>
          <cell r="AC19">
            <v>6200</v>
          </cell>
          <cell r="AD19">
            <v>6000</v>
          </cell>
        </row>
        <row r="20">
          <cell r="C20" t="str">
            <v>刘定华</v>
          </cell>
          <cell r="D20">
            <v>43255</v>
          </cell>
          <cell r="E20">
            <v>15000</v>
          </cell>
          <cell r="AD20">
            <v>15000</v>
          </cell>
        </row>
        <row r="21">
          <cell r="C21" t="str">
            <v>邵铁健</v>
          </cell>
          <cell r="D21">
            <v>41883</v>
          </cell>
          <cell r="E21">
            <v>12000</v>
          </cell>
          <cell r="F21">
            <v>24000</v>
          </cell>
          <cell r="G21">
            <v>31480</v>
          </cell>
          <cell r="I21">
            <v>55480</v>
          </cell>
          <cell r="J21">
            <v>24000</v>
          </cell>
          <cell r="K21">
            <v>1000</v>
          </cell>
          <cell r="M21">
            <v>25000</v>
          </cell>
          <cell r="N21">
            <v>24000</v>
          </cell>
          <cell r="O21">
            <v>25800</v>
          </cell>
          <cell r="Q21">
            <v>49800</v>
          </cell>
          <cell r="R21">
            <v>24000</v>
          </cell>
          <cell r="S21">
            <v>87330</v>
          </cell>
          <cell r="U21">
            <v>111330</v>
          </cell>
          <cell r="V21">
            <v>24000</v>
          </cell>
          <cell r="Y21">
            <v>24000</v>
          </cell>
          <cell r="Z21">
            <v>24000</v>
          </cell>
          <cell r="AA21">
            <v>128980</v>
          </cell>
          <cell r="AC21">
            <v>152980</v>
          </cell>
          <cell r="AD21">
            <v>12000</v>
          </cell>
        </row>
        <row r="22">
          <cell r="C22" t="str">
            <v>赵丽君</v>
          </cell>
          <cell r="D22">
            <v>42062</v>
          </cell>
          <cell r="E22">
            <v>15000</v>
          </cell>
          <cell r="F22">
            <v>14000</v>
          </cell>
          <cell r="G22">
            <v>15500</v>
          </cell>
          <cell r="I22">
            <v>29500</v>
          </cell>
          <cell r="J22">
            <v>14000</v>
          </cell>
          <cell r="M22">
            <v>14000</v>
          </cell>
          <cell r="N22">
            <v>14000</v>
          </cell>
          <cell r="O22">
            <v>18900</v>
          </cell>
          <cell r="Q22">
            <v>32900</v>
          </cell>
          <cell r="R22">
            <v>14000</v>
          </cell>
          <cell r="S22">
            <v>19000</v>
          </cell>
          <cell r="U22">
            <v>33000</v>
          </cell>
          <cell r="V22">
            <v>14000</v>
          </cell>
          <cell r="W22">
            <v>1000</v>
          </cell>
          <cell r="Y22">
            <v>15000</v>
          </cell>
          <cell r="Z22">
            <v>14029</v>
          </cell>
          <cell r="AA22">
            <v>30190</v>
          </cell>
          <cell r="AC22">
            <v>44219</v>
          </cell>
          <cell r="AD22">
            <v>15000</v>
          </cell>
        </row>
        <row r="23">
          <cell r="C23" t="str">
            <v>黄俊铖</v>
          </cell>
          <cell r="D23">
            <v>42598</v>
          </cell>
          <cell r="E23">
            <v>15000</v>
          </cell>
          <cell r="F23">
            <v>12000</v>
          </cell>
          <cell r="G23">
            <v>112240</v>
          </cell>
          <cell r="I23">
            <v>124240</v>
          </cell>
          <cell r="J23">
            <v>12000</v>
          </cell>
          <cell r="K23">
            <v>1000</v>
          </cell>
          <cell r="M23">
            <v>13000</v>
          </cell>
          <cell r="N23">
            <v>12000</v>
          </cell>
          <cell r="O23">
            <v>5000</v>
          </cell>
          <cell r="Q23">
            <v>17000</v>
          </cell>
          <cell r="R23">
            <v>12000</v>
          </cell>
          <cell r="S23">
            <v>41000</v>
          </cell>
          <cell r="U23">
            <v>53000</v>
          </cell>
          <cell r="V23">
            <v>12000</v>
          </cell>
          <cell r="W23">
            <v>7250</v>
          </cell>
          <cell r="Y23">
            <v>19250</v>
          </cell>
          <cell r="Z23">
            <v>12000</v>
          </cell>
          <cell r="AA23">
            <v>70940</v>
          </cell>
          <cell r="AC23">
            <v>82940</v>
          </cell>
          <cell r="AD23">
            <v>15000</v>
          </cell>
        </row>
        <row r="24">
          <cell r="C24" t="str">
            <v>吴沁琳</v>
          </cell>
          <cell r="D24">
            <v>43074</v>
          </cell>
          <cell r="E24">
            <v>0</v>
          </cell>
          <cell r="F24">
            <v>2903.23</v>
          </cell>
          <cell r="I24">
            <v>2903.23</v>
          </cell>
          <cell r="J24">
            <v>6964.2857142857101</v>
          </cell>
          <cell r="M24">
            <v>6964.2857142857101</v>
          </cell>
          <cell r="N24">
            <v>7500</v>
          </cell>
          <cell r="O24">
            <v>500</v>
          </cell>
          <cell r="Q24">
            <v>8000</v>
          </cell>
          <cell r="R24">
            <v>8000</v>
          </cell>
          <cell r="U24">
            <v>8000</v>
          </cell>
          <cell r="Y24">
            <v>0</v>
          </cell>
          <cell r="AA24">
            <v>500</v>
          </cell>
          <cell r="AC24">
            <v>500</v>
          </cell>
          <cell r="AD24">
            <v>0</v>
          </cell>
        </row>
        <row r="25">
          <cell r="C25" t="str">
            <v>邹健朗</v>
          </cell>
          <cell r="D25">
            <v>43164</v>
          </cell>
          <cell r="E25">
            <v>0</v>
          </cell>
          <cell r="N25">
            <v>2564.5161290322599</v>
          </cell>
          <cell r="Q25">
            <v>2564.5161290322599</v>
          </cell>
          <cell r="R25">
            <v>2950</v>
          </cell>
          <cell r="U25">
            <v>2950</v>
          </cell>
          <cell r="V25">
            <v>2758.06</v>
          </cell>
          <cell r="Y25">
            <v>2758.06</v>
          </cell>
          <cell r="Z25">
            <v>800</v>
          </cell>
          <cell r="AA25">
            <v>0</v>
          </cell>
          <cell r="AC25">
            <v>800</v>
          </cell>
          <cell r="AD25">
            <v>0</v>
          </cell>
        </row>
        <row r="26">
          <cell r="C26" t="str">
            <v>黄伟超</v>
          </cell>
          <cell r="D26">
            <v>43185</v>
          </cell>
          <cell r="E26">
            <v>10000</v>
          </cell>
          <cell r="N26">
            <v>1935.4838709677399</v>
          </cell>
          <cell r="Q26">
            <v>1935.4838709677399</v>
          </cell>
          <cell r="R26">
            <v>10000</v>
          </cell>
          <cell r="U26">
            <v>10000</v>
          </cell>
          <cell r="V26">
            <v>10000</v>
          </cell>
          <cell r="Y26">
            <v>10000</v>
          </cell>
          <cell r="Z26">
            <v>10000</v>
          </cell>
          <cell r="AA26">
            <v>7000</v>
          </cell>
          <cell r="AC26">
            <v>17000</v>
          </cell>
          <cell r="AD26">
            <v>10322.58</v>
          </cell>
        </row>
        <row r="27">
          <cell r="C27" t="str">
            <v>周奕彤</v>
          </cell>
          <cell r="D27">
            <v>43235</v>
          </cell>
          <cell r="E27">
            <v>3000</v>
          </cell>
          <cell r="V27">
            <v>1645.16</v>
          </cell>
          <cell r="Y27">
            <v>1645.16</v>
          </cell>
          <cell r="Z27">
            <v>2700</v>
          </cell>
          <cell r="AA27">
            <v>0</v>
          </cell>
          <cell r="AC27">
            <v>2700</v>
          </cell>
          <cell r="AD27">
            <v>2806.45</v>
          </cell>
        </row>
        <row r="28">
          <cell r="C28" t="str">
            <v>曾波</v>
          </cell>
          <cell r="D28">
            <v>42208</v>
          </cell>
          <cell r="E28">
            <v>13000</v>
          </cell>
          <cell r="F28">
            <v>14000</v>
          </cell>
          <cell r="G28">
            <v>145505</v>
          </cell>
          <cell r="I28">
            <v>159505</v>
          </cell>
          <cell r="J28">
            <v>14000</v>
          </cell>
          <cell r="K28">
            <v>1000</v>
          </cell>
          <cell r="M28">
            <v>15000</v>
          </cell>
          <cell r="N28">
            <v>14000</v>
          </cell>
          <cell r="O28">
            <v>15159.6</v>
          </cell>
          <cell r="Q28">
            <v>29159.599999999999</v>
          </cell>
          <cell r="R28">
            <v>14000</v>
          </cell>
          <cell r="S28">
            <v>26985</v>
          </cell>
          <cell r="U28">
            <v>40985</v>
          </cell>
          <cell r="V28">
            <v>14000</v>
          </cell>
          <cell r="W28">
            <v>31350</v>
          </cell>
          <cell r="Y28">
            <v>45350</v>
          </cell>
          <cell r="Z28">
            <v>14000</v>
          </cell>
          <cell r="AA28">
            <v>49325</v>
          </cell>
          <cell r="AC28">
            <v>63325</v>
          </cell>
          <cell r="AD28">
            <v>13000</v>
          </cell>
        </row>
        <row r="29">
          <cell r="C29" t="str">
            <v>石生仑</v>
          </cell>
          <cell r="D29">
            <v>42248</v>
          </cell>
          <cell r="E29">
            <v>10000</v>
          </cell>
          <cell r="F29">
            <v>9100</v>
          </cell>
          <cell r="G29">
            <v>61100</v>
          </cell>
          <cell r="I29">
            <v>70200</v>
          </cell>
          <cell r="J29">
            <v>9100</v>
          </cell>
          <cell r="M29">
            <v>9100</v>
          </cell>
          <cell r="N29">
            <v>10000</v>
          </cell>
          <cell r="O29">
            <v>1000</v>
          </cell>
          <cell r="Q29">
            <v>11000</v>
          </cell>
          <cell r="R29">
            <v>10000</v>
          </cell>
          <cell r="S29">
            <v>7500</v>
          </cell>
          <cell r="U29">
            <v>17500</v>
          </cell>
          <cell r="V29">
            <v>10000</v>
          </cell>
          <cell r="Y29">
            <v>10000</v>
          </cell>
          <cell r="Z29">
            <v>10029</v>
          </cell>
          <cell r="AA29">
            <v>30000</v>
          </cell>
          <cell r="AC29">
            <v>40029</v>
          </cell>
          <cell r="AD29">
            <v>10000</v>
          </cell>
        </row>
        <row r="30">
          <cell r="C30" t="str">
            <v>谭开强</v>
          </cell>
          <cell r="D30">
            <v>42349</v>
          </cell>
          <cell r="E30">
            <v>50000</v>
          </cell>
          <cell r="F30">
            <v>24000</v>
          </cell>
          <cell r="G30">
            <v>148560</v>
          </cell>
          <cell r="I30">
            <v>172560</v>
          </cell>
          <cell r="J30">
            <v>24000</v>
          </cell>
          <cell r="M30">
            <v>24000</v>
          </cell>
          <cell r="N30">
            <v>24000</v>
          </cell>
          <cell r="O30">
            <v>7596</v>
          </cell>
          <cell r="Q30">
            <v>31596</v>
          </cell>
          <cell r="R30">
            <v>24000</v>
          </cell>
          <cell r="S30">
            <v>40000</v>
          </cell>
          <cell r="U30">
            <v>64000</v>
          </cell>
          <cell r="V30">
            <v>24000</v>
          </cell>
          <cell r="W30">
            <v>12800</v>
          </cell>
          <cell r="Y30">
            <v>36800</v>
          </cell>
          <cell r="Z30">
            <v>24000</v>
          </cell>
          <cell r="AA30">
            <v>64275</v>
          </cell>
          <cell r="AC30">
            <v>88275</v>
          </cell>
          <cell r="AD30">
            <v>22000</v>
          </cell>
        </row>
        <row r="31">
          <cell r="C31" t="str">
            <v>孟宪滨</v>
          </cell>
          <cell r="D31">
            <v>42636</v>
          </cell>
          <cell r="E31">
            <v>11000</v>
          </cell>
          <cell r="F31">
            <v>11000</v>
          </cell>
          <cell r="G31">
            <v>19500</v>
          </cell>
          <cell r="I31">
            <v>30500</v>
          </cell>
          <cell r="J31">
            <v>11000</v>
          </cell>
          <cell r="K31">
            <v>2000</v>
          </cell>
          <cell r="M31">
            <v>13000</v>
          </cell>
          <cell r="N31">
            <v>11000</v>
          </cell>
          <cell r="O31">
            <v>5980</v>
          </cell>
          <cell r="Q31">
            <v>16980</v>
          </cell>
          <cell r="R31">
            <v>11000</v>
          </cell>
          <cell r="S31">
            <v>9000</v>
          </cell>
          <cell r="U31">
            <v>20000</v>
          </cell>
          <cell r="V31">
            <v>11000</v>
          </cell>
          <cell r="Y31">
            <v>11000</v>
          </cell>
          <cell r="Z31">
            <v>11000</v>
          </cell>
          <cell r="AA31">
            <v>18000</v>
          </cell>
          <cell r="AC31">
            <v>29000</v>
          </cell>
          <cell r="AD31">
            <v>6387.1</v>
          </cell>
        </row>
        <row r="32">
          <cell r="C32" t="str">
            <v>王忠宝</v>
          </cell>
          <cell r="D32">
            <v>42636</v>
          </cell>
          <cell r="E32">
            <v>0</v>
          </cell>
          <cell r="F32">
            <v>12000</v>
          </cell>
          <cell r="G32">
            <v>46000</v>
          </cell>
          <cell r="I32">
            <v>58000</v>
          </cell>
          <cell r="J32">
            <v>12000</v>
          </cell>
          <cell r="K32">
            <v>3000</v>
          </cell>
          <cell r="M32">
            <v>15000</v>
          </cell>
          <cell r="N32">
            <v>12000</v>
          </cell>
          <cell r="O32">
            <v>6980</v>
          </cell>
          <cell r="Q32">
            <v>18980</v>
          </cell>
          <cell r="R32">
            <v>12000</v>
          </cell>
          <cell r="S32">
            <v>21000</v>
          </cell>
          <cell r="U32">
            <v>33000</v>
          </cell>
          <cell r="V32">
            <v>12000</v>
          </cell>
          <cell r="Y32">
            <v>12000</v>
          </cell>
          <cell r="Z32">
            <v>6000</v>
          </cell>
          <cell r="AA32">
            <v>0</v>
          </cell>
          <cell r="AC32">
            <v>6000</v>
          </cell>
          <cell r="AD32">
            <v>0</v>
          </cell>
        </row>
        <row r="33">
          <cell r="C33" t="str">
            <v>张宏强</v>
          </cell>
          <cell r="D33">
            <v>42662</v>
          </cell>
          <cell r="E33">
            <v>12000</v>
          </cell>
          <cell r="F33">
            <v>12000</v>
          </cell>
          <cell r="G33">
            <v>128575</v>
          </cell>
          <cell r="I33">
            <v>140575</v>
          </cell>
          <cell r="J33">
            <v>12000</v>
          </cell>
          <cell r="K33">
            <v>1000</v>
          </cell>
          <cell r="M33">
            <v>13000</v>
          </cell>
          <cell r="N33">
            <v>12000</v>
          </cell>
          <cell r="O33">
            <v>19500</v>
          </cell>
          <cell r="Q33">
            <v>31500</v>
          </cell>
          <cell r="R33">
            <v>12000</v>
          </cell>
          <cell r="S33">
            <v>47000</v>
          </cell>
          <cell r="U33">
            <v>59000</v>
          </cell>
          <cell r="V33">
            <v>12000</v>
          </cell>
          <cell r="W33">
            <v>2000</v>
          </cell>
          <cell r="Y33">
            <v>14000</v>
          </cell>
          <cell r="Z33">
            <v>12000</v>
          </cell>
          <cell r="AA33">
            <v>75000</v>
          </cell>
          <cell r="AC33">
            <v>87000</v>
          </cell>
          <cell r="AD33">
            <v>12000</v>
          </cell>
        </row>
        <row r="34">
          <cell r="C34" t="str">
            <v>马福臣</v>
          </cell>
          <cell r="D34">
            <v>42668</v>
          </cell>
          <cell r="E34">
            <v>10000</v>
          </cell>
          <cell r="F34">
            <v>10000</v>
          </cell>
          <cell r="G34">
            <v>49700</v>
          </cell>
          <cell r="I34">
            <v>59700</v>
          </cell>
          <cell r="J34">
            <v>10000</v>
          </cell>
          <cell r="M34">
            <v>10000</v>
          </cell>
          <cell r="N34">
            <v>10000</v>
          </cell>
          <cell r="Q34">
            <v>10000</v>
          </cell>
          <cell r="R34">
            <v>10000</v>
          </cell>
          <cell r="S34">
            <v>8100</v>
          </cell>
          <cell r="U34">
            <v>18100</v>
          </cell>
          <cell r="V34">
            <v>10000</v>
          </cell>
          <cell r="W34">
            <v>1000</v>
          </cell>
          <cell r="Y34">
            <v>11000</v>
          </cell>
          <cell r="Z34">
            <v>10000</v>
          </cell>
          <cell r="AA34">
            <v>58750</v>
          </cell>
          <cell r="AC34">
            <v>68750</v>
          </cell>
          <cell r="AD34">
            <v>10000</v>
          </cell>
        </row>
        <row r="35">
          <cell r="C35" t="str">
            <v>吴国强</v>
          </cell>
          <cell r="D35">
            <v>42698</v>
          </cell>
          <cell r="E35">
            <v>0</v>
          </cell>
          <cell r="F35">
            <v>12000</v>
          </cell>
          <cell r="G35">
            <v>110300</v>
          </cell>
          <cell r="I35">
            <v>122300</v>
          </cell>
          <cell r="J35">
            <v>12000</v>
          </cell>
          <cell r="M35">
            <v>12000</v>
          </cell>
          <cell r="N35">
            <v>12000</v>
          </cell>
          <cell r="O35">
            <v>3000</v>
          </cell>
          <cell r="Q35">
            <v>15000</v>
          </cell>
          <cell r="R35">
            <v>12000</v>
          </cell>
          <cell r="S35">
            <v>41000</v>
          </cell>
          <cell r="U35">
            <v>53000</v>
          </cell>
          <cell r="V35">
            <v>3870.97</v>
          </cell>
          <cell r="Y35">
            <v>3870.97</v>
          </cell>
          <cell r="AA35">
            <v>9500</v>
          </cell>
          <cell r="AC35">
            <v>9500</v>
          </cell>
          <cell r="AD35">
            <v>0</v>
          </cell>
        </row>
        <row r="36">
          <cell r="C36" t="str">
            <v>张铭焯</v>
          </cell>
          <cell r="D36">
            <v>42676</v>
          </cell>
          <cell r="E36">
            <v>8000</v>
          </cell>
          <cell r="F36">
            <v>7000</v>
          </cell>
          <cell r="G36">
            <v>29700</v>
          </cell>
          <cell r="I36">
            <v>36700</v>
          </cell>
          <cell r="J36">
            <v>7000</v>
          </cell>
          <cell r="M36">
            <v>7000</v>
          </cell>
          <cell r="N36">
            <v>8000</v>
          </cell>
          <cell r="Q36">
            <v>8000</v>
          </cell>
          <cell r="R36">
            <v>8000</v>
          </cell>
          <cell r="S36">
            <v>7200</v>
          </cell>
          <cell r="U36">
            <v>15200</v>
          </cell>
          <cell r="V36">
            <v>8000</v>
          </cell>
          <cell r="Y36">
            <v>8000</v>
          </cell>
          <cell r="Z36">
            <v>8000</v>
          </cell>
          <cell r="AA36">
            <v>9000</v>
          </cell>
          <cell r="AC36">
            <v>17000</v>
          </cell>
          <cell r="AD36">
            <v>8000</v>
          </cell>
        </row>
        <row r="37">
          <cell r="C37" t="str">
            <v>吴开权</v>
          </cell>
          <cell r="D37">
            <v>42831</v>
          </cell>
          <cell r="E37">
            <v>10000</v>
          </cell>
          <cell r="F37">
            <v>10000</v>
          </cell>
          <cell r="G37">
            <v>12500</v>
          </cell>
          <cell r="I37">
            <v>22500</v>
          </cell>
          <cell r="J37">
            <v>10000</v>
          </cell>
          <cell r="K37">
            <v>1000</v>
          </cell>
          <cell r="M37">
            <v>11000</v>
          </cell>
          <cell r="N37">
            <v>10000</v>
          </cell>
          <cell r="O37">
            <v>1000</v>
          </cell>
          <cell r="Q37">
            <v>11000</v>
          </cell>
          <cell r="R37">
            <v>10000</v>
          </cell>
          <cell r="S37">
            <v>20000</v>
          </cell>
          <cell r="U37">
            <v>30000</v>
          </cell>
          <cell r="V37">
            <v>10000</v>
          </cell>
          <cell r="Y37">
            <v>10000</v>
          </cell>
          <cell r="Z37">
            <v>10000</v>
          </cell>
          <cell r="AA37">
            <v>25650</v>
          </cell>
          <cell r="AC37">
            <v>35650</v>
          </cell>
          <cell r="AD37">
            <v>10000</v>
          </cell>
        </row>
        <row r="38">
          <cell r="C38" t="str">
            <v>丁小春</v>
          </cell>
          <cell r="D38">
            <v>43004</v>
          </cell>
          <cell r="E38">
            <v>13000</v>
          </cell>
          <cell r="F38">
            <v>7258.06</v>
          </cell>
          <cell r="G38">
            <v>7860</v>
          </cell>
          <cell r="I38">
            <v>15118.060000000001</v>
          </cell>
          <cell r="J38">
            <v>7500</v>
          </cell>
          <cell r="M38">
            <v>7500</v>
          </cell>
          <cell r="N38">
            <v>7838.71</v>
          </cell>
          <cell r="O38">
            <v>989.4</v>
          </cell>
          <cell r="Q38">
            <v>8828.11</v>
          </cell>
          <cell r="R38">
            <v>9000</v>
          </cell>
          <cell r="S38">
            <v>13485</v>
          </cell>
          <cell r="U38">
            <v>22485</v>
          </cell>
          <cell r="V38">
            <v>9000</v>
          </cell>
          <cell r="W38">
            <v>600</v>
          </cell>
          <cell r="Y38">
            <v>9600</v>
          </cell>
          <cell r="Z38">
            <v>9000</v>
          </cell>
          <cell r="AA38">
            <v>10350</v>
          </cell>
          <cell r="AC38">
            <v>19350</v>
          </cell>
          <cell r="AD38">
            <v>13000</v>
          </cell>
        </row>
        <row r="39">
          <cell r="C39" t="str">
            <v>李斌</v>
          </cell>
          <cell r="D39">
            <v>43052</v>
          </cell>
          <cell r="E39">
            <v>10000</v>
          </cell>
          <cell r="F39">
            <v>9677.42</v>
          </cell>
          <cell r="G39">
            <v>45400</v>
          </cell>
          <cell r="I39">
            <v>55077.42</v>
          </cell>
          <cell r="J39">
            <v>9285.7142857142899</v>
          </cell>
          <cell r="M39">
            <v>9285.7142857142899</v>
          </cell>
          <cell r="N39">
            <v>10000</v>
          </cell>
          <cell r="O39">
            <v>4980</v>
          </cell>
          <cell r="Q39">
            <v>14980</v>
          </cell>
          <cell r="R39">
            <v>10000</v>
          </cell>
          <cell r="S39">
            <v>20000</v>
          </cell>
          <cell r="U39">
            <v>30000</v>
          </cell>
          <cell r="V39">
            <v>10000</v>
          </cell>
          <cell r="Y39">
            <v>10000</v>
          </cell>
          <cell r="Z39">
            <v>10000</v>
          </cell>
          <cell r="AA39">
            <v>11000</v>
          </cell>
          <cell r="AC39">
            <v>21000</v>
          </cell>
          <cell r="AD39">
            <v>7419.35</v>
          </cell>
        </row>
        <row r="40">
          <cell r="C40" t="str">
            <v>涂国员</v>
          </cell>
          <cell r="D40">
            <v>43052</v>
          </cell>
          <cell r="E40">
            <v>13000</v>
          </cell>
          <cell r="F40">
            <v>9677.42</v>
          </cell>
          <cell r="G40">
            <v>25250</v>
          </cell>
          <cell r="I40">
            <v>34927.42</v>
          </cell>
          <cell r="J40">
            <v>9285.7142857142899</v>
          </cell>
          <cell r="M40">
            <v>9285.7142857142899</v>
          </cell>
          <cell r="N40">
            <v>10000</v>
          </cell>
          <cell r="O40">
            <v>20500</v>
          </cell>
          <cell r="Q40">
            <v>30500</v>
          </cell>
          <cell r="R40">
            <v>10000</v>
          </cell>
          <cell r="U40">
            <v>10000</v>
          </cell>
          <cell r="V40">
            <v>10000</v>
          </cell>
          <cell r="W40">
            <v>18000</v>
          </cell>
          <cell r="Y40">
            <v>28000</v>
          </cell>
          <cell r="Z40">
            <v>10000</v>
          </cell>
          <cell r="AA40">
            <v>500</v>
          </cell>
          <cell r="AC40">
            <v>10500</v>
          </cell>
          <cell r="AD40">
            <v>13000</v>
          </cell>
        </row>
        <row r="41">
          <cell r="C41" t="str">
            <v>蔡迪</v>
          </cell>
          <cell r="D41">
            <v>43080</v>
          </cell>
          <cell r="E41">
            <v>8000</v>
          </cell>
          <cell r="F41">
            <v>7258.06</v>
          </cell>
          <cell r="G41">
            <v>500</v>
          </cell>
          <cell r="I41">
            <v>7758.06</v>
          </cell>
          <cell r="J41">
            <v>6964.2857142857101</v>
          </cell>
          <cell r="M41">
            <v>6964.2857142857101</v>
          </cell>
          <cell r="N41">
            <v>7500</v>
          </cell>
          <cell r="Q41">
            <v>7500</v>
          </cell>
          <cell r="R41">
            <v>7500</v>
          </cell>
          <cell r="S41">
            <v>3000</v>
          </cell>
          <cell r="U41">
            <v>10500</v>
          </cell>
          <cell r="V41">
            <v>7500</v>
          </cell>
          <cell r="Y41">
            <v>7500</v>
          </cell>
          <cell r="Z41">
            <v>8620</v>
          </cell>
          <cell r="AA41">
            <v>9275</v>
          </cell>
          <cell r="AC41">
            <v>17895</v>
          </cell>
          <cell r="AD41">
            <v>8000</v>
          </cell>
        </row>
        <row r="42">
          <cell r="C42" t="str">
            <v>王亚文</v>
          </cell>
          <cell r="D42">
            <v>43121</v>
          </cell>
          <cell r="E42">
            <v>7500</v>
          </cell>
          <cell r="F42">
            <v>2419.35</v>
          </cell>
          <cell r="I42">
            <v>2419.35</v>
          </cell>
          <cell r="J42">
            <v>6428.5714285714303</v>
          </cell>
          <cell r="M42">
            <v>6428.5714285714303</v>
          </cell>
          <cell r="N42">
            <v>7500</v>
          </cell>
          <cell r="Q42">
            <v>7500</v>
          </cell>
          <cell r="R42">
            <v>7500</v>
          </cell>
          <cell r="S42">
            <v>500</v>
          </cell>
          <cell r="U42">
            <v>8000</v>
          </cell>
          <cell r="V42">
            <v>7500</v>
          </cell>
          <cell r="Y42">
            <v>7500</v>
          </cell>
          <cell r="Z42">
            <v>7500</v>
          </cell>
          <cell r="AA42">
            <v>0</v>
          </cell>
          <cell r="AC42">
            <v>7500</v>
          </cell>
          <cell r="AD42">
            <v>725.81</v>
          </cell>
        </row>
        <row r="43">
          <cell r="C43" t="str">
            <v>徐国连</v>
          </cell>
          <cell r="D43">
            <v>42542</v>
          </cell>
          <cell r="E43">
            <v>20000</v>
          </cell>
          <cell r="Z43">
            <v>6666.67</v>
          </cell>
          <cell r="AA43">
            <v>0</v>
          </cell>
          <cell r="AC43">
            <v>6666.67</v>
          </cell>
          <cell r="AD43">
            <v>20000</v>
          </cell>
        </row>
        <row r="44">
          <cell r="C44" t="str">
            <v>汤迦禄</v>
          </cell>
          <cell r="D44">
            <v>42709</v>
          </cell>
          <cell r="E44">
            <v>6000</v>
          </cell>
          <cell r="F44">
            <v>5411.29</v>
          </cell>
          <cell r="G44">
            <v>4368</v>
          </cell>
          <cell r="I44">
            <v>9779.2900000000009</v>
          </cell>
          <cell r="J44">
            <v>5500</v>
          </cell>
          <cell r="K44">
            <v>5480</v>
          </cell>
          <cell r="M44">
            <v>10980</v>
          </cell>
          <cell r="N44">
            <v>6000</v>
          </cell>
          <cell r="O44">
            <v>850</v>
          </cell>
          <cell r="Q44">
            <v>6850</v>
          </cell>
          <cell r="R44">
            <v>5750</v>
          </cell>
          <cell r="S44">
            <v>4824</v>
          </cell>
          <cell r="U44">
            <v>10574</v>
          </cell>
          <cell r="V44">
            <v>6000</v>
          </cell>
          <cell r="Y44">
            <v>6000</v>
          </cell>
          <cell r="Z44">
            <v>6000</v>
          </cell>
          <cell r="AA44">
            <v>0</v>
          </cell>
          <cell r="AC44">
            <v>6000</v>
          </cell>
          <cell r="AD44">
            <v>6000</v>
          </cell>
        </row>
        <row r="45">
          <cell r="C45" t="str">
            <v>贺江波</v>
          </cell>
          <cell r="AA45">
            <v>4500</v>
          </cell>
        </row>
        <row r="46">
          <cell r="C46" t="str">
            <v>刘九章</v>
          </cell>
          <cell r="D46">
            <v>43306</v>
          </cell>
          <cell r="E46">
            <v>12000</v>
          </cell>
          <cell r="AA46">
            <v>0</v>
          </cell>
          <cell r="AD46">
            <v>2709.68</v>
          </cell>
        </row>
        <row r="47">
          <cell r="C47" t="str">
            <v>邓思顿</v>
          </cell>
          <cell r="D47">
            <v>43297</v>
          </cell>
          <cell r="E47">
            <v>7500</v>
          </cell>
          <cell r="AA47">
            <v>0</v>
          </cell>
          <cell r="AD47">
            <v>3870.97</v>
          </cell>
        </row>
        <row r="48">
          <cell r="C48" t="str">
            <v>王振华</v>
          </cell>
          <cell r="D48">
            <v>42209</v>
          </cell>
          <cell r="E48">
            <v>18000</v>
          </cell>
          <cell r="F48">
            <v>18000</v>
          </cell>
          <cell r="G48">
            <v>9520</v>
          </cell>
          <cell r="I48">
            <v>27520</v>
          </cell>
          <cell r="J48">
            <v>18000</v>
          </cell>
          <cell r="K48">
            <v>9450</v>
          </cell>
          <cell r="M48">
            <v>27450</v>
          </cell>
          <cell r="N48">
            <v>18000</v>
          </cell>
          <cell r="Q48">
            <v>18000</v>
          </cell>
          <cell r="R48">
            <v>18000</v>
          </cell>
          <cell r="S48">
            <v>5544</v>
          </cell>
          <cell r="U48">
            <v>23544</v>
          </cell>
          <cell r="V48">
            <v>18000</v>
          </cell>
          <cell r="Y48">
            <v>18000</v>
          </cell>
          <cell r="Z48">
            <v>18029</v>
          </cell>
          <cell r="AA48">
            <v>0</v>
          </cell>
          <cell r="AC48">
            <v>18029</v>
          </cell>
          <cell r="AD48">
            <v>18000</v>
          </cell>
        </row>
        <row r="49">
          <cell r="C49" t="str">
            <v>黄亮</v>
          </cell>
          <cell r="D49">
            <v>42202</v>
          </cell>
          <cell r="E49">
            <v>0</v>
          </cell>
          <cell r="F49">
            <v>7500</v>
          </cell>
          <cell r="G49">
            <v>2856</v>
          </cell>
          <cell r="I49">
            <v>10356</v>
          </cell>
          <cell r="J49">
            <v>7500</v>
          </cell>
          <cell r="K49">
            <v>4050</v>
          </cell>
          <cell r="M49">
            <v>11550</v>
          </cell>
          <cell r="N49">
            <v>7258.0645161290304</v>
          </cell>
          <cell r="Q49">
            <v>7258.0645161290304</v>
          </cell>
          <cell r="U49">
            <v>0</v>
          </cell>
          <cell r="Y49">
            <v>0</v>
          </cell>
          <cell r="AA49">
            <v>0</v>
          </cell>
          <cell r="AC49">
            <v>0</v>
          </cell>
          <cell r="AD49">
            <v>0</v>
          </cell>
        </row>
        <row r="50">
          <cell r="C50" t="str">
            <v>黄斌</v>
          </cell>
          <cell r="D50">
            <v>42527</v>
          </cell>
          <cell r="E50">
            <v>0</v>
          </cell>
          <cell r="F50">
            <v>4500</v>
          </cell>
          <cell r="G50">
            <v>2856</v>
          </cell>
          <cell r="I50">
            <v>7356</v>
          </cell>
          <cell r="J50">
            <v>4178.5714285714303</v>
          </cell>
          <cell r="M50">
            <v>4178.5714285714303</v>
          </cell>
          <cell r="N50">
            <v>4209.6774193548399</v>
          </cell>
          <cell r="Q50">
            <v>4209.6774193548399</v>
          </cell>
          <cell r="U50">
            <v>0</v>
          </cell>
          <cell r="Y50">
            <v>0</v>
          </cell>
          <cell r="AA50">
            <v>0</v>
          </cell>
          <cell r="AC50">
            <v>0</v>
          </cell>
          <cell r="AD50">
            <v>0</v>
          </cell>
        </row>
        <row r="51">
          <cell r="C51" t="str">
            <v>吴泽宏</v>
          </cell>
          <cell r="D51">
            <v>42578</v>
          </cell>
          <cell r="E51">
            <v>6000</v>
          </cell>
          <cell r="F51">
            <v>4282.26</v>
          </cell>
          <cell r="G51">
            <v>3808</v>
          </cell>
          <cell r="I51">
            <v>8090.26</v>
          </cell>
          <cell r="J51">
            <v>4467.8571428571404</v>
          </cell>
          <cell r="M51">
            <v>4467.8571428571404</v>
          </cell>
          <cell r="N51">
            <v>5951.6129032258104</v>
          </cell>
          <cell r="Q51">
            <v>5951.6129032258104</v>
          </cell>
          <cell r="R51">
            <v>4950</v>
          </cell>
          <cell r="S51">
            <v>2376</v>
          </cell>
          <cell r="U51">
            <v>7326</v>
          </cell>
          <cell r="V51">
            <v>5686.45</v>
          </cell>
          <cell r="Y51">
            <v>5686.45</v>
          </cell>
          <cell r="Z51">
            <v>6000</v>
          </cell>
          <cell r="AA51">
            <v>400</v>
          </cell>
          <cell r="AC51">
            <v>6400</v>
          </cell>
          <cell r="AD51">
            <v>5903.23</v>
          </cell>
        </row>
        <row r="52">
          <cell r="C52" t="str">
            <v>曾俊锋</v>
          </cell>
          <cell r="D52">
            <v>42810</v>
          </cell>
          <cell r="E52">
            <v>0</v>
          </cell>
          <cell r="F52">
            <v>6774.19</v>
          </cell>
          <cell r="I52">
            <v>6774.19</v>
          </cell>
          <cell r="J52">
            <v>7000</v>
          </cell>
          <cell r="M52">
            <v>7000</v>
          </cell>
          <cell r="N52">
            <v>7338.7096774193597</v>
          </cell>
          <cell r="Q52">
            <v>7338.7096774193597</v>
          </cell>
          <cell r="U52">
            <v>0</v>
          </cell>
          <cell r="Y52">
            <v>0</v>
          </cell>
          <cell r="AA52">
            <v>0</v>
          </cell>
          <cell r="AC52">
            <v>0</v>
          </cell>
          <cell r="AD52">
            <v>0</v>
          </cell>
        </row>
        <row r="53">
          <cell r="C53" t="str">
            <v>刘婧娴</v>
          </cell>
          <cell r="D53">
            <v>43059</v>
          </cell>
          <cell r="E53">
            <v>15000</v>
          </cell>
          <cell r="F53">
            <v>11612.9</v>
          </cell>
          <cell r="I53">
            <v>11612.9</v>
          </cell>
          <cell r="J53">
            <v>11142.857142857099</v>
          </cell>
          <cell r="M53">
            <v>11142.857142857099</v>
          </cell>
          <cell r="N53">
            <v>15000</v>
          </cell>
          <cell r="Q53">
            <v>15000</v>
          </cell>
          <cell r="R53">
            <v>15000</v>
          </cell>
          <cell r="U53">
            <v>15000</v>
          </cell>
          <cell r="V53">
            <v>14661.29</v>
          </cell>
          <cell r="Y53">
            <v>14661.29</v>
          </cell>
          <cell r="Z53">
            <v>15000</v>
          </cell>
          <cell r="AA53">
            <v>0</v>
          </cell>
          <cell r="AC53">
            <v>15000</v>
          </cell>
          <cell r="AD53">
            <v>14516.13</v>
          </cell>
        </row>
        <row r="54">
          <cell r="C54" t="str">
            <v>陈汉锰</v>
          </cell>
          <cell r="D54">
            <v>42132</v>
          </cell>
          <cell r="E54">
            <v>16000</v>
          </cell>
          <cell r="F54">
            <v>12530.32</v>
          </cell>
          <cell r="I54">
            <v>12530.32</v>
          </cell>
          <cell r="J54">
            <v>12535.714285714301</v>
          </cell>
          <cell r="M54">
            <v>12535.714285714301</v>
          </cell>
          <cell r="N54">
            <v>16000</v>
          </cell>
          <cell r="Q54">
            <v>16000</v>
          </cell>
          <cell r="R54">
            <v>15922.67</v>
          </cell>
          <cell r="U54">
            <v>15922.67</v>
          </cell>
          <cell r="V54">
            <v>16000</v>
          </cell>
          <cell r="Y54">
            <v>16000</v>
          </cell>
          <cell r="Z54">
            <v>16000</v>
          </cell>
          <cell r="AA54">
            <v>0</v>
          </cell>
          <cell r="AC54">
            <v>16000</v>
          </cell>
          <cell r="AD54">
            <v>15938.06</v>
          </cell>
        </row>
        <row r="55">
          <cell r="C55" t="str">
            <v>农乐</v>
          </cell>
          <cell r="D55">
            <v>42484</v>
          </cell>
          <cell r="E55">
            <v>10000</v>
          </cell>
          <cell r="F55">
            <v>8500</v>
          </cell>
          <cell r="G55">
            <v>500</v>
          </cell>
          <cell r="I55">
            <v>9000</v>
          </cell>
          <cell r="J55">
            <v>8500</v>
          </cell>
          <cell r="M55">
            <v>8500</v>
          </cell>
          <cell r="N55">
            <v>10000</v>
          </cell>
          <cell r="O55">
            <v>1250</v>
          </cell>
          <cell r="Q55">
            <v>11250</v>
          </cell>
          <cell r="R55">
            <v>10000</v>
          </cell>
          <cell r="S55">
            <v>500</v>
          </cell>
          <cell r="U55">
            <v>10500</v>
          </cell>
          <cell r="V55">
            <v>10000</v>
          </cell>
          <cell r="W55">
            <v>1250</v>
          </cell>
          <cell r="Y55">
            <v>11250</v>
          </cell>
          <cell r="Z55">
            <v>10000</v>
          </cell>
          <cell r="AA55">
            <v>1000</v>
          </cell>
          <cell r="AC55">
            <v>11000</v>
          </cell>
          <cell r="AD55">
            <v>4838.71</v>
          </cell>
        </row>
        <row r="56">
          <cell r="C56" t="str">
            <v>林秀映</v>
          </cell>
          <cell r="D56">
            <v>42858</v>
          </cell>
          <cell r="E56">
            <v>5500</v>
          </cell>
          <cell r="F56">
            <v>4441.9399999999996</v>
          </cell>
          <cell r="G56">
            <v>300</v>
          </cell>
          <cell r="I56">
            <v>4741.9399999999996</v>
          </cell>
          <cell r="J56">
            <v>4500</v>
          </cell>
          <cell r="M56">
            <v>4500</v>
          </cell>
          <cell r="N56">
            <v>5500</v>
          </cell>
          <cell r="O56">
            <v>800</v>
          </cell>
          <cell r="Q56">
            <v>6300</v>
          </cell>
          <cell r="R56">
            <v>5500</v>
          </cell>
          <cell r="S56">
            <v>400</v>
          </cell>
          <cell r="U56">
            <v>5900</v>
          </cell>
          <cell r="V56">
            <v>5500</v>
          </cell>
          <cell r="Y56">
            <v>5500</v>
          </cell>
          <cell r="Z56">
            <v>5500</v>
          </cell>
          <cell r="AA56">
            <v>400</v>
          </cell>
          <cell r="AC56">
            <v>5900</v>
          </cell>
          <cell r="AD56">
            <v>5500</v>
          </cell>
        </row>
        <row r="57">
          <cell r="C57" t="str">
            <v>颜爱</v>
          </cell>
          <cell r="D57">
            <v>43181</v>
          </cell>
          <cell r="E57">
            <v>11000</v>
          </cell>
          <cell r="N57">
            <v>3225.8064516129002</v>
          </cell>
          <cell r="Q57">
            <v>3225.8064516129002</v>
          </cell>
          <cell r="R57">
            <v>9916.67</v>
          </cell>
          <cell r="U57">
            <v>9916.67</v>
          </cell>
          <cell r="V57">
            <v>9596.77</v>
          </cell>
          <cell r="Y57">
            <v>9596.77</v>
          </cell>
          <cell r="Z57">
            <v>10333.33</v>
          </cell>
          <cell r="AA57">
            <v>0</v>
          </cell>
          <cell r="AC57">
            <v>10333.33</v>
          </cell>
          <cell r="AD57">
            <v>11000</v>
          </cell>
        </row>
        <row r="58">
          <cell r="C58" t="str">
            <v>方巧君</v>
          </cell>
          <cell r="D58">
            <v>43192</v>
          </cell>
          <cell r="E58">
            <v>15000</v>
          </cell>
          <cell r="R58">
            <v>14500</v>
          </cell>
          <cell r="U58">
            <v>14500</v>
          </cell>
          <cell r="V58">
            <v>14337.1</v>
          </cell>
          <cell r="Y58">
            <v>14337.1</v>
          </cell>
          <cell r="Z58">
            <v>15000</v>
          </cell>
          <cell r="AA58">
            <v>0</v>
          </cell>
          <cell r="AC58">
            <v>15000</v>
          </cell>
          <cell r="AD58">
            <v>14516.13</v>
          </cell>
        </row>
        <row r="59">
          <cell r="C59" t="str">
            <v>张俏</v>
          </cell>
          <cell r="D59">
            <v>43250</v>
          </cell>
          <cell r="E59">
            <v>14000</v>
          </cell>
          <cell r="V59">
            <v>903.23</v>
          </cell>
          <cell r="Y59">
            <v>903.23</v>
          </cell>
          <cell r="Z59">
            <v>14000</v>
          </cell>
          <cell r="AA59">
            <v>0</v>
          </cell>
          <cell r="AC59">
            <v>14000</v>
          </cell>
          <cell r="AD59">
            <v>13548.39</v>
          </cell>
        </row>
        <row r="60">
          <cell r="C60" t="str">
            <v>利柱成</v>
          </cell>
          <cell r="D60">
            <v>43193</v>
          </cell>
          <cell r="E60">
            <v>15000</v>
          </cell>
          <cell r="R60">
            <v>8250</v>
          </cell>
          <cell r="U60">
            <v>8250</v>
          </cell>
          <cell r="V60">
            <v>15258.06</v>
          </cell>
          <cell r="Y60">
            <v>15258.06</v>
          </cell>
          <cell r="Z60">
            <v>15000</v>
          </cell>
          <cell r="AA60">
            <v>0</v>
          </cell>
          <cell r="AC60">
            <v>15000</v>
          </cell>
          <cell r="AD60">
            <v>14700</v>
          </cell>
        </row>
        <row r="61">
          <cell r="C61" t="str">
            <v>袁琨</v>
          </cell>
          <cell r="D61">
            <v>43200</v>
          </cell>
          <cell r="E61">
            <v>0</v>
          </cell>
          <cell r="R61">
            <v>4200</v>
          </cell>
          <cell r="U61">
            <v>4200</v>
          </cell>
          <cell r="V61">
            <v>5612.9</v>
          </cell>
          <cell r="Y61">
            <v>5612.9</v>
          </cell>
          <cell r="AA61">
            <v>0</v>
          </cell>
          <cell r="AC61">
            <v>0</v>
          </cell>
          <cell r="AD61">
            <v>0</v>
          </cell>
        </row>
        <row r="62">
          <cell r="C62" t="str">
            <v>沈豪源</v>
          </cell>
          <cell r="D62">
            <v>43206</v>
          </cell>
          <cell r="E62">
            <v>0</v>
          </cell>
          <cell r="R62">
            <v>3500</v>
          </cell>
          <cell r="U62">
            <v>3500</v>
          </cell>
          <cell r="V62">
            <v>7000</v>
          </cell>
          <cell r="W62">
            <v>500</v>
          </cell>
          <cell r="Y62">
            <v>7500</v>
          </cell>
          <cell r="Z62">
            <v>7677.42</v>
          </cell>
          <cell r="AA62">
            <v>400</v>
          </cell>
          <cell r="AC62">
            <v>8077.42</v>
          </cell>
          <cell r="AD62">
            <v>0</v>
          </cell>
        </row>
        <row r="63">
          <cell r="C63" t="str">
            <v>汤真伟</v>
          </cell>
          <cell r="D63">
            <v>43207</v>
          </cell>
          <cell r="E63">
            <v>11000</v>
          </cell>
          <cell r="R63">
            <v>4666.67</v>
          </cell>
          <cell r="U63">
            <v>4666.67</v>
          </cell>
          <cell r="V63">
            <v>10000</v>
          </cell>
          <cell r="Y63">
            <v>10000</v>
          </cell>
          <cell r="Z63">
            <v>10000</v>
          </cell>
          <cell r="AA63">
            <v>0</v>
          </cell>
          <cell r="AC63">
            <v>10000</v>
          </cell>
          <cell r="AD63">
            <v>10516.130000000001</v>
          </cell>
        </row>
        <row r="64">
          <cell r="C64" t="str">
            <v>何艳艳</v>
          </cell>
          <cell r="D64">
            <v>43216</v>
          </cell>
          <cell r="E64">
            <v>0</v>
          </cell>
          <cell r="R64">
            <v>1666.67</v>
          </cell>
          <cell r="U64">
            <v>1666.67</v>
          </cell>
          <cell r="Y64">
            <v>0</v>
          </cell>
          <cell r="AA64">
            <v>0</v>
          </cell>
          <cell r="AC64">
            <v>0</v>
          </cell>
          <cell r="AD64">
            <v>0</v>
          </cell>
        </row>
        <row r="65">
          <cell r="C65" t="str">
            <v>张伟</v>
          </cell>
          <cell r="D65">
            <v>43287</v>
          </cell>
          <cell r="E65">
            <v>10000</v>
          </cell>
          <cell r="AA65">
            <v>0</v>
          </cell>
          <cell r="AD65">
            <v>8387.1</v>
          </cell>
        </row>
        <row r="66">
          <cell r="C66" t="str">
            <v>梁立硕</v>
          </cell>
          <cell r="D66">
            <v>43297</v>
          </cell>
          <cell r="E66">
            <v>5500</v>
          </cell>
          <cell r="AA66">
            <v>0</v>
          </cell>
          <cell r="AD66">
            <v>2838.71</v>
          </cell>
        </row>
        <row r="67">
          <cell r="C67" t="str">
            <v>叶玲燕</v>
          </cell>
          <cell r="D67">
            <v>43301</v>
          </cell>
          <cell r="E67">
            <v>5500</v>
          </cell>
          <cell r="AA67">
            <v>0</v>
          </cell>
          <cell r="AD67">
            <v>2129.0300000000002</v>
          </cell>
        </row>
        <row r="68">
          <cell r="C68" t="str">
            <v>钟欣彤</v>
          </cell>
          <cell r="D68">
            <v>41883</v>
          </cell>
          <cell r="E68">
            <v>9000</v>
          </cell>
          <cell r="F68">
            <v>8000</v>
          </cell>
          <cell r="G68">
            <v>7591</v>
          </cell>
          <cell r="I68">
            <v>15591</v>
          </cell>
          <cell r="J68">
            <v>8000</v>
          </cell>
          <cell r="K68">
            <v>2976</v>
          </cell>
          <cell r="M68">
            <v>10976</v>
          </cell>
          <cell r="N68">
            <v>9000</v>
          </cell>
          <cell r="O68">
            <v>9582</v>
          </cell>
          <cell r="Q68">
            <v>18582</v>
          </cell>
          <cell r="R68">
            <v>9000</v>
          </cell>
          <cell r="S68">
            <v>6590</v>
          </cell>
          <cell r="U68">
            <v>15590</v>
          </cell>
          <cell r="V68">
            <v>9000</v>
          </cell>
          <cell r="W68">
            <v>5960</v>
          </cell>
          <cell r="Y68">
            <v>14960</v>
          </cell>
          <cell r="Z68">
            <v>9000</v>
          </cell>
          <cell r="AA68">
            <v>22014.400000000001</v>
          </cell>
          <cell r="AC68">
            <v>31014.400000000001</v>
          </cell>
          <cell r="AD68">
            <v>15937.4</v>
          </cell>
        </row>
        <row r="69">
          <cell r="C69" t="str">
            <v>朱聪</v>
          </cell>
          <cell r="D69">
            <v>41988</v>
          </cell>
          <cell r="E69">
            <v>8000</v>
          </cell>
          <cell r="F69">
            <v>6500</v>
          </cell>
          <cell r="G69">
            <v>4622.5</v>
          </cell>
          <cell r="I69">
            <v>11122.5</v>
          </cell>
          <cell r="J69">
            <v>6500</v>
          </cell>
          <cell r="K69">
            <v>3030</v>
          </cell>
          <cell r="M69">
            <v>9530</v>
          </cell>
          <cell r="N69">
            <v>8000</v>
          </cell>
          <cell r="O69">
            <v>1700</v>
          </cell>
          <cell r="Q69">
            <v>9700</v>
          </cell>
          <cell r="R69">
            <v>8000</v>
          </cell>
          <cell r="S69">
            <v>1239.2</v>
          </cell>
          <cell r="U69">
            <v>9239.2000000000007</v>
          </cell>
          <cell r="V69">
            <v>8000</v>
          </cell>
          <cell r="W69">
            <v>3040</v>
          </cell>
          <cell r="Y69">
            <v>11040</v>
          </cell>
          <cell r="Z69">
            <v>7466.67</v>
          </cell>
          <cell r="AA69">
            <v>4798</v>
          </cell>
          <cell r="AC69">
            <v>12264.67</v>
          </cell>
          <cell r="AD69">
            <v>8516.1299999999992</v>
          </cell>
        </row>
        <row r="70">
          <cell r="C70" t="str">
            <v>裴春晓</v>
          </cell>
          <cell r="D70">
            <v>42039</v>
          </cell>
          <cell r="E70">
            <v>8000</v>
          </cell>
          <cell r="F70">
            <v>6500</v>
          </cell>
          <cell r="G70">
            <v>15053</v>
          </cell>
          <cell r="I70">
            <v>21553</v>
          </cell>
          <cell r="J70">
            <v>6500</v>
          </cell>
          <cell r="K70">
            <v>3568</v>
          </cell>
          <cell r="M70">
            <v>10068</v>
          </cell>
          <cell r="N70">
            <v>8000</v>
          </cell>
          <cell r="O70">
            <v>1092</v>
          </cell>
          <cell r="Q70">
            <v>9092</v>
          </cell>
          <cell r="R70">
            <v>7933.33</v>
          </cell>
          <cell r="S70">
            <v>2766</v>
          </cell>
          <cell r="U70">
            <v>10699.33</v>
          </cell>
          <cell r="V70">
            <v>7969.03</v>
          </cell>
          <cell r="Y70">
            <v>7969.03</v>
          </cell>
          <cell r="Z70">
            <v>7866.67</v>
          </cell>
          <cell r="AA70">
            <v>13552</v>
          </cell>
          <cell r="AC70">
            <v>21418.67</v>
          </cell>
          <cell r="AD70">
            <v>8000</v>
          </cell>
        </row>
        <row r="71">
          <cell r="C71" t="str">
            <v xml:space="preserve">唐榕涛   </v>
          </cell>
          <cell r="D71">
            <v>42182</v>
          </cell>
          <cell r="E71">
            <v>0</v>
          </cell>
          <cell r="F71">
            <v>6000</v>
          </cell>
          <cell r="G71">
            <v>455</v>
          </cell>
          <cell r="I71">
            <v>6455</v>
          </cell>
          <cell r="J71">
            <v>6000</v>
          </cell>
          <cell r="K71">
            <v>2050</v>
          </cell>
          <cell r="M71">
            <v>8050</v>
          </cell>
          <cell r="N71">
            <v>5419.3548387096798</v>
          </cell>
          <cell r="O71">
            <v>400</v>
          </cell>
          <cell r="Q71">
            <v>5819.3548387096798</v>
          </cell>
          <cell r="U71">
            <v>0</v>
          </cell>
          <cell r="Y71">
            <v>0</v>
          </cell>
          <cell r="AA71">
            <v>0</v>
          </cell>
          <cell r="AC71">
            <v>0</v>
          </cell>
          <cell r="AD71">
            <v>0</v>
          </cell>
        </row>
        <row r="72">
          <cell r="C72" t="str">
            <v>刘乐俐</v>
          </cell>
          <cell r="D72">
            <v>42145</v>
          </cell>
          <cell r="E72">
            <v>0</v>
          </cell>
          <cell r="F72">
            <v>6000</v>
          </cell>
          <cell r="G72">
            <v>3500</v>
          </cell>
          <cell r="I72">
            <v>9500</v>
          </cell>
          <cell r="J72">
            <v>6000</v>
          </cell>
          <cell r="M72">
            <v>6000</v>
          </cell>
          <cell r="N72">
            <v>1161.2903225806499</v>
          </cell>
          <cell r="Q72">
            <v>1161.2903225806499</v>
          </cell>
          <cell r="U72">
            <v>0</v>
          </cell>
          <cell r="Y72">
            <v>0</v>
          </cell>
          <cell r="AA72">
            <v>0</v>
          </cell>
          <cell r="AC72">
            <v>0</v>
          </cell>
          <cell r="AD72">
            <v>0</v>
          </cell>
        </row>
        <row r="73">
          <cell r="C73" t="str">
            <v>林醒霞</v>
          </cell>
          <cell r="D73">
            <v>42451</v>
          </cell>
          <cell r="E73">
            <v>6000</v>
          </cell>
          <cell r="F73">
            <v>5976.77</v>
          </cell>
          <cell r="G73">
            <v>1499</v>
          </cell>
          <cell r="I73">
            <v>7475.77</v>
          </cell>
          <cell r="J73">
            <v>6000</v>
          </cell>
          <cell r="K73">
            <v>326</v>
          </cell>
          <cell r="M73">
            <v>6326</v>
          </cell>
          <cell r="N73">
            <v>6000</v>
          </cell>
          <cell r="O73">
            <v>2184</v>
          </cell>
          <cell r="Q73">
            <v>8184</v>
          </cell>
          <cell r="R73">
            <v>6000</v>
          </cell>
          <cell r="S73">
            <v>1398.8</v>
          </cell>
          <cell r="U73">
            <v>7398.8</v>
          </cell>
          <cell r="V73">
            <v>6000</v>
          </cell>
          <cell r="W73">
            <v>858</v>
          </cell>
          <cell r="Y73">
            <v>6858</v>
          </cell>
          <cell r="Z73">
            <v>6000</v>
          </cell>
          <cell r="AA73">
            <v>2095.58</v>
          </cell>
          <cell r="AC73">
            <v>8095.58</v>
          </cell>
          <cell r="AD73">
            <v>6000</v>
          </cell>
        </row>
        <row r="74">
          <cell r="C74" t="str">
            <v>廖嘉宜</v>
          </cell>
          <cell r="D74">
            <v>42446</v>
          </cell>
          <cell r="E74">
            <v>7000</v>
          </cell>
          <cell r="F74">
            <v>5366.94</v>
          </cell>
          <cell r="I74">
            <v>5366.94</v>
          </cell>
          <cell r="J74">
            <v>5500</v>
          </cell>
          <cell r="K74">
            <v>2100</v>
          </cell>
          <cell r="M74">
            <v>7600</v>
          </cell>
          <cell r="N74">
            <v>7000</v>
          </cell>
          <cell r="O74">
            <v>2920</v>
          </cell>
          <cell r="Q74">
            <v>9920</v>
          </cell>
          <cell r="R74">
            <v>7000</v>
          </cell>
          <cell r="S74">
            <v>3162.8</v>
          </cell>
          <cell r="U74">
            <v>10162.799999999999</v>
          </cell>
          <cell r="V74">
            <v>6954.84</v>
          </cell>
          <cell r="Y74">
            <v>6954.84</v>
          </cell>
          <cell r="Z74">
            <v>7000</v>
          </cell>
          <cell r="AA74">
            <v>4214</v>
          </cell>
          <cell r="AC74">
            <v>11214</v>
          </cell>
          <cell r="AD74">
            <v>7000</v>
          </cell>
        </row>
        <row r="75">
          <cell r="C75" t="str">
            <v>周智萍</v>
          </cell>
          <cell r="D75">
            <v>42650</v>
          </cell>
          <cell r="E75">
            <v>10000</v>
          </cell>
          <cell r="F75">
            <v>5500</v>
          </cell>
          <cell r="G75">
            <v>1274</v>
          </cell>
          <cell r="I75">
            <v>6774</v>
          </cell>
          <cell r="J75">
            <v>5500</v>
          </cell>
          <cell r="K75">
            <v>2400</v>
          </cell>
          <cell r="M75">
            <v>7900</v>
          </cell>
          <cell r="N75">
            <v>7500</v>
          </cell>
          <cell r="O75">
            <v>8318</v>
          </cell>
          <cell r="Q75">
            <v>15818</v>
          </cell>
          <cell r="R75">
            <v>12460</v>
          </cell>
          <cell r="S75">
            <v>3225.8</v>
          </cell>
          <cell r="U75">
            <v>15685.8</v>
          </cell>
          <cell r="V75">
            <v>10000</v>
          </cell>
          <cell r="W75">
            <v>600</v>
          </cell>
          <cell r="Y75">
            <v>10600</v>
          </cell>
          <cell r="Z75">
            <v>9666.67</v>
          </cell>
          <cell r="AA75">
            <v>10718</v>
          </cell>
          <cell r="AC75">
            <v>20384.669999999998</v>
          </cell>
          <cell r="AD75">
            <v>10322.58</v>
          </cell>
        </row>
        <row r="76">
          <cell r="C76" t="str">
            <v>韦仕荣</v>
          </cell>
          <cell r="D76">
            <v>42823</v>
          </cell>
          <cell r="E76">
            <v>5500</v>
          </cell>
          <cell r="F76">
            <v>5500</v>
          </cell>
          <cell r="G76">
            <v>2000</v>
          </cell>
          <cell r="I76">
            <v>7500</v>
          </cell>
          <cell r="J76">
            <v>5500</v>
          </cell>
          <cell r="K76">
            <v>2700</v>
          </cell>
          <cell r="M76">
            <v>8200</v>
          </cell>
          <cell r="N76">
            <v>5500</v>
          </cell>
          <cell r="O76">
            <v>8090</v>
          </cell>
          <cell r="Q76">
            <v>13590</v>
          </cell>
          <cell r="R76">
            <v>5500</v>
          </cell>
          <cell r="S76">
            <v>800</v>
          </cell>
          <cell r="U76">
            <v>6300</v>
          </cell>
          <cell r="V76">
            <v>5500</v>
          </cell>
          <cell r="W76">
            <v>200</v>
          </cell>
          <cell r="Y76">
            <v>5700</v>
          </cell>
          <cell r="Z76">
            <v>5316.67</v>
          </cell>
          <cell r="AA76">
            <v>0</v>
          </cell>
          <cell r="AC76">
            <v>5316.67</v>
          </cell>
          <cell r="AD76">
            <v>5322.58</v>
          </cell>
        </row>
        <row r="77">
          <cell r="C77" t="str">
            <v>张宏湖</v>
          </cell>
          <cell r="D77">
            <v>42521</v>
          </cell>
          <cell r="E77">
            <v>0</v>
          </cell>
          <cell r="F77">
            <v>5500</v>
          </cell>
          <cell r="I77">
            <v>5500</v>
          </cell>
          <cell r="J77">
            <v>5500</v>
          </cell>
          <cell r="K77">
            <v>1500</v>
          </cell>
          <cell r="M77">
            <v>7000</v>
          </cell>
          <cell r="N77">
            <v>5500</v>
          </cell>
          <cell r="O77">
            <v>400</v>
          </cell>
          <cell r="Q77">
            <v>5900</v>
          </cell>
          <cell r="R77">
            <v>733.33</v>
          </cell>
          <cell r="U77">
            <v>733.33</v>
          </cell>
          <cell r="Y77">
            <v>0</v>
          </cell>
          <cell r="AA77">
            <v>0</v>
          </cell>
          <cell r="AC77">
            <v>0</v>
          </cell>
          <cell r="AD77">
            <v>0</v>
          </cell>
        </row>
        <row r="78">
          <cell r="C78" t="str">
            <v>陈海静</v>
          </cell>
          <cell r="D78">
            <v>43178</v>
          </cell>
          <cell r="E78">
            <v>9000</v>
          </cell>
          <cell r="N78">
            <v>3354.83870967742</v>
          </cell>
          <cell r="Q78">
            <v>3354.83870967742</v>
          </cell>
          <cell r="R78">
            <v>7200</v>
          </cell>
          <cell r="U78">
            <v>7200</v>
          </cell>
          <cell r="V78">
            <v>8000</v>
          </cell>
          <cell r="W78">
            <v>400</v>
          </cell>
          <cell r="Y78">
            <v>8400</v>
          </cell>
          <cell r="Z78">
            <v>8433.33</v>
          </cell>
          <cell r="AA78">
            <v>0</v>
          </cell>
          <cell r="AC78">
            <v>8433.33</v>
          </cell>
          <cell r="AD78">
            <v>9000</v>
          </cell>
        </row>
        <row r="79">
          <cell r="C79" t="str">
            <v>孟楠楠</v>
          </cell>
          <cell r="D79">
            <v>43199</v>
          </cell>
          <cell r="E79">
            <v>5500</v>
          </cell>
          <cell r="R79">
            <v>4033.33</v>
          </cell>
          <cell r="S79">
            <v>350</v>
          </cell>
          <cell r="U79">
            <v>4383.33</v>
          </cell>
          <cell r="V79">
            <v>5154.9399999999996</v>
          </cell>
          <cell r="W79">
            <v>200</v>
          </cell>
          <cell r="Y79">
            <v>5354.94</v>
          </cell>
          <cell r="Z79">
            <v>5184.67</v>
          </cell>
          <cell r="AA79">
            <v>9240</v>
          </cell>
          <cell r="AC79">
            <v>14424.67</v>
          </cell>
          <cell r="AD79">
            <v>2750</v>
          </cell>
        </row>
        <row r="80">
          <cell r="C80" t="str">
            <v>周茜</v>
          </cell>
          <cell r="D80">
            <v>43214</v>
          </cell>
          <cell r="E80">
            <v>0</v>
          </cell>
          <cell r="R80">
            <v>1283.33</v>
          </cell>
          <cell r="U80">
            <v>1283.33</v>
          </cell>
          <cell r="V80">
            <v>5322.58</v>
          </cell>
          <cell r="Y80">
            <v>5322.58</v>
          </cell>
          <cell r="Z80">
            <v>1650</v>
          </cell>
          <cell r="AA80">
            <v>0</v>
          </cell>
          <cell r="AC80">
            <v>1650</v>
          </cell>
          <cell r="AD80">
            <v>0</v>
          </cell>
        </row>
        <row r="81">
          <cell r="C81" t="str">
            <v>高文远</v>
          </cell>
          <cell r="D81">
            <v>43279</v>
          </cell>
          <cell r="E81">
            <v>6000</v>
          </cell>
          <cell r="Z81">
            <v>600</v>
          </cell>
          <cell r="AA81">
            <v>0</v>
          </cell>
          <cell r="AC81">
            <v>600</v>
          </cell>
          <cell r="AD81">
            <v>5903.23</v>
          </cell>
        </row>
        <row r="82">
          <cell r="C82" t="str">
            <v>杨飞</v>
          </cell>
          <cell r="D82">
            <v>43273</v>
          </cell>
          <cell r="E82">
            <v>0</v>
          </cell>
          <cell r="Z82">
            <v>833.33</v>
          </cell>
          <cell r="AA82">
            <v>0</v>
          </cell>
          <cell r="AC82">
            <v>833.33</v>
          </cell>
          <cell r="AD82">
            <v>0</v>
          </cell>
        </row>
        <row r="83">
          <cell r="C83" t="str">
            <v>林少茵</v>
          </cell>
          <cell r="D83">
            <v>43255</v>
          </cell>
          <cell r="E83">
            <v>0</v>
          </cell>
          <cell r="Z83">
            <v>3666.67</v>
          </cell>
          <cell r="AA83">
            <v>0</v>
          </cell>
          <cell r="AC83">
            <v>3666.67</v>
          </cell>
          <cell r="AD83">
            <v>0</v>
          </cell>
        </row>
        <row r="84">
          <cell r="C84" t="str">
            <v>何志容</v>
          </cell>
          <cell r="D84">
            <v>43207</v>
          </cell>
          <cell r="E84">
            <v>0</v>
          </cell>
          <cell r="R84">
            <v>1833.33</v>
          </cell>
          <cell r="U84">
            <v>1833.33</v>
          </cell>
          <cell r="Y84">
            <v>0</v>
          </cell>
          <cell r="AA84">
            <v>0</v>
          </cell>
          <cell r="AC84">
            <v>0</v>
          </cell>
          <cell r="AD84">
            <v>0</v>
          </cell>
        </row>
        <row r="85">
          <cell r="C85" t="str">
            <v>曾雪连</v>
          </cell>
          <cell r="D85">
            <v>43283</v>
          </cell>
          <cell r="E85">
            <v>5500</v>
          </cell>
          <cell r="AA85">
            <v>0</v>
          </cell>
          <cell r="AD85">
            <v>1596.77</v>
          </cell>
        </row>
        <row r="86">
          <cell r="C86" t="str">
            <v>赖慧愈</v>
          </cell>
          <cell r="D86">
            <v>43283</v>
          </cell>
          <cell r="E86">
            <v>7000</v>
          </cell>
          <cell r="AA86">
            <v>0</v>
          </cell>
          <cell r="AD86">
            <v>903.23</v>
          </cell>
        </row>
        <row r="87">
          <cell r="C87" t="str">
            <v>刘静</v>
          </cell>
          <cell r="D87">
            <v>43300</v>
          </cell>
          <cell r="E87">
            <v>5000</v>
          </cell>
          <cell r="AA87">
            <v>0</v>
          </cell>
          <cell r="AD87">
            <v>2096.77</v>
          </cell>
        </row>
        <row r="88">
          <cell r="C88" t="str">
            <v>李果太</v>
          </cell>
          <cell r="D88">
            <v>43300</v>
          </cell>
          <cell r="E88">
            <v>5000</v>
          </cell>
          <cell r="AA88">
            <v>0</v>
          </cell>
          <cell r="AD88">
            <v>2096.77</v>
          </cell>
        </row>
        <row r="89">
          <cell r="C89" t="str">
            <v>张贺宣</v>
          </cell>
          <cell r="D89">
            <v>43300</v>
          </cell>
          <cell r="E89">
            <v>5000</v>
          </cell>
          <cell r="AA89">
            <v>0</v>
          </cell>
          <cell r="AD89">
            <v>2096.77</v>
          </cell>
        </row>
        <row r="90">
          <cell r="C90" t="str">
            <v>王铭</v>
          </cell>
          <cell r="D90">
            <v>43308</v>
          </cell>
          <cell r="E90">
            <v>5000</v>
          </cell>
          <cell r="AA90">
            <v>0</v>
          </cell>
          <cell r="AD90">
            <v>806.45</v>
          </cell>
        </row>
        <row r="91">
          <cell r="C91" t="str">
            <v>覃恩侨</v>
          </cell>
          <cell r="D91">
            <v>43218</v>
          </cell>
          <cell r="E91">
            <v>35000</v>
          </cell>
          <cell r="R91">
            <v>3500</v>
          </cell>
          <cell r="U91">
            <v>3500</v>
          </cell>
          <cell r="V91">
            <v>35000</v>
          </cell>
          <cell r="Y91">
            <v>35000</v>
          </cell>
          <cell r="Z91">
            <v>35000</v>
          </cell>
          <cell r="AA91">
            <v>0</v>
          </cell>
          <cell r="AC91">
            <v>35000</v>
          </cell>
          <cell r="AD91">
            <v>19000</v>
          </cell>
        </row>
        <row r="92">
          <cell r="C92" t="str">
            <v>李志萍</v>
          </cell>
          <cell r="D92">
            <v>42430</v>
          </cell>
          <cell r="E92">
            <v>20000</v>
          </cell>
          <cell r="F92">
            <v>20000</v>
          </cell>
          <cell r="G92">
            <v>480.9</v>
          </cell>
          <cell r="I92">
            <v>20480.900000000001</v>
          </cell>
          <cell r="J92">
            <v>20000</v>
          </cell>
          <cell r="K92">
            <v>97.8</v>
          </cell>
          <cell r="M92">
            <v>20097.8</v>
          </cell>
          <cell r="N92">
            <v>20000</v>
          </cell>
          <cell r="O92">
            <v>148.80000000000001</v>
          </cell>
          <cell r="Q92">
            <v>20148.8</v>
          </cell>
          <cell r="R92">
            <v>20000</v>
          </cell>
          <cell r="S92">
            <v>270.54000000000002</v>
          </cell>
          <cell r="U92">
            <v>20270.54</v>
          </cell>
          <cell r="V92">
            <v>20000</v>
          </cell>
          <cell r="W92">
            <v>137.4</v>
          </cell>
          <cell r="Y92">
            <v>20137.400000000001</v>
          </cell>
          <cell r="Z92">
            <v>21279</v>
          </cell>
          <cell r="AA92">
            <v>504</v>
          </cell>
          <cell r="AC92">
            <v>21783</v>
          </cell>
          <cell r="AD92">
            <v>20000</v>
          </cell>
        </row>
        <row r="93">
          <cell r="C93" t="str">
            <v>李景秋</v>
          </cell>
          <cell r="D93">
            <v>43272</v>
          </cell>
          <cell r="E93">
            <v>17000</v>
          </cell>
          <cell r="Z93">
            <v>5666.67</v>
          </cell>
          <cell r="AA93">
            <v>0</v>
          </cell>
          <cell r="AC93">
            <v>5666.67</v>
          </cell>
          <cell r="AD93">
            <v>15000</v>
          </cell>
        </row>
        <row r="94">
          <cell r="C94" t="str">
            <v>马曼璇</v>
          </cell>
          <cell r="D94">
            <v>41975</v>
          </cell>
          <cell r="E94">
            <v>8000</v>
          </cell>
          <cell r="F94">
            <v>8500</v>
          </cell>
          <cell r="G94">
            <v>480.9</v>
          </cell>
          <cell r="I94">
            <v>8980.9</v>
          </cell>
          <cell r="J94">
            <v>8500</v>
          </cell>
          <cell r="K94">
            <v>97.8</v>
          </cell>
          <cell r="M94">
            <v>8597.7999999999993</v>
          </cell>
          <cell r="N94">
            <v>8500</v>
          </cell>
          <cell r="O94">
            <v>548.79999999999995</v>
          </cell>
          <cell r="Q94">
            <v>9048.7999999999993</v>
          </cell>
          <cell r="R94">
            <v>8416</v>
          </cell>
          <cell r="S94">
            <v>270.54000000000002</v>
          </cell>
          <cell r="U94">
            <v>8686.5400000000009</v>
          </cell>
          <cell r="V94">
            <v>8000</v>
          </cell>
          <cell r="W94">
            <v>137.4</v>
          </cell>
          <cell r="Y94">
            <v>8137.4</v>
          </cell>
          <cell r="Z94">
            <v>8000</v>
          </cell>
          <cell r="AA94">
            <v>504</v>
          </cell>
          <cell r="AC94">
            <v>8504</v>
          </cell>
          <cell r="AD94">
            <v>8000</v>
          </cell>
        </row>
        <row r="95">
          <cell r="C95" t="str">
            <v>杨玉梅</v>
          </cell>
          <cell r="D95">
            <v>42178</v>
          </cell>
          <cell r="E95">
            <v>10000</v>
          </cell>
          <cell r="F95">
            <v>7000</v>
          </cell>
          <cell r="I95">
            <v>7000</v>
          </cell>
          <cell r="J95">
            <v>7000</v>
          </cell>
          <cell r="M95">
            <v>7000</v>
          </cell>
          <cell r="N95">
            <v>7000</v>
          </cell>
          <cell r="Q95">
            <v>7000</v>
          </cell>
          <cell r="R95">
            <v>7100</v>
          </cell>
          <cell r="S95">
            <v>270.54000000000002</v>
          </cell>
          <cell r="U95">
            <v>7370.54</v>
          </cell>
          <cell r="V95">
            <v>8000</v>
          </cell>
          <cell r="W95">
            <v>137.4</v>
          </cell>
          <cell r="Y95">
            <v>8137.4</v>
          </cell>
          <cell r="Z95">
            <v>8000</v>
          </cell>
          <cell r="AA95">
            <v>504</v>
          </cell>
          <cell r="AC95">
            <v>8504</v>
          </cell>
          <cell r="AD95">
            <v>9961.2800000000007</v>
          </cell>
        </row>
        <row r="96">
          <cell r="C96" t="str">
            <v>游丹</v>
          </cell>
          <cell r="D96">
            <v>42712</v>
          </cell>
          <cell r="E96">
            <v>6000</v>
          </cell>
          <cell r="F96">
            <v>6500</v>
          </cell>
          <cell r="G96">
            <v>780.9</v>
          </cell>
          <cell r="I96">
            <v>7280.9</v>
          </cell>
          <cell r="J96">
            <v>6500</v>
          </cell>
          <cell r="K96">
            <v>97.8</v>
          </cell>
          <cell r="M96">
            <v>6597.8</v>
          </cell>
          <cell r="N96">
            <v>6500</v>
          </cell>
          <cell r="O96">
            <v>148.80000000000001</v>
          </cell>
          <cell r="Q96">
            <v>6648.8</v>
          </cell>
          <cell r="R96">
            <v>6450</v>
          </cell>
          <cell r="S96">
            <v>670.54</v>
          </cell>
          <cell r="U96">
            <v>7120.54</v>
          </cell>
          <cell r="V96">
            <v>6000</v>
          </cell>
          <cell r="W96">
            <v>137.4</v>
          </cell>
          <cell r="Y96">
            <v>6137.4</v>
          </cell>
          <cell r="Z96">
            <v>6000</v>
          </cell>
          <cell r="AA96">
            <v>504</v>
          </cell>
          <cell r="AC96">
            <v>6504</v>
          </cell>
          <cell r="AD96">
            <v>3870.97</v>
          </cell>
        </row>
        <row r="97">
          <cell r="C97" t="str">
            <v>覃芳龄</v>
          </cell>
          <cell r="D97">
            <v>43286</v>
          </cell>
          <cell r="E97">
            <v>6000</v>
          </cell>
          <cell r="AA97">
            <v>0</v>
          </cell>
          <cell r="AD97">
            <v>5225.8100000000004</v>
          </cell>
        </row>
        <row r="98">
          <cell r="C98" t="str">
            <v>聂芬</v>
          </cell>
          <cell r="D98">
            <v>43291</v>
          </cell>
          <cell r="E98">
            <v>5500</v>
          </cell>
          <cell r="AA98">
            <v>0</v>
          </cell>
          <cell r="AD98">
            <v>3725.81</v>
          </cell>
        </row>
        <row r="99">
          <cell r="C99" t="str">
            <v>詹杰龙</v>
          </cell>
          <cell r="D99">
            <v>41923</v>
          </cell>
          <cell r="E99">
            <v>8000</v>
          </cell>
          <cell r="F99">
            <v>7500</v>
          </cell>
          <cell r="G99">
            <v>1603</v>
          </cell>
          <cell r="I99">
            <v>9103</v>
          </cell>
          <cell r="J99">
            <v>7500</v>
          </cell>
          <cell r="K99">
            <v>326</v>
          </cell>
          <cell r="M99">
            <v>7826</v>
          </cell>
          <cell r="N99">
            <v>8000</v>
          </cell>
          <cell r="O99">
            <v>1496</v>
          </cell>
          <cell r="Q99">
            <v>9496</v>
          </cell>
          <cell r="R99">
            <v>8000</v>
          </cell>
          <cell r="S99">
            <v>1301.8</v>
          </cell>
          <cell r="U99">
            <v>9301.7999999999993</v>
          </cell>
          <cell r="V99">
            <v>8000</v>
          </cell>
          <cell r="W99">
            <v>858</v>
          </cell>
          <cell r="Y99">
            <v>8858</v>
          </cell>
          <cell r="Z99">
            <v>8000</v>
          </cell>
          <cell r="AA99">
            <v>1680</v>
          </cell>
          <cell r="AC99">
            <v>9680</v>
          </cell>
          <cell r="AD99">
            <v>8000</v>
          </cell>
        </row>
        <row r="100">
          <cell r="C100" t="str">
            <v>徐文强</v>
          </cell>
          <cell r="D100">
            <v>42004</v>
          </cell>
          <cell r="E100">
            <v>10000</v>
          </cell>
          <cell r="F100">
            <v>8000</v>
          </cell>
          <cell r="G100">
            <v>1923.6</v>
          </cell>
          <cell r="I100">
            <v>9923.6</v>
          </cell>
          <cell r="J100">
            <v>8000</v>
          </cell>
          <cell r="K100">
            <v>391.2</v>
          </cell>
          <cell r="M100">
            <v>8391.2000000000007</v>
          </cell>
          <cell r="N100">
            <v>10000</v>
          </cell>
          <cell r="O100">
            <v>1395.2</v>
          </cell>
          <cell r="Q100">
            <v>11395.2</v>
          </cell>
          <cell r="R100">
            <v>10000</v>
          </cell>
          <cell r="S100">
            <v>1482.16</v>
          </cell>
          <cell r="U100">
            <v>11482.16</v>
          </cell>
          <cell r="V100">
            <v>10000</v>
          </cell>
          <cell r="W100">
            <v>549.6</v>
          </cell>
          <cell r="Y100">
            <v>10549.6</v>
          </cell>
          <cell r="Z100">
            <v>10000</v>
          </cell>
          <cell r="AA100">
            <v>2416</v>
          </cell>
          <cell r="AC100">
            <v>12416</v>
          </cell>
          <cell r="AD100">
            <v>10000</v>
          </cell>
        </row>
        <row r="101">
          <cell r="C101" t="str">
            <v>钟深连</v>
          </cell>
          <cell r="D101">
            <v>42562</v>
          </cell>
          <cell r="E101">
            <v>7000</v>
          </cell>
          <cell r="F101">
            <v>6000</v>
          </cell>
          <cell r="G101">
            <v>800</v>
          </cell>
          <cell r="I101">
            <v>6800</v>
          </cell>
          <cell r="J101">
            <v>6000</v>
          </cell>
          <cell r="M101">
            <v>6000</v>
          </cell>
          <cell r="N101">
            <v>7000</v>
          </cell>
          <cell r="O101">
            <v>800</v>
          </cell>
          <cell r="Q101">
            <v>7800</v>
          </cell>
          <cell r="R101">
            <v>7000</v>
          </cell>
          <cell r="S101">
            <v>800</v>
          </cell>
          <cell r="U101">
            <v>7800</v>
          </cell>
          <cell r="V101">
            <v>6774.19</v>
          </cell>
          <cell r="Y101">
            <v>6774.19</v>
          </cell>
          <cell r="Z101">
            <v>7000</v>
          </cell>
          <cell r="AA101">
            <v>0</v>
          </cell>
          <cell r="AC101">
            <v>7000</v>
          </cell>
          <cell r="AD101">
            <v>6977.42</v>
          </cell>
        </row>
        <row r="102">
          <cell r="C102" t="str">
            <v>王小芳</v>
          </cell>
          <cell r="D102">
            <v>42772</v>
          </cell>
          <cell r="E102">
            <v>6000</v>
          </cell>
          <cell r="F102">
            <v>6000</v>
          </cell>
          <cell r="G102">
            <v>300</v>
          </cell>
          <cell r="I102">
            <v>6300</v>
          </cell>
          <cell r="J102">
            <v>6000</v>
          </cell>
          <cell r="M102">
            <v>6000</v>
          </cell>
          <cell r="N102">
            <v>6000</v>
          </cell>
          <cell r="O102">
            <v>800</v>
          </cell>
          <cell r="Q102">
            <v>6800</v>
          </cell>
          <cell r="R102">
            <v>6000</v>
          </cell>
          <cell r="S102">
            <v>400</v>
          </cell>
          <cell r="U102">
            <v>6400</v>
          </cell>
          <cell r="V102">
            <v>6000</v>
          </cell>
          <cell r="Y102">
            <v>6000</v>
          </cell>
          <cell r="Z102">
            <v>6000</v>
          </cell>
          <cell r="AA102">
            <v>800</v>
          </cell>
          <cell r="AC102">
            <v>6800</v>
          </cell>
          <cell r="AD102">
            <v>6000</v>
          </cell>
        </row>
        <row r="103">
          <cell r="C103" t="str">
            <v>胡克华</v>
          </cell>
          <cell r="D103">
            <v>42129</v>
          </cell>
          <cell r="E103">
            <v>25000</v>
          </cell>
          <cell r="F103">
            <v>20000</v>
          </cell>
          <cell r="G103">
            <v>37306</v>
          </cell>
          <cell r="I103">
            <v>57306</v>
          </cell>
          <cell r="J103">
            <v>20000</v>
          </cell>
          <cell r="K103">
            <v>2778</v>
          </cell>
          <cell r="M103">
            <v>22778</v>
          </cell>
          <cell r="N103">
            <v>20000</v>
          </cell>
          <cell r="O103">
            <v>7202</v>
          </cell>
          <cell r="Q103">
            <v>27202</v>
          </cell>
          <cell r="R103">
            <v>20000</v>
          </cell>
          <cell r="S103">
            <v>6194.4</v>
          </cell>
          <cell r="U103">
            <v>26194.400000000001</v>
          </cell>
          <cell r="V103">
            <v>20000</v>
          </cell>
          <cell r="Y103">
            <v>20000</v>
          </cell>
          <cell r="Z103">
            <v>20029</v>
          </cell>
          <cell r="AA103">
            <v>52083.4</v>
          </cell>
          <cell r="AC103">
            <v>72112.399999999994</v>
          </cell>
          <cell r="AD103">
            <v>20000</v>
          </cell>
        </row>
        <row r="104">
          <cell r="C104" t="str">
            <v>胡蓉</v>
          </cell>
          <cell r="D104">
            <v>42801</v>
          </cell>
          <cell r="E104">
            <v>10000</v>
          </cell>
          <cell r="F104">
            <v>7000</v>
          </cell>
          <cell r="I104">
            <v>7000</v>
          </cell>
          <cell r="J104">
            <v>7000</v>
          </cell>
          <cell r="M104">
            <v>7000</v>
          </cell>
          <cell r="N104">
            <v>10000</v>
          </cell>
          <cell r="P104">
            <v>900</v>
          </cell>
          <cell r="Q104">
            <v>10900</v>
          </cell>
          <cell r="R104">
            <v>10000</v>
          </cell>
          <cell r="U104">
            <v>10000</v>
          </cell>
          <cell r="V104">
            <v>11650</v>
          </cell>
          <cell r="Y104">
            <v>11650</v>
          </cell>
          <cell r="Z104">
            <v>11500</v>
          </cell>
          <cell r="AA104">
            <v>0</v>
          </cell>
          <cell r="AC104">
            <v>11500</v>
          </cell>
          <cell r="AD104">
            <v>12327.42</v>
          </cell>
        </row>
        <row r="105">
          <cell r="C105" t="str">
            <v>吴诗曼</v>
          </cell>
          <cell r="D105">
            <v>42815</v>
          </cell>
          <cell r="E105">
            <v>8000</v>
          </cell>
          <cell r="F105">
            <v>5500</v>
          </cell>
          <cell r="I105">
            <v>5500</v>
          </cell>
          <cell r="J105">
            <v>5500</v>
          </cell>
          <cell r="M105">
            <v>5500</v>
          </cell>
          <cell r="N105">
            <v>7969.0322580645197</v>
          </cell>
          <cell r="P105">
            <v>900</v>
          </cell>
          <cell r="Q105">
            <v>8869.0322580645188</v>
          </cell>
          <cell r="R105">
            <v>8000</v>
          </cell>
          <cell r="U105">
            <v>8000</v>
          </cell>
          <cell r="V105">
            <v>9650</v>
          </cell>
          <cell r="Y105">
            <v>9650</v>
          </cell>
          <cell r="Z105">
            <v>9500</v>
          </cell>
          <cell r="AA105">
            <v>0</v>
          </cell>
          <cell r="AC105">
            <v>9500</v>
          </cell>
          <cell r="AD105">
            <v>10650</v>
          </cell>
        </row>
        <row r="106">
          <cell r="C106" t="str">
            <v>陈思奇</v>
          </cell>
          <cell r="D106">
            <v>43283</v>
          </cell>
          <cell r="E106">
            <v>5500</v>
          </cell>
          <cell r="AA106">
            <v>0</v>
          </cell>
          <cell r="AD106">
            <v>887.1</v>
          </cell>
        </row>
        <row r="107">
          <cell r="C107" t="str">
            <v>罗思洁</v>
          </cell>
          <cell r="D107">
            <v>43292</v>
          </cell>
          <cell r="E107">
            <v>6000</v>
          </cell>
          <cell r="AA107">
            <v>0</v>
          </cell>
          <cell r="AD107">
            <v>3967.74</v>
          </cell>
        </row>
        <row r="108">
          <cell r="C108" t="str">
            <v>温东岳</v>
          </cell>
          <cell r="D108">
            <v>42417</v>
          </cell>
          <cell r="E108">
            <v>23000</v>
          </cell>
          <cell r="F108">
            <v>22000</v>
          </cell>
          <cell r="I108">
            <v>22000</v>
          </cell>
          <cell r="J108">
            <v>22000</v>
          </cell>
          <cell r="M108">
            <v>22000</v>
          </cell>
          <cell r="N108">
            <v>23000</v>
          </cell>
          <cell r="Q108">
            <v>23000</v>
          </cell>
          <cell r="R108">
            <v>23000</v>
          </cell>
          <cell r="U108">
            <v>23000</v>
          </cell>
          <cell r="V108">
            <v>23000</v>
          </cell>
          <cell r="Y108">
            <v>23000</v>
          </cell>
          <cell r="Z108">
            <v>23000</v>
          </cell>
          <cell r="AA108">
            <v>0</v>
          </cell>
          <cell r="AC108">
            <v>23000</v>
          </cell>
          <cell r="AD108">
            <v>13000</v>
          </cell>
        </row>
        <row r="109">
          <cell r="C109" t="str">
            <v>赵泽辉</v>
          </cell>
          <cell r="D109">
            <v>42417</v>
          </cell>
          <cell r="E109">
            <v>19000</v>
          </cell>
          <cell r="F109">
            <v>16862.900000000001</v>
          </cell>
          <cell r="I109">
            <v>16862.900000000001</v>
          </cell>
          <cell r="J109">
            <v>17000</v>
          </cell>
          <cell r="M109">
            <v>17000</v>
          </cell>
          <cell r="N109">
            <v>19000</v>
          </cell>
          <cell r="Q109">
            <v>19000</v>
          </cell>
          <cell r="R109">
            <v>19000</v>
          </cell>
          <cell r="U109">
            <v>19000</v>
          </cell>
          <cell r="V109">
            <v>19000</v>
          </cell>
          <cell r="Y109">
            <v>19000</v>
          </cell>
          <cell r="Z109">
            <v>19000</v>
          </cell>
          <cell r="AA109">
            <v>0</v>
          </cell>
          <cell r="AC109">
            <v>19000</v>
          </cell>
          <cell r="AD109">
            <v>14000</v>
          </cell>
        </row>
        <row r="110">
          <cell r="C110" t="str">
            <v>洪雪鹏</v>
          </cell>
          <cell r="D110">
            <v>42446</v>
          </cell>
          <cell r="E110">
            <v>0</v>
          </cell>
          <cell r="F110">
            <v>10000</v>
          </cell>
          <cell r="I110">
            <v>10000</v>
          </cell>
          <cell r="J110">
            <v>10000</v>
          </cell>
          <cell r="M110">
            <v>10000</v>
          </cell>
          <cell r="N110">
            <v>2903.22580645161</v>
          </cell>
          <cell r="Q110">
            <v>2903.22580645161</v>
          </cell>
          <cell r="U110">
            <v>0</v>
          </cell>
          <cell r="Y110">
            <v>0</v>
          </cell>
          <cell r="AA110">
            <v>0</v>
          </cell>
          <cell r="AC110">
            <v>0</v>
          </cell>
          <cell r="AD110">
            <v>0</v>
          </cell>
        </row>
        <row r="111">
          <cell r="C111" t="str">
            <v>王魁</v>
          </cell>
          <cell r="D111">
            <v>42565</v>
          </cell>
          <cell r="E111">
            <v>0</v>
          </cell>
          <cell r="F111">
            <v>14820.97</v>
          </cell>
          <cell r="I111">
            <v>14820.97</v>
          </cell>
          <cell r="J111">
            <v>15000</v>
          </cell>
          <cell r="M111">
            <v>15000</v>
          </cell>
          <cell r="N111">
            <v>14516.129032258101</v>
          </cell>
          <cell r="Q111">
            <v>14516.129032258101</v>
          </cell>
          <cell r="U111">
            <v>0</v>
          </cell>
          <cell r="Y111">
            <v>0</v>
          </cell>
          <cell r="AA111">
            <v>0</v>
          </cell>
          <cell r="AC111">
            <v>0</v>
          </cell>
          <cell r="AD111">
            <v>0</v>
          </cell>
        </row>
        <row r="112">
          <cell r="C112" t="str">
            <v>黄辉煌</v>
          </cell>
          <cell r="D112">
            <v>42650</v>
          </cell>
          <cell r="E112">
            <v>0</v>
          </cell>
          <cell r="F112">
            <v>12727.42</v>
          </cell>
          <cell r="I112">
            <v>12727.42</v>
          </cell>
          <cell r="J112">
            <v>12303.5714285714</v>
          </cell>
          <cell r="M112">
            <v>12303.5714285714</v>
          </cell>
          <cell r="N112">
            <v>13464.285714285699</v>
          </cell>
          <cell r="Q112">
            <v>13464.285714285699</v>
          </cell>
          <cell r="R112">
            <v>13000</v>
          </cell>
          <cell r="U112">
            <v>13000</v>
          </cell>
          <cell r="V112">
            <v>11062.58</v>
          </cell>
          <cell r="Y112">
            <v>11062.58</v>
          </cell>
          <cell r="Z112">
            <v>3033.33</v>
          </cell>
          <cell r="AA112">
            <v>0</v>
          </cell>
          <cell r="AC112">
            <v>3033.33</v>
          </cell>
          <cell r="AD112">
            <v>0</v>
          </cell>
        </row>
        <row r="113">
          <cell r="C113" t="str">
            <v>王珂</v>
          </cell>
          <cell r="D113">
            <v>42691</v>
          </cell>
          <cell r="E113">
            <v>0</v>
          </cell>
          <cell r="F113">
            <v>8500</v>
          </cell>
          <cell r="I113">
            <v>8500</v>
          </cell>
          <cell r="J113">
            <v>8500</v>
          </cell>
          <cell r="M113">
            <v>8500</v>
          </cell>
          <cell r="N113">
            <v>4387.0967741935501</v>
          </cell>
          <cell r="Q113">
            <v>4387.0967741935501</v>
          </cell>
          <cell r="U113">
            <v>0</v>
          </cell>
          <cell r="Y113">
            <v>0</v>
          </cell>
          <cell r="AA113">
            <v>0</v>
          </cell>
          <cell r="AC113">
            <v>0</v>
          </cell>
          <cell r="AD113">
            <v>0</v>
          </cell>
        </row>
        <row r="114">
          <cell r="C114" t="str">
            <v>荆树闯</v>
          </cell>
          <cell r="D114">
            <v>42770</v>
          </cell>
          <cell r="E114">
            <v>0</v>
          </cell>
          <cell r="F114">
            <v>15741.94</v>
          </cell>
          <cell r="I114">
            <v>15741.94</v>
          </cell>
          <cell r="J114">
            <v>16000</v>
          </cell>
          <cell r="M114">
            <v>16000</v>
          </cell>
          <cell r="N114">
            <v>16000</v>
          </cell>
          <cell r="Q114">
            <v>16000</v>
          </cell>
          <cell r="R114">
            <v>5200</v>
          </cell>
          <cell r="U114">
            <v>5200</v>
          </cell>
          <cell r="Y114">
            <v>0</v>
          </cell>
          <cell r="AA114">
            <v>0</v>
          </cell>
          <cell r="AC114">
            <v>0</v>
          </cell>
          <cell r="AD114">
            <v>0</v>
          </cell>
        </row>
        <row r="115">
          <cell r="C115" t="str">
            <v>郑少博</v>
          </cell>
          <cell r="D115">
            <v>42793</v>
          </cell>
          <cell r="E115">
            <v>0</v>
          </cell>
          <cell r="F115">
            <v>7741.94</v>
          </cell>
          <cell r="I115">
            <v>7741.94</v>
          </cell>
          <cell r="J115">
            <v>7714.2857142857101</v>
          </cell>
          <cell r="M115">
            <v>7714.2857142857101</v>
          </cell>
          <cell r="N115">
            <v>8774.1935483871002</v>
          </cell>
          <cell r="Q115">
            <v>8774.1935483871002</v>
          </cell>
          <cell r="U115">
            <v>0</v>
          </cell>
          <cell r="Y115">
            <v>0</v>
          </cell>
          <cell r="AA115">
            <v>0</v>
          </cell>
          <cell r="AC115">
            <v>0</v>
          </cell>
          <cell r="AD115">
            <v>0</v>
          </cell>
        </row>
        <row r="116">
          <cell r="C116" t="str">
            <v>夏卫超</v>
          </cell>
          <cell r="D116">
            <v>42793</v>
          </cell>
          <cell r="E116">
            <v>0</v>
          </cell>
          <cell r="F116">
            <v>12580.65</v>
          </cell>
          <cell r="I116">
            <v>12580.65</v>
          </cell>
          <cell r="J116">
            <v>10678.5714285714</v>
          </cell>
          <cell r="M116">
            <v>10678.5714285714</v>
          </cell>
          <cell r="N116">
            <v>14362.9032258065</v>
          </cell>
          <cell r="Q116">
            <v>14362.9032258065</v>
          </cell>
          <cell r="U116">
            <v>0</v>
          </cell>
          <cell r="Y116">
            <v>0</v>
          </cell>
          <cell r="AA116">
            <v>0</v>
          </cell>
          <cell r="AC116">
            <v>0</v>
          </cell>
          <cell r="AD116">
            <v>0</v>
          </cell>
        </row>
        <row r="117">
          <cell r="C117" t="str">
            <v>韦品玉</v>
          </cell>
          <cell r="D117">
            <v>43077</v>
          </cell>
          <cell r="E117">
            <v>12000</v>
          </cell>
          <cell r="F117">
            <v>9677.42</v>
          </cell>
          <cell r="I117">
            <v>9677.42</v>
          </cell>
          <cell r="J117">
            <v>9285.7142857142899</v>
          </cell>
          <cell r="M117">
            <v>9285.7142857142899</v>
          </cell>
          <cell r="N117">
            <v>11612.9</v>
          </cell>
          <cell r="Q117">
            <v>11612.9</v>
          </cell>
          <cell r="R117">
            <v>11952</v>
          </cell>
          <cell r="U117">
            <v>11952</v>
          </cell>
          <cell r="V117">
            <v>12000</v>
          </cell>
          <cell r="Y117">
            <v>12000</v>
          </cell>
          <cell r="Z117">
            <v>12000</v>
          </cell>
          <cell r="AA117">
            <v>0</v>
          </cell>
          <cell r="AC117">
            <v>12000</v>
          </cell>
          <cell r="AD117">
            <v>12000</v>
          </cell>
        </row>
        <row r="118">
          <cell r="C118" t="str">
            <v xml:space="preserve">谭雪晴 </v>
          </cell>
          <cell r="D118">
            <v>43185</v>
          </cell>
          <cell r="E118">
            <v>0</v>
          </cell>
          <cell r="N118">
            <v>1935.4838709677399</v>
          </cell>
          <cell r="Q118">
            <v>1935.4838709677399</v>
          </cell>
          <cell r="R118">
            <v>5500</v>
          </cell>
          <cell r="U118">
            <v>5500</v>
          </cell>
          <cell r="Y118">
            <v>0</v>
          </cell>
          <cell r="AA118">
            <v>0</v>
          </cell>
          <cell r="AC118">
            <v>0</v>
          </cell>
          <cell r="AD118">
            <v>0</v>
          </cell>
        </row>
        <row r="119">
          <cell r="C119" t="str">
            <v>朱凡</v>
          </cell>
          <cell r="D119">
            <v>43192</v>
          </cell>
          <cell r="E119">
            <v>12000</v>
          </cell>
          <cell r="R119">
            <v>9666.67</v>
          </cell>
          <cell r="U119">
            <v>9666.67</v>
          </cell>
          <cell r="V119">
            <v>10000</v>
          </cell>
          <cell r="Y119">
            <v>10000</v>
          </cell>
          <cell r="Z119">
            <v>9666.67</v>
          </cell>
          <cell r="AA119">
            <v>0</v>
          </cell>
          <cell r="AC119">
            <v>9666.67</v>
          </cell>
          <cell r="AD119">
            <v>12000</v>
          </cell>
        </row>
        <row r="120">
          <cell r="C120" t="str">
            <v>肖立兵</v>
          </cell>
          <cell r="D120">
            <v>43209</v>
          </cell>
          <cell r="E120">
            <v>20000</v>
          </cell>
          <cell r="R120">
            <v>8000</v>
          </cell>
          <cell r="U120">
            <v>8000</v>
          </cell>
          <cell r="V120">
            <v>20000</v>
          </cell>
          <cell r="Y120">
            <v>20000</v>
          </cell>
          <cell r="Z120">
            <v>20000</v>
          </cell>
          <cell r="AA120">
            <v>0</v>
          </cell>
          <cell r="AC120">
            <v>20000</v>
          </cell>
          <cell r="AD120">
            <v>20000</v>
          </cell>
        </row>
        <row r="121">
          <cell r="C121" t="str">
            <v>李彩玲</v>
          </cell>
          <cell r="D121">
            <v>43210</v>
          </cell>
          <cell r="E121">
            <v>12000</v>
          </cell>
          <cell r="R121">
            <v>4033.33</v>
          </cell>
          <cell r="U121">
            <v>4033.33</v>
          </cell>
          <cell r="V121">
            <v>10822.58</v>
          </cell>
          <cell r="Y121">
            <v>10822.58</v>
          </cell>
          <cell r="Z121">
            <v>11000</v>
          </cell>
          <cell r="AA121">
            <v>0</v>
          </cell>
          <cell r="AC121">
            <v>11000</v>
          </cell>
          <cell r="AD121">
            <v>11419.36</v>
          </cell>
        </row>
        <row r="122">
          <cell r="C122" t="str">
            <v>连锐</v>
          </cell>
          <cell r="D122">
            <v>43223</v>
          </cell>
          <cell r="E122">
            <v>12000</v>
          </cell>
          <cell r="V122">
            <v>11032.26</v>
          </cell>
          <cell r="Y122">
            <v>11032.26</v>
          </cell>
          <cell r="Z122">
            <v>11800</v>
          </cell>
          <cell r="AA122">
            <v>0</v>
          </cell>
          <cell r="AC122">
            <v>11800</v>
          </cell>
          <cell r="AD122">
            <v>11953.55</v>
          </cell>
        </row>
        <row r="123">
          <cell r="C123" t="str">
            <v>刘强</v>
          </cell>
          <cell r="D123">
            <v>43227</v>
          </cell>
          <cell r="E123">
            <v>14000</v>
          </cell>
          <cell r="V123">
            <v>11290.32</v>
          </cell>
          <cell r="Y123">
            <v>11290.32</v>
          </cell>
          <cell r="Z123">
            <v>14000</v>
          </cell>
          <cell r="AA123">
            <v>0</v>
          </cell>
          <cell r="AC123">
            <v>14000</v>
          </cell>
          <cell r="AD123">
            <v>13096.77</v>
          </cell>
        </row>
        <row r="124">
          <cell r="C124" t="str">
            <v>陈宽</v>
          </cell>
          <cell r="D124">
            <v>43241</v>
          </cell>
          <cell r="E124">
            <v>13000</v>
          </cell>
          <cell r="V124">
            <v>4612.8999999999996</v>
          </cell>
          <cell r="Y124">
            <v>4612.8999999999996</v>
          </cell>
          <cell r="Z124">
            <v>13000</v>
          </cell>
          <cell r="AA124">
            <v>0</v>
          </cell>
          <cell r="AC124">
            <v>13000</v>
          </cell>
          <cell r="AD124">
            <v>13000</v>
          </cell>
        </row>
        <row r="125">
          <cell r="C125" t="str">
            <v>邓常青</v>
          </cell>
          <cell r="D125">
            <v>43241</v>
          </cell>
          <cell r="E125">
            <v>14000</v>
          </cell>
          <cell r="V125">
            <v>4967.74</v>
          </cell>
          <cell r="Y125">
            <v>4967.74</v>
          </cell>
          <cell r="Z125">
            <v>14000</v>
          </cell>
          <cell r="AA125">
            <v>0</v>
          </cell>
          <cell r="AC125">
            <v>14000</v>
          </cell>
          <cell r="AD125">
            <v>14000</v>
          </cell>
        </row>
        <row r="126">
          <cell r="C126" t="str">
            <v>杨序国</v>
          </cell>
          <cell r="D126">
            <v>43252</v>
          </cell>
          <cell r="E126">
            <v>0</v>
          </cell>
          <cell r="Z126">
            <v>20000</v>
          </cell>
          <cell r="AA126">
            <v>0</v>
          </cell>
          <cell r="AC126">
            <v>20000</v>
          </cell>
          <cell r="AD126">
            <v>0</v>
          </cell>
        </row>
        <row r="127">
          <cell r="C127" t="str">
            <v>李紫茵</v>
          </cell>
          <cell r="D127">
            <v>43255</v>
          </cell>
          <cell r="E127">
            <v>5000</v>
          </cell>
          <cell r="Z127">
            <v>4500</v>
          </cell>
          <cell r="AA127">
            <v>0</v>
          </cell>
          <cell r="AC127">
            <v>4500</v>
          </cell>
          <cell r="AD127">
            <v>5000</v>
          </cell>
        </row>
        <row r="128">
          <cell r="C128" t="str">
            <v>黄雨婷</v>
          </cell>
          <cell r="D128">
            <v>43263</v>
          </cell>
          <cell r="E128">
            <v>5000</v>
          </cell>
          <cell r="Z128">
            <v>3166.67</v>
          </cell>
          <cell r="AA128">
            <v>0</v>
          </cell>
          <cell r="AC128">
            <v>3166.67</v>
          </cell>
          <cell r="AD128">
            <v>4935.4799999999996</v>
          </cell>
        </row>
        <row r="129">
          <cell r="C129" t="str">
            <v>胡嘉莹</v>
          </cell>
          <cell r="D129">
            <v>43264</v>
          </cell>
          <cell r="E129">
            <v>10000</v>
          </cell>
          <cell r="Z129">
            <v>6000</v>
          </cell>
          <cell r="AA129">
            <v>0</v>
          </cell>
          <cell r="AC129">
            <v>6000</v>
          </cell>
          <cell r="AD129">
            <v>10000</v>
          </cell>
        </row>
        <row r="130">
          <cell r="C130" t="str">
            <v>范广争</v>
          </cell>
          <cell r="D130">
            <v>43270</v>
          </cell>
          <cell r="E130">
            <v>8000</v>
          </cell>
          <cell r="Z130">
            <v>3200</v>
          </cell>
          <cell r="AA130">
            <v>0</v>
          </cell>
          <cell r="AC130">
            <v>3200</v>
          </cell>
          <cell r="AD130">
            <v>7741.94</v>
          </cell>
        </row>
        <row r="131">
          <cell r="C131" t="str">
            <v>罗婷升</v>
          </cell>
          <cell r="D131">
            <v>43271</v>
          </cell>
          <cell r="E131">
            <v>7000</v>
          </cell>
          <cell r="Z131">
            <v>2566.66</v>
          </cell>
          <cell r="AA131">
            <v>0</v>
          </cell>
          <cell r="AC131">
            <v>2566.66</v>
          </cell>
          <cell r="AD131">
            <v>7000</v>
          </cell>
        </row>
        <row r="132">
          <cell r="C132" t="str">
            <v>肖钊雄</v>
          </cell>
          <cell r="D132">
            <v>43277</v>
          </cell>
          <cell r="E132">
            <v>10000</v>
          </cell>
          <cell r="Z132">
            <v>1666.66</v>
          </cell>
          <cell r="AA132">
            <v>0</v>
          </cell>
          <cell r="AC132">
            <v>1666.66</v>
          </cell>
          <cell r="AD132">
            <v>10000</v>
          </cell>
        </row>
        <row r="133">
          <cell r="C133" t="str">
            <v>林杰浩</v>
          </cell>
          <cell r="D133">
            <v>43285</v>
          </cell>
          <cell r="E133">
            <v>12000</v>
          </cell>
          <cell r="AA133">
            <v>0</v>
          </cell>
          <cell r="AD133">
            <v>10792.26</v>
          </cell>
        </row>
        <row r="134">
          <cell r="C134" t="str">
            <v>常哲</v>
          </cell>
          <cell r="D134">
            <v>43290</v>
          </cell>
          <cell r="E134">
            <v>35000</v>
          </cell>
          <cell r="AA134">
            <v>0</v>
          </cell>
          <cell r="AD134">
            <v>25967.74</v>
          </cell>
        </row>
        <row r="135">
          <cell r="C135" t="str">
            <v>刘泽泳</v>
          </cell>
          <cell r="D135">
            <v>43297</v>
          </cell>
          <cell r="E135">
            <v>11000</v>
          </cell>
          <cell r="AA135">
            <v>0</v>
          </cell>
          <cell r="AD135">
            <v>5677.42</v>
          </cell>
        </row>
        <row r="136">
          <cell r="C136" t="str">
            <v>宋卫华</v>
          </cell>
          <cell r="D136">
            <v>42242</v>
          </cell>
          <cell r="E136">
            <v>30000</v>
          </cell>
          <cell r="F136">
            <v>24000</v>
          </cell>
          <cell r="G136">
            <v>3126</v>
          </cell>
          <cell r="I136">
            <v>27126</v>
          </cell>
          <cell r="J136">
            <v>24000</v>
          </cell>
          <cell r="K136">
            <v>6260</v>
          </cell>
          <cell r="M136">
            <v>30260</v>
          </cell>
          <cell r="N136">
            <v>24000</v>
          </cell>
          <cell r="O136">
            <v>9340</v>
          </cell>
          <cell r="Q136">
            <v>33340</v>
          </cell>
          <cell r="R136">
            <v>24000</v>
          </cell>
          <cell r="S136">
            <v>8049</v>
          </cell>
          <cell r="U136">
            <v>32049</v>
          </cell>
          <cell r="V136">
            <v>24000</v>
          </cell>
          <cell r="Y136">
            <v>24000</v>
          </cell>
          <cell r="Z136">
            <v>24000</v>
          </cell>
          <cell r="AA136">
            <v>25678</v>
          </cell>
          <cell r="AC136">
            <v>49678</v>
          </cell>
          <cell r="AD136">
            <v>18000</v>
          </cell>
        </row>
        <row r="137">
          <cell r="C137" t="str">
            <v>邹骏</v>
          </cell>
          <cell r="D137">
            <v>42069</v>
          </cell>
          <cell r="E137">
            <v>8000</v>
          </cell>
          <cell r="F137">
            <v>8000</v>
          </cell>
          <cell r="G137">
            <v>5160</v>
          </cell>
          <cell r="I137">
            <v>13160</v>
          </cell>
          <cell r="J137">
            <v>8000</v>
          </cell>
          <cell r="K137">
            <v>4600</v>
          </cell>
          <cell r="M137">
            <v>12600</v>
          </cell>
          <cell r="N137">
            <v>8000</v>
          </cell>
          <cell r="O137">
            <v>12250</v>
          </cell>
          <cell r="Q137">
            <v>20250</v>
          </cell>
          <cell r="R137">
            <v>8000</v>
          </cell>
          <cell r="S137">
            <v>2500</v>
          </cell>
          <cell r="U137">
            <v>10500</v>
          </cell>
          <cell r="V137">
            <v>8000</v>
          </cell>
          <cell r="W137">
            <v>15590</v>
          </cell>
          <cell r="Y137">
            <v>23590</v>
          </cell>
          <cell r="Z137">
            <v>8000</v>
          </cell>
          <cell r="AA137">
            <v>8940</v>
          </cell>
          <cell r="AC137">
            <v>16940</v>
          </cell>
          <cell r="AD137">
            <v>8000</v>
          </cell>
        </row>
        <row r="138">
          <cell r="C138" t="str">
            <v>许飞</v>
          </cell>
          <cell r="D138">
            <v>41943</v>
          </cell>
          <cell r="E138">
            <v>0</v>
          </cell>
          <cell r="F138">
            <v>7741.9354838709696</v>
          </cell>
          <cell r="G138">
            <v>300</v>
          </cell>
          <cell r="I138">
            <v>8041.9354838709696</v>
          </cell>
          <cell r="J138">
            <v>7285.7142857142899</v>
          </cell>
          <cell r="M138">
            <v>7285.7142857142899</v>
          </cell>
          <cell r="N138">
            <v>2580.6451612903202</v>
          </cell>
          <cell r="Q138">
            <v>2580.6451612903202</v>
          </cell>
          <cell r="U138">
            <v>0</v>
          </cell>
          <cell r="Y138">
            <v>0</v>
          </cell>
          <cell r="AA138">
            <v>0</v>
          </cell>
          <cell r="AC138">
            <v>0</v>
          </cell>
          <cell r="AD138">
            <v>0</v>
          </cell>
        </row>
        <row r="139">
          <cell r="C139" t="str">
            <v>刘金花</v>
          </cell>
          <cell r="D139">
            <v>42850</v>
          </cell>
          <cell r="E139">
            <v>6000</v>
          </cell>
          <cell r="F139">
            <v>4516.1290322580599</v>
          </cell>
          <cell r="G139">
            <v>1050</v>
          </cell>
          <cell r="I139">
            <v>5566.1290322580599</v>
          </cell>
          <cell r="J139">
            <v>4642.8571428571404</v>
          </cell>
          <cell r="M139">
            <v>4642.8571428571404</v>
          </cell>
          <cell r="N139">
            <v>5612.9032258064499</v>
          </cell>
          <cell r="Q139">
            <v>5612.9032258064499</v>
          </cell>
          <cell r="R139">
            <v>5900</v>
          </cell>
          <cell r="U139">
            <v>5900</v>
          </cell>
          <cell r="V139">
            <v>5612.9</v>
          </cell>
          <cell r="Y139">
            <v>5612.9</v>
          </cell>
          <cell r="Z139">
            <v>6000</v>
          </cell>
          <cell r="AA139">
            <v>0</v>
          </cell>
          <cell r="AC139">
            <v>6000</v>
          </cell>
          <cell r="AD139">
            <v>2322.58</v>
          </cell>
        </row>
        <row r="140">
          <cell r="C140" t="str">
            <v>徐亮</v>
          </cell>
          <cell r="D140">
            <v>42983</v>
          </cell>
          <cell r="E140">
            <v>8000</v>
          </cell>
          <cell r="F140">
            <v>5500</v>
          </cell>
          <cell r="J140">
            <v>5401.7857142857101</v>
          </cell>
          <cell r="K140">
            <v>900</v>
          </cell>
          <cell r="M140">
            <v>6301.7857142857101</v>
          </cell>
          <cell r="N140">
            <v>6774.1935483871002</v>
          </cell>
          <cell r="Q140">
            <v>6774.1935483871002</v>
          </cell>
          <cell r="R140">
            <v>7233.33</v>
          </cell>
          <cell r="S140">
            <v>5800</v>
          </cell>
          <cell r="U140">
            <v>13033.33</v>
          </cell>
          <cell r="V140">
            <v>9000</v>
          </cell>
          <cell r="Y140">
            <v>9000</v>
          </cell>
          <cell r="Z140">
            <v>7946.66</v>
          </cell>
          <cell r="AA140">
            <v>1900</v>
          </cell>
          <cell r="AC140">
            <v>9846.66</v>
          </cell>
          <cell r="AD140">
            <v>9000</v>
          </cell>
        </row>
        <row r="141">
          <cell r="C141" t="str">
            <v>蔡旭</v>
          </cell>
          <cell r="D141">
            <v>43043</v>
          </cell>
          <cell r="E141">
            <v>0</v>
          </cell>
          <cell r="F141">
            <v>4838.71</v>
          </cell>
          <cell r="I141">
            <v>4838.71</v>
          </cell>
          <cell r="J141">
            <v>5000</v>
          </cell>
          <cell r="M141">
            <v>5000</v>
          </cell>
          <cell r="N141">
            <v>5758.0645161290304</v>
          </cell>
          <cell r="O141">
            <v>300</v>
          </cell>
          <cell r="Q141">
            <v>6058.0645161290304</v>
          </cell>
          <cell r="R141">
            <v>6000</v>
          </cell>
          <cell r="S141">
            <v>2000</v>
          </cell>
          <cell r="U141">
            <v>8000</v>
          </cell>
          <cell r="V141">
            <v>6000</v>
          </cell>
          <cell r="W141">
            <v>1000</v>
          </cell>
          <cell r="Y141">
            <v>7000</v>
          </cell>
          <cell r="Z141">
            <v>3600</v>
          </cell>
          <cell r="AA141">
            <v>3400</v>
          </cell>
          <cell r="AC141">
            <v>7000</v>
          </cell>
          <cell r="AD141">
            <v>0</v>
          </cell>
        </row>
        <row r="142">
          <cell r="C142" t="str">
            <v>祝得娴</v>
          </cell>
          <cell r="D142">
            <v>43053</v>
          </cell>
          <cell r="E142">
            <v>10000</v>
          </cell>
          <cell r="F142">
            <v>9516.1299999999992</v>
          </cell>
          <cell r="I142">
            <v>9516.1299999999992</v>
          </cell>
          <cell r="J142">
            <v>8750</v>
          </cell>
          <cell r="M142">
            <v>8750</v>
          </cell>
          <cell r="N142">
            <v>10000</v>
          </cell>
          <cell r="O142">
            <v>600</v>
          </cell>
          <cell r="Q142">
            <v>10600</v>
          </cell>
          <cell r="R142">
            <v>9666.67</v>
          </cell>
          <cell r="U142">
            <v>9666.67</v>
          </cell>
          <cell r="V142">
            <v>10000</v>
          </cell>
          <cell r="Y142">
            <v>10000</v>
          </cell>
          <cell r="Z142">
            <v>10000</v>
          </cell>
          <cell r="AA142">
            <v>300</v>
          </cell>
          <cell r="AC142">
            <v>10300</v>
          </cell>
          <cell r="AD142">
            <v>9935.48</v>
          </cell>
        </row>
        <row r="143">
          <cell r="C143" t="str">
            <v>唐艳涛</v>
          </cell>
          <cell r="D143">
            <v>43070</v>
          </cell>
          <cell r="E143">
            <v>7000</v>
          </cell>
          <cell r="F143">
            <v>5709.68</v>
          </cell>
          <cell r="I143">
            <v>5709.68</v>
          </cell>
          <cell r="J143">
            <v>5571.4285714285697</v>
          </cell>
          <cell r="M143">
            <v>5571.4285714285697</v>
          </cell>
          <cell r="N143">
            <v>6972.9032258064499</v>
          </cell>
          <cell r="Q143">
            <v>6972.9032258064499</v>
          </cell>
          <cell r="R143">
            <v>7000</v>
          </cell>
          <cell r="S143">
            <v>300</v>
          </cell>
          <cell r="U143">
            <v>7300</v>
          </cell>
          <cell r="V143">
            <v>6819.35</v>
          </cell>
          <cell r="W143">
            <v>2000</v>
          </cell>
          <cell r="Y143">
            <v>8819.35</v>
          </cell>
          <cell r="Z143">
            <v>7000</v>
          </cell>
          <cell r="AA143">
            <v>3200</v>
          </cell>
          <cell r="AC143">
            <v>10200</v>
          </cell>
          <cell r="AD143">
            <v>7000</v>
          </cell>
        </row>
        <row r="144">
          <cell r="C144" t="str">
            <v>郭晏</v>
          </cell>
          <cell r="D144">
            <v>43109</v>
          </cell>
          <cell r="E144">
            <v>0</v>
          </cell>
          <cell r="F144">
            <v>5935.48</v>
          </cell>
          <cell r="J144">
            <v>7428.5714285714303</v>
          </cell>
          <cell r="M144">
            <v>7428.5714285714303</v>
          </cell>
          <cell r="N144">
            <v>8000</v>
          </cell>
          <cell r="Q144">
            <v>8000</v>
          </cell>
          <cell r="R144">
            <v>8000</v>
          </cell>
          <cell r="U144">
            <v>8000</v>
          </cell>
          <cell r="V144">
            <v>8000</v>
          </cell>
          <cell r="Y144">
            <v>8000</v>
          </cell>
          <cell r="Z144">
            <v>8516.1299999999992</v>
          </cell>
          <cell r="AA144">
            <v>400</v>
          </cell>
          <cell r="AC144">
            <v>8916.1299999999992</v>
          </cell>
          <cell r="AD144">
            <v>0</v>
          </cell>
        </row>
        <row r="145">
          <cell r="C145" t="str">
            <v>陈航</v>
          </cell>
          <cell r="D145">
            <v>43080</v>
          </cell>
          <cell r="E145">
            <v>0</v>
          </cell>
          <cell r="F145">
            <v>5612.9</v>
          </cell>
          <cell r="I145">
            <v>5612.9</v>
          </cell>
          <cell r="J145">
            <v>4928.57</v>
          </cell>
          <cell r="M145">
            <v>4928.57</v>
          </cell>
          <cell r="N145">
            <v>2516.1290322580599</v>
          </cell>
          <cell r="Q145">
            <v>2516.1290322580599</v>
          </cell>
          <cell r="U145">
            <v>0</v>
          </cell>
          <cell r="Y145">
            <v>0</v>
          </cell>
          <cell r="AA145">
            <v>0</v>
          </cell>
          <cell r="AC145">
            <v>0</v>
          </cell>
          <cell r="AD145">
            <v>0</v>
          </cell>
        </row>
        <row r="146">
          <cell r="C146" t="str">
            <v>张琪</v>
          </cell>
          <cell r="D146">
            <v>42789</v>
          </cell>
          <cell r="E146">
            <v>0</v>
          </cell>
          <cell r="J146">
            <v>1571.42857142857</v>
          </cell>
          <cell r="M146">
            <v>1571.42857142857</v>
          </cell>
          <cell r="N146">
            <v>7419.3548387096798</v>
          </cell>
          <cell r="Q146">
            <v>7419.3548387096798</v>
          </cell>
          <cell r="R146">
            <v>7301.33</v>
          </cell>
          <cell r="S146">
            <v>600</v>
          </cell>
          <cell r="U146">
            <v>7901.33</v>
          </cell>
          <cell r="Y146">
            <v>0</v>
          </cell>
          <cell r="AA146">
            <v>0</v>
          </cell>
          <cell r="AC146">
            <v>0</v>
          </cell>
          <cell r="AD146">
            <v>0</v>
          </cell>
        </row>
        <row r="147">
          <cell r="C147" t="str">
            <v>谢广东</v>
          </cell>
          <cell r="D147">
            <v>43192</v>
          </cell>
          <cell r="E147">
            <v>7000</v>
          </cell>
          <cell r="R147">
            <v>6766.67</v>
          </cell>
          <cell r="U147">
            <v>6766.67</v>
          </cell>
          <cell r="V147">
            <v>7000</v>
          </cell>
          <cell r="Y147">
            <v>7000</v>
          </cell>
          <cell r="Z147">
            <v>7000</v>
          </cell>
          <cell r="AA147">
            <v>900</v>
          </cell>
          <cell r="AC147">
            <v>7900</v>
          </cell>
          <cell r="AD147">
            <v>7000</v>
          </cell>
        </row>
        <row r="148">
          <cell r="C148" t="str">
            <v>郭磊</v>
          </cell>
          <cell r="D148">
            <v>43192</v>
          </cell>
          <cell r="E148">
            <v>0</v>
          </cell>
          <cell r="R148">
            <v>5800</v>
          </cell>
          <cell r="U148">
            <v>5800</v>
          </cell>
          <cell r="V148">
            <v>2709.68</v>
          </cell>
          <cell r="Y148">
            <v>2709.68</v>
          </cell>
          <cell r="AA148">
            <v>0</v>
          </cell>
          <cell r="AC148">
            <v>0</v>
          </cell>
          <cell r="AD148">
            <v>0</v>
          </cell>
        </row>
        <row r="149">
          <cell r="C149" t="str">
            <v>李允标</v>
          </cell>
          <cell r="D149">
            <v>43222</v>
          </cell>
          <cell r="E149">
            <v>7000</v>
          </cell>
          <cell r="V149">
            <v>6322.58</v>
          </cell>
          <cell r="Y149">
            <v>6322.58</v>
          </cell>
          <cell r="Z149">
            <v>7000</v>
          </cell>
          <cell r="AA149">
            <v>400</v>
          </cell>
          <cell r="AC149">
            <v>7400</v>
          </cell>
          <cell r="AD149">
            <v>6774.19</v>
          </cell>
        </row>
        <row r="150">
          <cell r="C150" t="str">
            <v>曹霞</v>
          </cell>
          <cell r="D150">
            <v>43241</v>
          </cell>
          <cell r="E150">
            <v>7000</v>
          </cell>
          <cell r="V150">
            <v>2483.87</v>
          </cell>
          <cell r="Y150">
            <v>2483.87</v>
          </cell>
          <cell r="Z150">
            <v>7000</v>
          </cell>
          <cell r="AA150">
            <v>300</v>
          </cell>
          <cell r="AC150">
            <v>7300</v>
          </cell>
          <cell r="AD150">
            <v>7000</v>
          </cell>
        </row>
        <row r="151">
          <cell r="C151" t="str">
            <v>王媛媛</v>
          </cell>
          <cell r="D151">
            <v>43290</v>
          </cell>
          <cell r="E151">
            <v>6000</v>
          </cell>
          <cell r="AA151">
            <v>0</v>
          </cell>
          <cell r="AD151">
            <v>4041.29</v>
          </cell>
        </row>
        <row r="152">
          <cell r="C152" t="str">
            <v>曹晓锋</v>
          </cell>
          <cell r="D152">
            <v>43132</v>
          </cell>
          <cell r="E152">
            <v>18000</v>
          </cell>
          <cell r="R152">
            <v>68000</v>
          </cell>
          <cell r="U152">
            <v>68000</v>
          </cell>
          <cell r="V152">
            <v>18000</v>
          </cell>
          <cell r="Y152">
            <v>18000</v>
          </cell>
          <cell r="Z152">
            <v>18000</v>
          </cell>
          <cell r="AA152">
            <v>0</v>
          </cell>
          <cell r="AC152">
            <v>18000</v>
          </cell>
          <cell r="AD152">
            <v>18000</v>
          </cell>
        </row>
        <row r="153">
          <cell r="C153" t="str">
            <v>周雪玲</v>
          </cell>
          <cell r="D153">
            <v>43185</v>
          </cell>
          <cell r="E153">
            <v>8000</v>
          </cell>
          <cell r="R153">
            <v>9548.39</v>
          </cell>
          <cell r="U153">
            <v>9548.39</v>
          </cell>
          <cell r="V153">
            <v>6967.74</v>
          </cell>
          <cell r="Y153">
            <v>6967.74</v>
          </cell>
          <cell r="Z153">
            <v>7733.34</v>
          </cell>
          <cell r="AA153">
            <v>0</v>
          </cell>
          <cell r="AC153">
            <v>7733.34</v>
          </cell>
          <cell r="AD153">
            <v>7741.9335483870973</v>
          </cell>
        </row>
        <row r="154">
          <cell r="C154" t="str">
            <v>刘可欣</v>
          </cell>
          <cell r="D154">
            <v>43192</v>
          </cell>
          <cell r="E154">
            <v>8000</v>
          </cell>
          <cell r="R154">
            <v>8000</v>
          </cell>
          <cell r="U154">
            <v>8000</v>
          </cell>
          <cell r="V154">
            <v>8000</v>
          </cell>
          <cell r="Y154">
            <v>8000</v>
          </cell>
          <cell r="Z154">
            <v>8000</v>
          </cell>
          <cell r="AA154">
            <v>0</v>
          </cell>
          <cell r="AC154">
            <v>8000</v>
          </cell>
          <cell r="AD154">
            <v>8000</v>
          </cell>
        </row>
        <row r="155">
          <cell r="C155" t="str">
            <v>陈智健</v>
          </cell>
          <cell r="D155">
            <v>43192</v>
          </cell>
          <cell r="E155">
            <v>6000</v>
          </cell>
          <cell r="R155">
            <v>5000</v>
          </cell>
          <cell r="U155">
            <v>5000</v>
          </cell>
          <cell r="V155">
            <v>5000</v>
          </cell>
          <cell r="Y155">
            <v>5000</v>
          </cell>
          <cell r="Z155">
            <v>5000</v>
          </cell>
          <cell r="AA155">
            <v>0</v>
          </cell>
          <cell r="AC155">
            <v>5000</v>
          </cell>
          <cell r="AD155">
            <v>5612.8993548387098</v>
          </cell>
        </row>
        <row r="156">
          <cell r="C156" t="str">
            <v>张丹</v>
          </cell>
          <cell r="D156">
            <v>43224</v>
          </cell>
          <cell r="E156">
            <v>5000</v>
          </cell>
          <cell r="V156">
            <v>4516.13</v>
          </cell>
          <cell r="Y156">
            <v>4516.13</v>
          </cell>
          <cell r="Z156">
            <v>5000</v>
          </cell>
          <cell r="AA156">
            <v>0</v>
          </cell>
          <cell r="AC156">
            <v>5000</v>
          </cell>
          <cell r="AD156">
            <v>5000</v>
          </cell>
        </row>
        <row r="157">
          <cell r="C157" t="str">
            <v>罗炳健</v>
          </cell>
          <cell r="D157">
            <v>43222</v>
          </cell>
          <cell r="E157">
            <v>6000</v>
          </cell>
          <cell r="V157">
            <v>6000</v>
          </cell>
          <cell r="Y157">
            <v>6000</v>
          </cell>
          <cell r="Z157">
            <v>6000</v>
          </cell>
          <cell r="AA157">
            <v>0</v>
          </cell>
          <cell r="AC157">
            <v>6000</v>
          </cell>
          <cell r="AD157">
            <v>6000</v>
          </cell>
        </row>
        <row r="158">
          <cell r="C158" t="str">
            <v>吴祉淇</v>
          </cell>
          <cell r="D158">
            <v>43222</v>
          </cell>
          <cell r="E158">
            <v>6000</v>
          </cell>
          <cell r="V158">
            <v>6000</v>
          </cell>
          <cell r="Y158">
            <v>6000</v>
          </cell>
          <cell r="Z158">
            <v>6000</v>
          </cell>
          <cell r="AA158">
            <v>0</v>
          </cell>
          <cell r="AC158">
            <v>6000</v>
          </cell>
          <cell r="AD158">
            <v>6000</v>
          </cell>
        </row>
        <row r="159">
          <cell r="C159" t="str">
            <v>马慧敏</v>
          </cell>
          <cell r="D159">
            <v>43262</v>
          </cell>
          <cell r="E159">
            <v>4500</v>
          </cell>
          <cell r="Z159">
            <v>2666.66</v>
          </cell>
          <cell r="AA159">
            <v>0</v>
          </cell>
          <cell r="AC159">
            <v>2666.66</v>
          </cell>
          <cell r="AD159">
            <v>5000</v>
          </cell>
        </row>
        <row r="160">
          <cell r="C160" t="str">
            <v>刘佳玲</v>
          </cell>
          <cell r="D160">
            <v>43262</v>
          </cell>
          <cell r="E160">
            <v>4500</v>
          </cell>
          <cell r="Z160">
            <v>3000</v>
          </cell>
          <cell r="AA160">
            <v>0</v>
          </cell>
          <cell r="AC160">
            <v>3000</v>
          </cell>
          <cell r="AD160">
            <v>4500</v>
          </cell>
        </row>
        <row r="161">
          <cell r="C161" t="str">
            <v>李海波</v>
          </cell>
          <cell r="D161">
            <v>43307</v>
          </cell>
          <cell r="E161">
            <v>12000</v>
          </cell>
          <cell r="AD161">
            <v>2322.5838709677419</v>
          </cell>
        </row>
        <row r="162">
          <cell r="C162" t="str">
            <v>赛俊</v>
          </cell>
          <cell r="D162">
            <v>43293</v>
          </cell>
          <cell r="E162">
            <v>15000</v>
          </cell>
          <cell r="AD162">
            <v>9677.4154838709674</v>
          </cell>
        </row>
        <row r="163">
          <cell r="D163" t="str">
            <v>合计：</v>
          </cell>
          <cell r="E163">
            <v>1485000</v>
          </cell>
          <cell r="F163">
            <v>823165.96451612911</v>
          </cell>
          <cell r="G163">
            <v>1249717.7999999998</v>
          </cell>
          <cell r="H163">
            <v>0</v>
          </cell>
          <cell r="I163">
            <v>2019916.0264516119</v>
          </cell>
          <cell r="J163">
            <v>837716.06999999972</v>
          </cell>
          <cell r="K163">
            <v>88106.6</v>
          </cell>
          <cell r="L163">
            <v>4000</v>
          </cell>
          <cell r="M163">
            <v>929822.66999999981</v>
          </cell>
          <cell r="N163">
            <v>933698.15474654397</v>
          </cell>
          <cell r="O163">
            <v>302052.59999999998</v>
          </cell>
          <cell r="P163">
            <v>1800</v>
          </cell>
          <cell r="Q163">
            <v>1237550.7547465439</v>
          </cell>
          <cell r="R163">
            <v>1066143.72</v>
          </cell>
          <cell r="S163">
            <v>771466.52000000037</v>
          </cell>
          <cell r="T163">
            <v>0</v>
          </cell>
          <cell r="U163">
            <v>1837610.24</v>
          </cell>
          <cell r="V163">
            <v>1109219.7499999998</v>
          </cell>
          <cell r="W163">
            <v>108755.19999999998</v>
          </cell>
          <cell r="X163">
            <v>0</v>
          </cell>
          <cell r="Y163">
            <v>1217974.95</v>
          </cell>
          <cell r="Z163">
            <v>1191993.55</v>
          </cell>
          <cell r="AA163">
            <v>994308.78</v>
          </cell>
          <cell r="AB163">
            <v>0</v>
          </cell>
          <cell r="AC163">
            <v>2181802.3299999991</v>
          </cell>
          <cell r="AD163">
            <v>1194217.0622580647</v>
          </cell>
        </row>
        <row r="164">
          <cell r="AD164">
            <v>290782.93774193525</v>
          </cell>
        </row>
        <row r="165">
          <cell r="R165" t="str">
            <v/>
          </cell>
          <cell r="AD165">
            <v>1194217.0622580645</v>
          </cell>
        </row>
        <row r="166">
          <cell r="C166" t="str">
            <v>制表：</v>
          </cell>
          <cell r="AD16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7月新入职及工资调整信息"/>
      <sheetName val="7月考勤表"/>
      <sheetName val="7月集团工资汇总表"/>
      <sheetName val="7月税筹表"/>
      <sheetName val="京鹏基金社保"/>
      <sheetName val="京鹏基金公积金"/>
      <sheetName val="京鹏工资"/>
      <sheetName val="知识科技社保"/>
      <sheetName val="知识科技公积金"/>
      <sheetName val="知识科技工资"/>
      <sheetName val="中力宝社保"/>
      <sheetName val="中力宝公积金"/>
      <sheetName val="中力宝工资"/>
      <sheetName val="中力顾问社保"/>
      <sheetName val="中力顾问公积金"/>
      <sheetName val="中力顾问工资"/>
      <sheetName val="中力基金社保"/>
      <sheetName val="中力基金公积金"/>
      <sheetName val="中力基金工资"/>
      <sheetName val="广州中力社保"/>
      <sheetName val="广州中力公积金"/>
      <sheetName val="广州中力工资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姓名</v>
          </cell>
          <cell r="D3" t="str">
            <v>基本工资</v>
          </cell>
          <cell r="E3" t="str">
            <v>津贴</v>
          </cell>
          <cell r="F3" t="str">
            <v>工资总额</v>
          </cell>
          <cell r="G3" t="str">
            <v>计薪天数</v>
          </cell>
          <cell r="H3" t="str">
            <v>应发</v>
          </cell>
          <cell r="N3" t="str">
            <v>应扣</v>
          </cell>
        </row>
        <row r="4">
          <cell r="H4" t="str">
            <v>基本工资</v>
          </cell>
          <cell r="I4" t="str">
            <v>奖金</v>
          </cell>
          <cell r="J4" t="str">
            <v>提成</v>
          </cell>
          <cell r="K4" t="str">
            <v>补发</v>
          </cell>
          <cell r="L4" t="str">
            <v>其它</v>
          </cell>
          <cell r="M4" t="str">
            <v>应发合计</v>
          </cell>
          <cell r="N4" t="str">
            <v>社会保险</v>
          </cell>
          <cell r="O4" t="str">
            <v>公积金</v>
          </cell>
        </row>
        <row r="5">
          <cell r="C5" t="str">
            <v>刘建刚</v>
          </cell>
          <cell r="D5">
            <v>22000</v>
          </cell>
          <cell r="E5">
            <v>0</v>
          </cell>
          <cell r="F5">
            <v>22000</v>
          </cell>
          <cell r="G5">
            <v>31</v>
          </cell>
          <cell r="H5">
            <v>22000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22000</v>
          </cell>
          <cell r="N5">
            <v>350.83</v>
          </cell>
          <cell r="O5">
            <v>150</v>
          </cell>
        </row>
        <row r="6">
          <cell r="C6" t="str">
            <v>李建辉</v>
          </cell>
          <cell r="D6">
            <v>22000</v>
          </cell>
          <cell r="E6">
            <v>0</v>
          </cell>
          <cell r="F6">
            <v>22000</v>
          </cell>
          <cell r="G6">
            <v>31</v>
          </cell>
          <cell r="H6">
            <v>22000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22000</v>
          </cell>
          <cell r="N6">
            <v>350.83</v>
          </cell>
          <cell r="O6">
            <v>150</v>
          </cell>
        </row>
        <row r="7">
          <cell r="C7" t="str">
            <v>许亚梅</v>
          </cell>
          <cell r="D7">
            <v>18000</v>
          </cell>
          <cell r="E7">
            <v>0</v>
          </cell>
          <cell r="F7">
            <v>18000</v>
          </cell>
          <cell r="G7">
            <v>31</v>
          </cell>
          <cell r="H7">
            <v>18000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18000</v>
          </cell>
          <cell r="N7">
            <v>350.83</v>
          </cell>
          <cell r="O7">
            <v>150</v>
          </cell>
        </row>
        <row r="8">
          <cell r="C8" t="str">
            <v>马伟</v>
          </cell>
          <cell r="D8">
            <v>15000</v>
          </cell>
          <cell r="E8">
            <v>0</v>
          </cell>
          <cell r="F8">
            <v>15000</v>
          </cell>
          <cell r="G8">
            <v>31</v>
          </cell>
          <cell r="H8">
            <v>15000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15000</v>
          </cell>
          <cell r="N8">
            <v>0</v>
          </cell>
          <cell r="O8">
            <v>0</v>
          </cell>
        </row>
        <row r="9">
          <cell r="C9" t="str">
            <v>杨宇</v>
          </cell>
          <cell r="D9">
            <v>12000</v>
          </cell>
          <cell r="E9">
            <v>2000</v>
          </cell>
          <cell r="F9">
            <v>14000</v>
          </cell>
          <cell r="G9">
            <v>31</v>
          </cell>
          <cell r="H9">
            <v>14000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14000</v>
          </cell>
          <cell r="N9">
            <v>286.83</v>
          </cell>
          <cell r="O9">
            <v>110</v>
          </cell>
        </row>
        <row r="10">
          <cell r="C10" t="str">
            <v>程国栋</v>
          </cell>
          <cell r="D10">
            <v>9000</v>
          </cell>
          <cell r="E10">
            <v>0</v>
          </cell>
          <cell r="F10">
            <v>9000</v>
          </cell>
          <cell r="G10">
            <v>31</v>
          </cell>
          <cell r="H10">
            <v>9000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9000</v>
          </cell>
          <cell r="N10">
            <v>286.83</v>
          </cell>
          <cell r="O10">
            <v>110</v>
          </cell>
        </row>
        <row r="11">
          <cell r="C11" t="str">
            <v>黄振峰</v>
          </cell>
          <cell r="D11">
            <v>10000</v>
          </cell>
          <cell r="E11">
            <v>5000</v>
          </cell>
          <cell r="F11">
            <v>15000</v>
          </cell>
          <cell r="G11">
            <v>31</v>
          </cell>
          <cell r="H11">
            <v>15000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15000</v>
          </cell>
          <cell r="N11">
            <v>286.83</v>
          </cell>
          <cell r="O11">
            <v>110</v>
          </cell>
        </row>
        <row r="12">
          <cell r="C12" t="str">
            <v>聂杨</v>
          </cell>
          <cell r="D12">
            <v>8000</v>
          </cell>
          <cell r="E12">
            <v>0</v>
          </cell>
          <cell r="F12">
            <v>8000</v>
          </cell>
          <cell r="G12">
            <v>30.88</v>
          </cell>
          <cell r="H12">
            <v>7969.03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7969.03</v>
          </cell>
          <cell r="N12">
            <v>286.83</v>
          </cell>
          <cell r="O12">
            <v>110</v>
          </cell>
        </row>
        <row r="13">
          <cell r="C13" t="str">
            <v>周德胜</v>
          </cell>
          <cell r="D13">
            <v>8000</v>
          </cell>
          <cell r="E13">
            <v>0</v>
          </cell>
          <cell r="F13">
            <v>8000</v>
          </cell>
          <cell r="G13">
            <v>31</v>
          </cell>
          <cell r="H13">
            <v>8000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8000</v>
          </cell>
          <cell r="N13">
            <v>286.83</v>
          </cell>
          <cell r="O13">
            <v>110</v>
          </cell>
        </row>
        <row r="14">
          <cell r="C14" t="str">
            <v>杨燕伊</v>
          </cell>
          <cell r="D14">
            <v>8000</v>
          </cell>
          <cell r="E14">
            <v>0</v>
          </cell>
          <cell r="F14">
            <v>8000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110</v>
          </cell>
        </row>
        <row r="15">
          <cell r="C15" t="str">
            <v>邵铁健</v>
          </cell>
          <cell r="D15">
            <v>12000</v>
          </cell>
          <cell r="E15">
            <v>0</v>
          </cell>
          <cell r="F15">
            <v>12000</v>
          </cell>
          <cell r="G15">
            <v>31</v>
          </cell>
          <cell r="H15">
            <v>12000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12000</v>
          </cell>
          <cell r="N15">
            <v>350.83</v>
          </cell>
          <cell r="O15">
            <v>150</v>
          </cell>
        </row>
        <row r="16">
          <cell r="C16" t="str">
            <v>黄俊铖</v>
          </cell>
          <cell r="D16">
            <v>10000</v>
          </cell>
          <cell r="E16">
            <v>5000</v>
          </cell>
          <cell r="F16">
            <v>15000</v>
          </cell>
          <cell r="G16">
            <v>31</v>
          </cell>
          <cell r="H16">
            <v>15000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15000</v>
          </cell>
          <cell r="N16">
            <v>286.83</v>
          </cell>
          <cell r="O16">
            <v>110</v>
          </cell>
        </row>
        <row r="17">
          <cell r="C17" t="str">
            <v>张宏强</v>
          </cell>
          <cell r="D17">
            <v>12000</v>
          </cell>
          <cell r="E17">
            <v>0</v>
          </cell>
          <cell r="F17">
            <v>12000</v>
          </cell>
          <cell r="G17">
            <v>31</v>
          </cell>
          <cell r="H17">
            <v>12000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12000</v>
          </cell>
          <cell r="N17">
            <v>286.83</v>
          </cell>
          <cell r="O17">
            <v>110</v>
          </cell>
        </row>
        <row r="18">
          <cell r="C18" t="str">
            <v>黄伟超</v>
          </cell>
          <cell r="D18">
            <v>10000</v>
          </cell>
          <cell r="E18">
            <v>0</v>
          </cell>
          <cell r="F18">
            <v>10000</v>
          </cell>
          <cell r="G18">
            <v>32</v>
          </cell>
          <cell r="H18">
            <v>10322.58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10322.58</v>
          </cell>
          <cell r="N18">
            <v>286.83</v>
          </cell>
          <cell r="O18">
            <v>110</v>
          </cell>
        </row>
        <row r="19">
          <cell r="C19" t="str">
            <v>赵丽君</v>
          </cell>
          <cell r="D19">
            <v>10000</v>
          </cell>
          <cell r="E19">
            <v>3000</v>
          </cell>
          <cell r="F19">
            <v>13000</v>
          </cell>
          <cell r="G19">
            <v>31</v>
          </cell>
          <cell r="H19">
            <v>13000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13000</v>
          </cell>
          <cell r="N19">
            <v>0</v>
          </cell>
          <cell r="O19">
            <v>0</v>
          </cell>
        </row>
        <row r="20">
          <cell r="C20" t="str">
            <v>周奕彤</v>
          </cell>
          <cell r="D20">
            <v>3000</v>
          </cell>
          <cell r="E20">
            <v>0</v>
          </cell>
          <cell r="F20">
            <v>3000</v>
          </cell>
          <cell r="G20">
            <v>29</v>
          </cell>
          <cell r="H20">
            <v>2806.45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2806.45</v>
          </cell>
          <cell r="N20">
            <v>0</v>
          </cell>
          <cell r="O20">
            <v>0</v>
          </cell>
        </row>
        <row r="21">
          <cell r="C21" t="str">
            <v>许亚红</v>
          </cell>
          <cell r="D21">
            <v>18000</v>
          </cell>
          <cell r="E21">
            <v>0</v>
          </cell>
          <cell r="F21">
            <v>18000</v>
          </cell>
          <cell r="G21">
            <v>31</v>
          </cell>
          <cell r="H21">
            <v>18000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18000</v>
          </cell>
          <cell r="N21">
            <v>286.83</v>
          </cell>
          <cell r="O21">
            <v>110</v>
          </cell>
        </row>
        <row r="22">
          <cell r="C22" t="str">
            <v>原田</v>
          </cell>
          <cell r="D22">
            <v>10000</v>
          </cell>
          <cell r="E22">
            <v>0</v>
          </cell>
          <cell r="F22">
            <v>10000</v>
          </cell>
          <cell r="G22">
            <v>31</v>
          </cell>
          <cell r="H22">
            <v>9322.58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9322.58</v>
          </cell>
          <cell r="N22">
            <v>286.83</v>
          </cell>
          <cell r="O22">
            <v>110</v>
          </cell>
        </row>
        <row r="23">
          <cell r="C23" t="str">
            <v>曾波</v>
          </cell>
          <cell r="D23">
            <v>10000</v>
          </cell>
          <cell r="E23">
            <v>3000</v>
          </cell>
          <cell r="F23">
            <v>13000</v>
          </cell>
          <cell r="G23">
            <v>31</v>
          </cell>
          <cell r="H23">
            <v>13000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13000</v>
          </cell>
          <cell r="N23">
            <v>310.83</v>
          </cell>
          <cell r="O23">
            <v>125</v>
          </cell>
        </row>
        <row r="24">
          <cell r="C24" t="str">
            <v>谭开强</v>
          </cell>
          <cell r="D24">
            <v>22000</v>
          </cell>
          <cell r="E24">
            <v>0</v>
          </cell>
          <cell r="F24">
            <v>22000</v>
          </cell>
          <cell r="G24">
            <v>31</v>
          </cell>
          <cell r="H24">
            <v>22000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22000</v>
          </cell>
          <cell r="N24">
            <v>350.83</v>
          </cell>
          <cell r="O24">
            <v>150</v>
          </cell>
        </row>
        <row r="25">
          <cell r="C25" t="str">
            <v>孟宪滨</v>
          </cell>
          <cell r="D25">
            <v>11000</v>
          </cell>
          <cell r="E25">
            <v>0</v>
          </cell>
          <cell r="F25">
            <v>11000</v>
          </cell>
          <cell r="G25">
            <v>18</v>
          </cell>
          <cell r="H25">
            <v>6387.1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6387.1</v>
          </cell>
          <cell r="N25">
            <v>286.83</v>
          </cell>
          <cell r="O25">
            <v>110</v>
          </cell>
        </row>
        <row r="26">
          <cell r="C26" t="str">
            <v>马福臣</v>
          </cell>
          <cell r="D26">
            <v>10000</v>
          </cell>
          <cell r="E26">
            <v>0</v>
          </cell>
          <cell r="F26">
            <v>10000</v>
          </cell>
          <cell r="G26">
            <v>31</v>
          </cell>
          <cell r="H26">
            <v>10000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10000</v>
          </cell>
          <cell r="N26">
            <v>286.83</v>
          </cell>
          <cell r="O26">
            <v>110</v>
          </cell>
        </row>
        <row r="27">
          <cell r="C27" t="str">
            <v>张铭焯</v>
          </cell>
          <cell r="D27">
            <v>8000</v>
          </cell>
          <cell r="E27">
            <v>0</v>
          </cell>
          <cell r="F27">
            <v>8000</v>
          </cell>
          <cell r="G27">
            <v>31</v>
          </cell>
          <cell r="H27">
            <v>8000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8000</v>
          </cell>
          <cell r="N27">
            <v>286.83</v>
          </cell>
          <cell r="O27">
            <v>110</v>
          </cell>
        </row>
        <row r="28">
          <cell r="C28" t="str">
            <v>王亚文</v>
          </cell>
          <cell r="D28">
            <v>7500</v>
          </cell>
          <cell r="E28">
            <v>0</v>
          </cell>
          <cell r="F28">
            <v>7500</v>
          </cell>
          <cell r="G28">
            <v>3</v>
          </cell>
          <cell r="H28">
            <v>725.81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725.81</v>
          </cell>
          <cell r="N28">
            <v>0</v>
          </cell>
          <cell r="O28">
            <v>0</v>
          </cell>
        </row>
        <row r="29">
          <cell r="C29" t="str">
            <v>石生仑</v>
          </cell>
          <cell r="D29">
            <v>5400</v>
          </cell>
          <cell r="E29">
            <v>0</v>
          </cell>
          <cell r="F29">
            <v>5400</v>
          </cell>
          <cell r="G29">
            <v>31</v>
          </cell>
          <cell r="H29">
            <v>5400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5400</v>
          </cell>
          <cell r="N29">
            <v>0</v>
          </cell>
          <cell r="O29">
            <v>0</v>
          </cell>
        </row>
        <row r="30">
          <cell r="C30" t="str">
            <v>吴开权</v>
          </cell>
          <cell r="D30">
            <v>10000</v>
          </cell>
          <cell r="E30">
            <v>0</v>
          </cell>
          <cell r="F30">
            <v>10000</v>
          </cell>
          <cell r="G30">
            <v>31</v>
          </cell>
          <cell r="H30">
            <v>10000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10000</v>
          </cell>
          <cell r="N30">
            <v>286.83</v>
          </cell>
          <cell r="O30">
            <v>110</v>
          </cell>
        </row>
        <row r="31">
          <cell r="C31" t="str">
            <v>涂国员</v>
          </cell>
          <cell r="D31">
            <v>10000</v>
          </cell>
          <cell r="E31">
            <v>3000</v>
          </cell>
          <cell r="F31">
            <v>13000</v>
          </cell>
          <cell r="G31">
            <v>31</v>
          </cell>
          <cell r="H31">
            <v>13000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13000</v>
          </cell>
          <cell r="N31">
            <v>286.83</v>
          </cell>
          <cell r="O31">
            <v>110</v>
          </cell>
        </row>
        <row r="32">
          <cell r="C32" t="str">
            <v>丁小春</v>
          </cell>
          <cell r="D32">
            <v>10000</v>
          </cell>
          <cell r="E32">
            <v>3000</v>
          </cell>
          <cell r="F32">
            <v>13000</v>
          </cell>
          <cell r="G32">
            <v>31</v>
          </cell>
          <cell r="H32">
            <v>13000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13000</v>
          </cell>
          <cell r="N32">
            <v>286.83</v>
          </cell>
          <cell r="O32">
            <v>110</v>
          </cell>
        </row>
        <row r="33">
          <cell r="C33" t="str">
            <v>李斌</v>
          </cell>
          <cell r="D33">
            <v>10000</v>
          </cell>
          <cell r="E33">
            <v>0</v>
          </cell>
          <cell r="F33">
            <v>10000</v>
          </cell>
          <cell r="G33">
            <v>23</v>
          </cell>
          <cell r="H33">
            <v>7419.35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7419.35</v>
          </cell>
          <cell r="N33">
            <v>286.83</v>
          </cell>
          <cell r="O33">
            <v>110</v>
          </cell>
        </row>
        <row r="34">
          <cell r="C34" t="str">
            <v>汤迦禄</v>
          </cell>
          <cell r="D34">
            <v>6000</v>
          </cell>
          <cell r="E34">
            <v>0</v>
          </cell>
          <cell r="F34">
            <v>6000</v>
          </cell>
          <cell r="G34">
            <v>31</v>
          </cell>
          <cell r="H34">
            <v>6000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6000</v>
          </cell>
          <cell r="N34">
            <v>286.83</v>
          </cell>
          <cell r="O34">
            <v>110</v>
          </cell>
        </row>
        <row r="35">
          <cell r="C35" t="str">
            <v>刘九章</v>
          </cell>
          <cell r="D35">
            <v>12000</v>
          </cell>
          <cell r="E35">
            <v>0</v>
          </cell>
          <cell r="F35">
            <v>12000</v>
          </cell>
          <cell r="G35">
            <v>7</v>
          </cell>
          <cell r="H35">
            <v>2709.68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2709.68</v>
          </cell>
          <cell r="N35">
            <v>0</v>
          </cell>
          <cell r="O35">
            <v>0</v>
          </cell>
        </row>
        <row r="36">
          <cell r="C36" t="str">
            <v>邓思顿</v>
          </cell>
          <cell r="D36">
            <v>7500</v>
          </cell>
          <cell r="E36">
            <v>0</v>
          </cell>
          <cell r="F36">
            <v>7500</v>
          </cell>
          <cell r="G36">
            <v>16</v>
          </cell>
          <cell r="H36">
            <v>3870.97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3870.97</v>
          </cell>
          <cell r="N36">
            <v>203.35</v>
          </cell>
          <cell r="O36">
            <v>110</v>
          </cell>
        </row>
        <row r="37">
          <cell r="C37" t="str">
            <v>徐国连</v>
          </cell>
          <cell r="D37">
            <v>15000</v>
          </cell>
          <cell r="E37">
            <v>5000</v>
          </cell>
          <cell r="F37">
            <v>20000</v>
          </cell>
          <cell r="G37">
            <v>31</v>
          </cell>
          <cell r="H37">
            <v>20000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20000</v>
          </cell>
          <cell r="N37">
            <v>286.83</v>
          </cell>
          <cell r="O37">
            <v>110</v>
          </cell>
        </row>
        <row r="38">
          <cell r="C38" t="str">
            <v>陈汉锰</v>
          </cell>
          <cell r="D38">
            <v>13000</v>
          </cell>
          <cell r="E38">
            <v>3000</v>
          </cell>
          <cell r="F38">
            <v>16000</v>
          </cell>
          <cell r="G38">
            <v>30.88</v>
          </cell>
          <cell r="H38">
            <v>15938.06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15938.06</v>
          </cell>
          <cell r="N38">
            <v>310.83</v>
          </cell>
          <cell r="O38">
            <v>125</v>
          </cell>
        </row>
        <row r="39">
          <cell r="C39" t="str">
            <v>农乐</v>
          </cell>
          <cell r="D39">
            <v>10000</v>
          </cell>
          <cell r="E39">
            <v>0</v>
          </cell>
          <cell r="F39">
            <v>10000</v>
          </cell>
          <cell r="G39">
            <v>15</v>
          </cell>
          <cell r="H39">
            <v>4838.71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4838.71</v>
          </cell>
          <cell r="N39">
            <v>0</v>
          </cell>
          <cell r="O39">
            <v>0</v>
          </cell>
        </row>
        <row r="40">
          <cell r="C40" t="str">
            <v>林秀映</v>
          </cell>
          <cell r="D40">
            <v>5500</v>
          </cell>
          <cell r="E40">
            <v>0</v>
          </cell>
          <cell r="F40">
            <v>5500</v>
          </cell>
          <cell r="G40">
            <v>31</v>
          </cell>
          <cell r="H40">
            <v>5500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5500</v>
          </cell>
          <cell r="N40">
            <v>286.83</v>
          </cell>
          <cell r="O40">
            <v>110</v>
          </cell>
        </row>
        <row r="41">
          <cell r="C41" t="str">
            <v>颜爱</v>
          </cell>
          <cell r="D41">
            <v>11000</v>
          </cell>
          <cell r="E41">
            <v>0</v>
          </cell>
          <cell r="F41">
            <v>11000</v>
          </cell>
          <cell r="G41">
            <v>31</v>
          </cell>
          <cell r="H41">
            <v>11000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11000</v>
          </cell>
          <cell r="N41">
            <v>286.83</v>
          </cell>
          <cell r="O41">
            <v>110</v>
          </cell>
        </row>
        <row r="42">
          <cell r="C42" t="str">
            <v>方巧君</v>
          </cell>
          <cell r="D42">
            <v>15000</v>
          </cell>
          <cell r="E42">
            <v>0</v>
          </cell>
          <cell r="F42">
            <v>15000</v>
          </cell>
          <cell r="G42">
            <v>30</v>
          </cell>
          <cell r="H42">
            <v>14516.13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14516.13</v>
          </cell>
          <cell r="N42">
            <v>286.83</v>
          </cell>
          <cell r="O42">
            <v>110</v>
          </cell>
        </row>
        <row r="43">
          <cell r="C43" t="str">
            <v>张俏</v>
          </cell>
          <cell r="D43">
            <v>14000</v>
          </cell>
          <cell r="E43">
            <v>0</v>
          </cell>
          <cell r="F43">
            <v>14000</v>
          </cell>
          <cell r="G43">
            <v>30</v>
          </cell>
          <cell r="H43">
            <v>13548.39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13548.39</v>
          </cell>
          <cell r="N43">
            <v>286.83</v>
          </cell>
          <cell r="O43">
            <v>110</v>
          </cell>
        </row>
        <row r="44">
          <cell r="C44" t="str">
            <v>利柱成</v>
          </cell>
          <cell r="D44">
            <v>15000</v>
          </cell>
          <cell r="E44">
            <v>0</v>
          </cell>
          <cell r="F44">
            <v>15000</v>
          </cell>
          <cell r="G44">
            <v>30.38</v>
          </cell>
          <cell r="H44">
            <v>14700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14700</v>
          </cell>
          <cell r="N44">
            <v>286.83</v>
          </cell>
          <cell r="O44">
            <v>110</v>
          </cell>
        </row>
        <row r="45">
          <cell r="C45" t="str">
            <v>汤真伟</v>
          </cell>
          <cell r="D45">
            <v>11000</v>
          </cell>
          <cell r="E45">
            <v>0</v>
          </cell>
          <cell r="F45">
            <v>11000</v>
          </cell>
          <cell r="G45">
            <v>31</v>
          </cell>
          <cell r="H45">
            <v>10516.130000000001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10516.130000000001</v>
          </cell>
          <cell r="N45">
            <v>286.83</v>
          </cell>
          <cell r="O45">
            <v>110</v>
          </cell>
        </row>
        <row r="46">
          <cell r="C46" t="str">
            <v>王振华</v>
          </cell>
          <cell r="D46">
            <v>12000</v>
          </cell>
          <cell r="E46">
            <v>0</v>
          </cell>
          <cell r="F46">
            <v>12000</v>
          </cell>
          <cell r="G46">
            <v>31</v>
          </cell>
          <cell r="H46">
            <v>12000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12000</v>
          </cell>
          <cell r="N46">
            <v>0</v>
          </cell>
          <cell r="O46">
            <v>0</v>
          </cell>
        </row>
        <row r="47">
          <cell r="C47" t="str">
            <v>吴泽宏</v>
          </cell>
          <cell r="D47">
            <v>6000</v>
          </cell>
          <cell r="E47">
            <v>0</v>
          </cell>
          <cell r="F47">
            <v>6000</v>
          </cell>
          <cell r="G47">
            <v>30.5</v>
          </cell>
          <cell r="H47">
            <v>5903.23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5903.23</v>
          </cell>
          <cell r="N47">
            <v>286.83</v>
          </cell>
          <cell r="O47">
            <v>110</v>
          </cell>
        </row>
        <row r="48">
          <cell r="C48" t="str">
            <v>刘婧娴</v>
          </cell>
          <cell r="D48">
            <v>12000</v>
          </cell>
          <cell r="E48">
            <v>3000</v>
          </cell>
          <cell r="F48">
            <v>15000</v>
          </cell>
          <cell r="G48">
            <v>30</v>
          </cell>
          <cell r="H48">
            <v>14516.13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14516.13</v>
          </cell>
          <cell r="N48">
            <v>286.83</v>
          </cell>
          <cell r="O48">
            <v>110</v>
          </cell>
        </row>
        <row r="49">
          <cell r="C49" t="str">
            <v>张伟</v>
          </cell>
          <cell r="D49">
            <v>10000</v>
          </cell>
          <cell r="E49">
            <v>0</v>
          </cell>
          <cell r="F49">
            <v>10000</v>
          </cell>
          <cell r="G49">
            <v>26</v>
          </cell>
          <cell r="H49">
            <v>8387.1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8387.1</v>
          </cell>
          <cell r="N49">
            <v>286.83</v>
          </cell>
          <cell r="O49">
            <v>110</v>
          </cell>
        </row>
        <row r="50">
          <cell r="C50" t="str">
            <v>叶玲燕</v>
          </cell>
          <cell r="D50">
            <v>5500</v>
          </cell>
          <cell r="E50">
            <v>0</v>
          </cell>
          <cell r="F50">
            <v>5500</v>
          </cell>
          <cell r="G50">
            <v>12</v>
          </cell>
          <cell r="H50">
            <v>2129.0300000000002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2129.0300000000002</v>
          </cell>
          <cell r="N50">
            <v>0</v>
          </cell>
          <cell r="O50">
            <v>0</v>
          </cell>
        </row>
        <row r="51">
          <cell r="C51" t="str">
            <v>梁立硕</v>
          </cell>
          <cell r="D51">
            <v>5500</v>
          </cell>
          <cell r="E51">
            <v>0</v>
          </cell>
          <cell r="F51">
            <v>5500</v>
          </cell>
          <cell r="G51">
            <v>16</v>
          </cell>
          <cell r="H51">
            <v>2838.71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2838.71</v>
          </cell>
          <cell r="N51">
            <v>203.35</v>
          </cell>
          <cell r="O51">
            <v>110</v>
          </cell>
        </row>
        <row r="52">
          <cell r="C52" t="str">
            <v>钟欣彤</v>
          </cell>
          <cell r="D52">
            <v>9000</v>
          </cell>
          <cell r="E52">
            <v>0</v>
          </cell>
          <cell r="F52">
            <v>9000</v>
          </cell>
          <cell r="G52">
            <v>31</v>
          </cell>
          <cell r="H52">
            <v>9000</v>
          </cell>
          <cell r="I52">
            <v>0</v>
          </cell>
          <cell r="J52">
            <v>6937.4</v>
          </cell>
          <cell r="K52">
            <v>0</v>
          </cell>
          <cell r="L52">
            <v>0</v>
          </cell>
          <cell r="M52">
            <v>15937.4</v>
          </cell>
          <cell r="N52">
            <v>310.83</v>
          </cell>
          <cell r="O52">
            <v>125</v>
          </cell>
        </row>
        <row r="53">
          <cell r="C53" t="str">
            <v>朱聪</v>
          </cell>
          <cell r="D53">
            <v>8000</v>
          </cell>
          <cell r="E53">
            <v>0</v>
          </cell>
          <cell r="F53">
            <v>8000</v>
          </cell>
          <cell r="G53">
            <v>33</v>
          </cell>
          <cell r="H53">
            <v>8516.1299999999992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8516.1299999999992</v>
          </cell>
          <cell r="N53">
            <v>310.83</v>
          </cell>
          <cell r="O53">
            <v>125</v>
          </cell>
        </row>
        <row r="54">
          <cell r="C54" t="str">
            <v>裴春晓</v>
          </cell>
          <cell r="D54">
            <v>8000</v>
          </cell>
          <cell r="E54">
            <v>0</v>
          </cell>
          <cell r="F54">
            <v>8000</v>
          </cell>
          <cell r="G54">
            <v>31</v>
          </cell>
          <cell r="H54">
            <v>8000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8000</v>
          </cell>
          <cell r="N54">
            <v>310.83</v>
          </cell>
          <cell r="O54">
            <v>125</v>
          </cell>
        </row>
        <row r="55">
          <cell r="C55" t="str">
            <v>周智萍</v>
          </cell>
          <cell r="D55">
            <v>7500</v>
          </cell>
          <cell r="E55">
            <v>2500</v>
          </cell>
          <cell r="F55">
            <v>10000</v>
          </cell>
          <cell r="G55">
            <v>32</v>
          </cell>
          <cell r="H55">
            <v>10322.58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10322.58</v>
          </cell>
          <cell r="N55">
            <v>286.83</v>
          </cell>
          <cell r="O55">
            <v>110</v>
          </cell>
        </row>
        <row r="56">
          <cell r="C56" t="str">
            <v>陈海静</v>
          </cell>
          <cell r="D56">
            <v>9000</v>
          </cell>
          <cell r="E56">
            <v>0</v>
          </cell>
          <cell r="F56">
            <v>9000</v>
          </cell>
          <cell r="G56">
            <v>31</v>
          </cell>
          <cell r="H56">
            <v>9000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9000</v>
          </cell>
          <cell r="N56">
            <v>286.83</v>
          </cell>
          <cell r="O56">
            <v>110</v>
          </cell>
        </row>
        <row r="57">
          <cell r="C57" t="str">
            <v>孟楠楠</v>
          </cell>
          <cell r="D57">
            <v>5500</v>
          </cell>
          <cell r="E57">
            <v>0</v>
          </cell>
          <cell r="F57">
            <v>5500</v>
          </cell>
          <cell r="G57">
            <v>15.5</v>
          </cell>
          <cell r="H57">
            <v>2750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2750</v>
          </cell>
          <cell r="N57">
            <v>286.83</v>
          </cell>
          <cell r="O57">
            <v>110</v>
          </cell>
        </row>
        <row r="58">
          <cell r="C58" t="str">
            <v>林醒霞</v>
          </cell>
          <cell r="D58">
            <v>6000</v>
          </cell>
          <cell r="E58">
            <v>0</v>
          </cell>
          <cell r="F58">
            <v>6000</v>
          </cell>
          <cell r="G58">
            <v>31</v>
          </cell>
          <cell r="H58">
            <v>6000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6000</v>
          </cell>
          <cell r="N58">
            <v>286.83</v>
          </cell>
          <cell r="O58">
            <v>110</v>
          </cell>
        </row>
        <row r="59">
          <cell r="C59" t="str">
            <v>廖嘉宜</v>
          </cell>
          <cell r="D59">
            <v>7000</v>
          </cell>
          <cell r="E59">
            <v>0</v>
          </cell>
          <cell r="F59">
            <v>7000</v>
          </cell>
          <cell r="G59">
            <v>31</v>
          </cell>
          <cell r="H59">
            <v>7000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7000</v>
          </cell>
          <cell r="N59">
            <v>286.83</v>
          </cell>
          <cell r="O59">
            <v>110</v>
          </cell>
        </row>
        <row r="60">
          <cell r="C60" t="str">
            <v>韦仕荣</v>
          </cell>
          <cell r="D60">
            <v>5500</v>
          </cell>
          <cell r="E60">
            <v>0</v>
          </cell>
          <cell r="F60">
            <v>5500</v>
          </cell>
          <cell r="G60">
            <v>30</v>
          </cell>
          <cell r="H60">
            <v>5322.58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5322.58</v>
          </cell>
          <cell r="N60">
            <v>286.83</v>
          </cell>
          <cell r="O60">
            <v>110</v>
          </cell>
        </row>
        <row r="61">
          <cell r="C61" t="str">
            <v>曾雪连</v>
          </cell>
          <cell r="D61">
            <v>5500</v>
          </cell>
          <cell r="E61">
            <v>0</v>
          </cell>
          <cell r="F61">
            <v>5500</v>
          </cell>
          <cell r="G61">
            <v>9</v>
          </cell>
          <cell r="H61">
            <v>1596.77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1596.77</v>
          </cell>
          <cell r="N61">
            <v>0</v>
          </cell>
          <cell r="O61">
            <v>0</v>
          </cell>
        </row>
        <row r="62">
          <cell r="C62" t="str">
            <v>赖慧愈</v>
          </cell>
          <cell r="D62">
            <v>7000</v>
          </cell>
          <cell r="E62">
            <v>0</v>
          </cell>
          <cell r="F62">
            <v>7000</v>
          </cell>
          <cell r="G62">
            <v>4</v>
          </cell>
          <cell r="H62">
            <v>903.23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903.23</v>
          </cell>
          <cell r="N62">
            <v>0</v>
          </cell>
          <cell r="O62">
            <v>0</v>
          </cell>
        </row>
        <row r="63">
          <cell r="C63" t="str">
            <v>刘静</v>
          </cell>
          <cell r="D63">
            <v>5000</v>
          </cell>
          <cell r="E63">
            <v>0</v>
          </cell>
          <cell r="F63">
            <v>5000</v>
          </cell>
          <cell r="G63">
            <v>13</v>
          </cell>
          <cell r="H63">
            <v>2096.77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2096.77</v>
          </cell>
          <cell r="N63">
            <v>0</v>
          </cell>
          <cell r="O63">
            <v>0</v>
          </cell>
        </row>
        <row r="64">
          <cell r="C64" t="str">
            <v>李果太</v>
          </cell>
          <cell r="D64">
            <v>5000</v>
          </cell>
          <cell r="E64">
            <v>0</v>
          </cell>
          <cell r="F64">
            <v>5000</v>
          </cell>
          <cell r="G64">
            <v>13</v>
          </cell>
          <cell r="H64">
            <v>2096.77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2096.77</v>
          </cell>
          <cell r="N64">
            <v>0</v>
          </cell>
          <cell r="O64">
            <v>0</v>
          </cell>
        </row>
        <row r="65">
          <cell r="C65" t="str">
            <v>张贺宣</v>
          </cell>
          <cell r="D65">
            <v>5000</v>
          </cell>
          <cell r="E65">
            <v>0</v>
          </cell>
          <cell r="F65">
            <v>5000</v>
          </cell>
          <cell r="G65">
            <v>13</v>
          </cell>
          <cell r="H65">
            <v>2096.77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2096.77</v>
          </cell>
          <cell r="N65">
            <v>0</v>
          </cell>
          <cell r="O65">
            <v>0</v>
          </cell>
        </row>
        <row r="66">
          <cell r="C66" t="str">
            <v>王铭</v>
          </cell>
          <cell r="D66">
            <v>5000</v>
          </cell>
          <cell r="E66">
            <v>0</v>
          </cell>
          <cell r="F66">
            <v>5000</v>
          </cell>
          <cell r="G66">
            <v>5</v>
          </cell>
          <cell r="H66">
            <v>806.45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806.45</v>
          </cell>
          <cell r="N66">
            <v>0</v>
          </cell>
          <cell r="O66">
            <v>0</v>
          </cell>
        </row>
        <row r="67">
          <cell r="C67" t="str">
            <v>高文远</v>
          </cell>
          <cell r="D67">
            <v>6000</v>
          </cell>
          <cell r="E67">
            <v>0</v>
          </cell>
          <cell r="F67">
            <v>6000</v>
          </cell>
          <cell r="G67">
            <v>30.5</v>
          </cell>
          <cell r="H67">
            <v>5903.23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5903.23</v>
          </cell>
          <cell r="N67">
            <v>286.83</v>
          </cell>
          <cell r="O67">
            <v>110</v>
          </cell>
        </row>
        <row r="68">
          <cell r="C68" t="str">
            <v>覃恩侨</v>
          </cell>
          <cell r="D68">
            <v>19000</v>
          </cell>
          <cell r="E68">
            <v>0</v>
          </cell>
          <cell r="F68">
            <v>19000</v>
          </cell>
          <cell r="G68">
            <v>31</v>
          </cell>
          <cell r="H68">
            <v>19000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19000</v>
          </cell>
          <cell r="N68">
            <v>350.83</v>
          </cell>
          <cell r="O68">
            <v>150</v>
          </cell>
        </row>
        <row r="69">
          <cell r="C69" t="str">
            <v>李景秋</v>
          </cell>
          <cell r="D69">
            <v>15000</v>
          </cell>
          <cell r="E69">
            <v>0</v>
          </cell>
          <cell r="F69">
            <v>15000</v>
          </cell>
          <cell r="G69">
            <v>31</v>
          </cell>
          <cell r="H69">
            <v>15000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15000</v>
          </cell>
          <cell r="N69">
            <v>286.83</v>
          </cell>
          <cell r="O69">
            <v>110</v>
          </cell>
        </row>
        <row r="70">
          <cell r="C70" t="str">
            <v>马曼璇</v>
          </cell>
          <cell r="D70">
            <v>8000</v>
          </cell>
          <cell r="E70">
            <v>0</v>
          </cell>
          <cell r="F70">
            <v>8000</v>
          </cell>
          <cell r="G70">
            <v>31</v>
          </cell>
          <cell r="H70">
            <v>8000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8000</v>
          </cell>
          <cell r="N70">
            <v>286.83</v>
          </cell>
          <cell r="O70">
            <v>110</v>
          </cell>
        </row>
        <row r="71">
          <cell r="C71" t="str">
            <v>覃芳龄</v>
          </cell>
          <cell r="D71">
            <v>6000</v>
          </cell>
          <cell r="E71">
            <v>0</v>
          </cell>
          <cell r="F71">
            <v>6000</v>
          </cell>
          <cell r="G71">
            <v>27</v>
          </cell>
          <cell r="H71">
            <v>5225.8100000000004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5225.8100000000004</v>
          </cell>
          <cell r="N71">
            <v>286.83</v>
          </cell>
          <cell r="O71">
            <v>110</v>
          </cell>
        </row>
        <row r="72">
          <cell r="C72" t="str">
            <v>聂芬</v>
          </cell>
          <cell r="D72">
            <v>5500</v>
          </cell>
          <cell r="E72">
            <v>0</v>
          </cell>
          <cell r="F72">
            <v>5500</v>
          </cell>
          <cell r="G72">
            <v>21</v>
          </cell>
          <cell r="H72">
            <v>3725.81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3725.81</v>
          </cell>
          <cell r="N72">
            <v>286.83</v>
          </cell>
          <cell r="O72">
            <v>110</v>
          </cell>
        </row>
        <row r="73">
          <cell r="C73" t="str">
            <v>游丹</v>
          </cell>
          <cell r="D73">
            <v>6000</v>
          </cell>
          <cell r="E73">
            <v>0</v>
          </cell>
          <cell r="F73">
            <v>6000</v>
          </cell>
          <cell r="G73">
            <v>20</v>
          </cell>
          <cell r="H73">
            <v>3870.97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3870.97</v>
          </cell>
          <cell r="N73">
            <v>286.83</v>
          </cell>
          <cell r="O73">
            <v>110</v>
          </cell>
        </row>
        <row r="74">
          <cell r="C74" t="str">
            <v>李志萍</v>
          </cell>
          <cell r="D74">
            <v>20000</v>
          </cell>
          <cell r="F74">
            <v>20000</v>
          </cell>
          <cell r="G74">
            <v>31</v>
          </cell>
          <cell r="H74">
            <v>20000</v>
          </cell>
          <cell r="M74">
            <v>20000</v>
          </cell>
        </row>
        <row r="75">
          <cell r="C75" t="str">
            <v>詹杰龙</v>
          </cell>
          <cell r="D75">
            <v>8000</v>
          </cell>
          <cell r="E75">
            <v>0</v>
          </cell>
          <cell r="F75">
            <v>8000</v>
          </cell>
          <cell r="G75">
            <v>31</v>
          </cell>
          <cell r="H75">
            <v>8000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8000</v>
          </cell>
          <cell r="N75">
            <v>310.83</v>
          </cell>
          <cell r="O75">
            <v>125</v>
          </cell>
        </row>
        <row r="76">
          <cell r="C76" t="str">
            <v>徐文强</v>
          </cell>
          <cell r="D76">
            <v>10000</v>
          </cell>
          <cell r="E76">
            <v>0</v>
          </cell>
          <cell r="F76">
            <v>10000</v>
          </cell>
          <cell r="G76">
            <v>31</v>
          </cell>
          <cell r="H76">
            <v>10000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10000</v>
          </cell>
          <cell r="N76">
            <v>310.83</v>
          </cell>
          <cell r="O76">
            <v>125</v>
          </cell>
        </row>
        <row r="77">
          <cell r="C77" t="str">
            <v>钟深连</v>
          </cell>
          <cell r="D77">
            <v>7000</v>
          </cell>
          <cell r="E77">
            <v>0</v>
          </cell>
          <cell r="F77">
            <v>7000</v>
          </cell>
          <cell r="G77">
            <v>30.75</v>
          </cell>
          <cell r="H77">
            <v>6977.42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6977.42</v>
          </cell>
          <cell r="N77">
            <v>286.83</v>
          </cell>
          <cell r="O77">
            <v>110</v>
          </cell>
        </row>
        <row r="78">
          <cell r="C78" t="str">
            <v>王小芳</v>
          </cell>
          <cell r="D78">
            <v>6000</v>
          </cell>
          <cell r="E78">
            <v>0</v>
          </cell>
          <cell r="F78">
            <v>6000</v>
          </cell>
          <cell r="G78">
            <v>31</v>
          </cell>
          <cell r="H78">
            <v>6000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6000</v>
          </cell>
          <cell r="N78">
            <v>286.83</v>
          </cell>
          <cell r="O78">
            <v>110</v>
          </cell>
        </row>
        <row r="79">
          <cell r="C79" t="str">
            <v>胡克华</v>
          </cell>
          <cell r="D79">
            <v>15000</v>
          </cell>
          <cell r="E79">
            <v>0</v>
          </cell>
          <cell r="F79">
            <v>15000</v>
          </cell>
          <cell r="G79">
            <v>31</v>
          </cell>
          <cell r="H79">
            <v>15000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15000</v>
          </cell>
          <cell r="N79">
            <v>0</v>
          </cell>
          <cell r="O79">
            <v>0</v>
          </cell>
        </row>
        <row r="80">
          <cell r="C80" t="str">
            <v>胡蓉</v>
          </cell>
          <cell r="D80">
            <v>10000</v>
          </cell>
          <cell r="E80">
            <v>0</v>
          </cell>
          <cell r="F80">
            <v>10000</v>
          </cell>
          <cell r="G80">
            <v>30</v>
          </cell>
          <cell r="H80">
            <v>9677.42</v>
          </cell>
          <cell r="I80">
            <v>2650</v>
          </cell>
          <cell r="J80">
            <v>0</v>
          </cell>
          <cell r="K80">
            <v>0</v>
          </cell>
          <cell r="L80">
            <v>0</v>
          </cell>
          <cell r="M80">
            <v>12327.42</v>
          </cell>
          <cell r="N80">
            <v>286.83</v>
          </cell>
          <cell r="O80">
            <v>110</v>
          </cell>
        </row>
        <row r="81">
          <cell r="C81" t="str">
            <v>罗思洁</v>
          </cell>
          <cell r="D81">
            <v>6000</v>
          </cell>
          <cell r="E81">
            <v>0</v>
          </cell>
          <cell r="F81">
            <v>6000</v>
          </cell>
          <cell r="G81">
            <v>20.5</v>
          </cell>
          <cell r="H81">
            <v>3967.74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3967.74</v>
          </cell>
          <cell r="N81">
            <v>286.83</v>
          </cell>
          <cell r="O81">
            <v>110</v>
          </cell>
        </row>
        <row r="82">
          <cell r="C82" t="str">
            <v>陈思奇</v>
          </cell>
          <cell r="D82">
            <v>5500</v>
          </cell>
          <cell r="E82">
            <v>0</v>
          </cell>
          <cell r="F82">
            <v>5500</v>
          </cell>
          <cell r="G82">
            <v>5</v>
          </cell>
          <cell r="H82">
            <v>887.1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887.1</v>
          </cell>
          <cell r="N82">
            <v>0</v>
          </cell>
          <cell r="O82">
            <v>0</v>
          </cell>
        </row>
        <row r="83">
          <cell r="C83" t="str">
            <v>吴诗曼</v>
          </cell>
          <cell r="D83">
            <v>8000</v>
          </cell>
          <cell r="E83">
            <v>0</v>
          </cell>
          <cell r="F83">
            <v>8000</v>
          </cell>
          <cell r="G83">
            <v>31</v>
          </cell>
          <cell r="H83">
            <v>8000</v>
          </cell>
          <cell r="I83">
            <v>2650</v>
          </cell>
          <cell r="J83">
            <v>0</v>
          </cell>
          <cell r="K83">
            <v>0</v>
          </cell>
          <cell r="L83">
            <v>0</v>
          </cell>
          <cell r="M83">
            <v>10650</v>
          </cell>
          <cell r="N83">
            <v>286.83</v>
          </cell>
          <cell r="O83">
            <v>110</v>
          </cell>
        </row>
        <row r="84">
          <cell r="C84" t="str">
            <v>赵泽辉</v>
          </cell>
          <cell r="D84">
            <v>14000</v>
          </cell>
          <cell r="F84">
            <v>14000</v>
          </cell>
          <cell r="G84">
            <v>31</v>
          </cell>
          <cell r="H84">
            <v>14000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14000</v>
          </cell>
          <cell r="N84">
            <v>310.83</v>
          </cell>
          <cell r="O84">
            <v>125</v>
          </cell>
        </row>
        <row r="85">
          <cell r="C85" t="str">
            <v>温东岳</v>
          </cell>
          <cell r="D85">
            <v>13000</v>
          </cell>
          <cell r="F85">
            <v>13000</v>
          </cell>
          <cell r="G85">
            <v>31</v>
          </cell>
          <cell r="H85">
            <v>13000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13000</v>
          </cell>
          <cell r="N85">
            <v>310.83</v>
          </cell>
          <cell r="O85">
            <v>125</v>
          </cell>
        </row>
        <row r="86">
          <cell r="C86" t="str">
            <v>韦品玉</v>
          </cell>
          <cell r="D86">
            <v>12000</v>
          </cell>
          <cell r="E86">
            <v>0</v>
          </cell>
          <cell r="F86">
            <v>12000</v>
          </cell>
          <cell r="G86">
            <v>31</v>
          </cell>
          <cell r="H86">
            <v>12000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12000</v>
          </cell>
          <cell r="N86">
            <v>286.83</v>
          </cell>
          <cell r="O86">
            <v>110</v>
          </cell>
        </row>
        <row r="87">
          <cell r="C87" t="str">
            <v>朱凡</v>
          </cell>
          <cell r="D87">
            <v>12000</v>
          </cell>
          <cell r="E87">
            <v>0</v>
          </cell>
          <cell r="F87">
            <v>12000</v>
          </cell>
          <cell r="G87">
            <v>31</v>
          </cell>
          <cell r="H87">
            <v>12000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12000</v>
          </cell>
          <cell r="N87">
            <v>286.83</v>
          </cell>
          <cell r="O87">
            <v>110</v>
          </cell>
        </row>
        <row r="88">
          <cell r="C88" t="str">
            <v>肖立兵</v>
          </cell>
          <cell r="D88">
            <v>20000</v>
          </cell>
          <cell r="E88">
            <v>0</v>
          </cell>
          <cell r="F88">
            <v>20000</v>
          </cell>
          <cell r="G88">
            <v>31</v>
          </cell>
          <cell r="H88">
            <v>20000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20000</v>
          </cell>
          <cell r="N88">
            <v>286.83</v>
          </cell>
          <cell r="O88">
            <v>110</v>
          </cell>
        </row>
        <row r="89">
          <cell r="C89" t="str">
            <v>李彩玲</v>
          </cell>
          <cell r="D89">
            <v>12000</v>
          </cell>
          <cell r="E89">
            <v>0</v>
          </cell>
          <cell r="F89">
            <v>12000</v>
          </cell>
          <cell r="G89">
            <v>31</v>
          </cell>
          <cell r="H89">
            <v>11419.36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11419.36</v>
          </cell>
          <cell r="N89">
            <v>286.83</v>
          </cell>
          <cell r="O89">
            <v>110</v>
          </cell>
        </row>
        <row r="90">
          <cell r="C90" t="str">
            <v>连锐</v>
          </cell>
          <cell r="D90">
            <v>12000</v>
          </cell>
          <cell r="E90">
            <v>0</v>
          </cell>
          <cell r="F90">
            <v>12000</v>
          </cell>
          <cell r="G90">
            <v>30.88</v>
          </cell>
          <cell r="H90">
            <v>11953.55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11953.55</v>
          </cell>
          <cell r="N90">
            <v>286.83</v>
          </cell>
          <cell r="O90">
            <v>110</v>
          </cell>
        </row>
        <row r="91">
          <cell r="C91" t="str">
            <v>刘强</v>
          </cell>
          <cell r="D91">
            <v>14000</v>
          </cell>
          <cell r="E91">
            <v>0</v>
          </cell>
          <cell r="F91">
            <v>14000</v>
          </cell>
          <cell r="G91">
            <v>29</v>
          </cell>
          <cell r="H91">
            <v>13096.77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13096.77</v>
          </cell>
          <cell r="N91">
            <v>286.83</v>
          </cell>
          <cell r="O91">
            <v>110</v>
          </cell>
        </row>
        <row r="92">
          <cell r="C92" t="str">
            <v>陈宽</v>
          </cell>
          <cell r="D92">
            <v>13000</v>
          </cell>
          <cell r="E92">
            <v>0</v>
          </cell>
          <cell r="F92">
            <v>13000</v>
          </cell>
          <cell r="G92">
            <v>31</v>
          </cell>
          <cell r="H92">
            <v>13000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13000</v>
          </cell>
          <cell r="N92">
            <v>286.83</v>
          </cell>
          <cell r="O92">
            <v>110</v>
          </cell>
        </row>
        <row r="93">
          <cell r="C93" t="str">
            <v>邓常青</v>
          </cell>
          <cell r="D93">
            <v>14000</v>
          </cell>
          <cell r="E93">
            <v>0</v>
          </cell>
          <cell r="F93">
            <v>14000</v>
          </cell>
          <cell r="G93">
            <v>31</v>
          </cell>
          <cell r="H93">
            <v>14000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14000</v>
          </cell>
          <cell r="N93">
            <v>286.83</v>
          </cell>
          <cell r="O93">
            <v>110</v>
          </cell>
        </row>
        <row r="94">
          <cell r="C94" t="str">
            <v>李紫茵</v>
          </cell>
          <cell r="D94">
            <v>5000</v>
          </cell>
          <cell r="E94">
            <v>0</v>
          </cell>
          <cell r="F94">
            <v>5000</v>
          </cell>
          <cell r="G94">
            <v>31</v>
          </cell>
          <cell r="H94">
            <v>5000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5000</v>
          </cell>
          <cell r="N94">
            <v>286.83</v>
          </cell>
          <cell r="O94">
            <v>110</v>
          </cell>
        </row>
        <row r="95">
          <cell r="C95" t="str">
            <v>黄雨婷</v>
          </cell>
          <cell r="D95">
            <v>5000</v>
          </cell>
          <cell r="E95">
            <v>0</v>
          </cell>
          <cell r="F95">
            <v>5000</v>
          </cell>
          <cell r="G95">
            <v>30</v>
          </cell>
          <cell r="H95">
            <v>4935.4799999999996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4935.4799999999996</v>
          </cell>
          <cell r="N95">
            <v>286.83</v>
          </cell>
          <cell r="O95">
            <v>110</v>
          </cell>
        </row>
        <row r="96">
          <cell r="C96" t="str">
            <v>胡嘉莹</v>
          </cell>
          <cell r="D96">
            <v>10000</v>
          </cell>
          <cell r="E96">
            <v>0</v>
          </cell>
          <cell r="F96">
            <v>10000</v>
          </cell>
          <cell r="G96">
            <v>31</v>
          </cell>
          <cell r="H96">
            <v>10000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10000</v>
          </cell>
          <cell r="N96">
            <v>286.83</v>
          </cell>
          <cell r="O96">
            <v>110</v>
          </cell>
        </row>
        <row r="97">
          <cell r="C97" t="str">
            <v>范广争</v>
          </cell>
          <cell r="D97">
            <v>8000</v>
          </cell>
          <cell r="E97">
            <v>0</v>
          </cell>
          <cell r="F97">
            <v>8000</v>
          </cell>
          <cell r="G97">
            <v>30</v>
          </cell>
          <cell r="H97">
            <v>7741.94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7741.94</v>
          </cell>
          <cell r="N97">
            <v>286.83</v>
          </cell>
          <cell r="O97">
            <v>110</v>
          </cell>
        </row>
        <row r="98">
          <cell r="C98" t="str">
            <v>罗婷升</v>
          </cell>
          <cell r="D98">
            <v>7000</v>
          </cell>
          <cell r="E98">
            <v>0</v>
          </cell>
          <cell r="F98">
            <v>7000</v>
          </cell>
          <cell r="G98">
            <v>31</v>
          </cell>
          <cell r="H98">
            <v>7000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7000</v>
          </cell>
          <cell r="N98">
            <v>286.83</v>
          </cell>
          <cell r="O98">
            <v>110</v>
          </cell>
        </row>
        <row r="99">
          <cell r="C99" t="str">
            <v>常哲</v>
          </cell>
          <cell r="D99">
            <v>35000</v>
          </cell>
          <cell r="E99">
            <v>0</v>
          </cell>
          <cell r="F99">
            <v>35000</v>
          </cell>
          <cell r="G99">
            <v>23</v>
          </cell>
          <cell r="H99">
            <v>25967.74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25967.74</v>
          </cell>
          <cell r="N99">
            <v>310.83</v>
          </cell>
          <cell r="O99">
            <v>125</v>
          </cell>
        </row>
        <row r="100">
          <cell r="C100" t="str">
            <v>林杰浩</v>
          </cell>
          <cell r="D100">
            <v>12000</v>
          </cell>
          <cell r="E100">
            <v>0</v>
          </cell>
          <cell r="F100">
            <v>12000</v>
          </cell>
          <cell r="G100">
            <v>27.88</v>
          </cell>
          <cell r="H100">
            <v>10792.26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10792.26</v>
          </cell>
          <cell r="N100">
            <v>286.83</v>
          </cell>
          <cell r="O100">
            <v>110</v>
          </cell>
        </row>
        <row r="101">
          <cell r="C101" t="str">
            <v>刘泽泳</v>
          </cell>
          <cell r="D101">
            <v>11000</v>
          </cell>
          <cell r="E101">
            <v>0</v>
          </cell>
          <cell r="F101">
            <v>11000</v>
          </cell>
          <cell r="G101">
            <v>16</v>
          </cell>
          <cell r="H101">
            <v>5677.42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5677.42</v>
          </cell>
          <cell r="N101">
            <v>0</v>
          </cell>
          <cell r="O101">
            <v>110</v>
          </cell>
        </row>
        <row r="102">
          <cell r="C102" t="str">
            <v>肖钊雄</v>
          </cell>
          <cell r="D102">
            <v>10000</v>
          </cell>
          <cell r="E102">
            <v>0</v>
          </cell>
          <cell r="F102">
            <v>10000</v>
          </cell>
          <cell r="G102">
            <v>31</v>
          </cell>
          <cell r="H102">
            <v>10000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10000</v>
          </cell>
          <cell r="N102">
            <v>286.83</v>
          </cell>
          <cell r="O102">
            <v>110</v>
          </cell>
        </row>
        <row r="103">
          <cell r="C103" t="str">
            <v>宋卫华</v>
          </cell>
          <cell r="D103">
            <v>18000</v>
          </cell>
          <cell r="E103">
            <v>0</v>
          </cell>
          <cell r="F103">
            <v>18000</v>
          </cell>
          <cell r="G103">
            <v>31</v>
          </cell>
          <cell r="H103">
            <v>18000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18000</v>
          </cell>
          <cell r="N103">
            <v>350.83</v>
          </cell>
          <cell r="O103">
            <v>150</v>
          </cell>
        </row>
        <row r="104">
          <cell r="C104" t="str">
            <v>邹骏</v>
          </cell>
          <cell r="D104">
            <v>8000</v>
          </cell>
          <cell r="E104">
            <v>0</v>
          </cell>
          <cell r="F104">
            <v>8000</v>
          </cell>
          <cell r="G104">
            <v>31</v>
          </cell>
          <cell r="H104">
            <v>8000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8000</v>
          </cell>
          <cell r="N104">
            <v>310.83</v>
          </cell>
          <cell r="O104">
            <v>125</v>
          </cell>
        </row>
        <row r="105">
          <cell r="C105" t="str">
            <v>刘金花</v>
          </cell>
          <cell r="D105">
            <v>6000</v>
          </cell>
          <cell r="E105">
            <v>0</v>
          </cell>
          <cell r="F105">
            <v>6000</v>
          </cell>
          <cell r="G105">
            <v>12</v>
          </cell>
          <cell r="H105">
            <v>2322.58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2322.58</v>
          </cell>
          <cell r="N105">
            <v>286.83</v>
          </cell>
          <cell r="O105">
            <v>110</v>
          </cell>
        </row>
        <row r="106">
          <cell r="C106" t="str">
            <v>徐亮</v>
          </cell>
          <cell r="D106">
            <v>8000</v>
          </cell>
          <cell r="E106">
            <v>0</v>
          </cell>
          <cell r="F106">
            <v>8000</v>
          </cell>
          <cell r="G106">
            <v>31</v>
          </cell>
          <cell r="H106">
            <v>8000</v>
          </cell>
          <cell r="I106">
            <v>1000</v>
          </cell>
          <cell r="J106">
            <v>0</v>
          </cell>
          <cell r="K106">
            <v>0</v>
          </cell>
          <cell r="L106">
            <v>0</v>
          </cell>
          <cell r="M106">
            <v>9000</v>
          </cell>
          <cell r="N106">
            <v>286.83</v>
          </cell>
          <cell r="O106">
            <v>110</v>
          </cell>
        </row>
        <row r="107">
          <cell r="C107" t="str">
            <v>谢广东</v>
          </cell>
          <cell r="D107">
            <v>7000</v>
          </cell>
          <cell r="E107">
            <v>0</v>
          </cell>
          <cell r="F107">
            <v>7000</v>
          </cell>
          <cell r="G107">
            <v>31</v>
          </cell>
          <cell r="H107">
            <v>7000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7000</v>
          </cell>
          <cell r="N107">
            <v>286.83</v>
          </cell>
          <cell r="O107">
            <v>110</v>
          </cell>
        </row>
        <row r="108">
          <cell r="C108" t="str">
            <v>祝得娴</v>
          </cell>
          <cell r="D108">
            <v>10000</v>
          </cell>
          <cell r="E108">
            <v>0</v>
          </cell>
          <cell r="F108">
            <v>10000</v>
          </cell>
          <cell r="G108">
            <v>30.5</v>
          </cell>
          <cell r="H108">
            <v>9935.48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9935.48</v>
          </cell>
          <cell r="N108">
            <v>0</v>
          </cell>
          <cell r="O108">
            <v>110</v>
          </cell>
        </row>
        <row r="109">
          <cell r="C109" t="str">
            <v>唐艳涛</v>
          </cell>
          <cell r="D109">
            <v>7000</v>
          </cell>
          <cell r="E109">
            <v>0</v>
          </cell>
          <cell r="F109">
            <v>7000</v>
          </cell>
          <cell r="G109">
            <v>31</v>
          </cell>
          <cell r="H109">
            <v>7000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7000</v>
          </cell>
          <cell r="N109">
            <v>286.83</v>
          </cell>
          <cell r="O109">
            <v>110</v>
          </cell>
        </row>
        <row r="110">
          <cell r="C110" t="str">
            <v>李允标</v>
          </cell>
          <cell r="D110">
            <v>7000</v>
          </cell>
          <cell r="E110">
            <v>0</v>
          </cell>
          <cell r="F110">
            <v>7000</v>
          </cell>
          <cell r="G110">
            <v>30</v>
          </cell>
          <cell r="H110">
            <v>6774.19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6774.19</v>
          </cell>
          <cell r="N110">
            <v>286.83</v>
          </cell>
          <cell r="O110">
            <v>110</v>
          </cell>
        </row>
        <row r="111">
          <cell r="C111" t="str">
            <v>曹霞</v>
          </cell>
          <cell r="D111">
            <v>7000</v>
          </cell>
          <cell r="E111">
            <v>0</v>
          </cell>
          <cell r="F111">
            <v>7000</v>
          </cell>
          <cell r="G111">
            <v>31</v>
          </cell>
          <cell r="H111">
            <v>7000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7000</v>
          </cell>
          <cell r="N111">
            <v>286.83</v>
          </cell>
          <cell r="O111">
            <v>110</v>
          </cell>
        </row>
        <row r="112">
          <cell r="C112" t="str">
            <v>王媛媛</v>
          </cell>
          <cell r="D112">
            <v>6000</v>
          </cell>
          <cell r="E112">
            <v>0</v>
          </cell>
          <cell r="F112">
            <v>6000</v>
          </cell>
          <cell r="G112">
            <v>20.88</v>
          </cell>
          <cell r="H112">
            <v>4041.29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4041.29</v>
          </cell>
          <cell r="N112">
            <v>286.83</v>
          </cell>
          <cell r="O112">
            <v>110</v>
          </cell>
        </row>
        <row r="113">
          <cell r="D113">
            <v>1098900</v>
          </cell>
          <cell r="E113">
            <v>37500</v>
          </cell>
          <cell r="F113">
            <v>1136400</v>
          </cell>
          <cell r="H113">
            <v>1025666.78</v>
          </cell>
          <cell r="I113">
            <v>6300</v>
          </cell>
          <cell r="J113">
            <v>6937.4</v>
          </cell>
          <cell r="K113">
            <v>0</v>
          </cell>
          <cell r="L113">
            <v>0</v>
          </cell>
          <cell r="M113">
            <v>1038904.1799999999</v>
          </cell>
          <cell r="N113">
            <v>25499.250000000055</v>
          </cell>
          <cell r="O113">
            <v>10345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6月入职人员信息"/>
      <sheetName val="6月考勤"/>
      <sheetName val="6月集团工资汇总"/>
      <sheetName val="6月京鹏公积金"/>
      <sheetName val="6月京鹏社保"/>
      <sheetName val="6月京鹏工资"/>
      <sheetName val="6月中力知识公积金"/>
      <sheetName val="6月中力知识社保"/>
      <sheetName val="6月中力知识工资"/>
      <sheetName val="6月中力宝公积金"/>
      <sheetName val="6月中力宝社保"/>
      <sheetName val="6月中力宝工资"/>
      <sheetName val="6月中力顾问公积金"/>
      <sheetName val="6月中力顾问社保"/>
      <sheetName val="6月中力顾问工资"/>
      <sheetName val="6月中力基金公积金"/>
      <sheetName val="6月中力基金社保"/>
      <sheetName val="6月中力基金工资"/>
      <sheetName val="5-6月广州中力公积金"/>
      <sheetName val="6月广州中力社保"/>
      <sheetName val="6月广州中力工资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C5" t="str">
            <v>刘建刚</v>
          </cell>
          <cell r="D5">
            <v>22000</v>
          </cell>
          <cell r="E5">
            <v>16000</v>
          </cell>
          <cell r="F5">
            <v>38000</v>
          </cell>
        </row>
        <row r="6">
          <cell r="C6" t="str">
            <v>李建辉</v>
          </cell>
          <cell r="D6">
            <v>22000</v>
          </cell>
          <cell r="E6">
            <v>11000</v>
          </cell>
          <cell r="F6">
            <v>33000</v>
          </cell>
        </row>
        <row r="7">
          <cell r="C7" t="str">
            <v>许亚梅</v>
          </cell>
          <cell r="D7">
            <v>15000</v>
          </cell>
          <cell r="E7">
            <v>11000</v>
          </cell>
          <cell r="F7">
            <v>26000</v>
          </cell>
        </row>
        <row r="8">
          <cell r="C8" t="str">
            <v>马伟</v>
          </cell>
          <cell r="D8">
            <v>15000</v>
          </cell>
          <cell r="E8">
            <v>0</v>
          </cell>
          <cell r="F8">
            <v>15000</v>
          </cell>
        </row>
        <row r="9">
          <cell r="C9" t="str">
            <v>杨宇</v>
          </cell>
          <cell r="D9">
            <v>12000</v>
          </cell>
          <cell r="E9">
            <v>2000</v>
          </cell>
          <cell r="F9">
            <v>14000</v>
          </cell>
        </row>
        <row r="10">
          <cell r="C10" t="str">
            <v>程国栋</v>
          </cell>
          <cell r="D10">
            <v>9000</v>
          </cell>
          <cell r="E10">
            <v>0</v>
          </cell>
          <cell r="F10">
            <v>9000</v>
          </cell>
        </row>
        <row r="11">
          <cell r="C11" t="str">
            <v>黄振峰</v>
          </cell>
          <cell r="D11">
            <v>10000</v>
          </cell>
          <cell r="E11">
            <v>5000</v>
          </cell>
          <cell r="F11">
            <v>15000</v>
          </cell>
        </row>
        <row r="12">
          <cell r="C12" t="str">
            <v>聂杨</v>
          </cell>
          <cell r="D12">
            <v>8000</v>
          </cell>
          <cell r="E12">
            <v>0</v>
          </cell>
          <cell r="F12">
            <v>8000</v>
          </cell>
        </row>
        <row r="13">
          <cell r="C13" t="str">
            <v>周德胜</v>
          </cell>
          <cell r="D13">
            <v>8000</v>
          </cell>
          <cell r="E13">
            <v>0</v>
          </cell>
          <cell r="F13">
            <v>8000</v>
          </cell>
        </row>
        <row r="14">
          <cell r="C14" t="str">
            <v>杨燕伊</v>
          </cell>
          <cell r="D14">
            <v>8000</v>
          </cell>
          <cell r="E14">
            <v>0</v>
          </cell>
          <cell r="F14">
            <v>8000</v>
          </cell>
        </row>
        <row r="15">
          <cell r="C15" t="str">
            <v>邵铁健</v>
          </cell>
          <cell r="D15">
            <v>15000</v>
          </cell>
          <cell r="E15">
            <v>9000</v>
          </cell>
          <cell r="F15">
            <v>24000</v>
          </cell>
        </row>
        <row r="16">
          <cell r="C16" t="str">
            <v>黄俊铖</v>
          </cell>
          <cell r="D16">
            <v>10000</v>
          </cell>
          <cell r="E16">
            <v>2000</v>
          </cell>
          <cell r="F16">
            <v>12000</v>
          </cell>
        </row>
        <row r="17">
          <cell r="C17" t="str">
            <v>张宏强</v>
          </cell>
          <cell r="D17">
            <v>12000</v>
          </cell>
          <cell r="E17">
            <v>0</v>
          </cell>
          <cell r="F17">
            <v>12000</v>
          </cell>
        </row>
        <row r="18">
          <cell r="C18" t="str">
            <v>黄伟超</v>
          </cell>
          <cell r="D18">
            <v>10000</v>
          </cell>
          <cell r="E18">
            <v>0</v>
          </cell>
          <cell r="F18">
            <v>10000</v>
          </cell>
        </row>
        <row r="19">
          <cell r="C19" t="str">
            <v>赵丽君</v>
          </cell>
          <cell r="D19">
            <v>10000</v>
          </cell>
          <cell r="E19">
            <v>2000</v>
          </cell>
          <cell r="F19">
            <v>12000</v>
          </cell>
        </row>
        <row r="20">
          <cell r="C20" t="str">
            <v>周奕彤</v>
          </cell>
          <cell r="D20">
            <v>3000</v>
          </cell>
          <cell r="E20">
            <v>0</v>
          </cell>
          <cell r="F20">
            <v>3000</v>
          </cell>
        </row>
        <row r="21">
          <cell r="C21" t="str">
            <v>邹健朗</v>
          </cell>
          <cell r="D21">
            <v>3000</v>
          </cell>
          <cell r="E21">
            <v>0</v>
          </cell>
          <cell r="F21">
            <v>3000</v>
          </cell>
        </row>
        <row r="22">
          <cell r="C22" t="str">
            <v>许亚红</v>
          </cell>
          <cell r="D22">
            <v>15000</v>
          </cell>
          <cell r="E22">
            <v>15000</v>
          </cell>
          <cell r="F22">
            <v>30000</v>
          </cell>
        </row>
        <row r="23">
          <cell r="C23" t="str">
            <v>原田</v>
          </cell>
          <cell r="D23">
            <v>9000</v>
          </cell>
          <cell r="E23">
            <v>0</v>
          </cell>
          <cell r="F23">
            <v>9000</v>
          </cell>
        </row>
        <row r="24">
          <cell r="C24" t="str">
            <v>叶文山</v>
          </cell>
          <cell r="D24">
            <v>15000</v>
          </cell>
          <cell r="E24">
            <v>0</v>
          </cell>
          <cell r="F24">
            <v>15000</v>
          </cell>
        </row>
        <row r="25">
          <cell r="C25" t="str">
            <v>曾波</v>
          </cell>
          <cell r="D25">
            <v>10000</v>
          </cell>
          <cell r="E25">
            <v>4000</v>
          </cell>
          <cell r="F25">
            <v>14000</v>
          </cell>
        </row>
        <row r="26">
          <cell r="C26" t="str">
            <v>谭开强</v>
          </cell>
          <cell r="D26">
            <v>15000</v>
          </cell>
          <cell r="E26">
            <v>9000</v>
          </cell>
          <cell r="F26">
            <v>24000</v>
          </cell>
        </row>
        <row r="27">
          <cell r="C27" t="str">
            <v>孟宪滨</v>
          </cell>
          <cell r="D27">
            <v>11000</v>
          </cell>
          <cell r="E27">
            <v>0</v>
          </cell>
          <cell r="F27">
            <v>11000</v>
          </cell>
        </row>
        <row r="28">
          <cell r="C28" t="str">
            <v>马福臣</v>
          </cell>
          <cell r="D28">
            <v>10000</v>
          </cell>
          <cell r="E28">
            <v>0</v>
          </cell>
          <cell r="F28">
            <v>10000</v>
          </cell>
        </row>
        <row r="29">
          <cell r="C29" t="str">
            <v>张铭焯</v>
          </cell>
          <cell r="D29">
            <v>8000</v>
          </cell>
          <cell r="E29">
            <v>0</v>
          </cell>
          <cell r="F29">
            <v>8000</v>
          </cell>
        </row>
        <row r="30">
          <cell r="C30" t="str">
            <v>王亚文</v>
          </cell>
          <cell r="D30">
            <v>7500</v>
          </cell>
          <cell r="E30">
            <v>0</v>
          </cell>
          <cell r="F30">
            <v>7500</v>
          </cell>
        </row>
        <row r="31">
          <cell r="C31" t="str">
            <v>石生仑</v>
          </cell>
          <cell r="D31">
            <v>5400</v>
          </cell>
          <cell r="E31">
            <v>0</v>
          </cell>
          <cell r="F31">
            <v>5400</v>
          </cell>
        </row>
        <row r="32">
          <cell r="C32" t="str">
            <v>吴开权</v>
          </cell>
          <cell r="D32">
            <v>10000</v>
          </cell>
          <cell r="E32">
            <v>0</v>
          </cell>
          <cell r="F32">
            <v>10000</v>
          </cell>
        </row>
        <row r="33">
          <cell r="C33" t="str">
            <v>涂国员</v>
          </cell>
          <cell r="D33">
            <v>10000</v>
          </cell>
          <cell r="E33">
            <v>0</v>
          </cell>
          <cell r="F33">
            <v>10000</v>
          </cell>
        </row>
        <row r="34">
          <cell r="C34" t="str">
            <v>丁小春</v>
          </cell>
          <cell r="D34">
            <v>9000</v>
          </cell>
          <cell r="E34">
            <v>0</v>
          </cell>
          <cell r="F34">
            <v>9000</v>
          </cell>
        </row>
        <row r="35">
          <cell r="C35" t="str">
            <v>李斌</v>
          </cell>
          <cell r="D35">
            <v>10000</v>
          </cell>
          <cell r="E35">
            <v>0</v>
          </cell>
          <cell r="F35">
            <v>10000</v>
          </cell>
        </row>
        <row r="36">
          <cell r="C36" t="str">
            <v>汤迦禄</v>
          </cell>
          <cell r="D36">
            <v>6000</v>
          </cell>
          <cell r="E36">
            <v>0</v>
          </cell>
          <cell r="F36">
            <v>6000</v>
          </cell>
        </row>
        <row r="37">
          <cell r="C37" t="str">
            <v>徐国连</v>
          </cell>
          <cell r="D37">
            <v>15000</v>
          </cell>
          <cell r="E37">
            <v>5000</v>
          </cell>
          <cell r="F37">
            <v>20000</v>
          </cell>
        </row>
        <row r="38">
          <cell r="C38" t="str">
            <v>陈汉锰</v>
          </cell>
          <cell r="D38">
            <v>13000</v>
          </cell>
          <cell r="E38">
            <v>3000</v>
          </cell>
          <cell r="F38">
            <v>16000</v>
          </cell>
        </row>
        <row r="39">
          <cell r="C39" t="str">
            <v>农乐</v>
          </cell>
          <cell r="D39">
            <v>10000</v>
          </cell>
          <cell r="E39">
            <v>0</v>
          </cell>
          <cell r="F39">
            <v>10000</v>
          </cell>
        </row>
        <row r="40">
          <cell r="C40" t="str">
            <v>林秀映</v>
          </cell>
          <cell r="D40">
            <v>5500</v>
          </cell>
          <cell r="E40">
            <v>0</v>
          </cell>
          <cell r="F40">
            <v>5500</v>
          </cell>
        </row>
        <row r="41">
          <cell r="C41" t="str">
            <v>颜爱</v>
          </cell>
          <cell r="D41">
            <v>10000</v>
          </cell>
          <cell r="E41">
            <v>0</v>
          </cell>
          <cell r="F41">
            <v>10000</v>
          </cell>
        </row>
        <row r="42">
          <cell r="C42" t="str">
            <v>颜爱</v>
          </cell>
          <cell r="D42">
            <v>11000</v>
          </cell>
          <cell r="E42">
            <v>0</v>
          </cell>
          <cell r="F42">
            <v>11000</v>
          </cell>
        </row>
        <row r="43">
          <cell r="C43" t="str">
            <v>方巧君</v>
          </cell>
          <cell r="D43">
            <v>15000</v>
          </cell>
          <cell r="E43">
            <v>0</v>
          </cell>
          <cell r="F43">
            <v>15000</v>
          </cell>
        </row>
        <row r="44">
          <cell r="C44" t="str">
            <v>张俏</v>
          </cell>
          <cell r="D44">
            <v>14000</v>
          </cell>
          <cell r="E44">
            <v>0</v>
          </cell>
          <cell r="F44">
            <v>14000</v>
          </cell>
        </row>
        <row r="45">
          <cell r="C45" t="str">
            <v>利柱成</v>
          </cell>
          <cell r="D45">
            <v>15000</v>
          </cell>
          <cell r="E45">
            <v>0</v>
          </cell>
          <cell r="F45">
            <v>15000</v>
          </cell>
        </row>
        <row r="46">
          <cell r="C46" t="str">
            <v>汤真伟</v>
          </cell>
          <cell r="D46">
            <v>10000</v>
          </cell>
          <cell r="E46">
            <v>0</v>
          </cell>
          <cell r="F46">
            <v>10000</v>
          </cell>
        </row>
        <row r="47">
          <cell r="C47" t="str">
            <v>王振华</v>
          </cell>
          <cell r="D47">
            <v>12000</v>
          </cell>
          <cell r="E47">
            <v>0</v>
          </cell>
          <cell r="F47">
            <v>12000</v>
          </cell>
        </row>
        <row r="48">
          <cell r="C48" t="str">
            <v>吴泽宏</v>
          </cell>
          <cell r="D48">
            <v>6000</v>
          </cell>
          <cell r="E48">
            <v>0</v>
          </cell>
          <cell r="F48">
            <v>6000</v>
          </cell>
        </row>
        <row r="49">
          <cell r="C49" t="str">
            <v>刘婧娴</v>
          </cell>
          <cell r="D49">
            <v>12000</v>
          </cell>
          <cell r="E49">
            <v>3000</v>
          </cell>
          <cell r="F49">
            <v>15000</v>
          </cell>
        </row>
        <row r="50">
          <cell r="C50" t="str">
            <v>沈豪源</v>
          </cell>
          <cell r="D50">
            <v>7000</v>
          </cell>
          <cell r="E50">
            <v>0</v>
          </cell>
          <cell r="F50">
            <v>7000</v>
          </cell>
        </row>
        <row r="51">
          <cell r="C51" t="str">
            <v>钟欣彤</v>
          </cell>
          <cell r="D51">
            <v>9000</v>
          </cell>
          <cell r="E51">
            <v>0</v>
          </cell>
          <cell r="F51">
            <v>9000</v>
          </cell>
        </row>
        <row r="52">
          <cell r="C52" t="str">
            <v>朱聪</v>
          </cell>
          <cell r="D52">
            <v>8000</v>
          </cell>
          <cell r="E52">
            <v>0</v>
          </cell>
          <cell r="F52">
            <v>8000</v>
          </cell>
        </row>
        <row r="53">
          <cell r="C53" t="str">
            <v>裴春晓</v>
          </cell>
          <cell r="D53">
            <v>8000</v>
          </cell>
          <cell r="E53">
            <v>0</v>
          </cell>
          <cell r="F53">
            <v>8000</v>
          </cell>
        </row>
        <row r="54">
          <cell r="C54" t="str">
            <v>周智萍</v>
          </cell>
          <cell r="D54">
            <v>7500</v>
          </cell>
          <cell r="E54">
            <v>2500</v>
          </cell>
          <cell r="F54">
            <v>10000</v>
          </cell>
        </row>
        <row r="55">
          <cell r="C55" t="str">
            <v>陈海静</v>
          </cell>
          <cell r="D55">
            <v>8000</v>
          </cell>
          <cell r="E55">
            <v>0</v>
          </cell>
          <cell r="F55">
            <v>8000</v>
          </cell>
        </row>
        <row r="56">
          <cell r="C56" t="str">
            <v>陈海静</v>
          </cell>
          <cell r="D56">
            <v>9000</v>
          </cell>
          <cell r="E56">
            <v>0</v>
          </cell>
          <cell r="F56">
            <v>9000</v>
          </cell>
        </row>
        <row r="57">
          <cell r="C57" t="str">
            <v>孟楠楠</v>
          </cell>
          <cell r="D57">
            <v>5500</v>
          </cell>
          <cell r="E57">
            <v>0</v>
          </cell>
          <cell r="F57">
            <v>5500</v>
          </cell>
        </row>
        <row r="58">
          <cell r="C58" t="str">
            <v>林醒霞</v>
          </cell>
          <cell r="D58">
            <v>6000</v>
          </cell>
          <cell r="E58">
            <v>0</v>
          </cell>
          <cell r="F58">
            <v>6000</v>
          </cell>
        </row>
        <row r="59">
          <cell r="C59" t="str">
            <v>廖嘉宜</v>
          </cell>
          <cell r="D59">
            <v>7000</v>
          </cell>
          <cell r="E59">
            <v>0</v>
          </cell>
          <cell r="F59">
            <v>7000</v>
          </cell>
        </row>
        <row r="60">
          <cell r="C60" t="str">
            <v>韦仕荣</v>
          </cell>
          <cell r="D60">
            <v>5500</v>
          </cell>
          <cell r="E60">
            <v>0</v>
          </cell>
          <cell r="F60">
            <v>5500</v>
          </cell>
        </row>
        <row r="61">
          <cell r="C61" t="str">
            <v>高文远</v>
          </cell>
          <cell r="D61">
            <v>6000</v>
          </cell>
          <cell r="E61">
            <v>0</v>
          </cell>
          <cell r="F61">
            <v>6000</v>
          </cell>
        </row>
        <row r="62">
          <cell r="C62" t="str">
            <v>周茜</v>
          </cell>
          <cell r="D62">
            <v>5500</v>
          </cell>
          <cell r="E62">
            <v>0</v>
          </cell>
          <cell r="F62">
            <v>5500</v>
          </cell>
        </row>
        <row r="63">
          <cell r="C63" t="str">
            <v>杨飞</v>
          </cell>
          <cell r="D63">
            <v>5000</v>
          </cell>
          <cell r="E63">
            <v>0</v>
          </cell>
          <cell r="F63">
            <v>5000</v>
          </cell>
        </row>
        <row r="64">
          <cell r="C64" t="str">
            <v>林少茵</v>
          </cell>
          <cell r="D64">
            <v>5000</v>
          </cell>
          <cell r="E64">
            <v>0</v>
          </cell>
          <cell r="F64">
            <v>5000</v>
          </cell>
        </row>
        <row r="65">
          <cell r="C65" t="str">
            <v>覃恩侨</v>
          </cell>
          <cell r="D65">
            <v>35000</v>
          </cell>
          <cell r="E65">
            <v>0</v>
          </cell>
          <cell r="F65">
            <v>35000</v>
          </cell>
        </row>
        <row r="66">
          <cell r="C66" t="str">
            <v>李志萍</v>
          </cell>
          <cell r="D66">
            <v>10000</v>
          </cell>
          <cell r="E66">
            <v>0</v>
          </cell>
          <cell r="F66">
            <v>10000</v>
          </cell>
        </row>
        <row r="67">
          <cell r="C67" t="str">
            <v>李景秋</v>
          </cell>
          <cell r="D67">
            <v>17000</v>
          </cell>
          <cell r="E67">
            <v>0</v>
          </cell>
          <cell r="F67">
            <v>17000</v>
          </cell>
        </row>
        <row r="68">
          <cell r="C68" t="str">
            <v>马曼璇</v>
          </cell>
          <cell r="D68">
            <v>8000</v>
          </cell>
          <cell r="E68">
            <v>0</v>
          </cell>
          <cell r="F68">
            <v>8000</v>
          </cell>
        </row>
        <row r="69">
          <cell r="C69" t="str">
            <v>游丹</v>
          </cell>
          <cell r="D69">
            <v>6000</v>
          </cell>
          <cell r="E69">
            <v>0</v>
          </cell>
          <cell r="F69">
            <v>6000</v>
          </cell>
        </row>
        <row r="70">
          <cell r="C70" t="str">
            <v>詹杰龙</v>
          </cell>
          <cell r="D70">
            <v>8000</v>
          </cell>
          <cell r="E70">
            <v>0</v>
          </cell>
          <cell r="F70">
            <v>8000</v>
          </cell>
        </row>
        <row r="71">
          <cell r="C71" t="str">
            <v>徐文强</v>
          </cell>
          <cell r="D71">
            <v>10000</v>
          </cell>
          <cell r="E71">
            <v>0</v>
          </cell>
          <cell r="F71">
            <v>10000</v>
          </cell>
        </row>
        <row r="72">
          <cell r="C72" t="str">
            <v>钟深连</v>
          </cell>
          <cell r="D72">
            <v>7000</v>
          </cell>
          <cell r="E72">
            <v>0</v>
          </cell>
          <cell r="F72">
            <v>7000</v>
          </cell>
        </row>
        <row r="73">
          <cell r="C73" t="str">
            <v>王小芳</v>
          </cell>
          <cell r="D73">
            <v>6000</v>
          </cell>
          <cell r="E73">
            <v>0</v>
          </cell>
          <cell r="F73">
            <v>6000</v>
          </cell>
        </row>
        <row r="74">
          <cell r="C74" t="str">
            <v>胡克华</v>
          </cell>
          <cell r="D74">
            <v>15000</v>
          </cell>
          <cell r="E74">
            <v>0</v>
          </cell>
          <cell r="F74">
            <v>15000</v>
          </cell>
        </row>
        <row r="75">
          <cell r="C75" t="str">
            <v>胡蓉</v>
          </cell>
          <cell r="D75">
            <v>10000</v>
          </cell>
          <cell r="E75">
            <v>0</v>
          </cell>
          <cell r="F75">
            <v>10000</v>
          </cell>
        </row>
        <row r="76">
          <cell r="C76" t="str">
            <v>吴诗曼</v>
          </cell>
          <cell r="D76">
            <v>8000</v>
          </cell>
          <cell r="E76">
            <v>0</v>
          </cell>
          <cell r="F76">
            <v>8000</v>
          </cell>
        </row>
        <row r="77">
          <cell r="C77" t="str">
            <v>赵泽辉</v>
          </cell>
          <cell r="D77">
            <v>15000</v>
          </cell>
          <cell r="E77">
            <v>4000</v>
          </cell>
          <cell r="F77">
            <v>19000</v>
          </cell>
        </row>
        <row r="78">
          <cell r="C78" t="str">
            <v>温东岳</v>
          </cell>
          <cell r="D78">
            <v>18000</v>
          </cell>
          <cell r="E78">
            <v>5000</v>
          </cell>
          <cell r="F78">
            <v>23000</v>
          </cell>
        </row>
        <row r="79">
          <cell r="C79" t="str">
            <v>韦品玉</v>
          </cell>
          <cell r="D79">
            <v>12000</v>
          </cell>
          <cell r="E79">
            <v>0</v>
          </cell>
          <cell r="F79">
            <v>12000</v>
          </cell>
        </row>
        <row r="80">
          <cell r="C80" t="str">
            <v>朱凡</v>
          </cell>
          <cell r="D80">
            <v>10000</v>
          </cell>
          <cell r="E80">
            <v>0</v>
          </cell>
          <cell r="F80">
            <v>10000</v>
          </cell>
        </row>
        <row r="81">
          <cell r="C81" t="str">
            <v>肖立兵</v>
          </cell>
          <cell r="D81">
            <v>20000</v>
          </cell>
          <cell r="E81">
            <v>0</v>
          </cell>
          <cell r="F81">
            <v>20000</v>
          </cell>
        </row>
        <row r="82">
          <cell r="C82" t="str">
            <v>李彩玲</v>
          </cell>
          <cell r="D82">
            <v>11000</v>
          </cell>
          <cell r="E82">
            <v>0</v>
          </cell>
          <cell r="F82">
            <v>11000</v>
          </cell>
        </row>
        <row r="83">
          <cell r="C83" t="str">
            <v>连锐</v>
          </cell>
          <cell r="D83">
            <v>12000</v>
          </cell>
          <cell r="E83">
            <v>0</v>
          </cell>
          <cell r="F83">
            <v>12000</v>
          </cell>
        </row>
        <row r="84">
          <cell r="C84" t="str">
            <v>刘强</v>
          </cell>
          <cell r="D84">
            <v>14000</v>
          </cell>
          <cell r="E84">
            <v>0</v>
          </cell>
          <cell r="F84">
            <v>14000</v>
          </cell>
        </row>
        <row r="85">
          <cell r="C85" t="str">
            <v>陈宽</v>
          </cell>
          <cell r="D85">
            <v>13000</v>
          </cell>
          <cell r="E85">
            <v>0</v>
          </cell>
          <cell r="F85">
            <v>13000</v>
          </cell>
        </row>
        <row r="86">
          <cell r="C86" t="str">
            <v>邓常青</v>
          </cell>
          <cell r="D86">
            <v>14000</v>
          </cell>
          <cell r="E86">
            <v>0</v>
          </cell>
          <cell r="F86">
            <v>14000</v>
          </cell>
        </row>
        <row r="87">
          <cell r="C87" t="str">
            <v>李紫茵</v>
          </cell>
          <cell r="D87">
            <v>5000</v>
          </cell>
          <cell r="E87">
            <v>0</v>
          </cell>
          <cell r="F87">
            <v>5000</v>
          </cell>
        </row>
        <row r="88">
          <cell r="C88" t="str">
            <v>黄雨婷</v>
          </cell>
          <cell r="D88">
            <v>5000</v>
          </cell>
          <cell r="E88">
            <v>0</v>
          </cell>
          <cell r="F88">
            <v>5000</v>
          </cell>
        </row>
        <row r="89">
          <cell r="C89" t="str">
            <v>胡嘉莹</v>
          </cell>
          <cell r="D89">
            <v>10000</v>
          </cell>
          <cell r="E89">
            <v>0</v>
          </cell>
          <cell r="F89">
            <v>10000</v>
          </cell>
        </row>
        <row r="90">
          <cell r="C90" t="str">
            <v>范广争</v>
          </cell>
          <cell r="D90">
            <v>8000</v>
          </cell>
          <cell r="E90">
            <v>0</v>
          </cell>
          <cell r="F90">
            <v>8000</v>
          </cell>
        </row>
        <row r="91">
          <cell r="C91" t="str">
            <v>罗婷升</v>
          </cell>
          <cell r="D91">
            <v>7000</v>
          </cell>
          <cell r="E91">
            <v>0</v>
          </cell>
          <cell r="F91">
            <v>7000</v>
          </cell>
        </row>
        <row r="92">
          <cell r="C92" t="str">
            <v>肖钊雄</v>
          </cell>
          <cell r="D92">
            <v>10000</v>
          </cell>
          <cell r="E92">
            <v>0</v>
          </cell>
          <cell r="F92">
            <v>10000</v>
          </cell>
        </row>
        <row r="93">
          <cell r="C93" t="str">
            <v>杨序国</v>
          </cell>
          <cell r="D93">
            <v>20000</v>
          </cell>
          <cell r="E93">
            <v>0</v>
          </cell>
          <cell r="F93">
            <v>20000</v>
          </cell>
        </row>
        <row r="94">
          <cell r="C94" t="str">
            <v>宋卫华</v>
          </cell>
          <cell r="D94">
            <v>15000</v>
          </cell>
          <cell r="E94">
            <v>9000</v>
          </cell>
          <cell r="F94">
            <v>24000</v>
          </cell>
        </row>
        <row r="95">
          <cell r="C95" t="str">
            <v>邹骏</v>
          </cell>
          <cell r="D95">
            <v>8000</v>
          </cell>
          <cell r="E95">
            <v>0</v>
          </cell>
          <cell r="F95">
            <v>8000</v>
          </cell>
        </row>
        <row r="96">
          <cell r="C96" t="str">
            <v>刘金花</v>
          </cell>
          <cell r="D96">
            <v>6000</v>
          </cell>
          <cell r="E96">
            <v>0</v>
          </cell>
          <cell r="F96">
            <v>6000</v>
          </cell>
        </row>
        <row r="97">
          <cell r="C97" t="str">
            <v>徐亮</v>
          </cell>
          <cell r="D97">
            <v>8000</v>
          </cell>
          <cell r="E97">
            <v>0</v>
          </cell>
          <cell r="F97">
            <v>8000</v>
          </cell>
        </row>
        <row r="98">
          <cell r="C98" t="str">
            <v>谢广东</v>
          </cell>
          <cell r="D98">
            <v>7000</v>
          </cell>
          <cell r="E98">
            <v>0</v>
          </cell>
          <cell r="F98">
            <v>7000</v>
          </cell>
        </row>
        <row r="99">
          <cell r="C99" t="str">
            <v>祝得娴</v>
          </cell>
          <cell r="D99">
            <v>10000</v>
          </cell>
          <cell r="E99">
            <v>0</v>
          </cell>
          <cell r="F99">
            <v>10000</v>
          </cell>
        </row>
        <row r="100">
          <cell r="C100" t="str">
            <v>唐艳涛</v>
          </cell>
          <cell r="D100">
            <v>7000</v>
          </cell>
          <cell r="E100">
            <v>0</v>
          </cell>
          <cell r="F100">
            <v>7000</v>
          </cell>
        </row>
        <row r="101">
          <cell r="C101" t="str">
            <v>李允标</v>
          </cell>
          <cell r="D101">
            <v>7000</v>
          </cell>
          <cell r="E101">
            <v>0</v>
          </cell>
          <cell r="F101">
            <v>7000</v>
          </cell>
        </row>
        <row r="102">
          <cell r="C102" t="str">
            <v>曹霞</v>
          </cell>
          <cell r="D102">
            <v>7000</v>
          </cell>
          <cell r="E102">
            <v>0</v>
          </cell>
          <cell r="F102">
            <v>7000</v>
          </cell>
        </row>
        <row r="103">
          <cell r="C103" t="str">
            <v>郭晏</v>
          </cell>
          <cell r="D103">
            <v>8000</v>
          </cell>
          <cell r="E103">
            <v>0</v>
          </cell>
          <cell r="F103">
            <v>8000</v>
          </cell>
        </row>
        <row r="104">
          <cell r="D104">
            <v>1020400</v>
          </cell>
          <cell r="E104">
            <v>117500</v>
          </cell>
          <cell r="F104">
            <v>1137900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opLeftCell="A10" workbookViewId="0">
      <selection activeCell="H21" sqref="H21:H28"/>
    </sheetView>
  </sheetViews>
  <sheetFormatPr defaultColWidth="9" defaultRowHeight="13.5"/>
  <cols>
    <col min="1" max="1" width="7.875" customWidth="1"/>
    <col min="2" max="2" width="11.75" customWidth="1"/>
    <col min="3" max="3" width="20.625" hidden="1" customWidth="1"/>
    <col min="4" max="4" width="13.375" hidden="1" customWidth="1"/>
    <col min="5" max="6" width="15.5" customWidth="1"/>
    <col min="7" max="7" width="14.75" customWidth="1"/>
    <col min="8" max="8" width="15" customWidth="1"/>
    <col min="9" max="10" width="13.75" customWidth="1"/>
    <col min="11" max="11" width="13.875" customWidth="1"/>
    <col min="12" max="12" width="12.75" customWidth="1"/>
  </cols>
  <sheetData>
    <row r="1" spans="1:12" ht="24.95" customHeight="1">
      <c r="A1" s="252" t="s">
        <v>913</v>
      </c>
      <c r="B1" s="253"/>
      <c r="C1" s="253"/>
      <c r="D1" s="253"/>
      <c r="E1" s="253"/>
      <c r="F1" s="253"/>
      <c r="G1" s="253"/>
      <c r="H1" s="253"/>
      <c r="I1" s="254"/>
      <c r="J1" s="163"/>
    </row>
    <row r="2" spans="1:12" ht="24.95" customHeight="1">
      <c r="A2" s="170" t="s">
        <v>0</v>
      </c>
      <c r="B2" s="170" t="s">
        <v>1</v>
      </c>
      <c r="C2" s="170" t="s">
        <v>380</v>
      </c>
      <c r="D2" s="170" t="s">
        <v>914</v>
      </c>
      <c r="E2" s="170" t="s">
        <v>2</v>
      </c>
      <c r="F2" s="170" t="s">
        <v>3</v>
      </c>
      <c r="G2" s="171" t="s">
        <v>4</v>
      </c>
      <c r="H2" s="171" t="s">
        <v>5</v>
      </c>
      <c r="I2" s="170" t="s">
        <v>6</v>
      </c>
      <c r="J2" s="170" t="s">
        <v>7</v>
      </c>
      <c r="L2" s="156"/>
    </row>
    <row r="3" spans="1:12" ht="24.95" customHeight="1">
      <c r="A3" s="172">
        <v>1</v>
      </c>
      <c r="B3" s="172" t="s">
        <v>879</v>
      </c>
      <c r="C3" s="173" t="s">
        <v>878</v>
      </c>
      <c r="D3" s="172">
        <v>15692094680</v>
      </c>
      <c r="E3" s="174" t="s">
        <v>915</v>
      </c>
      <c r="F3" s="175">
        <v>43321</v>
      </c>
      <c r="G3" s="172">
        <v>1000</v>
      </c>
      <c r="H3" s="172">
        <v>2000</v>
      </c>
      <c r="I3" s="172" t="s">
        <v>10</v>
      </c>
      <c r="J3" s="172" t="s">
        <v>13</v>
      </c>
      <c r="L3" s="156"/>
    </row>
    <row r="4" spans="1:12" ht="24.95" customHeight="1">
      <c r="A4" s="172">
        <v>2</v>
      </c>
      <c r="B4" s="172" t="s">
        <v>873</v>
      </c>
      <c r="C4" s="173" t="s">
        <v>872</v>
      </c>
      <c r="D4" s="172">
        <v>13726048434</v>
      </c>
      <c r="E4" s="174" t="s">
        <v>915</v>
      </c>
      <c r="F4" s="175">
        <v>43325</v>
      </c>
      <c r="G4" s="172">
        <v>1000</v>
      </c>
      <c r="H4" s="172">
        <v>2000</v>
      </c>
      <c r="I4" s="172" t="s">
        <v>10</v>
      </c>
      <c r="J4" s="172" t="s">
        <v>13</v>
      </c>
      <c r="L4" s="156"/>
    </row>
    <row r="5" spans="1:12" ht="24.95" customHeight="1">
      <c r="A5" s="172">
        <v>3</v>
      </c>
      <c r="B5" s="172" t="s">
        <v>876</v>
      </c>
      <c r="C5" s="173" t="s">
        <v>875</v>
      </c>
      <c r="D5" s="172">
        <v>18988750445</v>
      </c>
      <c r="E5" s="174" t="s">
        <v>916</v>
      </c>
      <c r="F5" s="175">
        <v>43325</v>
      </c>
      <c r="G5" s="172">
        <v>1000</v>
      </c>
      <c r="H5" s="172">
        <v>2000</v>
      </c>
      <c r="I5" s="172" t="s">
        <v>10</v>
      </c>
      <c r="J5" s="172" t="s">
        <v>13</v>
      </c>
      <c r="L5" s="156"/>
    </row>
    <row r="6" spans="1:12" ht="24.95" customHeight="1">
      <c r="A6" s="172">
        <v>4</v>
      </c>
      <c r="B6" s="172" t="s">
        <v>917</v>
      </c>
      <c r="C6" s="172" t="s">
        <v>918</v>
      </c>
      <c r="D6" s="172">
        <v>15986605427</v>
      </c>
      <c r="E6" s="174" t="s">
        <v>919</v>
      </c>
      <c r="F6" s="175">
        <v>43332</v>
      </c>
      <c r="G6" s="172">
        <v>1000</v>
      </c>
      <c r="H6" s="172">
        <v>2000</v>
      </c>
      <c r="I6" s="172" t="s">
        <v>10</v>
      </c>
      <c r="J6" s="172" t="s">
        <v>13</v>
      </c>
      <c r="L6" s="156"/>
    </row>
    <row r="7" spans="1:12" ht="24.95" customHeight="1">
      <c r="A7" s="172">
        <v>5</v>
      </c>
      <c r="B7" s="172" t="s">
        <v>920</v>
      </c>
      <c r="C7" s="173" t="s">
        <v>921</v>
      </c>
      <c r="D7" s="172">
        <v>18719033241</v>
      </c>
      <c r="E7" s="174" t="s">
        <v>922</v>
      </c>
      <c r="F7" s="175">
        <v>43332</v>
      </c>
      <c r="G7" s="172">
        <v>1000</v>
      </c>
      <c r="H7" s="172">
        <v>2000</v>
      </c>
      <c r="I7" s="172" t="s">
        <v>28</v>
      </c>
      <c r="J7" s="172" t="s">
        <v>13</v>
      </c>
      <c r="L7" s="156"/>
    </row>
    <row r="8" spans="1:12" ht="24.95" customHeight="1">
      <c r="A8" s="172">
        <v>6</v>
      </c>
      <c r="B8" s="172" t="s">
        <v>923</v>
      </c>
      <c r="C8" s="173" t="s">
        <v>924</v>
      </c>
      <c r="D8" s="172">
        <v>13902444874</v>
      </c>
      <c r="E8" s="174" t="s">
        <v>922</v>
      </c>
      <c r="F8" s="175">
        <v>43333</v>
      </c>
      <c r="G8" s="172">
        <v>1000</v>
      </c>
      <c r="H8" s="172">
        <v>2000</v>
      </c>
      <c r="I8" s="172" t="s">
        <v>28</v>
      </c>
      <c r="J8" s="172" t="s">
        <v>13</v>
      </c>
      <c r="L8" s="156"/>
    </row>
    <row r="9" spans="1:12" ht="24.95" customHeight="1">
      <c r="A9" s="172">
        <v>7</v>
      </c>
      <c r="B9" s="172" t="s">
        <v>925</v>
      </c>
      <c r="C9" s="173" t="s">
        <v>926</v>
      </c>
      <c r="D9" s="172">
        <v>13450065185</v>
      </c>
      <c r="E9" s="174" t="s">
        <v>927</v>
      </c>
      <c r="F9" s="175">
        <v>43333</v>
      </c>
      <c r="G9" s="172">
        <v>1000</v>
      </c>
      <c r="H9" s="172">
        <v>2000</v>
      </c>
      <c r="I9" s="172" t="s">
        <v>10</v>
      </c>
      <c r="J9" s="172" t="s">
        <v>13</v>
      </c>
      <c r="L9" s="156"/>
    </row>
    <row r="10" spans="1:12" ht="24.95" customHeight="1">
      <c r="A10" s="172">
        <v>8</v>
      </c>
      <c r="B10" s="172" t="s">
        <v>928</v>
      </c>
      <c r="C10" s="173" t="s">
        <v>929</v>
      </c>
      <c r="D10" s="172">
        <v>18938674917</v>
      </c>
      <c r="E10" s="174" t="s">
        <v>27</v>
      </c>
      <c r="F10" s="175">
        <v>43334</v>
      </c>
      <c r="G10" s="172">
        <v>1000</v>
      </c>
      <c r="H10" s="172">
        <v>2000</v>
      </c>
      <c r="I10" s="172" t="s">
        <v>28</v>
      </c>
      <c r="J10" s="172" t="s">
        <v>13</v>
      </c>
      <c r="L10" s="156"/>
    </row>
    <row r="11" spans="1:12" ht="24.95" customHeight="1">
      <c r="A11" s="172">
        <v>9</v>
      </c>
      <c r="B11" s="172" t="s">
        <v>930</v>
      </c>
      <c r="C11" s="172" t="s">
        <v>931</v>
      </c>
      <c r="D11" s="172">
        <v>13692295695</v>
      </c>
      <c r="E11" s="172" t="s">
        <v>932</v>
      </c>
      <c r="F11" s="175">
        <v>43339</v>
      </c>
      <c r="G11" s="172">
        <v>1000</v>
      </c>
      <c r="H11" s="172">
        <v>2000</v>
      </c>
      <c r="I11" s="172" t="s">
        <v>10</v>
      </c>
      <c r="J11" s="172" t="s">
        <v>13</v>
      </c>
      <c r="L11" s="156"/>
    </row>
    <row r="12" spans="1:12" ht="24.95" customHeight="1">
      <c r="A12" s="172">
        <v>10</v>
      </c>
      <c r="B12" s="172" t="s">
        <v>933</v>
      </c>
      <c r="C12" s="173" t="s">
        <v>934</v>
      </c>
      <c r="D12" s="172">
        <v>13631573864</v>
      </c>
      <c r="E12" s="172" t="s">
        <v>915</v>
      </c>
      <c r="F12" s="175">
        <v>43339</v>
      </c>
      <c r="G12" s="172">
        <v>1000</v>
      </c>
      <c r="H12" s="172">
        <v>2000</v>
      </c>
      <c r="I12" s="172" t="s">
        <v>10</v>
      </c>
      <c r="J12" s="172" t="s">
        <v>13</v>
      </c>
      <c r="L12" s="156"/>
    </row>
    <row r="13" spans="1:12" ht="24.95" customHeight="1">
      <c r="A13" s="172">
        <v>11</v>
      </c>
      <c r="B13" s="172" t="s">
        <v>935</v>
      </c>
      <c r="C13" s="173" t="s">
        <v>936</v>
      </c>
      <c r="D13" s="172">
        <v>15217766402</v>
      </c>
      <c r="E13" s="172" t="s">
        <v>27</v>
      </c>
      <c r="F13" s="175">
        <v>43339</v>
      </c>
      <c r="G13" s="172">
        <v>1000</v>
      </c>
      <c r="H13" s="172">
        <v>2000</v>
      </c>
      <c r="I13" s="172" t="s">
        <v>10</v>
      </c>
      <c r="J13" s="172" t="s">
        <v>13</v>
      </c>
      <c r="L13" s="156"/>
    </row>
    <row r="14" spans="1:12" ht="24.95" customHeight="1">
      <c r="A14" s="172">
        <v>12</v>
      </c>
      <c r="B14" s="176" t="s">
        <v>937</v>
      </c>
      <c r="C14" s="177" t="s">
        <v>938</v>
      </c>
      <c r="D14" s="176">
        <v>13828859413</v>
      </c>
      <c r="E14" s="176" t="s">
        <v>919</v>
      </c>
      <c r="F14" s="178">
        <v>43341</v>
      </c>
      <c r="G14" s="172">
        <v>1000</v>
      </c>
      <c r="H14" s="172">
        <v>2000</v>
      </c>
      <c r="I14" s="172" t="s">
        <v>10</v>
      </c>
      <c r="J14" s="172" t="s">
        <v>13</v>
      </c>
      <c r="L14" s="156"/>
    </row>
    <row r="15" spans="1:12" ht="24.95" customHeight="1">
      <c r="A15" s="179"/>
      <c r="B15" s="179"/>
      <c r="C15" s="180"/>
      <c r="D15" s="179"/>
      <c r="E15" s="179"/>
      <c r="F15" s="181"/>
      <c r="G15" s="179"/>
      <c r="H15" s="179"/>
      <c r="I15" s="179"/>
      <c r="J15" s="179"/>
      <c r="L15" s="156"/>
    </row>
    <row r="16" spans="1:12" ht="24.95" customHeight="1">
      <c r="A16" s="179"/>
      <c r="B16" s="179"/>
      <c r="C16" s="180"/>
      <c r="D16" s="179"/>
      <c r="E16" s="179"/>
      <c r="F16" s="181"/>
      <c r="G16" s="179"/>
      <c r="H16" s="179"/>
      <c r="I16" s="179"/>
      <c r="J16" s="179"/>
      <c r="L16" s="156"/>
    </row>
    <row r="17" spans="1:12" ht="24.95" customHeight="1">
      <c r="A17" s="179"/>
      <c r="B17" s="179"/>
      <c r="C17" s="180"/>
      <c r="D17" s="179"/>
      <c r="E17" s="179"/>
      <c r="F17" s="181"/>
      <c r="G17" s="179"/>
      <c r="H17" s="179"/>
      <c r="I17" s="179"/>
      <c r="J17" s="179"/>
      <c r="L17" s="156"/>
    </row>
    <row r="18" spans="1:12" ht="24.95" customHeight="1">
      <c r="A18" s="259" t="s">
        <v>951</v>
      </c>
      <c r="B18" s="259"/>
      <c r="C18" s="259"/>
      <c r="D18" s="259"/>
      <c r="E18" s="259"/>
      <c r="F18" s="259"/>
      <c r="G18" s="259"/>
      <c r="H18" s="259"/>
      <c r="I18" s="259"/>
      <c r="J18" s="259"/>
      <c r="K18" s="259"/>
      <c r="L18" s="259"/>
    </row>
    <row r="19" spans="1:12" s="12" customFormat="1" ht="24.95" customHeight="1">
      <c r="A19" s="264" t="s">
        <v>0</v>
      </c>
      <c r="B19" s="264" t="s">
        <v>1</v>
      </c>
      <c r="C19" s="262" t="s">
        <v>2</v>
      </c>
      <c r="D19" s="256" t="s">
        <v>36</v>
      </c>
      <c r="E19" s="257"/>
      <c r="F19" s="257"/>
      <c r="G19" s="258"/>
      <c r="H19" s="255" t="s">
        <v>37</v>
      </c>
      <c r="I19" s="255"/>
      <c r="J19" s="255"/>
      <c r="K19" s="255"/>
      <c r="L19" s="260" t="s">
        <v>39</v>
      </c>
    </row>
    <row r="20" spans="1:12" ht="24.95" customHeight="1">
      <c r="A20" s="265"/>
      <c r="B20" s="265"/>
      <c r="C20" s="263"/>
      <c r="D20" s="160" t="s">
        <v>40</v>
      </c>
      <c r="E20" s="13" t="s">
        <v>41</v>
      </c>
      <c r="F20" s="13" t="s">
        <v>42</v>
      </c>
      <c r="G20" s="13" t="s">
        <v>38</v>
      </c>
      <c r="H20" s="13" t="s">
        <v>40</v>
      </c>
      <c r="I20" s="13" t="s">
        <v>41</v>
      </c>
      <c r="J20" s="13" t="s">
        <v>857</v>
      </c>
      <c r="K20" s="142" t="s">
        <v>856</v>
      </c>
      <c r="L20" s="261"/>
    </row>
    <row r="21" spans="1:12" ht="24.95" customHeight="1">
      <c r="A21" s="13">
        <v>1</v>
      </c>
      <c r="B21" s="168" t="s">
        <v>939</v>
      </c>
      <c r="D21" s="9">
        <v>12000</v>
      </c>
      <c r="E21" s="9">
        <v>0</v>
      </c>
      <c r="F21" s="9">
        <v>0</v>
      </c>
      <c r="G21" s="9">
        <v>1000</v>
      </c>
      <c r="H21" s="9">
        <v>2000</v>
      </c>
      <c r="I21" s="9">
        <v>0</v>
      </c>
      <c r="J21" s="9">
        <v>0</v>
      </c>
      <c r="K21" s="162">
        <f>H21+I21+J21</f>
        <v>2000</v>
      </c>
      <c r="L21" s="157">
        <f>K21-G21</f>
        <v>1000</v>
      </c>
    </row>
    <row r="22" spans="1:12" ht="24.95" customHeight="1">
      <c r="A22" s="13">
        <v>2</v>
      </c>
      <c r="B22" s="168" t="s">
        <v>940</v>
      </c>
      <c r="C22" s="159" t="s">
        <v>941</v>
      </c>
      <c r="D22" s="9">
        <v>6000</v>
      </c>
      <c r="E22" s="9">
        <v>0</v>
      </c>
      <c r="F22" s="9">
        <v>0</v>
      </c>
      <c r="G22" s="9">
        <v>1000</v>
      </c>
      <c r="H22" s="9">
        <v>2000</v>
      </c>
      <c r="I22" s="9">
        <v>0</v>
      </c>
      <c r="J22" s="9">
        <v>0</v>
      </c>
      <c r="K22" s="162">
        <f t="shared" ref="K22:K28" si="0">H22+I22+J22</f>
        <v>2000</v>
      </c>
      <c r="L22" s="157">
        <f t="shared" ref="L22:L28" si="1">K22-G22</f>
        <v>1000</v>
      </c>
    </row>
    <row r="23" spans="1:12" ht="24.95" customHeight="1">
      <c r="A23" s="13">
        <v>3</v>
      </c>
      <c r="B23" s="168" t="s">
        <v>942</v>
      </c>
      <c r="C23" s="159" t="s">
        <v>943</v>
      </c>
      <c r="D23" s="157">
        <v>15000</v>
      </c>
      <c r="E23" s="9">
        <v>0</v>
      </c>
      <c r="F23" s="9">
        <v>0</v>
      </c>
      <c r="G23" s="9">
        <v>1000</v>
      </c>
      <c r="H23" s="9">
        <v>2000</v>
      </c>
      <c r="I23" s="9">
        <v>0</v>
      </c>
      <c r="J23" s="9">
        <v>0</v>
      </c>
      <c r="K23" s="162">
        <f t="shared" si="0"/>
        <v>2000</v>
      </c>
      <c r="L23" s="157">
        <f t="shared" si="1"/>
        <v>1000</v>
      </c>
    </row>
    <row r="24" spans="1:12" ht="24.95" customHeight="1">
      <c r="A24" s="13">
        <v>4</v>
      </c>
      <c r="B24" s="168" t="s">
        <v>944</v>
      </c>
      <c r="C24" s="159" t="s">
        <v>943</v>
      </c>
      <c r="D24" s="157">
        <v>8000</v>
      </c>
      <c r="E24" s="9">
        <v>0</v>
      </c>
      <c r="F24" s="9">
        <v>0</v>
      </c>
      <c r="G24" s="9">
        <v>1000</v>
      </c>
      <c r="H24" s="9">
        <v>2000</v>
      </c>
      <c r="I24" s="9">
        <v>0</v>
      </c>
      <c r="J24" s="9">
        <v>0</v>
      </c>
      <c r="K24" s="162">
        <f t="shared" si="0"/>
        <v>2000</v>
      </c>
      <c r="L24" s="157">
        <f t="shared" si="1"/>
        <v>1000</v>
      </c>
    </row>
    <row r="25" spans="1:12" ht="24.95" customHeight="1">
      <c r="A25" s="13">
        <v>5</v>
      </c>
      <c r="B25" s="168" t="s">
        <v>945</v>
      </c>
      <c r="C25" s="159" t="s">
        <v>946</v>
      </c>
      <c r="D25" s="157">
        <v>15000</v>
      </c>
      <c r="E25" s="9">
        <v>5000</v>
      </c>
      <c r="F25" s="9">
        <v>0</v>
      </c>
      <c r="G25" s="9">
        <v>1000</v>
      </c>
      <c r="H25" s="9">
        <v>2000</v>
      </c>
      <c r="I25" s="9">
        <v>5000</v>
      </c>
      <c r="J25" s="9">
        <v>0</v>
      </c>
      <c r="K25" s="162">
        <f t="shared" si="0"/>
        <v>7000</v>
      </c>
      <c r="L25" s="157">
        <f t="shared" si="1"/>
        <v>6000</v>
      </c>
    </row>
    <row r="26" spans="1:12" ht="24.95" customHeight="1">
      <c r="A26" s="13">
        <v>6</v>
      </c>
      <c r="B26" s="158" t="s">
        <v>947</v>
      </c>
      <c r="C26" s="159" t="s">
        <v>51</v>
      </c>
      <c r="D26" s="157">
        <v>13000</v>
      </c>
      <c r="E26" s="9">
        <v>0</v>
      </c>
      <c r="F26" s="9">
        <v>0</v>
      </c>
      <c r="G26" s="9">
        <v>1000</v>
      </c>
      <c r="H26" s="9">
        <v>2000</v>
      </c>
      <c r="I26" s="9">
        <v>0</v>
      </c>
      <c r="J26" s="9">
        <v>0</v>
      </c>
      <c r="K26" s="162">
        <f t="shared" si="0"/>
        <v>2000</v>
      </c>
      <c r="L26" s="157">
        <f t="shared" si="1"/>
        <v>1000</v>
      </c>
    </row>
    <row r="27" spans="1:12" ht="24.95" customHeight="1">
      <c r="A27" s="13">
        <v>7</v>
      </c>
      <c r="B27" s="168" t="s">
        <v>948</v>
      </c>
      <c r="C27" s="159" t="s">
        <v>51</v>
      </c>
      <c r="D27" s="157">
        <v>14000</v>
      </c>
      <c r="E27" s="9">
        <v>0</v>
      </c>
      <c r="F27" s="9">
        <v>0</v>
      </c>
      <c r="G27" s="9">
        <v>1000</v>
      </c>
      <c r="H27" s="9">
        <v>2000</v>
      </c>
      <c r="I27" s="9">
        <v>0</v>
      </c>
      <c r="J27" s="9">
        <v>0</v>
      </c>
      <c r="K27" s="162">
        <f t="shared" si="0"/>
        <v>2000</v>
      </c>
      <c r="L27" s="157">
        <f t="shared" si="1"/>
        <v>1000</v>
      </c>
    </row>
    <row r="28" spans="1:12" ht="24.95" customHeight="1">
      <c r="A28" s="225">
        <v>8</v>
      </c>
      <c r="B28" s="239" t="s">
        <v>1018</v>
      </c>
      <c r="C28" s="240"/>
      <c r="D28" s="241"/>
      <c r="E28" s="242"/>
      <c r="F28" s="242"/>
      <c r="G28" s="9">
        <v>1000</v>
      </c>
      <c r="H28" s="9">
        <v>2000</v>
      </c>
      <c r="I28" s="242"/>
      <c r="J28" s="242"/>
      <c r="K28" s="162">
        <f t="shared" si="0"/>
        <v>2000</v>
      </c>
      <c r="L28" s="157">
        <f t="shared" si="1"/>
        <v>1000</v>
      </c>
    </row>
    <row r="29" spans="1:12" ht="24.95" customHeight="1">
      <c r="A29" s="255" t="s">
        <v>38</v>
      </c>
      <c r="B29" s="255"/>
      <c r="C29" s="255"/>
      <c r="D29" s="161">
        <f t="shared" ref="D29:F29" si="2">SUM(D21:D27)</f>
        <v>83000</v>
      </c>
      <c r="E29" s="9">
        <f t="shared" si="2"/>
        <v>5000</v>
      </c>
      <c r="F29" s="9">
        <f t="shared" si="2"/>
        <v>0</v>
      </c>
      <c r="G29" s="9">
        <f>SUM(G21:G28)</f>
        <v>8000</v>
      </c>
      <c r="H29" s="9">
        <f t="shared" ref="H29:L29" si="3">SUM(H21:H28)</f>
        <v>16000</v>
      </c>
      <c r="I29" s="9">
        <f t="shared" si="3"/>
        <v>5000</v>
      </c>
      <c r="J29" s="9">
        <f t="shared" si="3"/>
        <v>0</v>
      </c>
      <c r="K29" s="9">
        <f t="shared" si="3"/>
        <v>21000</v>
      </c>
      <c r="L29" s="9">
        <f t="shared" si="3"/>
        <v>13000</v>
      </c>
    </row>
    <row r="31" spans="1:12">
      <c r="L31" s="11"/>
    </row>
  </sheetData>
  <mergeCells count="9">
    <mergeCell ref="A1:I1"/>
    <mergeCell ref="A29:C29"/>
    <mergeCell ref="D19:G19"/>
    <mergeCell ref="H19:K19"/>
    <mergeCell ref="A18:L18"/>
    <mergeCell ref="L19:L20"/>
    <mergeCell ref="C19:C20"/>
    <mergeCell ref="B19:B20"/>
    <mergeCell ref="A19:A20"/>
  </mergeCells>
  <phoneticPr fontId="1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5"/>
  <sheetViews>
    <sheetView workbookViewId="0">
      <pane xSplit="1" ySplit="4" topLeftCell="B98" activePane="bottomRight" state="frozen"/>
      <selection pane="topRight" activeCell="B1" sqref="B1"/>
      <selection pane="bottomLeft" activeCell="A5" sqref="A5"/>
      <selection pane="bottomRight" activeCell="F117" sqref="F117"/>
    </sheetView>
  </sheetViews>
  <sheetFormatPr defaultColWidth="9" defaultRowHeight="13.5"/>
  <cols>
    <col min="1" max="1" width="20.75" customWidth="1"/>
    <col min="3" max="3" width="11.5" customWidth="1"/>
    <col min="5" max="5" width="9" style="235"/>
    <col min="12" max="12" width="21" customWidth="1"/>
  </cols>
  <sheetData>
    <row r="1" spans="1:12" ht="15">
      <c r="A1" s="183" t="s">
        <v>960</v>
      </c>
      <c r="E1" s="231" t="s">
        <v>961</v>
      </c>
    </row>
    <row r="4" spans="1:12">
      <c r="A4" s="184" t="s">
        <v>59</v>
      </c>
      <c r="B4" s="184" t="s">
        <v>1</v>
      </c>
      <c r="C4" s="184" t="s">
        <v>60</v>
      </c>
      <c r="D4" s="184" t="s">
        <v>61</v>
      </c>
      <c r="E4" s="232" t="s">
        <v>62</v>
      </c>
      <c r="F4" s="184" t="s">
        <v>63</v>
      </c>
      <c r="G4" s="184" t="s">
        <v>962</v>
      </c>
      <c r="H4" s="184" t="s">
        <v>963</v>
      </c>
      <c r="I4" s="184" t="s">
        <v>964</v>
      </c>
      <c r="J4" s="184" t="s">
        <v>965</v>
      </c>
      <c r="K4" s="184" t="s">
        <v>966</v>
      </c>
      <c r="L4" s="223" t="s">
        <v>6</v>
      </c>
    </row>
    <row r="5" spans="1:12">
      <c r="A5" s="185" t="s">
        <v>17</v>
      </c>
      <c r="B5" s="185" t="s">
        <v>52</v>
      </c>
      <c r="C5" s="185" t="s">
        <v>69</v>
      </c>
      <c r="D5" s="185" t="s">
        <v>65</v>
      </c>
      <c r="E5" s="233">
        <v>31</v>
      </c>
      <c r="F5" s="185" t="s">
        <v>66</v>
      </c>
      <c r="G5" s="185" t="s">
        <v>66</v>
      </c>
      <c r="H5" s="185" t="s">
        <v>66</v>
      </c>
      <c r="I5" s="185" t="s">
        <v>66</v>
      </c>
      <c r="J5" s="185">
        <v>16</v>
      </c>
      <c r="K5" s="185" t="s">
        <v>66</v>
      </c>
      <c r="L5" s="185"/>
    </row>
    <row r="6" spans="1:12">
      <c r="A6" s="185" t="s">
        <v>17</v>
      </c>
      <c r="B6" s="185" t="s">
        <v>72</v>
      </c>
      <c r="C6" s="185" t="s">
        <v>73</v>
      </c>
      <c r="D6" s="185" t="s">
        <v>65</v>
      </c>
      <c r="E6" s="233">
        <v>31</v>
      </c>
      <c r="F6" s="185">
        <v>0</v>
      </c>
      <c r="G6" s="185" t="s">
        <v>66</v>
      </c>
      <c r="H6" s="185" t="s">
        <v>66</v>
      </c>
      <c r="I6" s="185" t="s">
        <v>66</v>
      </c>
      <c r="J6" s="185" t="s">
        <v>66</v>
      </c>
      <c r="K6" s="185" t="s">
        <v>66</v>
      </c>
      <c r="L6" s="185"/>
    </row>
    <row r="7" spans="1:12" s="188" customFormat="1">
      <c r="A7" s="186" t="s">
        <v>17</v>
      </c>
      <c r="B7" s="187" t="s">
        <v>74</v>
      </c>
      <c r="C7" s="186" t="s">
        <v>75</v>
      </c>
      <c r="D7" s="186" t="s">
        <v>65</v>
      </c>
      <c r="E7" s="234">
        <v>30</v>
      </c>
      <c r="F7" s="186" t="s">
        <v>66</v>
      </c>
      <c r="G7" s="186" t="s">
        <v>66</v>
      </c>
      <c r="H7" s="186" t="s">
        <v>127</v>
      </c>
      <c r="I7" s="186" t="s">
        <v>66</v>
      </c>
      <c r="J7" s="186" t="s">
        <v>66</v>
      </c>
      <c r="K7" s="186" t="s">
        <v>66</v>
      </c>
      <c r="L7" s="187" t="s">
        <v>76</v>
      </c>
    </row>
    <row r="8" spans="1:12">
      <c r="A8" s="185" t="s">
        <v>17</v>
      </c>
      <c r="B8" s="189" t="s">
        <v>16</v>
      </c>
      <c r="C8" s="185" t="s">
        <v>77</v>
      </c>
      <c r="D8" s="185" t="s">
        <v>65</v>
      </c>
      <c r="E8" s="233">
        <v>31</v>
      </c>
      <c r="F8" s="185" t="s">
        <v>66</v>
      </c>
      <c r="G8" s="185" t="s">
        <v>66</v>
      </c>
      <c r="H8" s="185" t="s">
        <v>66</v>
      </c>
      <c r="I8" s="185" t="s">
        <v>66</v>
      </c>
      <c r="J8" s="185" t="s">
        <v>66</v>
      </c>
      <c r="K8" s="185" t="s">
        <v>66</v>
      </c>
      <c r="L8" s="187" t="s">
        <v>76</v>
      </c>
    </row>
    <row r="9" spans="1:12">
      <c r="A9" s="185" t="s">
        <v>17</v>
      </c>
      <c r="B9" s="189" t="s">
        <v>22</v>
      </c>
      <c r="C9" s="185" t="s">
        <v>79</v>
      </c>
      <c r="D9" s="185" t="s">
        <v>65</v>
      </c>
      <c r="E9" s="233">
        <v>31</v>
      </c>
      <c r="F9" s="185" t="s">
        <v>66</v>
      </c>
      <c r="G9" s="185" t="s">
        <v>66</v>
      </c>
      <c r="H9" s="185" t="s">
        <v>66</v>
      </c>
      <c r="I9" s="185" t="s">
        <v>66</v>
      </c>
      <c r="J9" s="185" t="s">
        <v>66</v>
      </c>
      <c r="K9" s="185" t="s">
        <v>66</v>
      </c>
      <c r="L9" s="187" t="s">
        <v>76</v>
      </c>
    </row>
    <row r="10" spans="1:12" s="188" customFormat="1">
      <c r="A10" s="186" t="s">
        <v>27</v>
      </c>
      <c r="B10" s="187" t="s">
        <v>26</v>
      </c>
      <c r="C10" s="186" t="s">
        <v>81</v>
      </c>
      <c r="D10" s="186" t="s">
        <v>65</v>
      </c>
      <c r="E10" s="234">
        <v>31</v>
      </c>
      <c r="F10" s="186">
        <v>0</v>
      </c>
      <c r="G10" s="186" t="s">
        <v>66</v>
      </c>
      <c r="H10" s="186" t="s">
        <v>66</v>
      </c>
      <c r="I10" s="186" t="s">
        <v>66</v>
      </c>
      <c r="J10" s="186" t="s">
        <v>66</v>
      </c>
      <c r="K10" s="186" t="s">
        <v>66</v>
      </c>
      <c r="L10" s="187" t="s">
        <v>76</v>
      </c>
    </row>
    <row r="11" spans="1:12" s="188" customFormat="1">
      <c r="A11" s="186" t="s">
        <v>27</v>
      </c>
      <c r="B11" s="187" t="s">
        <v>34</v>
      </c>
      <c r="C11" s="186" t="s">
        <v>83</v>
      </c>
      <c r="D11" s="186" t="s">
        <v>65</v>
      </c>
      <c r="E11" s="234">
        <v>31</v>
      </c>
      <c r="F11" s="186">
        <v>0</v>
      </c>
      <c r="G11" s="186" t="s">
        <v>66</v>
      </c>
      <c r="H11" s="186" t="s">
        <v>66</v>
      </c>
      <c r="I11" s="186" t="s">
        <v>66</v>
      </c>
      <c r="J11" s="186" t="s">
        <v>66</v>
      </c>
      <c r="K11" s="186" t="s">
        <v>66</v>
      </c>
      <c r="L11" s="187" t="s">
        <v>76</v>
      </c>
    </row>
    <row r="12" spans="1:12">
      <c r="A12" s="185" t="s">
        <v>27</v>
      </c>
      <c r="B12" s="190" t="s">
        <v>928</v>
      </c>
      <c r="C12" s="185" t="s">
        <v>967</v>
      </c>
      <c r="D12" s="185">
        <v>10</v>
      </c>
      <c r="E12" s="233">
        <v>10</v>
      </c>
      <c r="F12" s="185" t="s">
        <v>66</v>
      </c>
      <c r="G12" s="185" t="s">
        <v>66</v>
      </c>
      <c r="H12" s="185" t="s">
        <v>66</v>
      </c>
      <c r="I12" s="185" t="s">
        <v>66</v>
      </c>
      <c r="J12" s="185" t="s">
        <v>66</v>
      </c>
      <c r="K12" s="185" t="s">
        <v>66</v>
      </c>
      <c r="L12" s="190" t="s">
        <v>68</v>
      </c>
    </row>
    <row r="13" spans="1:12">
      <c r="A13" s="185" t="s">
        <v>27</v>
      </c>
      <c r="B13" s="189" t="s">
        <v>935</v>
      </c>
      <c r="C13" s="185" t="s">
        <v>968</v>
      </c>
      <c r="D13" s="185" t="s">
        <v>132</v>
      </c>
      <c r="E13" s="233">
        <v>4</v>
      </c>
      <c r="F13" s="185" t="s">
        <v>66</v>
      </c>
      <c r="G13" s="185" t="s">
        <v>66</v>
      </c>
      <c r="H13" s="185" t="s">
        <v>127</v>
      </c>
      <c r="I13" s="185" t="s">
        <v>66</v>
      </c>
      <c r="J13" s="185" t="s">
        <v>66</v>
      </c>
      <c r="K13" s="185" t="s">
        <v>66</v>
      </c>
      <c r="L13" s="189" t="s">
        <v>76</v>
      </c>
    </row>
    <row r="14" spans="1:12" s="188" customFormat="1">
      <c r="A14" s="186" t="s">
        <v>27</v>
      </c>
      <c r="B14" s="187" t="s">
        <v>85</v>
      </c>
      <c r="C14" s="186" t="s">
        <v>86</v>
      </c>
      <c r="D14" s="186" t="s">
        <v>65</v>
      </c>
      <c r="E14" s="234">
        <v>31</v>
      </c>
      <c r="F14" s="186">
        <v>0</v>
      </c>
      <c r="G14" s="186" t="s">
        <v>66</v>
      </c>
      <c r="H14" s="186" t="s">
        <v>66</v>
      </c>
      <c r="I14" s="186" t="s">
        <v>66</v>
      </c>
      <c r="J14" s="186" t="s">
        <v>66</v>
      </c>
      <c r="K14" s="186" t="s">
        <v>66</v>
      </c>
      <c r="L14" s="187" t="s">
        <v>76</v>
      </c>
    </row>
    <row r="15" spans="1:12">
      <c r="A15" s="185" t="s">
        <v>27</v>
      </c>
      <c r="B15" s="185" t="s">
        <v>49</v>
      </c>
      <c r="C15" s="185" t="s">
        <v>87</v>
      </c>
      <c r="D15" s="185" t="s">
        <v>65</v>
      </c>
      <c r="E15" s="233">
        <v>31</v>
      </c>
      <c r="F15" s="185">
        <v>0</v>
      </c>
      <c r="G15" s="185" t="s">
        <v>66</v>
      </c>
      <c r="H15" s="185" t="s">
        <v>66</v>
      </c>
      <c r="I15" s="185" t="s">
        <v>66</v>
      </c>
      <c r="J15" s="185" t="s">
        <v>66</v>
      </c>
      <c r="K15" s="185" t="s">
        <v>66</v>
      </c>
      <c r="L15" s="185"/>
    </row>
    <row r="16" spans="1:12">
      <c r="A16" s="185" t="s">
        <v>27</v>
      </c>
      <c r="B16" s="185" t="s">
        <v>43</v>
      </c>
      <c r="C16" s="185" t="s">
        <v>94</v>
      </c>
      <c r="D16" s="185" t="s">
        <v>65</v>
      </c>
      <c r="E16" s="233">
        <v>31</v>
      </c>
      <c r="F16" s="185">
        <v>0</v>
      </c>
      <c r="G16" s="185" t="s">
        <v>127</v>
      </c>
      <c r="H16" s="185" t="s">
        <v>66</v>
      </c>
      <c r="I16" s="185" t="s">
        <v>66</v>
      </c>
      <c r="J16" s="185" t="s">
        <v>66</v>
      </c>
      <c r="K16" s="185" t="s">
        <v>66</v>
      </c>
      <c r="L16" s="185"/>
    </row>
    <row r="17" spans="1:12">
      <c r="A17" s="185" t="s">
        <v>27</v>
      </c>
      <c r="B17" s="185" t="s">
        <v>45</v>
      </c>
      <c r="C17" s="185" t="s">
        <v>96</v>
      </c>
      <c r="D17" s="185" t="s">
        <v>65</v>
      </c>
      <c r="E17" s="233">
        <v>31</v>
      </c>
      <c r="F17" s="185">
        <v>0</v>
      </c>
      <c r="G17" s="185" t="s">
        <v>66</v>
      </c>
      <c r="H17" s="185" t="s">
        <v>66</v>
      </c>
      <c r="I17" s="185" t="s">
        <v>66</v>
      </c>
      <c r="J17" s="185" t="s">
        <v>66</v>
      </c>
      <c r="K17" s="185" t="s">
        <v>66</v>
      </c>
      <c r="L17" s="185"/>
    </row>
    <row r="18" spans="1:12">
      <c r="A18" s="185" t="s">
        <v>27</v>
      </c>
      <c r="B18" s="185" t="s">
        <v>97</v>
      </c>
      <c r="C18" s="185" t="s">
        <v>98</v>
      </c>
      <c r="D18" s="185" t="s">
        <v>65</v>
      </c>
      <c r="E18" s="233">
        <v>31</v>
      </c>
      <c r="F18" s="185">
        <v>0</v>
      </c>
      <c r="G18" s="185" t="s">
        <v>66</v>
      </c>
      <c r="H18" s="185" t="s">
        <v>66</v>
      </c>
      <c r="I18" s="185" t="s">
        <v>66</v>
      </c>
      <c r="J18" s="185" t="s">
        <v>66</v>
      </c>
      <c r="K18" s="185" t="s">
        <v>66</v>
      </c>
      <c r="L18" s="185"/>
    </row>
    <row r="19" spans="1:12">
      <c r="A19" s="185" t="s">
        <v>27</v>
      </c>
      <c r="B19" s="185" t="s">
        <v>99</v>
      </c>
      <c r="C19" s="185" t="s">
        <v>100</v>
      </c>
      <c r="D19" s="185" t="s">
        <v>65</v>
      </c>
      <c r="E19" s="233">
        <v>31</v>
      </c>
      <c r="F19" s="185">
        <v>0</v>
      </c>
      <c r="G19" s="185" t="s">
        <v>66</v>
      </c>
      <c r="H19" s="185" t="s">
        <v>66</v>
      </c>
      <c r="I19" s="185" t="s">
        <v>66</v>
      </c>
      <c r="J19" s="185" t="s">
        <v>66</v>
      </c>
      <c r="K19" s="185" t="s">
        <v>66</v>
      </c>
      <c r="L19" s="185"/>
    </row>
    <row r="20" spans="1:12">
      <c r="A20" s="185" t="s">
        <v>27</v>
      </c>
      <c r="B20" s="185" t="s">
        <v>101</v>
      </c>
      <c r="C20" s="185" t="s">
        <v>102</v>
      </c>
      <c r="D20" s="185" t="s">
        <v>65</v>
      </c>
      <c r="E20" s="233">
        <v>31</v>
      </c>
      <c r="F20" s="185">
        <v>0</v>
      </c>
      <c r="G20" s="185" t="s">
        <v>66</v>
      </c>
      <c r="H20" s="185" t="s">
        <v>66</v>
      </c>
      <c r="I20" s="185" t="s">
        <v>66</v>
      </c>
      <c r="J20" s="185" t="s">
        <v>66</v>
      </c>
      <c r="K20" s="185" t="s">
        <v>66</v>
      </c>
      <c r="L20" s="185"/>
    </row>
    <row r="21" spans="1:12">
      <c r="A21" s="185" t="s">
        <v>27</v>
      </c>
      <c r="B21" s="185" t="s">
        <v>103</v>
      </c>
      <c r="C21" s="185" t="s">
        <v>104</v>
      </c>
      <c r="D21" s="185" t="s">
        <v>65</v>
      </c>
      <c r="E21" s="233">
        <v>31</v>
      </c>
      <c r="F21" s="185">
        <v>0</v>
      </c>
      <c r="G21" s="185" t="s">
        <v>66</v>
      </c>
      <c r="H21" s="185" t="s">
        <v>66</v>
      </c>
      <c r="I21" s="185" t="s">
        <v>66</v>
      </c>
      <c r="J21" s="185" t="s">
        <v>66</v>
      </c>
      <c r="K21" s="185" t="s">
        <v>66</v>
      </c>
      <c r="L21" s="185"/>
    </row>
    <row r="22" spans="1:12">
      <c r="A22" s="185" t="s">
        <v>27</v>
      </c>
      <c r="B22" s="185" t="s">
        <v>105</v>
      </c>
      <c r="C22" s="185" t="s">
        <v>106</v>
      </c>
      <c r="D22" s="185" t="s">
        <v>65</v>
      </c>
      <c r="E22" s="233">
        <v>31</v>
      </c>
      <c r="F22" s="185">
        <v>0</v>
      </c>
      <c r="G22" s="185" t="s">
        <v>66</v>
      </c>
      <c r="H22" s="185" t="s">
        <v>66</v>
      </c>
      <c r="I22" s="185" t="s">
        <v>66</v>
      </c>
      <c r="J22" s="185" t="s">
        <v>66</v>
      </c>
      <c r="K22" s="185" t="s">
        <v>66</v>
      </c>
      <c r="L22" s="185"/>
    </row>
    <row r="23" spans="1:12">
      <c r="A23" s="185" t="s">
        <v>27</v>
      </c>
      <c r="B23" s="185" t="s">
        <v>109</v>
      </c>
      <c r="C23" s="185" t="s">
        <v>110</v>
      </c>
      <c r="D23" s="185" t="s">
        <v>65</v>
      </c>
      <c r="E23" s="233">
        <v>31</v>
      </c>
      <c r="F23" s="185">
        <v>0</v>
      </c>
      <c r="G23" s="185" t="s">
        <v>66</v>
      </c>
      <c r="H23" s="185" t="s">
        <v>66</v>
      </c>
      <c r="I23" s="185" t="s">
        <v>66</v>
      </c>
      <c r="J23" s="185" t="s">
        <v>66</v>
      </c>
      <c r="K23" s="185" t="s">
        <v>66</v>
      </c>
      <c r="L23" s="185"/>
    </row>
    <row r="24" spans="1:12">
      <c r="A24" s="185" t="s">
        <v>27</v>
      </c>
      <c r="B24" s="185" t="s">
        <v>90</v>
      </c>
      <c r="C24" s="185" t="s">
        <v>91</v>
      </c>
      <c r="D24" s="185" t="s">
        <v>65</v>
      </c>
      <c r="E24" s="233">
        <v>31</v>
      </c>
      <c r="F24" s="185">
        <v>0</v>
      </c>
      <c r="G24" s="185" t="s">
        <v>66</v>
      </c>
      <c r="H24" s="185" t="s">
        <v>66</v>
      </c>
      <c r="I24" s="185" t="s">
        <v>66</v>
      </c>
      <c r="J24" s="185" t="s">
        <v>66</v>
      </c>
      <c r="K24" s="185" t="s">
        <v>66</v>
      </c>
      <c r="L24" s="185"/>
    </row>
    <row r="25" spans="1:12">
      <c r="A25" s="185" t="s">
        <v>27</v>
      </c>
      <c r="B25" s="185" t="s">
        <v>44</v>
      </c>
      <c r="C25" s="185" t="s">
        <v>95</v>
      </c>
      <c r="D25" s="185" t="s">
        <v>65</v>
      </c>
      <c r="E25" s="233">
        <v>31</v>
      </c>
      <c r="F25" s="185">
        <v>0</v>
      </c>
      <c r="G25" s="185" t="s">
        <v>66</v>
      </c>
      <c r="H25" s="185" t="s">
        <v>66</v>
      </c>
      <c r="I25" s="185" t="s">
        <v>66</v>
      </c>
      <c r="J25" s="185" t="s">
        <v>66</v>
      </c>
      <c r="K25" s="185" t="s">
        <v>66</v>
      </c>
      <c r="L25" s="185"/>
    </row>
    <row r="26" spans="1:12">
      <c r="A26" s="185" t="s">
        <v>111</v>
      </c>
      <c r="B26" s="185" t="s">
        <v>120</v>
      </c>
      <c r="C26" s="185" t="s">
        <v>121</v>
      </c>
      <c r="D26" s="185" t="s">
        <v>65</v>
      </c>
      <c r="E26" s="233">
        <v>31</v>
      </c>
      <c r="F26" s="185">
        <v>0</v>
      </c>
      <c r="G26" s="185" t="s">
        <v>66</v>
      </c>
      <c r="H26" s="185" t="s">
        <v>66</v>
      </c>
      <c r="I26" s="185" t="s">
        <v>66</v>
      </c>
      <c r="J26" s="185" t="s">
        <v>66</v>
      </c>
      <c r="K26" s="185" t="s">
        <v>66</v>
      </c>
      <c r="L26" s="185"/>
    </row>
    <row r="27" spans="1:12">
      <c r="A27" s="185" t="s">
        <v>111</v>
      </c>
      <c r="B27" s="185" t="s">
        <v>112</v>
      </c>
      <c r="C27" s="185" t="s">
        <v>113</v>
      </c>
      <c r="D27" s="185" t="s">
        <v>65</v>
      </c>
      <c r="E27" s="233">
        <v>31</v>
      </c>
      <c r="F27" s="185" t="s">
        <v>66</v>
      </c>
      <c r="G27" s="185" t="s">
        <v>66</v>
      </c>
      <c r="H27" s="185" t="s">
        <v>66</v>
      </c>
      <c r="I27" s="185" t="s">
        <v>66</v>
      </c>
      <c r="J27" s="185">
        <v>16</v>
      </c>
      <c r="K27" s="185" t="s">
        <v>66</v>
      </c>
      <c r="L27" s="185"/>
    </row>
    <row r="28" spans="1:12" s="188" customFormat="1">
      <c r="A28" s="186" t="s">
        <v>111</v>
      </c>
      <c r="B28" s="186" t="s">
        <v>118</v>
      </c>
      <c r="C28" s="186" t="s">
        <v>119</v>
      </c>
      <c r="D28" s="186" t="s">
        <v>65</v>
      </c>
      <c r="E28" s="234">
        <v>28</v>
      </c>
      <c r="F28" s="186">
        <v>0</v>
      </c>
      <c r="G28" s="186" t="s">
        <v>66</v>
      </c>
      <c r="H28" s="186">
        <v>24</v>
      </c>
      <c r="I28" s="186" t="s">
        <v>66</v>
      </c>
      <c r="J28" s="186" t="s">
        <v>66</v>
      </c>
      <c r="K28" s="186" t="s">
        <v>66</v>
      </c>
      <c r="L28" s="186"/>
    </row>
    <row r="29" spans="1:12">
      <c r="A29" s="185" t="s">
        <v>111</v>
      </c>
      <c r="B29" s="185" t="s">
        <v>116</v>
      </c>
      <c r="C29" s="185" t="s">
        <v>117</v>
      </c>
      <c r="D29" s="185" t="s">
        <v>65</v>
      </c>
      <c r="E29" s="233">
        <v>31</v>
      </c>
      <c r="F29" s="185" t="s">
        <v>66</v>
      </c>
      <c r="G29" s="185" t="s">
        <v>66</v>
      </c>
      <c r="H29" s="185" t="s">
        <v>66</v>
      </c>
      <c r="I29" s="185" t="s">
        <v>66</v>
      </c>
      <c r="J29" s="185" t="s">
        <v>66</v>
      </c>
      <c r="K29" s="185" t="s">
        <v>66</v>
      </c>
      <c r="L29" s="185"/>
    </row>
    <row r="30" spans="1:12">
      <c r="A30" s="185" t="s">
        <v>111</v>
      </c>
      <c r="B30" s="185" t="s">
        <v>54</v>
      </c>
      <c r="C30" s="185" t="s">
        <v>122</v>
      </c>
      <c r="D30" s="185" t="s">
        <v>65</v>
      </c>
      <c r="E30" s="233">
        <v>31</v>
      </c>
      <c r="F30" s="185" t="s">
        <v>66</v>
      </c>
      <c r="G30" s="185" t="s">
        <v>66</v>
      </c>
      <c r="H30" s="185" t="s">
        <v>66</v>
      </c>
      <c r="I30" s="185">
        <v>8</v>
      </c>
      <c r="J30" s="185" t="s">
        <v>66</v>
      </c>
      <c r="K30" s="185" t="s">
        <v>66</v>
      </c>
      <c r="L30" s="185"/>
    </row>
    <row r="31" spans="1:12">
      <c r="A31" s="185" t="s">
        <v>111</v>
      </c>
      <c r="B31" s="185" t="s">
        <v>123</v>
      </c>
      <c r="C31" s="185" t="s">
        <v>124</v>
      </c>
      <c r="D31" s="185" t="s">
        <v>65</v>
      </c>
      <c r="E31" s="233">
        <v>31</v>
      </c>
      <c r="F31" s="185" t="s">
        <v>66</v>
      </c>
      <c r="G31" s="185" t="s">
        <v>66</v>
      </c>
      <c r="H31" s="185" t="s">
        <v>66</v>
      </c>
      <c r="I31" s="185" t="s">
        <v>66</v>
      </c>
      <c r="J31" s="185" t="s">
        <v>66</v>
      </c>
      <c r="K31" s="185" t="s">
        <v>66</v>
      </c>
      <c r="L31" s="185"/>
    </row>
    <row r="32" spans="1:12">
      <c r="A32" s="185" t="s">
        <v>111</v>
      </c>
      <c r="B32" s="191" t="s">
        <v>125</v>
      </c>
      <c r="C32" s="185" t="s">
        <v>126</v>
      </c>
      <c r="D32" s="185" t="s">
        <v>65</v>
      </c>
      <c r="E32" s="233">
        <v>31</v>
      </c>
      <c r="F32" s="185" t="s">
        <v>66</v>
      </c>
      <c r="G32" s="185" t="s">
        <v>66</v>
      </c>
      <c r="H32" s="185" t="s">
        <v>66</v>
      </c>
      <c r="I32" s="185" t="s">
        <v>66</v>
      </c>
      <c r="J32" s="185" t="s">
        <v>66</v>
      </c>
      <c r="K32" s="185" t="s">
        <v>66</v>
      </c>
      <c r="L32" s="191" t="s">
        <v>1013</v>
      </c>
    </row>
    <row r="33" spans="1:12">
      <c r="A33" s="185" t="s">
        <v>111</v>
      </c>
      <c r="B33" s="189" t="s">
        <v>937</v>
      </c>
      <c r="C33" s="185" t="s">
        <v>969</v>
      </c>
      <c r="D33" s="185" t="s">
        <v>89</v>
      </c>
      <c r="E33" s="233">
        <v>3</v>
      </c>
      <c r="F33" s="185" t="s">
        <v>66</v>
      </c>
      <c r="G33" s="185" t="s">
        <v>66</v>
      </c>
      <c r="H33" s="185" t="s">
        <v>66</v>
      </c>
      <c r="I33" s="185" t="s">
        <v>66</v>
      </c>
      <c r="J33" s="185" t="s">
        <v>66</v>
      </c>
      <c r="K33" s="185" t="s">
        <v>66</v>
      </c>
      <c r="L33" s="189" t="s">
        <v>76</v>
      </c>
    </row>
    <row r="34" spans="1:12">
      <c r="A34" s="185" t="s">
        <v>111</v>
      </c>
      <c r="B34" s="189" t="s">
        <v>917</v>
      </c>
      <c r="C34" s="185" t="s">
        <v>970</v>
      </c>
      <c r="D34" s="185" t="s">
        <v>115</v>
      </c>
      <c r="E34" s="233">
        <v>12</v>
      </c>
      <c r="F34" s="185">
        <v>0</v>
      </c>
      <c r="G34" s="185" t="s">
        <v>66</v>
      </c>
      <c r="H34" s="185" t="s">
        <v>66</v>
      </c>
      <c r="I34" s="185" t="s">
        <v>66</v>
      </c>
      <c r="J34" s="185" t="s">
        <v>66</v>
      </c>
      <c r="K34" s="185" t="s">
        <v>66</v>
      </c>
      <c r="L34" s="189" t="s">
        <v>76</v>
      </c>
    </row>
    <row r="35" spans="1:12">
      <c r="A35" s="185" t="s">
        <v>111</v>
      </c>
      <c r="B35" s="189" t="s">
        <v>20</v>
      </c>
      <c r="C35" s="185" t="s">
        <v>130</v>
      </c>
      <c r="D35" s="185" t="s">
        <v>65</v>
      </c>
      <c r="E35" s="233">
        <v>29</v>
      </c>
      <c r="F35" s="185" t="s">
        <v>66</v>
      </c>
      <c r="G35" s="185" t="s">
        <v>66</v>
      </c>
      <c r="H35" s="185">
        <v>16</v>
      </c>
      <c r="I35" s="185" t="s">
        <v>66</v>
      </c>
      <c r="J35" s="185" t="s">
        <v>66</v>
      </c>
      <c r="K35" s="185" t="s">
        <v>66</v>
      </c>
      <c r="L35" s="189" t="s">
        <v>76</v>
      </c>
    </row>
    <row r="36" spans="1:12">
      <c r="A36" s="185" t="s">
        <v>131</v>
      </c>
      <c r="B36" s="189" t="s">
        <v>31</v>
      </c>
      <c r="C36" s="185" t="s">
        <v>971</v>
      </c>
      <c r="D36" s="185" t="s">
        <v>65</v>
      </c>
      <c r="E36" s="233">
        <v>31</v>
      </c>
      <c r="F36" s="185" t="s">
        <v>66</v>
      </c>
      <c r="G36" s="185" t="s">
        <v>66</v>
      </c>
      <c r="H36" s="185" t="s">
        <v>66</v>
      </c>
      <c r="I36" s="185" t="s">
        <v>66</v>
      </c>
      <c r="J36" s="185" t="s">
        <v>66</v>
      </c>
      <c r="K36" s="185" t="s">
        <v>66</v>
      </c>
      <c r="L36" s="189" t="s">
        <v>76</v>
      </c>
    </row>
    <row r="37" spans="1:12">
      <c r="A37" s="185" t="s">
        <v>131</v>
      </c>
      <c r="B37" s="189" t="s">
        <v>30</v>
      </c>
      <c r="C37" s="185" t="s">
        <v>972</v>
      </c>
      <c r="D37" s="185" t="s">
        <v>65</v>
      </c>
      <c r="E37" s="233">
        <v>29.75</v>
      </c>
      <c r="F37" s="185" t="s">
        <v>66</v>
      </c>
      <c r="G37" s="185" t="s">
        <v>67</v>
      </c>
      <c r="H37" s="185" t="s">
        <v>66</v>
      </c>
      <c r="I37" s="185" t="s">
        <v>66</v>
      </c>
      <c r="J37" s="185" t="s">
        <v>66</v>
      </c>
      <c r="K37" s="185" t="s">
        <v>66</v>
      </c>
      <c r="L37" s="189" t="s">
        <v>76</v>
      </c>
    </row>
    <row r="38" spans="1:12" s="188" customFormat="1">
      <c r="A38" s="186" t="s">
        <v>131</v>
      </c>
      <c r="B38" s="187" t="s">
        <v>32</v>
      </c>
      <c r="C38" s="186" t="s">
        <v>973</v>
      </c>
      <c r="D38" s="186" t="s">
        <v>65</v>
      </c>
      <c r="E38" s="234">
        <v>30</v>
      </c>
      <c r="F38" s="186" t="s">
        <v>66</v>
      </c>
      <c r="G38" s="186">
        <v>0</v>
      </c>
      <c r="H38" s="186">
        <v>8</v>
      </c>
      <c r="I38" s="186" t="s">
        <v>66</v>
      </c>
      <c r="J38" s="186" t="s">
        <v>66</v>
      </c>
      <c r="K38" s="186" t="s">
        <v>66</v>
      </c>
      <c r="L38" s="187" t="s">
        <v>76</v>
      </c>
    </row>
    <row r="39" spans="1:12">
      <c r="A39" s="185" t="s">
        <v>131</v>
      </c>
      <c r="B39" s="189" t="s">
        <v>136</v>
      </c>
      <c r="C39" s="185" t="s">
        <v>974</v>
      </c>
      <c r="D39" s="185" t="s">
        <v>65</v>
      </c>
      <c r="E39" s="233">
        <v>31</v>
      </c>
      <c r="F39" s="185" t="s">
        <v>66</v>
      </c>
      <c r="G39" s="185" t="s">
        <v>66</v>
      </c>
      <c r="H39" s="185" t="s">
        <v>66</v>
      </c>
      <c r="I39" s="185" t="s">
        <v>66</v>
      </c>
      <c r="J39" s="185" t="s">
        <v>66</v>
      </c>
      <c r="K39" s="185" t="s">
        <v>66</v>
      </c>
      <c r="L39" s="189" t="s">
        <v>76</v>
      </c>
    </row>
    <row r="40" spans="1:12" s="188" customFormat="1">
      <c r="A40" s="186" t="s">
        <v>131</v>
      </c>
      <c r="B40" s="187" t="s">
        <v>35</v>
      </c>
      <c r="C40" s="186" t="s">
        <v>975</v>
      </c>
      <c r="D40" s="186" t="s">
        <v>65</v>
      </c>
      <c r="E40" s="234">
        <v>29.13</v>
      </c>
      <c r="F40" s="186" t="s">
        <v>66</v>
      </c>
      <c r="G40" s="186" t="s">
        <v>127</v>
      </c>
      <c r="H40" s="186">
        <v>7</v>
      </c>
      <c r="I40" s="186" t="s">
        <v>66</v>
      </c>
      <c r="J40" s="186" t="s">
        <v>66</v>
      </c>
      <c r="K40" s="186" t="s">
        <v>66</v>
      </c>
      <c r="L40" s="187" t="s">
        <v>76</v>
      </c>
    </row>
    <row r="41" spans="1:12">
      <c r="A41" s="185" t="s">
        <v>131</v>
      </c>
      <c r="B41" s="190" t="s">
        <v>876</v>
      </c>
      <c r="C41" s="185" t="s">
        <v>976</v>
      </c>
      <c r="D41" s="185">
        <v>19</v>
      </c>
      <c r="E41" s="233">
        <v>18</v>
      </c>
      <c r="F41" s="185" t="s">
        <v>66</v>
      </c>
      <c r="G41" s="185">
        <v>0</v>
      </c>
      <c r="H41" s="185">
        <v>8</v>
      </c>
      <c r="I41" s="185">
        <v>0</v>
      </c>
      <c r="J41" s="185" t="s">
        <v>66</v>
      </c>
      <c r="K41" s="185" t="s">
        <v>66</v>
      </c>
      <c r="L41" s="190" t="s">
        <v>68</v>
      </c>
    </row>
    <row r="42" spans="1:12">
      <c r="A42" s="185" t="s">
        <v>131</v>
      </c>
      <c r="B42" s="189" t="s">
        <v>930</v>
      </c>
      <c r="C42" s="185" t="s">
        <v>977</v>
      </c>
      <c r="D42" s="185" t="s">
        <v>132</v>
      </c>
      <c r="E42" s="233">
        <v>5</v>
      </c>
      <c r="F42" s="185" t="s">
        <v>66</v>
      </c>
      <c r="G42" s="185" t="s">
        <v>66</v>
      </c>
      <c r="H42" s="185" t="s">
        <v>66</v>
      </c>
      <c r="I42" s="185" t="s">
        <v>66</v>
      </c>
      <c r="J42" s="185" t="s">
        <v>66</v>
      </c>
      <c r="K42" s="185" t="s">
        <v>66</v>
      </c>
      <c r="L42" s="189" t="s">
        <v>76</v>
      </c>
    </row>
    <row r="43" spans="1:12">
      <c r="A43" s="185" t="s">
        <v>131</v>
      </c>
      <c r="B43" s="191" t="s">
        <v>128</v>
      </c>
      <c r="C43" s="185" t="s">
        <v>129</v>
      </c>
      <c r="D43" s="185" t="s">
        <v>65</v>
      </c>
      <c r="E43" s="233">
        <v>30</v>
      </c>
      <c r="F43" s="185" t="s">
        <v>66</v>
      </c>
      <c r="G43" s="185" t="s">
        <v>66</v>
      </c>
      <c r="H43" s="185" t="s">
        <v>127</v>
      </c>
      <c r="I43" s="185" t="s">
        <v>66</v>
      </c>
      <c r="J43" s="185" t="s">
        <v>66</v>
      </c>
      <c r="K43" s="185" t="s">
        <v>66</v>
      </c>
      <c r="L43" s="191"/>
    </row>
    <row r="44" spans="1:12">
      <c r="A44" s="185" t="s">
        <v>131</v>
      </c>
      <c r="B44" s="185" t="s">
        <v>138</v>
      </c>
      <c r="C44" s="185" t="s">
        <v>139</v>
      </c>
      <c r="D44" s="185" t="s">
        <v>65</v>
      </c>
      <c r="E44" s="233">
        <v>31</v>
      </c>
      <c r="F44" s="185" t="s">
        <v>66</v>
      </c>
      <c r="G44" s="185" t="s">
        <v>66</v>
      </c>
      <c r="H44" s="185" t="s">
        <v>66</v>
      </c>
      <c r="I44" s="185" t="s">
        <v>66</v>
      </c>
      <c r="J44" s="185" t="s">
        <v>66</v>
      </c>
      <c r="K44" s="185" t="s">
        <v>66</v>
      </c>
      <c r="L44" s="185"/>
    </row>
    <row r="45" spans="1:12" s="188" customFormat="1">
      <c r="A45" s="186" t="s">
        <v>131</v>
      </c>
      <c r="B45" s="186" t="s">
        <v>140</v>
      </c>
      <c r="C45" s="186" t="s">
        <v>141</v>
      </c>
      <c r="D45" s="186" t="s">
        <v>65</v>
      </c>
      <c r="E45" s="234">
        <v>31</v>
      </c>
      <c r="F45" s="186" t="s">
        <v>66</v>
      </c>
      <c r="G45" s="186" t="s">
        <v>66</v>
      </c>
      <c r="H45" s="186" t="s">
        <v>66</v>
      </c>
      <c r="I45" s="186" t="s">
        <v>66</v>
      </c>
      <c r="J45" s="186">
        <v>16</v>
      </c>
      <c r="K45" s="186" t="s">
        <v>66</v>
      </c>
      <c r="L45" s="186"/>
    </row>
    <row r="46" spans="1:12">
      <c r="A46" s="185" t="s">
        <v>131</v>
      </c>
      <c r="B46" s="185" t="s">
        <v>142</v>
      </c>
      <c r="C46" s="185" t="s">
        <v>143</v>
      </c>
      <c r="D46" s="185" t="s">
        <v>65</v>
      </c>
      <c r="E46" s="233">
        <v>31</v>
      </c>
      <c r="F46" s="185" t="s">
        <v>66</v>
      </c>
      <c r="G46" s="185" t="s">
        <v>66</v>
      </c>
      <c r="H46" s="185" t="s">
        <v>66</v>
      </c>
      <c r="I46" s="185" t="s">
        <v>66</v>
      </c>
      <c r="J46" s="185" t="s">
        <v>66</v>
      </c>
      <c r="K46" s="185" t="s">
        <v>66</v>
      </c>
      <c r="L46" s="185"/>
    </row>
    <row r="47" spans="1:12">
      <c r="A47" s="185" t="s">
        <v>131</v>
      </c>
      <c r="B47" s="185" t="s">
        <v>144</v>
      </c>
      <c r="C47" s="185" t="s">
        <v>145</v>
      </c>
      <c r="D47" s="185" t="s">
        <v>65</v>
      </c>
      <c r="E47" s="233">
        <v>31</v>
      </c>
      <c r="F47" s="185" t="s">
        <v>66</v>
      </c>
      <c r="G47" s="185" t="s">
        <v>66</v>
      </c>
      <c r="H47" s="185" t="s">
        <v>66</v>
      </c>
      <c r="I47" s="185" t="s">
        <v>115</v>
      </c>
      <c r="J47" s="185" t="s">
        <v>66</v>
      </c>
      <c r="K47" s="185" t="s">
        <v>66</v>
      </c>
      <c r="L47" s="185"/>
    </row>
    <row r="48" spans="1:12">
      <c r="A48" s="185" t="s">
        <v>131</v>
      </c>
      <c r="B48" s="185" t="s">
        <v>146</v>
      </c>
      <c r="C48" s="185" t="s">
        <v>147</v>
      </c>
      <c r="D48" s="185" t="s">
        <v>65</v>
      </c>
      <c r="E48" s="233">
        <v>30.5</v>
      </c>
      <c r="F48" s="185">
        <v>0</v>
      </c>
      <c r="G48" s="185" t="s">
        <v>66</v>
      </c>
      <c r="H48" s="185" t="s">
        <v>71</v>
      </c>
      <c r="I48" s="185">
        <v>12</v>
      </c>
      <c r="J48" s="185" t="s">
        <v>127</v>
      </c>
      <c r="K48" s="185" t="s">
        <v>66</v>
      </c>
      <c r="L48" s="185"/>
    </row>
    <row r="49" spans="1:12">
      <c r="A49" s="185" t="s">
        <v>131</v>
      </c>
      <c r="B49" s="185" t="s">
        <v>148</v>
      </c>
      <c r="C49" s="185" t="s">
        <v>149</v>
      </c>
      <c r="D49" s="185" t="s">
        <v>65</v>
      </c>
      <c r="E49" s="233">
        <v>31</v>
      </c>
      <c r="F49" s="185" t="s">
        <v>66</v>
      </c>
      <c r="G49" s="185" t="s">
        <v>66</v>
      </c>
      <c r="H49" s="185" t="s">
        <v>66</v>
      </c>
      <c r="I49" s="185">
        <v>0</v>
      </c>
      <c r="J49" s="185" t="s">
        <v>66</v>
      </c>
      <c r="K49" s="185" t="s">
        <v>66</v>
      </c>
      <c r="L49" s="185"/>
    </row>
    <row r="50" spans="1:12">
      <c r="A50" s="185" t="s">
        <v>131</v>
      </c>
      <c r="B50" s="185" t="s">
        <v>150</v>
      </c>
      <c r="C50" s="185" t="s">
        <v>151</v>
      </c>
      <c r="D50" s="185" t="s">
        <v>65</v>
      </c>
      <c r="E50" s="233">
        <v>31</v>
      </c>
      <c r="F50" s="185" t="s">
        <v>66</v>
      </c>
      <c r="G50" s="185" t="s">
        <v>66</v>
      </c>
      <c r="H50" s="185" t="s">
        <v>66</v>
      </c>
      <c r="I50" s="185" t="s">
        <v>115</v>
      </c>
      <c r="J50" s="185" t="s">
        <v>66</v>
      </c>
      <c r="K50" s="185" t="s">
        <v>66</v>
      </c>
      <c r="L50" s="185"/>
    </row>
    <row r="51" spans="1:12">
      <c r="A51" s="185" t="s">
        <v>131</v>
      </c>
      <c r="B51" s="185" t="s">
        <v>222</v>
      </c>
      <c r="C51" s="185" t="s">
        <v>223</v>
      </c>
      <c r="D51" s="185" t="s">
        <v>65</v>
      </c>
      <c r="E51" s="233">
        <v>31</v>
      </c>
      <c r="F51" s="185">
        <v>0</v>
      </c>
      <c r="G51" s="185" t="s">
        <v>66</v>
      </c>
      <c r="H51" s="185" t="s">
        <v>66</v>
      </c>
      <c r="I51" s="185" t="s">
        <v>66</v>
      </c>
      <c r="J51" s="185" t="s">
        <v>66</v>
      </c>
      <c r="K51" s="185" t="s">
        <v>66</v>
      </c>
      <c r="L51" s="185"/>
    </row>
    <row r="52" spans="1:12">
      <c r="A52" s="185" t="s">
        <v>131</v>
      </c>
      <c r="B52" s="185" t="s">
        <v>152</v>
      </c>
      <c r="C52" s="185" t="s">
        <v>153</v>
      </c>
      <c r="D52" s="185" t="s">
        <v>65</v>
      </c>
      <c r="E52" s="233">
        <v>30.75</v>
      </c>
      <c r="F52" s="185" t="s">
        <v>66</v>
      </c>
      <c r="G52" s="185" t="s">
        <v>66</v>
      </c>
      <c r="H52" s="185" t="s">
        <v>137</v>
      </c>
      <c r="I52" s="185" t="s">
        <v>66</v>
      </c>
      <c r="J52" s="185" t="s">
        <v>66</v>
      </c>
      <c r="K52" s="185" t="s">
        <v>66</v>
      </c>
      <c r="L52" s="185"/>
    </row>
    <row r="53" spans="1:12">
      <c r="A53" s="185" t="s">
        <v>978</v>
      </c>
      <c r="B53" s="185" t="s">
        <v>155</v>
      </c>
      <c r="C53" s="185" t="s">
        <v>156</v>
      </c>
      <c r="D53" s="185" t="s">
        <v>65</v>
      </c>
      <c r="E53" s="233">
        <v>30</v>
      </c>
      <c r="F53" s="185">
        <v>0</v>
      </c>
      <c r="G53" s="185" t="s">
        <v>66</v>
      </c>
      <c r="H53" s="185" t="s">
        <v>127</v>
      </c>
      <c r="I53" s="185" t="s">
        <v>66</v>
      </c>
      <c r="J53" s="185" t="s">
        <v>66</v>
      </c>
      <c r="K53" s="185" t="s">
        <v>66</v>
      </c>
      <c r="L53" s="185"/>
    </row>
    <row r="54" spans="1:12">
      <c r="A54" s="185" t="s">
        <v>978</v>
      </c>
      <c r="B54" s="185" t="s">
        <v>157</v>
      </c>
      <c r="C54" s="185" t="s">
        <v>158</v>
      </c>
      <c r="D54" s="185" t="s">
        <v>65</v>
      </c>
      <c r="E54" s="233">
        <v>31</v>
      </c>
      <c r="F54" s="185" t="s">
        <v>66</v>
      </c>
      <c r="G54" s="185" t="s">
        <v>66</v>
      </c>
      <c r="H54" s="185" t="s">
        <v>66</v>
      </c>
      <c r="I54" s="185" t="s">
        <v>66</v>
      </c>
      <c r="J54" s="185" t="s">
        <v>66</v>
      </c>
      <c r="K54" s="185" t="s">
        <v>66</v>
      </c>
      <c r="L54" s="185"/>
    </row>
    <row r="55" spans="1:12">
      <c r="A55" s="185" t="s">
        <v>978</v>
      </c>
      <c r="B55" s="185" t="s">
        <v>159</v>
      </c>
      <c r="C55" s="185" t="s">
        <v>160</v>
      </c>
      <c r="D55" s="185" t="s">
        <v>65</v>
      </c>
      <c r="E55" s="233">
        <v>31</v>
      </c>
      <c r="F55" s="185" t="s">
        <v>66</v>
      </c>
      <c r="G55" s="185" t="s">
        <v>66</v>
      </c>
      <c r="H55" s="185" t="s">
        <v>66</v>
      </c>
      <c r="I55" s="185" t="s">
        <v>66</v>
      </c>
      <c r="J55" s="185" t="s">
        <v>127</v>
      </c>
      <c r="K55" s="185" t="s">
        <v>66</v>
      </c>
      <c r="L55" s="185"/>
    </row>
    <row r="56" spans="1:12">
      <c r="A56" s="185" t="s">
        <v>978</v>
      </c>
      <c r="B56" s="185" t="s">
        <v>161</v>
      </c>
      <c r="C56" s="185" t="s">
        <v>162</v>
      </c>
      <c r="D56" s="185" t="s">
        <v>65</v>
      </c>
      <c r="E56" s="233">
        <v>31</v>
      </c>
      <c r="F56" s="185">
        <v>0</v>
      </c>
      <c r="G56" s="185" t="s">
        <v>66</v>
      </c>
      <c r="H56" s="185" t="s">
        <v>66</v>
      </c>
      <c r="I56" s="185" t="s">
        <v>66</v>
      </c>
      <c r="J56" s="185" t="s">
        <v>66</v>
      </c>
      <c r="K56" s="185" t="s">
        <v>66</v>
      </c>
      <c r="L56" s="222" t="s">
        <v>1014</v>
      </c>
    </row>
    <row r="57" spans="1:12">
      <c r="A57" s="185" t="s">
        <v>163</v>
      </c>
      <c r="B57" s="185" t="s">
        <v>46</v>
      </c>
      <c r="C57" s="185" t="s">
        <v>979</v>
      </c>
      <c r="D57" s="185" t="s">
        <v>65</v>
      </c>
      <c r="E57" s="233">
        <v>31</v>
      </c>
      <c r="F57" s="185">
        <v>0</v>
      </c>
      <c r="G57" s="185" t="s">
        <v>66</v>
      </c>
      <c r="H57" s="185" t="s">
        <v>66</v>
      </c>
      <c r="I57" s="185" t="s">
        <v>66</v>
      </c>
      <c r="J57" s="185" t="s">
        <v>66</v>
      </c>
      <c r="K57" s="185" t="s">
        <v>66</v>
      </c>
      <c r="L57" s="185"/>
    </row>
    <row r="58" spans="1:12">
      <c r="A58" s="185" t="s">
        <v>163</v>
      </c>
      <c r="B58" s="185" t="s">
        <v>164</v>
      </c>
      <c r="C58" s="185" t="s">
        <v>165</v>
      </c>
      <c r="D58" s="185" t="s">
        <v>65</v>
      </c>
      <c r="E58" s="233">
        <v>31</v>
      </c>
      <c r="F58" s="185">
        <v>0</v>
      </c>
      <c r="G58" s="185" t="s">
        <v>66</v>
      </c>
      <c r="H58" s="185" t="s">
        <v>66</v>
      </c>
      <c r="I58" s="185" t="s">
        <v>66</v>
      </c>
      <c r="J58" s="185" t="s">
        <v>66</v>
      </c>
      <c r="K58" s="185" t="s">
        <v>66</v>
      </c>
      <c r="L58" s="185"/>
    </row>
    <row r="59" spans="1:12">
      <c r="A59" s="185" t="s">
        <v>163</v>
      </c>
      <c r="B59" s="185" t="s">
        <v>167</v>
      </c>
      <c r="C59" s="185" t="s">
        <v>168</v>
      </c>
      <c r="D59" s="185" t="s">
        <v>65</v>
      </c>
      <c r="E59" s="233">
        <v>31</v>
      </c>
      <c r="F59" s="185">
        <v>0</v>
      </c>
      <c r="G59" s="185" t="s">
        <v>66</v>
      </c>
      <c r="H59" s="185" t="s">
        <v>66</v>
      </c>
      <c r="I59" s="185" t="s">
        <v>66</v>
      </c>
      <c r="J59" s="185" t="s">
        <v>66</v>
      </c>
      <c r="K59" s="185" t="s">
        <v>66</v>
      </c>
      <c r="L59" s="185"/>
    </row>
    <row r="60" spans="1:12">
      <c r="A60" s="185" t="s">
        <v>163</v>
      </c>
      <c r="B60" s="190" t="s">
        <v>166</v>
      </c>
      <c r="C60" s="185" t="s">
        <v>980</v>
      </c>
      <c r="D60" s="185" t="s">
        <v>70</v>
      </c>
      <c r="E60" s="233">
        <v>1</v>
      </c>
      <c r="F60" s="185" t="s">
        <v>66</v>
      </c>
      <c r="G60" s="185" t="s">
        <v>66</v>
      </c>
      <c r="H60" s="185" t="s">
        <v>66</v>
      </c>
      <c r="I60" s="185" t="s">
        <v>66</v>
      </c>
      <c r="J60" s="185" t="s">
        <v>66</v>
      </c>
      <c r="K60" s="185" t="s">
        <v>66</v>
      </c>
      <c r="L60" s="190" t="s">
        <v>234</v>
      </c>
    </row>
    <row r="61" spans="1:12">
      <c r="A61" s="185" t="s">
        <v>163</v>
      </c>
      <c r="B61" s="190" t="s">
        <v>169</v>
      </c>
      <c r="C61" s="185" t="s">
        <v>981</v>
      </c>
      <c r="D61" s="185" t="s">
        <v>70</v>
      </c>
      <c r="E61" s="233">
        <v>1</v>
      </c>
      <c r="F61" s="185" t="s">
        <v>66</v>
      </c>
      <c r="G61" s="185" t="s">
        <v>66</v>
      </c>
      <c r="H61" s="185" t="s">
        <v>66</v>
      </c>
      <c r="I61" s="185" t="s">
        <v>66</v>
      </c>
      <c r="J61" s="185" t="s">
        <v>66</v>
      </c>
      <c r="K61" s="185" t="s">
        <v>66</v>
      </c>
      <c r="L61" s="190" t="s">
        <v>234</v>
      </c>
    </row>
    <row r="62" spans="1:12">
      <c r="A62" s="185" t="s">
        <v>163</v>
      </c>
      <c r="B62" s="222" t="s">
        <v>1017</v>
      </c>
      <c r="C62" s="185" t="s">
        <v>170</v>
      </c>
      <c r="D62" s="185" t="s">
        <v>65</v>
      </c>
      <c r="E62" s="233">
        <v>31</v>
      </c>
      <c r="F62" s="185">
        <v>0</v>
      </c>
      <c r="G62" s="185" t="s">
        <v>66</v>
      </c>
      <c r="H62" s="185" t="s">
        <v>66</v>
      </c>
      <c r="I62" s="185" t="s">
        <v>66</v>
      </c>
      <c r="J62" s="185">
        <v>32</v>
      </c>
      <c r="K62" s="185" t="s">
        <v>66</v>
      </c>
      <c r="L62" s="185"/>
    </row>
    <row r="63" spans="1:12">
      <c r="A63" s="185" t="s">
        <v>982</v>
      </c>
      <c r="B63" s="189" t="s">
        <v>18</v>
      </c>
      <c r="C63" s="185" t="s">
        <v>171</v>
      </c>
      <c r="D63" s="185" t="s">
        <v>65</v>
      </c>
      <c r="E63" s="233">
        <v>31</v>
      </c>
      <c r="F63" s="185">
        <v>0</v>
      </c>
      <c r="G63" s="185" t="s">
        <v>66</v>
      </c>
      <c r="H63" s="185" t="s">
        <v>66</v>
      </c>
      <c r="I63" s="185" t="s">
        <v>66</v>
      </c>
      <c r="J63" s="185" t="s">
        <v>66</v>
      </c>
      <c r="K63" s="185" t="s">
        <v>66</v>
      </c>
      <c r="L63" s="189" t="s">
        <v>76</v>
      </c>
    </row>
    <row r="64" spans="1:12">
      <c r="A64" s="185" t="s">
        <v>982</v>
      </c>
      <c r="B64" s="189" t="s">
        <v>33</v>
      </c>
      <c r="C64" s="185" t="s">
        <v>173</v>
      </c>
      <c r="D64" s="185" t="s">
        <v>65</v>
      </c>
      <c r="E64" s="233">
        <v>31</v>
      </c>
      <c r="F64" s="185" t="s">
        <v>66</v>
      </c>
      <c r="G64" s="185" t="s">
        <v>66</v>
      </c>
      <c r="H64" s="185" t="s">
        <v>66</v>
      </c>
      <c r="I64" s="185" t="s">
        <v>66</v>
      </c>
      <c r="J64" s="185" t="s">
        <v>66</v>
      </c>
      <c r="K64" s="185" t="s">
        <v>66</v>
      </c>
      <c r="L64" s="189" t="s">
        <v>76</v>
      </c>
    </row>
    <row r="65" spans="1:12">
      <c r="A65" s="185" t="s">
        <v>982</v>
      </c>
      <c r="B65" s="189" t="s">
        <v>24</v>
      </c>
      <c r="C65" s="185" t="s">
        <v>174</v>
      </c>
      <c r="D65" s="185" t="s">
        <v>65</v>
      </c>
      <c r="E65" s="233">
        <v>31</v>
      </c>
      <c r="F65" s="185" t="s">
        <v>66</v>
      </c>
      <c r="G65" s="185" t="s">
        <v>66</v>
      </c>
      <c r="H65" s="185" t="s">
        <v>66</v>
      </c>
      <c r="I65" s="185" t="s">
        <v>66</v>
      </c>
      <c r="J65" s="185" t="s">
        <v>66</v>
      </c>
      <c r="K65" s="185" t="s">
        <v>66</v>
      </c>
      <c r="L65" s="189" t="s">
        <v>76</v>
      </c>
    </row>
    <row r="66" spans="1:12">
      <c r="A66" s="185" t="s">
        <v>982</v>
      </c>
      <c r="B66" s="190" t="s">
        <v>58</v>
      </c>
      <c r="C66" s="185" t="s">
        <v>983</v>
      </c>
      <c r="D66" s="185" t="s">
        <v>135</v>
      </c>
      <c r="E66" s="233">
        <v>17</v>
      </c>
      <c r="F66" s="185" t="s">
        <v>66</v>
      </c>
      <c r="G66" s="185" t="s">
        <v>66</v>
      </c>
      <c r="H66" s="185" t="s">
        <v>66</v>
      </c>
      <c r="I66" s="185" t="s">
        <v>66</v>
      </c>
      <c r="J66" s="185" t="s">
        <v>66</v>
      </c>
      <c r="K66" s="185" t="s">
        <v>66</v>
      </c>
      <c r="L66" s="190" t="s">
        <v>68</v>
      </c>
    </row>
    <row r="67" spans="1:12" s="188" customFormat="1">
      <c r="A67" s="186" t="s">
        <v>982</v>
      </c>
      <c r="B67" s="224" t="s">
        <v>175</v>
      </c>
      <c r="C67" s="186" t="s">
        <v>176</v>
      </c>
      <c r="D67" s="186" t="s">
        <v>65</v>
      </c>
      <c r="E67" s="234">
        <v>30.88</v>
      </c>
      <c r="F67" s="186">
        <v>0</v>
      </c>
      <c r="G67" s="186" t="s">
        <v>66</v>
      </c>
      <c r="H67" s="186">
        <v>1</v>
      </c>
      <c r="I67" s="186" t="s">
        <v>66</v>
      </c>
      <c r="J67" s="186">
        <v>0</v>
      </c>
      <c r="K67" s="186" t="s">
        <v>66</v>
      </c>
      <c r="L67" s="186"/>
    </row>
    <row r="68" spans="1:12">
      <c r="A68" s="185" t="s">
        <v>982</v>
      </c>
      <c r="B68" s="185" t="s">
        <v>179</v>
      </c>
      <c r="C68" s="185" t="s">
        <v>180</v>
      </c>
      <c r="D68" s="185" t="s">
        <v>65</v>
      </c>
      <c r="E68" s="233">
        <v>31</v>
      </c>
      <c r="F68" s="185" t="s">
        <v>66</v>
      </c>
      <c r="G68" s="185" t="s">
        <v>66</v>
      </c>
      <c r="H68" s="185" t="s">
        <v>66</v>
      </c>
      <c r="I68" s="185" t="s">
        <v>66</v>
      </c>
      <c r="J68" s="185" t="s">
        <v>66</v>
      </c>
      <c r="K68" s="185" t="s">
        <v>66</v>
      </c>
      <c r="L68" s="185"/>
    </row>
    <row r="69" spans="1:12">
      <c r="A69" s="185" t="s">
        <v>984</v>
      </c>
      <c r="B69" s="185" t="s">
        <v>181</v>
      </c>
      <c r="C69" s="185" t="s">
        <v>182</v>
      </c>
      <c r="D69" s="185" t="s">
        <v>65</v>
      </c>
      <c r="E69" s="233">
        <v>31</v>
      </c>
      <c r="F69" s="185" t="s">
        <v>66</v>
      </c>
      <c r="G69" s="185" t="s">
        <v>66</v>
      </c>
      <c r="H69" s="185" t="s">
        <v>66</v>
      </c>
      <c r="I69" s="185" t="s">
        <v>66</v>
      </c>
      <c r="J69" s="185" t="s">
        <v>66</v>
      </c>
      <c r="K69" s="185" t="s">
        <v>66</v>
      </c>
      <c r="L69" s="185"/>
    </row>
    <row r="70" spans="1:12">
      <c r="A70" s="185" t="s">
        <v>984</v>
      </c>
      <c r="B70" s="185" t="s">
        <v>183</v>
      </c>
      <c r="C70" s="185" t="s">
        <v>184</v>
      </c>
      <c r="D70" s="185" t="s">
        <v>65</v>
      </c>
      <c r="E70" s="233">
        <v>30.88</v>
      </c>
      <c r="F70" s="185" t="s">
        <v>66</v>
      </c>
      <c r="G70" s="185" t="s">
        <v>66</v>
      </c>
      <c r="H70" s="185" t="s">
        <v>70</v>
      </c>
      <c r="I70" s="185">
        <v>0</v>
      </c>
      <c r="J70" s="185" t="s">
        <v>66</v>
      </c>
      <c r="K70" s="185" t="s">
        <v>66</v>
      </c>
      <c r="L70" s="185"/>
    </row>
    <row r="71" spans="1:12">
      <c r="A71" s="185" t="s">
        <v>984</v>
      </c>
      <c r="B71" s="185" t="s">
        <v>190</v>
      </c>
      <c r="C71" s="185" t="s">
        <v>191</v>
      </c>
      <c r="D71" s="185" t="s">
        <v>65</v>
      </c>
      <c r="E71" s="233">
        <v>30.75</v>
      </c>
      <c r="F71" s="185" t="s">
        <v>66</v>
      </c>
      <c r="G71" s="185" t="s">
        <v>66</v>
      </c>
      <c r="H71" s="185" t="s">
        <v>137</v>
      </c>
      <c r="I71" s="185" t="s">
        <v>127</v>
      </c>
      <c r="J71" s="185" t="s">
        <v>66</v>
      </c>
      <c r="K71" s="185" t="s">
        <v>66</v>
      </c>
      <c r="L71" s="185"/>
    </row>
    <row r="72" spans="1:12">
      <c r="A72" s="185" t="s">
        <v>984</v>
      </c>
      <c r="B72" s="185" t="s">
        <v>53</v>
      </c>
      <c r="C72" s="185" t="s">
        <v>192</v>
      </c>
      <c r="D72" s="185" t="s">
        <v>65</v>
      </c>
      <c r="E72" s="233">
        <v>31</v>
      </c>
      <c r="F72" s="185" t="s">
        <v>66</v>
      </c>
      <c r="G72" s="185" t="s">
        <v>66</v>
      </c>
      <c r="H72" s="185" t="s">
        <v>66</v>
      </c>
      <c r="I72" s="185" t="s">
        <v>127</v>
      </c>
      <c r="J72" s="185" t="s">
        <v>66</v>
      </c>
      <c r="K72" s="185" t="s">
        <v>66</v>
      </c>
      <c r="L72" s="185"/>
    </row>
    <row r="73" spans="1:12">
      <c r="A73" s="185" t="s">
        <v>984</v>
      </c>
      <c r="B73" s="191" t="s">
        <v>195</v>
      </c>
      <c r="C73" s="185" t="s">
        <v>196</v>
      </c>
      <c r="D73" s="185" t="s">
        <v>65</v>
      </c>
      <c r="E73" s="233">
        <v>30</v>
      </c>
      <c r="F73" s="185" t="s">
        <v>66</v>
      </c>
      <c r="G73" s="185" t="s">
        <v>66</v>
      </c>
      <c r="H73" s="185" t="s">
        <v>127</v>
      </c>
      <c r="I73" s="185" t="s">
        <v>66</v>
      </c>
      <c r="J73" s="185" t="s">
        <v>66</v>
      </c>
      <c r="K73" s="185" t="s">
        <v>66</v>
      </c>
      <c r="L73" s="191" t="s">
        <v>1013</v>
      </c>
    </row>
    <row r="74" spans="1:12">
      <c r="A74" s="185" t="s">
        <v>984</v>
      </c>
      <c r="B74" s="191" t="s">
        <v>197</v>
      </c>
      <c r="C74" s="185" t="s">
        <v>198</v>
      </c>
      <c r="D74" s="185" t="s">
        <v>65</v>
      </c>
      <c r="E74" s="233">
        <v>31</v>
      </c>
      <c r="F74" s="185" t="s">
        <v>66</v>
      </c>
      <c r="G74" s="185" t="s">
        <v>66</v>
      </c>
      <c r="H74" s="185" t="s">
        <v>66</v>
      </c>
      <c r="I74" s="185" t="s">
        <v>609</v>
      </c>
      <c r="J74" s="185" t="s">
        <v>66</v>
      </c>
      <c r="K74" s="185" t="s">
        <v>66</v>
      </c>
      <c r="L74" s="191" t="s">
        <v>1015</v>
      </c>
    </row>
    <row r="75" spans="1:12">
      <c r="A75" s="185" t="s">
        <v>984</v>
      </c>
      <c r="B75" s="191" t="s">
        <v>199</v>
      </c>
      <c r="C75" s="185" t="s">
        <v>200</v>
      </c>
      <c r="D75" s="185" t="s">
        <v>65</v>
      </c>
      <c r="E75" s="233">
        <v>31</v>
      </c>
      <c r="F75" s="185" t="s">
        <v>66</v>
      </c>
      <c r="G75" s="185" t="s">
        <v>66</v>
      </c>
      <c r="H75" s="185" t="s">
        <v>66</v>
      </c>
      <c r="I75" s="185" t="s">
        <v>625</v>
      </c>
      <c r="J75" s="185" t="s">
        <v>66</v>
      </c>
      <c r="K75" s="185" t="s">
        <v>66</v>
      </c>
      <c r="L75" s="191" t="s">
        <v>1015</v>
      </c>
    </row>
    <row r="76" spans="1:12">
      <c r="A76" s="185" t="s">
        <v>984</v>
      </c>
      <c r="B76" s="191" t="s">
        <v>193</v>
      </c>
      <c r="C76" s="185" t="s">
        <v>194</v>
      </c>
      <c r="D76" s="185" t="s">
        <v>65</v>
      </c>
      <c r="E76" s="233">
        <v>30.5</v>
      </c>
      <c r="F76" s="185" t="s">
        <v>66</v>
      </c>
      <c r="G76" s="185" t="s">
        <v>66</v>
      </c>
      <c r="H76" s="185">
        <v>4</v>
      </c>
      <c r="I76" s="185">
        <v>16</v>
      </c>
      <c r="J76" s="185" t="s">
        <v>66</v>
      </c>
      <c r="K76" s="185" t="s">
        <v>66</v>
      </c>
      <c r="L76" s="191" t="s">
        <v>1015</v>
      </c>
    </row>
    <row r="77" spans="1:12">
      <c r="A77" s="185" t="s">
        <v>984</v>
      </c>
      <c r="B77" s="189" t="s">
        <v>201</v>
      </c>
      <c r="C77" s="185" t="s">
        <v>202</v>
      </c>
      <c r="D77" s="185" t="s">
        <v>65</v>
      </c>
      <c r="E77" s="233">
        <v>31</v>
      </c>
      <c r="F77" s="185" t="s">
        <v>66</v>
      </c>
      <c r="G77" s="185" t="s">
        <v>66</v>
      </c>
      <c r="H77" s="185" t="s">
        <v>66</v>
      </c>
      <c r="I77" s="185" t="s">
        <v>66</v>
      </c>
      <c r="J77" s="185" t="s">
        <v>66</v>
      </c>
      <c r="K77" s="185" t="s">
        <v>66</v>
      </c>
      <c r="L77" s="189" t="s">
        <v>76</v>
      </c>
    </row>
    <row r="78" spans="1:12">
      <c r="A78" s="185" t="s">
        <v>984</v>
      </c>
      <c r="B78" s="189" t="s">
        <v>203</v>
      </c>
      <c r="C78" s="185" t="s">
        <v>204</v>
      </c>
      <c r="D78" s="185" t="s">
        <v>65</v>
      </c>
      <c r="E78" s="233">
        <v>31</v>
      </c>
      <c r="F78" s="185" t="s">
        <v>66</v>
      </c>
      <c r="G78" s="185" t="s">
        <v>66</v>
      </c>
      <c r="H78" s="185" t="s">
        <v>66</v>
      </c>
      <c r="I78" s="185" t="s">
        <v>66</v>
      </c>
      <c r="J78" s="185" t="s">
        <v>66</v>
      </c>
      <c r="K78" s="185" t="s">
        <v>66</v>
      </c>
      <c r="L78" s="189" t="s">
        <v>76</v>
      </c>
    </row>
    <row r="79" spans="1:12">
      <c r="A79" s="185" t="s">
        <v>984</v>
      </c>
      <c r="B79" s="189" t="s">
        <v>205</v>
      </c>
      <c r="C79" s="185" t="s">
        <v>206</v>
      </c>
      <c r="D79" s="185" t="s">
        <v>65</v>
      </c>
      <c r="E79" s="233">
        <v>30</v>
      </c>
      <c r="F79" s="185" t="s">
        <v>66</v>
      </c>
      <c r="G79" s="185" t="s">
        <v>66</v>
      </c>
      <c r="H79" s="185" t="s">
        <v>127</v>
      </c>
      <c r="I79" s="185" t="s">
        <v>127</v>
      </c>
      <c r="J79" s="185" t="s">
        <v>66</v>
      </c>
      <c r="K79" s="185" t="s">
        <v>66</v>
      </c>
      <c r="L79" s="189" t="s">
        <v>76</v>
      </c>
    </row>
    <row r="80" spans="1:12">
      <c r="A80" s="185" t="s">
        <v>984</v>
      </c>
      <c r="B80" s="189" t="s">
        <v>207</v>
      </c>
      <c r="C80" s="185" t="s">
        <v>208</v>
      </c>
      <c r="D80" s="185" t="s">
        <v>65</v>
      </c>
      <c r="E80" s="233">
        <v>31</v>
      </c>
      <c r="F80" s="185" t="s">
        <v>66</v>
      </c>
      <c r="G80" s="185" t="s">
        <v>66</v>
      </c>
      <c r="H80" s="185" t="s">
        <v>66</v>
      </c>
      <c r="I80" s="185" t="s">
        <v>127</v>
      </c>
      <c r="J80" s="185" t="s">
        <v>66</v>
      </c>
      <c r="K80" s="185" t="s">
        <v>66</v>
      </c>
      <c r="L80" s="189" t="s">
        <v>76</v>
      </c>
    </row>
    <row r="81" spans="1:12">
      <c r="A81" s="185" t="s">
        <v>984</v>
      </c>
      <c r="B81" s="185" t="s">
        <v>50</v>
      </c>
      <c r="C81" s="185" t="s">
        <v>189</v>
      </c>
      <c r="D81" s="185" t="s">
        <v>65</v>
      </c>
      <c r="E81" s="233">
        <v>31</v>
      </c>
      <c r="F81" s="185" t="s">
        <v>66</v>
      </c>
      <c r="G81" s="185" t="s">
        <v>66</v>
      </c>
      <c r="H81" s="185" t="s">
        <v>66</v>
      </c>
      <c r="I81" s="185" t="s">
        <v>66</v>
      </c>
      <c r="J81" s="185" t="s">
        <v>66</v>
      </c>
      <c r="K81" s="185" t="s">
        <v>66</v>
      </c>
      <c r="L81" s="185"/>
    </row>
    <row r="82" spans="1:12">
      <c r="A82" s="185" t="s">
        <v>984</v>
      </c>
      <c r="B82" s="185" t="s">
        <v>187</v>
      </c>
      <c r="C82" s="185" t="s">
        <v>188</v>
      </c>
      <c r="D82" s="185" t="s">
        <v>65</v>
      </c>
      <c r="E82" s="233">
        <v>31</v>
      </c>
      <c r="F82" s="185" t="s">
        <v>66</v>
      </c>
      <c r="G82" s="185" t="s">
        <v>66</v>
      </c>
      <c r="H82" s="185" t="s">
        <v>66</v>
      </c>
      <c r="I82" s="185" t="s">
        <v>127</v>
      </c>
      <c r="J82" s="185" t="s">
        <v>66</v>
      </c>
      <c r="K82" s="185" t="s">
        <v>66</v>
      </c>
      <c r="L82" s="185"/>
    </row>
    <row r="83" spans="1:12">
      <c r="A83" s="185" t="s">
        <v>984</v>
      </c>
      <c r="B83" s="185" t="s">
        <v>185</v>
      </c>
      <c r="C83" s="185" t="s">
        <v>186</v>
      </c>
      <c r="D83" s="185" t="s">
        <v>65</v>
      </c>
      <c r="E83" s="233">
        <v>31</v>
      </c>
      <c r="F83" s="185" t="s">
        <v>66</v>
      </c>
      <c r="G83" s="185" t="s">
        <v>66</v>
      </c>
      <c r="H83" s="185" t="s">
        <v>66</v>
      </c>
      <c r="I83" s="185" t="s">
        <v>82</v>
      </c>
      <c r="J83" s="185" t="s">
        <v>66</v>
      </c>
      <c r="K83" s="185" t="s">
        <v>66</v>
      </c>
      <c r="L83" s="185"/>
    </row>
    <row r="84" spans="1:12">
      <c r="A84" s="185" t="s">
        <v>984</v>
      </c>
      <c r="B84" s="189" t="s">
        <v>933</v>
      </c>
      <c r="C84" s="185" t="s">
        <v>985</v>
      </c>
      <c r="D84" s="185" t="s">
        <v>132</v>
      </c>
      <c r="E84" s="233">
        <v>5</v>
      </c>
      <c r="F84" s="185" t="s">
        <v>66</v>
      </c>
      <c r="G84" s="185" t="s">
        <v>66</v>
      </c>
      <c r="H84" s="185" t="s">
        <v>66</v>
      </c>
      <c r="I84" s="185" t="s">
        <v>66</v>
      </c>
      <c r="J84" s="185" t="s">
        <v>66</v>
      </c>
      <c r="K84" s="185" t="s">
        <v>66</v>
      </c>
      <c r="L84" s="189" t="s">
        <v>76</v>
      </c>
    </row>
    <row r="85" spans="1:12">
      <c r="A85" s="185" t="s">
        <v>984</v>
      </c>
      <c r="B85" s="189" t="s">
        <v>879</v>
      </c>
      <c r="C85" s="185" t="s">
        <v>986</v>
      </c>
      <c r="D85" s="185" t="s">
        <v>93</v>
      </c>
      <c r="E85" s="233">
        <v>23</v>
      </c>
      <c r="F85" s="185" t="s">
        <v>66</v>
      </c>
      <c r="G85" s="185" t="s">
        <v>66</v>
      </c>
      <c r="H85" s="185" t="s">
        <v>66</v>
      </c>
      <c r="I85" s="185" t="s">
        <v>66</v>
      </c>
      <c r="J85" s="185" t="s">
        <v>66</v>
      </c>
      <c r="K85" s="185" t="s">
        <v>66</v>
      </c>
      <c r="L85" s="189" t="s">
        <v>76</v>
      </c>
    </row>
    <row r="86" spans="1:12">
      <c r="A86" s="185" t="s">
        <v>984</v>
      </c>
      <c r="B86" s="190" t="s">
        <v>873</v>
      </c>
      <c r="C86" s="185" t="s">
        <v>987</v>
      </c>
      <c r="D86" s="185">
        <v>14</v>
      </c>
      <c r="E86" s="233">
        <v>14</v>
      </c>
      <c r="F86" s="185" t="s">
        <v>66</v>
      </c>
      <c r="G86" s="185" t="s">
        <v>66</v>
      </c>
      <c r="H86" s="185">
        <v>0</v>
      </c>
      <c r="I86" s="185" t="s">
        <v>66</v>
      </c>
      <c r="J86" s="185" t="s">
        <v>66</v>
      </c>
      <c r="K86" s="185" t="s">
        <v>66</v>
      </c>
      <c r="L86" s="190" t="s">
        <v>68</v>
      </c>
    </row>
    <row r="87" spans="1:12">
      <c r="A87" s="185" t="s">
        <v>984</v>
      </c>
      <c r="B87" s="189" t="s">
        <v>29</v>
      </c>
      <c r="C87" s="185" t="s">
        <v>213</v>
      </c>
      <c r="D87" s="185" t="s">
        <v>65</v>
      </c>
      <c r="E87" s="233">
        <v>31</v>
      </c>
      <c r="F87" s="185" t="s">
        <v>66</v>
      </c>
      <c r="G87" s="185" t="s">
        <v>66</v>
      </c>
      <c r="H87" s="185" t="s">
        <v>66</v>
      </c>
      <c r="I87" s="185" t="s">
        <v>127</v>
      </c>
      <c r="J87" s="185" t="s">
        <v>66</v>
      </c>
      <c r="K87" s="185" t="s">
        <v>66</v>
      </c>
      <c r="L87" s="189" t="s">
        <v>76</v>
      </c>
    </row>
    <row r="88" spans="1:12">
      <c r="A88" s="185" t="s">
        <v>984</v>
      </c>
      <c r="B88" s="189" t="s">
        <v>19</v>
      </c>
      <c r="C88" s="185" t="s">
        <v>216</v>
      </c>
      <c r="D88" s="185" t="s">
        <v>65</v>
      </c>
      <c r="E88" s="233">
        <v>31</v>
      </c>
      <c r="F88" s="185">
        <v>0</v>
      </c>
      <c r="G88" s="185" t="s">
        <v>66</v>
      </c>
      <c r="H88" s="185" t="s">
        <v>66</v>
      </c>
      <c r="I88" s="185" t="s">
        <v>66</v>
      </c>
      <c r="J88" s="185" t="s">
        <v>66</v>
      </c>
      <c r="K88" s="185" t="s">
        <v>66</v>
      </c>
      <c r="L88" s="189" t="s">
        <v>76</v>
      </c>
    </row>
    <row r="89" spans="1:12">
      <c r="A89" s="185" t="s">
        <v>984</v>
      </c>
      <c r="B89" s="189" t="s">
        <v>214</v>
      </c>
      <c r="C89" s="185" t="s">
        <v>215</v>
      </c>
      <c r="D89" s="185" t="s">
        <v>65</v>
      </c>
      <c r="E89" s="233">
        <v>30.88</v>
      </c>
      <c r="F89" s="185" t="s">
        <v>66</v>
      </c>
      <c r="G89" s="185" t="s">
        <v>66</v>
      </c>
      <c r="H89" s="185" t="s">
        <v>70</v>
      </c>
      <c r="I89" s="185" t="s">
        <v>127</v>
      </c>
      <c r="J89" s="185" t="s">
        <v>66</v>
      </c>
      <c r="K89" s="185" t="s">
        <v>66</v>
      </c>
      <c r="L89" s="189" t="s">
        <v>76</v>
      </c>
    </row>
    <row r="90" spans="1:12">
      <c r="A90" s="185" t="s">
        <v>984</v>
      </c>
      <c r="B90" s="189" t="s">
        <v>15</v>
      </c>
      <c r="C90" s="185" t="s">
        <v>209</v>
      </c>
      <c r="D90" s="185" t="s">
        <v>65</v>
      </c>
      <c r="E90" s="233">
        <v>31</v>
      </c>
      <c r="F90" s="185" t="s">
        <v>66</v>
      </c>
      <c r="G90" s="185" t="s">
        <v>66</v>
      </c>
      <c r="H90" s="185" t="s">
        <v>66</v>
      </c>
      <c r="I90" s="185">
        <v>4</v>
      </c>
      <c r="J90" s="185" t="s">
        <v>66</v>
      </c>
      <c r="K90" s="185" t="s">
        <v>66</v>
      </c>
      <c r="L90" s="189" t="s">
        <v>76</v>
      </c>
    </row>
    <row r="91" spans="1:12">
      <c r="A91" s="185" t="s">
        <v>984</v>
      </c>
      <c r="B91" s="189" t="s">
        <v>211</v>
      </c>
      <c r="C91" s="185" t="s">
        <v>212</v>
      </c>
      <c r="D91" s="185" t="s">
        <v>65</v>
      </c>
      <c r="E91" s="233">
        <v>30</v>
      </c>
      <c r="F91" s="185" t="s">
        <v>66</v>
      </c>
      <c r="G91" s="185" t="s">
        <v>66</v>
      </c>
      <c r="H91" s="185" t="s">
        <v>127</v>
      </c>
      <c r="I91" s="185" t="s">
        <v>66</v>
      </c>
      <c r="J91" s="185" t="s">
        <v>66</v>
      </c>
      <c r="K91" s="185" t="s">
        <v>66</v>
      </c>
      <c r="L91" s="189" t="s">
        <v>76</v>
      </c>
    </row>
    <row r="92" spans="1:12">
      <c r="A92" s="185" t="s">
        <v>224</v>
      </c>
      <c r="B92" s="185" t="s">
        <v>226</v>
      </c>
      <c r="C92" s="185" t="s">
        <v>227</v>
      </c>
      <c r="D92" s="185" t="s">
        <v>65</v>
      </c>
      <c r="E92" s="233">
        <v>31</v>
      </c>
      <c r="F92" s="185" t="s">
        <v>66</v>
      </c>
      <c r="G92" s="185" t="s">
        <v>66</v>
      </c>
      <c r="H92" s="185" t="s">
        <v>66</v>
      </c>
      <c r="I92" s="185" t="s">
        <v>66</v>
      </c>
      <c r="J92" s="185" t="s">
        <v>66</v>
      </c>
      <c r="K92" s="185" t="s">
        <v>66</v>
      </c>
      <c r="L92" s="185"/>
    </row>
    <row r="93" spans="1:12">
      <c r="A93" s="185" t="s">
        <v>224</v>
      </c>
      <c r="B93" s="185" t="s">
        <v>48</v>
      </c>
      <c r="C93" s="185" t="s">
        <v>225</v>
      </c>
      <c r="D93" s="185" t="s">
        <v>65</v>
      </c>
      <c r="E93" s="233">
        <v>31</v>
      </c>
      <c r="F93" s="185" t="s">
        <v>66</v>
      </c>
      <c r="G93" s="185" t="s">
        <v>66</v>
      </c>
      <c r="H93" s="185" t="s">
        <v>66</v>
      </c>
      <c r="I93" s="185" t="s">
        <v>66</v>
      </c>
      <c r="J93" s="185" t="s">
        <v>66</v>
      </c>
      <c r="K93" s="185" t="s">
        <v>66</v>
      </c>
      <c r="L93" s="185"/>
    </row>
    <row r="94" spans="1:12">
      <c r="A94" s="185" t="s">
        <v>988</v>
      </c>
      <c r="B94" s="185" t="s">
        <v>228</v>
      </c>
      <c r="C94" s="185" t="s">
        <v>229</v>
      </c>
      <c r="D94" s="185" t="s">
        <v>65</v>
      </c>
      <c r="E94" s="233">
        <v>31</v>
      </c>
      <c r="F94" s="185" t="s">
        <v>66</v>
      </c>
      <c r="G94" s="185" t="s">
        <v>66</v>
      </c>
      <c r="H94" s="185" t="s">
        <v>66</v>
      </c>
      <c r="I94" s="185" t="s">
        <v>66</v>
      </c>
      <c r="J94" s="185" t="s">
        <v>66</v>
      </c>
      <c r="K94" s="185" t="s">
        <v>66</v>
      </c>
      <c r="L94" s="185"/>
    </row>
    <row r="95" spans="1:12">
      <c r="A95" s="185" t="s">
        <v>988</v>
      </c>
      <c r="B95" s="185" t="s">
        <v>230</v>
      </c>
      <c r="C95" s="185" t="s">
        <v>231</v>
      </c>
      <c r="D95" s="185" t="s">
        <v>65</v>
      </c>
      <c r="E95" s="233">
        <v>28.88</v>
      </c>
      <c r="F95" s="185" t="s">
        <v>66</v>
      </c>
      <c r="G95" s="185" t="s">
        <v>66</v>
      </c>
      <c r="H95" s="185" t="s">
        <v>135</v>
      </c>
      <c r="I95" s="185" t="s">
        <v>66</v>
      </c>
      <c r="J95" s="185" t="s">
        <v>71</v>
      </c>
      <c r="K95" s="185" t="s">
        <v>66</v>
      </c>
      <c r="L95" s="185"/>
    </row>
    <row r="96" spans="1:12">
      <c r="A96" s="185" t="s">
        <v>9</v>
      </c>
      <c r="B96" s="185" t="s">
        <v>55</v>
      </c>
      <c r="C96" s="185" t="s">
        <v>232</v>
      </c>
      <c r="D96" s="185" t="s">
        <v>65</v>
      </c>
      <c r="E96" s="233">
        <v>31</v>
      </c>
      <c r="F96" s="185">
        <v>0</v>
      </c>
      <c r="G96" s="185" t="s">
        <v>66</v>
      </c>
      <c r="H96" s="185" t="s">
        <v>66</v>
      </c>
      <c r="I96" s="185">
        <v>0</v>
      </c>
      <c r="J96" s="185" t="s">
        <v>82</v>
      </c>
      <c r="K96" s="185" t="s">
        <v>66</v>
      </c>
      <c r="L96" s="185"/>
    </row>
    <row r="97" spans="1:12">
      <c r="A97" s="185" t="s">
        <v>9</v>
      </c>
      <c r="B97" s="185" t="s">
        <v>57</v>
      </c>
      <c r="C97" s="185" t="s">
        <v>233</v>
      </c>
      <c r="D97" s="185" t="s">
        <v>65</v>
      </c>
      <c r="E97" s="233">
        <v>30.88</v>
      </c>
      <c r="F97" s="185" t="s">
        <v>66</v>
      </c>
      <c r="G97" s="185" t="s">
        <v>66</v>
      </c>
      <c r="H97" s="185" t="s">
        <v>70</v>
      </c>
      <c r="I97" s="185" t="s">
        <v>66</v>
      </c>
      <c r="J97" s="185" t="s">
        <v>71</v>
      </c>
      <c r="K97" s="185" t="s">
        <v>66</v>
      </c>
      <c r="L97" s="185"/>
    </row>
    <row r="98" spans="1:12">
      <c r="A98" s="185" t="s">
        <v>9</v>
      </c>
      <c r="B98" s="189" t="s">
        <v>23</v>
      </c>
      <c r="C98" s="185" t="s">
        <v>235</v>
      </c>
      <c r="D98" s="185" t="s">
        <v>65</v>
      </c>
      <c r="E98" s="233">
        <v>30.5</v>
      </c>
      <c r="F98" s="185" t="s">
        <v>66</v>
      </c>
      <c r="G98" s="185" t="s">
        <v>66</v>
      </c>
      <c r="H98" s="185" t="s">
        <v>71</v>
      </c>
      <c r="I98" s="185">
        <v>0</v>
      </c>
      <c r="J98" s="185" t="s">
        <v>66</v>
      </c>
      <c r="K98" s="185" t="s">
        <v>66</v>
      </c>
      <c r="L98" s="189" t="s">
        <v>76</v>
      </c>
    </row>
    <row r="99" spans="1:12">
      <c r="A99" s="185" t="s">
        <v>237</v>
      </c>
      <c r="B99" s="185" t="s">
        <v>238</v>
      </c>
      <c r="C99" s="185" t="s">
        <v>239</v>
      </c>
      <c r="D99" s="185" t="s">
        <v>65</v>
      </c>
      <c r="E99" s="233">
        <v>31</v>
      </c>
      <c r="F99" s="185" t="s">
        <v>66</v>
      </c>
      <c r="G99" s="185" t="s">
        <v>66</v>
      </c>
      <c r="H99" s="185" t="s">
        <v>66</v>
      </c>
      <c r="I99" s="185" t="s">
        <v>66</v>
      </c>
      <c r="J99" s="185" t="s">
        <v>66</v>
      </c>
      <c r="K99" s="185" t="s">
        <v>66</v>
      </c>
      <c r="L99" s="222" t="s">
        <v>1016</v>
      </c>
    </row>
    <row r="100" spans="1:12">
      <c r="A100" s="185" t="s">
        <v>237</v>
      </c>
      <c r="B100" s="185" t="s">
        <v>240</v>
      </c>
      <c r="C100" s="185" t="s">
        <v>241</v>
      </c>
      <c r="D100" s="185" t="s">
        <v>65</v>
      </c>
      <c r="E100" s="233">
        <v>31</v>
      </c>
      <c r="F100" s="185">
        <v>0</v>
      </c>
      <c r="G100" s="185" t="s">
        <v>66</v>
      </c>
      <c r="H100" s="185" t="s">
        <v>66</v>
      </c>
      <c r="I100" s="185" t="s">
        <v>66</v>
      </c>
      <c r="J100" s="185" t="s">
        <v>66</v>
      </c>
      <c r="K100" s="185" t="s">
        <v>66</v>
      </c>
      <c r="L100" s="222" t="s">
        <v>1016</v>
      </c>
    </row>
    <row r="101" spans="1:12">
      <c r="A101" s="185" t="s">
        <v>237</v>
      </c>
      <c r="B101" s="185" t="s">
        <v>218</v>
      </c>
      <c r="C101" s="185" t="s">
        <v>219</v>
      </c>
      <c r="D101" s="185" t="s">
        <v>65</v>
      </c>
      <c r="E101" s="233">
        <v>31</v>
      </c>
      <c r="F101" s="185">
        <v>0</v>
      </c>
      <c r="G101" s="185" t="s">
        <v>66</v>
      </c>
      <c r="H101" s="185" t="s">
        <v>66</v>
      </c>
      <c r="I101" s="185" t="s">
        <v>66</v>
      </c>
      <c r="J101" s="185" t="s">
        <v>66</v>
      </c>
      <c r="K101" s="185" t="s">
        <v>66</v>
      </c>
      <c r="L101" s="185"/>
    </row>
    <row r="102" spans="1:12">
      <c r="A102" s="185" t="s">
        <v>237</v>
      </c>
      <c r="B102" s="185" t="s">
        <v>220</v>
      </c>
      <c r="C102" s="185" t="s">
        <v>221</v>
      </c>
      <c r="D102" s="185" t="s">
        <v>65</v>
      </c>
      <c r="E102" s="233">
        <v>31</v>
      </c>
      <c r="F102" s="185">
        <v>0</v>
      </c>
      <c r="G102" s="185" t="s">
        <v>66</v>
      </c>
      <c r="H102" s="185" t="s">
        <v>66</v>
      </c>
      <c r="I102" s="185" t="s">
        <v>66</v>
      </c>
      <c r="J102" s="185" t="s">
        <v>66</v>
      </c>
      <c r="K102" s="185" t="s">
        <v>66</v>
      </c>
      <c r="L102" s="185"/>
    </row>
    <row r="103" spans="1:12">
      <c r="A103" s="185" t="s">
        <v>237</v>
      </c>
      <c r="B103" s="185" t="s">
        <v>242</v>
      </c>
      <c r="C103" s="185" t="s">
        <v>243</v>
      </c>
      <c r="D103" s="185" t="s">
        <v>65</v>
      </c>
      <c r="E103" s="233">
        <v>26</v>
      </c>
      <c r="F103" s="185">
        <v>0</v>
      </c>
      <c r="G103" s="185" t="s">
        <v>66</v>
      </c>
      <c r="H103" s="185" t="s">
        <v>625</v>
      </c>
      <c r="I103" s="185" t="s">
        <v>66</v>
      </c>
      <c r="J103" s="185" t="s">
        <v>66</v>
      </c>
      <c r="K103" s="185" t="s">
        <v>66</v>
      </c>
      <c r="L103" s="185"/>
    </row>
    <row r="104" spans="1:12">
      <c r="A104" s="185" t="s">
        <v>922</v>
      </c>
      <c r="B104" s="189" t="s">
        <v>248</v>
      </c>
      <c r="C104" s="185" t="s">
        <v>249</v>
      </c>
      <c r="D104" s="185" t="s">
        <v>65</v>
      </c>
      <c r="E104" s="233">
        <v>30</v>
      </c>
      <c r="F104" s="185">
        <v>0</v>
      </c>
      <c r="G104" s="185" t="s">
        <v>66</v>
      </c>
      <c r="H104" s="185">
        <v>8</v>
      </c>
      <c r="I104" s="185" t="s">
        <v>66</v>
      </c>
      <c r="J104" s="185" t="s">
        <v>66</v>
      </c>
      <c r="K104" s="185" t="s">
        <v>66</v>
      </c>
      <c r="L104" s="189" t="s">
        <v>76</v>
      </c>
    </row>
    <row r="105" spans="1:12">
      <c r="A105" s="185" t="s">
        <v>922</v>
      </c>
      <c r="B105" s="185" t="s">
        <v>244</v>
      </c>
      <c r="C105" s="185" t="s">
        <v>245</v>
      </c>
      <c r="D105" s="185" t="s">
        <v>65</v>
      </c>
      <c r="E105" s="233">
        <v>31</v>
      </c>
      <c r="F105" s="185">
        <v>0</v>
      </c>
      <c r="G105" s="185" t="s">
        <v>66</v>
      </c>
      <c r="H105" s="185" t="s">
        <v>66</v>
      </c>
      <c r="I105" s="185" t="s">
        <v>66</v>
      </c>
      <c r="J105" s="185" t="s">
        <v>66</v>
      </c>
      <c r="K105" s="185">
        <v>8</v>
      </c>
      <c r="L105" s="185"/>
    </row>
    <row r="106" spans="1:12">
      <c r="A106" s="185" t="s">
        <v>922</v>
      </c>
      <c r="B106" s="185" t="s">
        <v>246</v>
      </c>
      <c r="C106" s="185" t="s">
        <v>247</v>
      </c>
      <c r="D106" s="185" t="s">
        <v>65</v>
      </c>
      <c r="E106" s="233">
        <v>31</v>
      </c>
      <c r="F106" s="185">
        <v>0</v>
      </c>
      <c r="G106" s="185" t="s">
        <v>66</v>
      </c>
      <c r="H106" s="185" t="s">
        <v>66</v>
      </c>
      <c r="I106" s="185" t="s">
        <v>66</v>
      </c>
      <c r="J106" s="185" t="s">
        <v>66</v>
      </c>
      <c r="K106" s="185" t="s">
        <v>66</v>
      </c>
      <c r="L106" s="185"/>
    </row>
    <row r="107" spans="1:12">
      <c r="A107" s="185" t="s">
        <v>922</v>
      </c>
      <c r="B107" s="189" t="s">
        <v>920</v>
      </c>
      <c r="C107" s="185" t="s">
        <v>989</v>
      </c>
      <c r="D107" s="185" t="s">
        <v>115</v>
      </c>
      <c r="E107" s="233">
        <v>12</v>
      </c>
      <c r="F107" s="185" t="s">
        <v>66</v>
      </c>
      <c r="G107" s="185" t="s">
        <v>66</v>
      </c>
      <c r="H107" s="185" t="s">
        <v>66</v>
      </c>
      <c r="I107" s="185" t="s">
        <v>66</v>
      </c>
      <c r="J107" s="185" t="s">
        <v>66</v>
      </c>
      <c r="K107" s="185" t="s">
        <v>66</v>
      </c>
      <c r="L107" s="189" t="s">
        <v>76</v>
      </c>
    </row>
    <row r="108" spans="1:12">
      <c r="A108" s="185" t="s">
        <v>922</v>
      </c>
      <c r="B108" s="189" t="s">
        <v>923</v>
      </c>
      <c r="C108" s="185" t="s">
        <v>990</v>
      </c>
      <c r="D108" s="185" t="s">
        <v>178</v>
      </c>
      <c r="E108" s="233">
        <v>11</v>
      </c>
      <c r="F108" s="185">
        <v>0</v>
      </c>
      <c r="G108" s="185" t="s">
        <v>66</v>
      </c>
      <c r="H108" s="185" t="s">
        <v>66</v>
      </c>
      <c r="I108" s="185" t="s">
        <v>66</v>
      </c>
      <c r="J108" s="185" t="s">
        <v>66</v>
      </c>
      <c r="K108" s="185" t="s">
        <v>66</v>
      </c>
      <c r="L108" s="189" t="s">
        <v>76</v>
      </c>
    </row>
    <row r="109" spans="1:12">
      <c r="A109" s="185" t="s">
        <v>991</v>
      </c>
      <c r="B109" s="189" t="s">
        <v>925</v>
      </c>
      <c r="C109" s="185" t="s">
        <v>992</v>
      </c>
      <c r="D109" s="185" t="s">
        <v>178</v>
      </c>
      <c r="E109" s="233">
        <v>10.75</v>
      </c>
      <c r="F109" s="185" t="s">
        <v>66</v>
      </c>
      <c r="G109" s="185" t="s">
        <v>66</v>
      </c>
      <c r="H109" s="185" t="s">
        <v>137</v>
      </c>
      <c r="I109" s="185" t="s">
        <v>66</v>
      </c>
      <c r="J109" s="185" t="s">
        <v>66</v>
      </c>
      <c r="K109" s="185" t="s">
        <v>66</v>
      </c>
      <c r="L109" s="189" t="s">
        <v>76</v>
      </c>
    </row>
    <row r="110" spans="1:12">
      <c r="A110" s="185" t="s">
        <v>991</v>
      </c>
      <c r="B110" s="191" t="s">
        <v>250</v>
      </c>
      <c r="C110" s="185" t="s">
        <v>251</v>
      </c>
      <c r="D110" s="185" t="s">
        <v>65</v>
      </c>
      <c r="E110" s="233">
        <v>31</v>
      </c>
      <c r="F110" s="185" t="s">
        <v>66</v>
      </c>
      <c r="G110" s="185" t="s">
        <v>66</v>
      </c>
      <c r="H110" s="185" t="s">
        <v>66</v>
      </c>
      <c r="I110" s="185" t="s">
        <v>66</v>
      </c>
      <c r="J110" s="185" t="s">
        <v>66</v>
      </c>
      <c r="K110" s="185" t="s">
        <v>66</v>
      </c>
      <c r="L110" s="191" t="s">
        <v>1013</v>
      </c>
    </row>
    <row r="111" spans="1:12">
      <c r="A111" s="185" t="s">
        <v>991</v>
      </c>
      <c r="B111" s="185" t="s">
        <v>252</v>
      </c>
      <c r="C111" s="185" t="s">
        <v>253</v>
      </c>
      <c r="D111" s="185" t="s">
        <v>65</v>
      </c>
      <c r="E111" s="233">
        <v>30.5</v>
      </c>
      <c r="F111" s="185" t="s">
        <v>66</v>
      </c>
      <c r="G111" s="185">
        <v>0</v>
      </c>
      <c r="H111" s="185">
        <v>4</v>
      </c>
      <c r="I111" s="185" t="s">
        <v>66</v>
      </c>
      <c r="J111" s="185" t="s">
        <v>66</v>
      </c>
      <c r="K111" s="185" t="s">
        <v>66</v>
      </c>
      <c r="L111" s="185"/>
    </row>
    <row r="112" spans="1:12">
      <c r="A112" s="185" t="s">
        <v>991</v>
      </c>
      <c r="B112" s="185" t="s">
        <v>256</v>
      </c>
      <c r="C112" s="185" t="s">
        <v>257</v>
      </c>
      <c r="D112" s="185" t="s">
        <v>65</v>
      </c>
      <c r="E112" s="233">
        <v>31</v>
      </c>
      <c r="F112" s="185" t="s">
        <v>66</v>
      </c>
      <c r="G112" s="185" t="s">
        <v>66</v>
      </c>
      <c r="H112" s="185" t="s">
        <v>66</v>
      </c>
      <c r="I112" s="185" t="s">
        <v>66</v>
      </c>
      <c r="J112" s="185" t="s">
        <v>66</v>
      </c>
      <c r="K112" s="185" t="s">
        <v>66</v>
      </c>
      <c r="L112" s="185"/>
    </row>
    <row r="113" spans="1:12">
      <c r="A113" s="185" t="s">
        <v>991</v>
      </c>
      <c r="B113" s="185" t="s">
        <v>254</v>
      </c>
      <c r="C113" s="185" t="s">
        <v>255</v>
      </c>
      <c r="D113" s="185" t="s">
        <v>65</v>
      </c>
      <c r="E113" s="233">
        <v>31</v>
      </c>
      <c r="F113" s="185" t="s">
        <v>66</v>
      </c>
      <c r="G113" s="185" t="s">
        <v>66</v>
      </c>
      <c r="H113" s="185" t="s">
        <v>66</v>
      </c>
      <c r="I113" s="185" t="s">
        <v>66</v>
      </c>
      <c r="J113" s="185" t="s">
        <v>66</v>
      </c>
      <c r="K113" s="185" t="s">
        <v>66</v>
      </c>
      <c r="L113" s="185"/>
    </row>
    <row r="114" spans="1:12">
      <c r="A114" s="222" t="s">
        <v>1021</v>
      </c>
      <c r="B114" s="185" t="s">
        <v>287</v>
      </c>
      <c r="C114" s="244" t="s">
        <v>1022</v>
      </c>
      <c r="D114" s="244" t="s">
        <v>65</v>
      </c>
      <c r="E114" s="233">
        <v>26</v>
      </c>
      <c r="F114" s="244">
        <v>0</v>
      </c>
      <c r="G114" s="244">
        <v>0</v>
      </c>
      <c r="H114" s="244">
        <v>5</v>
      </c>
      <c r="I114" s="244" t="s">
        <v>66</v>
      </c>
      <c r="J114" s="244" t="s">
        <v>66</v>
      </c>
      <c r="K114" s="244" t="s">
        <v>66</v>
      </c>
      <c r="L114" s="185"/>
    </row>
    <row r="115" spans="1:12">
      <c r="A115" s="222" t="s">
        <v>1021</v>
      </c>
      <c r="B115" s="191" t="s">
        <v>288</v>
      </c>
      <c r="C115" s="244">
        <v>18620313698</v>
      </c>
      <c r="D115" s="244" t="s">
        <v>65</v>
      </c>
      <c r="E115" s="233">
        <v>31</v>
      </c>
      <c r="F115" s="244" t="s">
        <v>66</v>
      </c>
      <c r="G115" s="244" t="s">
        <v>66</v>
      </c>
      <c r="H115" s="244" t="s">
        <v>66</v>
      </c>
      <c r="I115" s="244" t="s">
        <v>66</v>
      </c>
      <c r="J115" s="244">
        <v>0</v>
      </c>
      <c r="K115" s="244" t="s">
        <v>66</v>
      </c>
      <c r="L115" s="191" t="s">
        <v>1023</v>
      </c>
    </row>
    <row r="116" spans="1:12">
      <c r="A116" s="222" t="s">
        <v>1021</v>
      </c>
      <c r="B116" s="189" t="s">
        <v>289</v>
      </c>
      <c r="C116" s="244">
        <v>18872267712</v>
      </c>
      <c r="D116" s="244" t="s">
        <v>65</v>
      </c>
      <c r="E116" s="233">
        <v>31</v>
      </c>
      <c r="F116" s="244" t="s">
        <v>66</v>
      </c>
      <c r="G116" s="244" t="s">
        <v>66</v>
      </c>
      <c r="H116" s="244">
        <v>0</v>
      </c>
      <c r="I116" s="244" t="s">
        <v>66</v>
      </c>
      <c r="J116" s="244">
        <v>0</v>
      </c>
      <c r="K116" s="244" t="s">
        <v>66</v>
      </c>
      <c r="L116" s="189" t="s">
        <v>76</v>
      </c>
    </row>
    <row r="117" spans="1:12">
      <c r="A117" s="222" t="s">
        <v>1021</v>
      </c>
      <c r="B117" s="222" t="s">
        <v>883</v>
      </c>
      <c r="C117" s="244">
        <v>18823736108</v>
      </c>
      <c r="D117" s="244">
        <v>31</v>
      </c>
      <c r="E117" s="233">
        <v>31</v>
      </c>
      <c r="F117" s="244" t="s">
        <v>66</v>
      </c>
      <c r="G117" s="244" t="s">
        <v>66</v>
      </c>
      <c r="H117" s="244">
        <v>0</v>
      </c>
      <c r="I117" s="244" t="s">
        <v>66</v>
      </c>
      <c r="J117" s="244">
        <v>0</v>
      </c>
      <c r="K117" s="244" t="s">
        <v>66</v>
      </c>
      <c r="L117" s="222"/>
    </row>
    <row r="118" spans="1:12">
      <c r="C118" s="245"/>
      <c r="D118" s="245"/>
      <c r="E118" s="245"/>
      <c r="F118" s="245"/>
      <c r="G118" s="245"/>
      <c r="H118" s="245"/>
      <c r="I118" s="245"/>
      <c r="J118" s="245"/>
      <c r="K118" s="245"/>
    </row>
    <row r="119" spans="1:12">
      <c r="A119" s="192" t="s">
        <v>993</v>
      </c>
      <c r="C119" s="245"/>
      <c r="D119" s="245"/>
      <c r="E119" s="245"/>
      <c r="F119" s="245"/>
      <c r="G119" s="245"/>
      <c r="H119" s="245"/>
      <c r="I119" s="245"/>
      <c r="J119" s="245"/>
      <c r="K119" s="245"/>
    </row>
    <row r="122" spans="1:12">
      <c r="A122" s="44" t="s">
        <v>59</v>
      </c>
      <c r="B122" s="44" t="s">
        <v>1</v>
      </c>
      <c r="C122" s="44" t="s">
        <v>60</v>
      </c>
      <c r="D122" s="44" t="s">
        <v>61</v>
      </c>
      <c r="E122" s="236" t="s">
        <v>62</v>
      </c>
      <c r="F122" s="44" t="s">
        <v>63</v>
      </c>
      <c r="G122" s="44" t="s">
        <v>962</v>
      </c>
      <c r="H122" s="44" t="s">
        <v>963</v>
      </c>
      <c r="I122" s="44" t="s">
        <v>964</v>
      </c>
      <c r="J122" s="44" t="s">
        <v>965</v>
      </c>
      <c r="K122" s="44" t="s">
        <v>966</v>
      </c>
      <c r="L122" s="44" t="s">
        <v>6</v>
      </c>
    </row>
    <row r="123" spans="1:12">
      <c r="A123" s="193" t="s">
        <v>726</v>
      </c>
      <c r="B123" s="193" t="s">
        <v>326</v>
      </c>
      <c r="C123" s="45"/>
      <c r="D123" s="45">
        <v>31</v>
      </c>
      <c r="E123" s="237">
        <v>31</v>
      </c>
      <c r="F123" s="45">
        <f t="shared" ref="F123:F128" si="0">D123-E123</f>
        <v>0</v>
      </c>
      <c r="G123" s="45">
        <v>0</v>
      </c>
      <c r="H123" s="45">
        <v>0</v>
      </c>
      <c r="I123" s="45" t="s">
        <v>66</v>
      </c>
      <c r="J123" s="45" t="s">
        <v>66</v>
      </c>
      <c r="K123" s="45" t="s">
        <v>66</v>
      </c>
      <c r="L123" s="193"/>
    </row>
    <row r="124" spans="1:12">
      <c r="A124" s="193" t="s">
        <v>726</v>
      </c>
      <c r="B124" s="193" t="s">
        <v>327</v>
      </c>
      <c r="C124" s="45"/>
      <c r="D124" s="45">
        <v>31</v>
      </c>
      <c r="E124" s="237">
        <v>31</v>
      </c>
      <c r="F124" s="45">
        <v>0</v>
      </c>
      <c r="G124" s="45" t="s">
        <v>66</v>
      </c>
      <c r="H124" s="45">
        <v>0</v>
      </c>
      <c r="I124" s="45" t="s">
        <v>66</v>
      </c>
      <c r="J124" s="45">
        <v>0</v>
      </c>
      <c r="K124" s="45" t="s">
        <v>66</v>
      </c>
      <c r="L124" s="193"/>
    </row>
    <row r="125" spans="1:12">
      <c r="A125" s="193" t="s">
        <v>726</v>
      </c>
      <c r="B125" s="195" t="s">
        <v>331</v>
      </c>
      <c r="C125" s="10"/>
      <c r="D125" s="45">
        <v>31</v>
      </c>
      <c r="E125" s="237">
        <v>31</v>
      </c>
      <c r="F125" s="45">
        <f t="shared" si="0"/>
        <v>0</v>
      </c>
      <c r="G125" s="196">
        <v>0</v>
      </c>
      <c r="H125" s="196">
        <v>0</v>
      </c>
      <c r="I125" s="45" t="s">
        <v>66</v>
      </c>
      <c r="J125" s="196">
        <v>0</v>
      </c>
      <c r="K125" s="196">
        <v>0</v>
      </c>
      <c r="L125" s="194" t="s">
        <v>994</v>
      </c>
    </row>
    <row r="126" spans="1:12">
      <c r="A126" s="193" t="s">
        <v>995</v>
      </c>
      <c r="B126" s="197" t="s">
        <v>727</v>
      </c>
      <c r="C126" s="10"/>
      <c r="D126" s="196">
        <v>31</v>
      </c>
      <c r="E126" s="238">
        <v>31</v>
      </c>
      <c r="F126" s="45">
        <f t="shared" si="0"/>
        <v>0</v>
      </c>
      <c r="G126" s="196">
        <v>0</v>
      </c>
      <c r="H126" s="196">
        <v>1</v>
      </c>
      <c r="I126" s="196">
        <v>0</v>
      </c>
      <c r="J126" s="196">
        <v>0</v>
      </c>
      <c r="K126" s="196">
        <v>0</v>
      </c>
      <c r="L126" s="194" t="s">
        <v>76</v>
      </c>
    </row>
    <row r="127" spans="1:12">
      <c r="A127" s="193" t="s">
        <v>995</v>
      </c>
      <c r="B127" s="198" t="s">
        <v>330</v>
      </c>
      <c r="C127" s="10"/>
      <c r="D127" s="45">
        <v>31</v>
      </c>
      <c r="E127" s="237">
        <v>31</v>
      </c>
      <c r="F127" s="45">
        <f t="shared" si="0"/>
        <v>0</v>
      </c>
      <c r="G127" s="196">
        <v>0</v>
      </c>
      <c r="H127" s="196">
        <v>0</v>
      </c>
      <c r="I127" s="196">
        <v>0</v>
      </c>
      <c r="J127" s="196">
        <v>0</v>
      </c>
      <c r="K127" s="196">
        <v>0</v>
      </c>
      <c r="L127" s="193"/>
    </row>
    <row r="128" spans="1:12">
      <c r="A128" s="193" t="s">
        <v>995</v>
      </c>
      <c r="B128" s="197" t="s">
        <v>335</v>
      </c>
      <c r="C128" s="10"/>
      <c r="D128" s="45">
        <v>31</v>
      </c>
      <c r="E128" s="237">
        <v>31</v>
      </c>
      <c r="F128" s="45">
        <f t="shared" si="0"/>
        <v>0</v>
      </c>
      <c r="G128" s="196">
        <v>0</v>
      </c>
      <c r="H128" s="196">
        <v>0</v>
      </c>
      <c r="I128" s="196">
        <v>0</v>
      </c>
      <c r="J128" s="196">
        <v>0</v>
      </c>
      <c r="K128" s="196">
        <v>0</v>
      </c>
      <c r="L128" s="194" t="s">
        <v>76</v>
      </c>
    </row>
    <row r="129" spans="1:12">
      <c r="A129" s="193" t="s">
        <v>995</v>
      </c>
      <c r="B129" s="199" t="s">
        <v>958</v>
      </c>
      <c r="C129" s="10"/>
      <c r="D129" s="45">
        <v>30</v>
      </c>
      <c r="E129" s="237">
        <v>8</v>
      </c>
      <c r="F129" s="45">
        <v>0</v>
      </c>
      <c r="G129" s="196">
        <v>0</v>
      </c>
      <c r="H129" s="196">
        <v>4</v>
      </c>
      <c r="I129" s="196">
        <v>0</v>
      </c>
      <c r="J129" s="196">
        <v>0</v>
      </c>
      <c r="K129" s="196">
        <v>0</v>
      </c>
      <c r="L129" s="194" t="s">
        <v>996</v>
      </c>
    </row>
    <row r="130" spans="1:12">
      <c r="A130" s="198" t="s">
        <v>728</v>
      </c>
      <c r="B130" s="197" t="s">
        <v>725</v>
      </c>
      <c r="C130" s="10"/>
      <c r="D130" s="45">
        <v>31</v>
      </c>
      <c r="E130" s="237">
        <v>31</v>
      </c>
      <c r="F130" s="45">
        <f t="shared" ref="F130:F135" si="1">D130-E130</f>
        <v>0</v>
      </c>
      <c r="G130" s="196">
        <v>0</v>
      </c>
      <c r="H130" s="196">
        <v>0</v>
      </c>
      <c r="I130" s="196">
        <v>0</v>
      </c>
      <c r="J130" s="196">
        <v>0</v>
      </c>
      <c r="K130" s="196">
        <v>0</v>
      </c>
      <c r="L130" s="194" t="s">
        <v>76</v>
      </c>
    </row>
    <row r="131" spans="1:12">
      <c r="A131" s="198" t="s">
        <v>728</v>
      </c>
      <c r="B131" s="193" t="s">
        <v>329</v>
      </c>
      <c r="C131" s="45"/>
      <c r="D131" s="45">
        <v>31</v>
      </c>
      <c r="E131" s="237">
        <v>31</v>
      </c>
      <c r="F131" s="45">
        <f t="shared" si="1"/>
        <v>0</v>
      </c>
      <c r="G131" s="45" t="s">
        <v>66</v>
      </c>
      <c r="H131" s="45" t="s">
        <v>66</v>
      </c>
      <c r="I131" s="45">
        <v>0</v>
      </c>
      <c r="J131" s="45">
        <v>0</v>
      </c>
      <c r="K131" s="45">
        <v>0</v>
      </c>
      <c r="L131" s="193"/>
    </row>
    <row r="132" spans="1:12">
      <c r="A132" s="198" t="s">
        <v>728</v>
      </c>
      <c r="B132" s="195" t="s">
        <v>333</v>
      </c>
      <c r="C132" s="10"/>
      <c r="D132" s="45">
        <v>31</v>
      </c>
      <c r="E132" s="237">
        <v>31</v>
      </c>
      <c r="F132" s="45">
        <f t="shared" si="1"/>
        <v>0</v>
      </c>
      <c r="G132" s="196">
        <v>0</v>
      </c>
      <c r="H132" s="196">
        <v>0</v>
      </c>
      <c r="I132" s="45" t="s">
        <v>66</v>
      </c>
      <c r="J132" s="196">
        <v>0</v>
      </c>
      <c r="K132" s="196">
        <v>0</v>
      </c>
      <c r="L132" s="194" t="s">
        <v>997</v>
      </c>
    </row>
    <row r="133" spans="1:12">
      <c r="A133" s="198" t="s">
        <v>728</v>
      </c>
      <c r="B133" s="195" t="s">
        <v>334</v>
      </c>
      <c r="C133" s="10"/>
      <c r="D133" s="45">
        <v>31</v>
      </c>
      <c r="E133" s="237">
        <v>31</v>
      </c>
      <c r="F133" s="45">
        <f t="shared" si="1"/>
        <v>0</v>
      </c>
      <c r="G133" s="196">
        <v>0</v>
      </c>
      <c r="H133" s="196">
        <v>0</v>
      </c>
      <c r="I133" s="45">
        <v>0</v>
      </c>
      <c r="J133" s="196">
        <v>0</v>
      </c>
      <c r="K133" s="196">
        <v>0</v>
      </c>
      <c r="L133" s="194" t="s">
        <v>997</v>
      </c>
    </row>
    <row r="134" spans="1:12">
      <c r="A134" s="198" t="s">
        <v>728</v>
      </c>
      <c r="B134" s="197" t="s">
        <v>336</v>
      </c>
      <c r="C134" s="10"/>
      <c r="D134" s="45">
        <v>31</v>
      </c>
      <c r="E134" s="237">
        <v>31</v>
      </c>
      <c r="F134" s="45">
        <f t="shared" si="1"/>
        <v>0</v>
      </c>
      <c r="G134" s="196">
        <v>0</v>
      </c>
      <c r="H134" s="196">
        <v>0</v>
      </c>
      <c r="I134" s="196">
        <v>0</v>
      </c>
      <c r="J134" s="196">
        <v>0</v>
      </c>
      <c r="K134" s="196">
        <v>0</v>
      </c>
      <c r="L134" s="194" t="s">
        <v>76</v>
      </c>
    </row>
    <row r="135" spans="1:12">
      <c r="A135" s="198" t="s">
        <v>728</v>
      </c>
      <c r="B135" s="197" t="s">
        <v>959</v>
      </c>
      <c r="C135" s="10"/>
      <c r="D135" s="196">
        <v>5</v>
      </c>
      <c r="E135" s="238">
        <v>5</v>
      </c>
      <c r="F135" s="45">
        <f t="shared" si="1"/>
        <v>0</v>
      </c>
      <c r="G135" s="196">
        <v>0</v>
      </c>
      <c r="H135" s="196">
        <v>0</v>
      </c>
      <c r="I135" s="196">
        <v>0</v>
      </c>
      <c r="J135" s="196">
        <v>0</v>
      </c>
      <c r="K135" s="196">
        <v>0</v>
      </c>
      <c r="L135" s="194" t="s">
        <v>996</v>
      </c>
    </row>
  </sheetData>
  <autoFilter ref="A4:L113"/>
  <phoneticPr fontId="1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E180"/>
  <sheetViews>
    <sheetView workbookViewId="0">
      <pane xSplit="4" ySplit="3" topLeftCell="E163" activePane="bottomRight" state="frozen"/>
      <selection pane="topRight" activeCell="E1" sqref="E1"/>
      <selection pane="bottomLeft" activeCell="A4" sqref="A4"/>
      <selection pane="bottomRight" activeCell="AK1" sqref="AK1:AK1048576"/>
    </sheetView>
  </sheetViews>
  <sheetFormatPr defaultColWidth="9" defaultRowHeight="22.5" customHeight="1"/>
  <cols>
    <col min="1" max="1" width="6.5" customWidth="1"/>
    <col min="4" max="4" width="15.625" style="69" bestFit="1" customWidth="1"/>
    <col min="5" max="5" width="17" customWidth="1"/>
    <col min="6" max="6" width="14.125" style="81" hidden="1" customWidth="1"/>
    <col min="7" max="7" width="16.5" style="81" hidden="1" customWidth="1"/>
    <col min="8" max="8" width="10" style="81" hidden="1" customWidth="1"/>
    <col min="9" max="9" width="16.5" style="81" hidden="1" customWidth="1"/>
    <col min="10" max="10" width="14.125" style="81" hidden="1" customWidth="1"/>
    <col min="11" max="11" width="12.875" style="81" hidden="1" customWidth="1"/>
    <col min="12" max="12" width="11.625" style="81" hidden="1" customWidth="1"/>
    <col min="13" max="15" width="14.125" style="81" hidden="1" customWidth="1"/>
    <col min="16" max="16" width="11.625" style="81" hidden="1" customWidth="1"/>
    <col min="17" max="18" width="16.5" style="81" hidden="1" customWidth="1"/>
    <col min="19" max="19" width="14.125" style="81" hidden="1" customWidth="1"/>
    <col min="20" max="20" width="10" style="81" hidden="1" customWidth="1"/>
    <col min="21" max="22" width="16.5" style="81" hidden="1" customWidth="1"/>
    <col min="23" max="23" width="14.125" style="81" hidden="1" customWidth="1"/>
    <col min="24" max="24" width="10" style="81" hidden="1" customWidth="1"/>
    <col min="25" max="25" width="16.5" style="81" hidden="1" customWidth="1"/>
    <col min="26" max="26" width="15" style="81" hidden="1" customWidth="1"/>
    <col min="27" max="27" width="12.75" style="81" hidden="1" customWidth="1"/>
    <col min="28" max="28" width="10" style="81" hidden="1" customWidth="1"/>
    <col min="29" max="29" width="16.5" style="81" hidden="1" customWidth="1"/>
    <col min="30" max="30" width="16.5" style="11" customWidth="1"/>
    <col min="31" max="31" width="15.375" style="11" bestFit="1" customWidth="1"/>
    <col min="32" max="32" width="10" style="11" customWidth="1"/>
    <col min="33" max="33" width="16.5" style="11" customWidth="1"/>
    <col min="34" max="34" width="17.75" style="11" bestFit="1" customWidth="1"/>
    <col min="35" max="36" width="10" style="81" bestFit="1" customWidth="1"/>
    <col min="37" max="37" width="16.125" style="11" bestFit="1" customWidth="1"/>
    <col min="38" max="38" width="14" style="81" bestFit="1" customWidth="1"/>
    <col min="39" max="40" width="10" style="81" bestFit="1" customWidth="1"/>
    <col min="41" max="42" width="14" style="81" bestFit="1" customWidth="1"/>
    <col min="43" max="44" width="10" style="81" bestFit="1" customWidth="1"/>
    <col min="45" max="46" width="14" style="81" bestFit="1" customWidth="1"/>
    <col min="47" max="47" width="10" style="81" bestFit="1" customWidth="1"/>
    <col min="48" max="48" width="9.125" style="81" bestFit="1" customWidth="1"/>
    <col min="54" max="55" width="17.75" bestFit="1" customWidth="1"/>
    <col min="56" max="56" width="12.875" bestFit="1" customWidth="1"/>
    <col min="57" max="57" width="17.75" bestFit="1" customWidth="1"/>
  </cols>
  <sheetData>
    <row r="1" spans="1:57" ht="22.5" customHeight="1">
      <c r="A1" s="285" t="s">
        <v>258</v>
      </c>
      <c r="B1" s="285"/>
      <c r="C1" s="285"/>
      <c r="D1" s="285"/>
      <c r="E1" s="285"/>
      <c r="F1" s="285"/>
      <c r="G1" s="285"/>
      <c r="H1" s="70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4"/>
      <c r="AE1" s="4"/>
      <c r="AF1" s="4"/>
      <c r="AG1" s="4"/>
      <c r="AH1" s="4"/>
      <c r="AI1" s="71"/>
      <c r="AJ1" s="71"/>
      <c r="AK1" s="4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27"/>
      <c r="AX1" s="27"/>
      <c r="AY1" s="27"/>
      <c r="AZ1" s="27"/>
      <c r="BA1" s="27"/>
      <c r="BB1" s="30"/>
      <c r="BC1" s="30"/>
      <c r="BD1" s="30"/>
      <c r="BE1" s="32"/>
    </row>
    <row r="2" spans="1:57" ht="22.5" customHeight="1">
      <c r="A2" s="277" t="s">
        <v>0</v>
      </c>
      <c r="B2" s="279" t="s">
        <v>2</v>
      </c>
      <c r="C2" s="281" t="s">
        <v>1</v>
      </c>
      <c r="D2" s="283" t="s">
        <v>3</v>
      </c>
      <c r="E2" s="286" t="s">
        <v>259</v>
      </c>
      <c r="F2" s="270" t="s">
        <v>260</v>
      </c>
      <c r="G2" s="271"/>
      <c r="H2" s="271"/>
      <c r="I2" s="272"/>
      <c r="J2" s="270" t="s">
        <v>261</v>
      </c>
      <c r="K2" s="271"/>
      <c r="L2" s="271"/>
      <c r="M2" s="272"/>
      <c r="N2" s="270" t="s">
        <v>262</v>
      </c>
      <c r="O2" s="271"/>
      <c r="P2" s="271"/>
      <c r="Q2" s="272"/>
      <c r="R2" s="270" t="s">
        <v>263</v>
      </c>
      <c r="S2" s="271"/>
      <c r="T2" s="271"/>
      <c r="U2" s="272"/>
      <c r="V2" s="270" t="s">
        <v>264</v>
      </c>
      <c r="W2" s="271"/>
      <c r="X2" s="271"/>
      <c r="Y2" s="272"/>
      <c r="Z2" s="270" t="s">
        <v>265</v>
      </c>
      <c r="AA2" s="271"/>
      <c r="AB2" s="271"/>
      <c r="AC2" s="272"/>
      <c r="AD2" s="288" t="s">
        <v>266</v>
      </c>
      <c r="AE2" s="289"/>
      <c r="AF2" s="289"/>
      <c r="AG2" s="290"/>
      <c r="AH2" s="270" t="s">
        <v>267</v>
      </c>
      <c r="AI2" s="271"/>
      <c r="AJ2" s="271"/>
      <c r="AK2" s="272"/>
      <c r="AL2" s="270" t="s">
        <v>268</v>
      </c>
      <c r="AM2" s="271"/>
      <c r="AN2" s="271"/>
      <c r="AO2" s="272"/>
      <c r="AP2" s="270" t="s">
        <v>269</v>
      </c>
      <c r="AQ2" s="271"/>
      <c r="AR2" s="271"/>
      <c r="AS2" s="272"/>
      <c r="AT2" s="273" t="s">
        <v>270</v>
      </c>
      <c r="AU2" s="274"/>
      <c r="AV2" s="274"/>
      <c r="AW2" s="275"/>
      <c r="AX2" s="273" t="s">
        <v>271</v>
      </c>
      <c r="AY2" s="274"/>
      <c r="AZ2" s="274"/>
      <c r="BA2" s="275"/>
      <c r="BB2" s="266" t="s">
        <v>272</v>
      </c>
      <c r="BC2" s="266" t="s">
        <v>273</v>
      </c>
      <c r="BD2" s="266" t="s">
        <v>274</v>
      </c>
      <c r="BE2" s="268" t="s">
        <v>275</v>
      </c>
    </row>
    <row r="3" spans="1:57" ht="22.5" customHeight="1">
      <c r="A3" s="278"/>
      <c r="B3" s="280"/>
      <c r="C3" s="282"/>
      <c r="D3" s="284"/>
      <c r="E3" s="287"/>
      <c r="F3" s="72" t="s">
        <v>276</v>
      </c>
      <c r="G3" s="72" t="s">
        <v>277</v>
      </c>
      <c r="H3" s="72" t="s">
        <v>278</v>
      </c>
      <c r="I3" s="72" t="s">
        <v>279</v>
      </c>
      <c r="J3" s="72" t="s">
        <v>276</v>
      </c>
      <c r="K3" s="72" t="s">
        <v>277</v>
      </c>
      <c r="L3" s="72" t="s">
        <v>278</v>
      </c>
      <c r="M3" s="72" t="s">
        <v>279</v>
      </c>
      <c r="N3" s="72" t="s">
        <v>276</v>
      </c>
      <c r="O3" s="72" t="s">
        <v>277</v>
      </c>
      <c r="P3" s="72" t="s">
        <v>278</v>
      </c>
      <c r="Q3" s="72" t="s">
        <v>279</v>
      </c>
      <c r="R3" s="72" t="s">
        <v>276</v>
      </c>
      <c r="S3" s="72" t="s">
        <v>277</v>
      </c>
      <c r="T3" s="72" t="s">
        <v>278</v>
      </c>
      <c r="U3" s="72" t="s">
        <v>279</v>
      </c>
      <c r="V3" s="72" t="s">
        <v>276</v>
      </c>
      <c r="W3" s="72" t="s">
        <v>277</v>
      </c>
      <c r="X3" s="72" t="s">
        <v>278</v>
      </c>
      <c r="Y3" s="72" t="s">
        <v>279</v>
      </c>
      <c r="Z3" s="72" t="s">
        <v>276</v>
      </c>
      <c r="AA3" s="72" t="s">
        <v>277</v>
      </c>
      <c r="AB3" s="72" t="s">
        <v>278</v>
      </c>
      <c r="AC3" s="72" t="s">
        <v>279</v>
      </c>
      <c r="AD3" s="143" t="s">
        <v>276</v>
      </c>
      <c r="AE3" s="143" t="s">
        <v>277</v>
      </c>
      <c r="AF3" s="143" t="s">
        <v>278</v>
      </c>
      <c r="AG3" s="143" t="s">
        <v>279</v>
      </c>
      <c r="AH3" s="143" t="s">
        <v>276</v>
      </c>
      <c r="AI3" s="72" t="s">
        <v>277</v>
      </c>
      <c r="AJ3" s="72" t="s">
        <v>278</v>
      </c>
      <c r="AK3" s="143" t="s">
        <v>279</v>
      </c>
      <c r="AL3" s="72" t="s">
        <v>276</v>
      </c>
      <c r="AM3" s="72" t="s">
        <v>277</v>
      </c>
      <c r="AN3" s="72" t="s">
        <v>278</v>
      </c>
      <c r="AO3" s="72" t="s">
        <v>279</v>
      </c>
      <c r="AP3" s="72" t="s">
        <v>276</v>
      </c>
      <c r="AQ3" s="72" t="s">
        <v>277</v>
      </c>
      <c r="AR3" s="72" t="s">
        <v>278</v>
      </c>
      <c r="AS3" s="72" t="s">
        <v>279</v>
      </c>
      <c r="AT3" s="72" t="s">
        <v>276</v>
      </c>
      <c r="AU3" s="72" t="s">
        <v>277</v>
      </c>
      <c r="AV3" s="72" t="s">
        <v>278</v>
      </c>
      <c r="AW3" s="14" t="s">
        <v>279</v>
      </c>
      <c r="AX3" s="14" t="s">
        <v>276</v>
      </c>
      <c r="AY3" s="14" t="s">
        <v>277</v>
      </c>
      <c r="AZ3" s="14" t="s">
        <v>278</v>
      </c>
      <c r="BA3" s="14" t="s">
        <v>279</v>
      </c>
      <c r="BB3" s="267"/>
      <c r="BC3" s="267"/>
      <c r="BD3" s="267"/>
      <c r="BE3" s="269"/>
    </row>
    <row r="4" spans="1:57" ht="22.5" customHeight="1">
      <c r="A4" s="3">
        <v>1</v>
      </c>
      <c r="B4" s="15" t="s">
        <v>217</v>
      </c>
      <c r="C4" s="3" t="s">
        <v>850</v>
      </c>
      <c r="D4" s="16">
        <v>41883</v>
      </c>
      <c r="E4" s="17">
        <v>50000</v>
      </c>
      <c r="F4" s="82">
        <v>38000</v>
      </c>
      <c r="G4" s="82">
        <f>35530+36000+2500</f>
        <v>74030</v>
      </c>
      <c r="H4" s="82"/>
      <c r="I4" s="83">
        <f>SUM(F4:H4)</f>
        <v>112030</v>
      </c>
      <c r="J4" s="82">
        <v>38000</v>
      </c>
      <c r="K4" s="82">
        <f>9260</f>
        <v>9260</v>
      </c>
      <c r="L4" s="82"/>
      <c r="M4" s="83">
        <f>SUM(J4:L4)</f>
        <v>47260</v>
      </c>
      <c r="N4" s="82">
        <v>38000</v>
      </c>
      <c r="O4" s="82">
        <f>12340</f>
        <v>12340</v>
      </c>
      <c r="P4" s="82"/>
      <c r="Q4" s="83">
        <f>SUM(N4:P4)</f>
        <v>50340</v>
      </c>
      <c r="R4" s="82">
        <v>38000</v>
      </c>
      <c r="S4" s="82">
        <f>4000+105000+10648</f>
        <v>119648</v>
      </c>
      <c r="T4" s="82"/>
      <c r="U4" s="83">
        <f>SUM(R4:T4)</f>
        <v>157648</v>
      </c>
      <c r="V4" s="82">
        <v>38000</v>
      </c>
      <c r="W4" s="82"/>
      <c r="X4" s="82"/>
      <c r="Y4" s="83">
        <f>SUM(V4:X4)</f>
        <v>38000</v>
      </c>
      <c r="Z4" s="82">
        <v>38000</v>
      </c>
      <c r="AA4" s="82">
        <f>VLOOKUP(C4,'[1]2018.06中力提成汇总'!$B:$N,13,0)</f>
        <v>72278</v>
      </c>
      <c r="AB4" s="82"/>
      <c r="AC4" s="83">
        <f>SUM(Z4:AB4)</f>
        <v>110278</v>
      </c>
      <c r="AD4" s="219">
        <f>IFERROR(VLOOKUP(C4,'[2]7月集团工资汇总表'!C:AD,28,0),0)</f>
        <v>22000</v>
      </c>
      <c r="AE4" s="219">
        <f>0</f>
        <v>0</v>
      </c>
      <c r="AF4" s="219"/>
      <c r="AG4" s="246">
        <f t="shared" ref="AG4:AG71" si="0">SUM(AD4:AF4)</f>
        <v>22000</v>
      </c>
      <c r="AH4" s="219">
        <f>IFERROR(VLOOKUP(C4,知识科技工资!C:M,11,0),0)</f>
        <v>10000</v>
      </c>
      <c r="AI4" s="82"/>
      <c r="AJ4" s="82"/>
      <c r="AK4" s="246">
        <f>SUM(AH4:AJ4)</f>
        <v>10000</v>
      </c>
      <c r="AL4" s="82"/>
      <c r="AM4" s="82"/>
      <c r="AN4" s="82"/>
      <c r="AO4" s="83">
        <f>SUM(AL4:AN4)</f>
        <v>0</v>
      </c>
      <c r="AP4" s="82"/>
      <c r="AQ4" s="82"/>
      <c r="AR4" s="82"/>
      <c r="AS4" s="83">
        <f>SUM(AP4:AR4)</f>
        <v>0</v>
      </c>
      <c r="AT4" s="82"/>
      <c r="AU4" s="82"/>
      <c r="AV4" s="82"/>
      <c r="AW4" s="84">
        <f>SUM(AT4:AV4)</f>
        <v>0</v>
      </c>
      <c r="AX4" s="85"/>
      <c r="AY4" s="85"/>
      <c r="AZ4" s="85"/>
      <c r="BA4" s="84">
        <f>SUM(AX4:AZ4)</f>
        <v>0</v>
      </c>
      <c r="BB4" s="86">
        <f t="shared" ref="BB4:BB72" si="1">F4+J4+N4+R4+V4+Z4+AD4+AH4+AL4+AT4+AX4</f>
        <v>260000</v>
      </c>
      <c r="BC4" s="86">
        <f t="shared" ref="BC4" si="2">G4+K4+O4+S4+W4+AA4+AE4+AI4+AM4+AQ4+AU4+AY4</f>
        <v>287556</v>
      </c>
      <c r="BD4" s="86">
        <f t="shared" ref="BD4" si="3">H4+L4+P4+T4+X4+AB4+AF4+AJ4+AN4+AR4+AV4+AZ4</f>
        <v>0</v>
      </c>
      <c r="BE4" s="87">
        <f>SUM(BB4:BD4)</f>
        <v>547556</v>
      </c>
    </row>
    <row r="5" spans="1:57" ht="22.5" customHeight="1">
      <c r="A5" s="3">
        <v>2</v>
      </c>
      <c r="B5" s="15" t="s">
        <v>217</v>
      </c>
      <c r="C5" s="3" t="s">
        <v>220</v>
      </c>
      <c r="D5" s="18">
        <v>41883</v>
      </c>
      <c r="E5" s="17">
        <v>50000</v>
      </c>
      <c r="F5" s="82">
        <v>33000</v>
      </c>
      <c r="G5" s="82">
        <f>28424+12375+14000</f>
        <v>54799</v>
      </c>
      <c r="H5" s="82"/>
      <c r="I5" s="83">
        <f t="shared" ref="I5:I118" si="4">SUM(F5:H5)</f>
        <v>87799</v>
      </c>
      <c r="J5" s="82">
        <v>33000</v>
      </c>
      <c r="K5" s="82">
        <v>7408</v>
      </c>
      <c r="L5" s="82"/>
      <c r="M5" s="83">
        <f t="shared" ref="M5:M115" si="5">SUM(J5:L5)</f>
        <v>40408</v>
      </c>
      <c r="N5" s="82">
        <v>33000</v>
      </c>
      <c r="O5" s="82">
        <f>9872</f>
        <v>9872</v>
      </c>
      <c r="P5" s="82"/>
      <c r="Q5" s="83">
        <f>SUM(N5:P5)</f>
        <v>42872</v>
      </c>
      <c r="R5" s="82">
        <v>33000</v>
      </c>
      <c r="S5" s="82">
        <f>6000+69000+8518.4</f>
        <v>83518.399999999994</v>
      </c>
      <c r="T5" s="82"/>
      <c r="U5" s="83">
        <f t="shared" ref="U5:U82" si="6">SUM(R5:T5)</f>
        <v>116518.39999999999</v>
      </c>
      <c r="V5" s="82">
        <v>33000</v>
      </c>
      <c r="W5" s="82"/>
      <c r="X5" s="82"/>
      <c r="Y5" s="83">
        <f t="shared" ref="Y5:Y80" si="7">SUM(V5:X5)</f>
        <v>33000</v>
      </c>
      <c r="Z5" s="82">
        <v>33000</v>
      </c>
      <c r="AA5" s="82">
        <f>VLOOKUP(C5,'[1]2018.06中力提成汇总'!$B:$N,13,0)</f>
        <v>86222.399999999994</v>
      </c>
      <c r="AB5" s="82"/>
      <c r="AC5" s="83">
        <f t="shared" ref="AC5:AC76" si="8">SUM(Z5:AB5)</f>
        <v>119222.39999999999</v>
      </c>
      <c r="AD5" s="219">
        <f>IFERROR(VLOOKUP(C5,'[2]7月集团工资汇总表'!C:AD,28,0),0)</f>
        <v>22000</v>
      </c>
      <c r="AE5" s="219"/>
      <c r="AF5" s="219"/>
      <c r="AG5" s="246">
        <f t="shared" si="0"/>
        <v>22000</v>
      </c>
      <c r="AH5" s="219">
        <f>IFERROR(VLOOKUP(C5,知识科技工资!C:M,11,0),0)</f>
        <v>10000</v>
      </c>
      <c r="AI5" s="82"/>
      <c r="AJ5" s="82"/>
      <c r="AK5" s="246">
        <f>SUM(AH5:AJ5)</f>
        <v>10000</v>
      </c>
      <c r="AL5" s="82"/>
      <c r="AM5" s="82"/>
      <c r="AN5" s="82"/>
      <c r="AO5" s="83">
        <f>SUM(AL5:AN5)</f>
        <v>0</v>
      </c>
      <c r="AP5" s="82"/>
      <c r="AQ5" s="82"/>
      <c r="AR5" s="82"/>
      <c r="AS5" s="83">
        <f>SUM(AP5:AR5)</f>
        <v>0</v>
      </c>
      <c r="AT5" s="82"/>
      <c r="AU5" s="82"/>
      <c r="AV5" s="82"/>
      <c r="AW5" s="84">
        <f>SUM(AT5:AV5)</f>
        <v>0</v>
      </c>
      <c r="AX5" s="85"/>
      <c r="AY5" s="85"/>
      <c r="AZ5" s="85"/>
      <c r="BA5" s="84">
        <f>SUM(AX5:AZ5)</f>
        <v>0</v>
      </c>
      <c r="BB5" s="86">
        <f t="shared" si="1"/>
        <v>230000</v>
      </c>
      <c r="BC5" s="86">
        <f t="shared" ref="BC5:BC73" si="9">G5+K5+O5+S5+W5+AA5+AE5+AI5+AM5+AQ5+AU5+AY5</f>
        <v>241819.8</v>
      </c>
      <c r="BD5" s="86">
        <f t="shared" ref="BD5:BD73" si="10">H5+L5+P5+T5+X5+AB5+AF5+AJ5+AN5+AR5+AV5+AZ5</f>
        <v>0</v>
      </c>
      <c r="BE5" s="87">
        <f t="shared" ref="BE5:BE73" si="11">SUM(BB5:BD5)</f>
        <v>471819.8</v>
      </c>
    </row>
    <row r="6" spans="1:57" ht="22.5" customHeight="1">
      <c r="A6" s="3">
        <v>3</v>
      </c>
      <c r="B6" s="15" t="s">
        <v>217</v>
      </c>
      <c r="C6" s="3" t="s">
        <v>222</v>
      </c>
      <c r="D6" s="18">
        <v>41883</v>
      </c>
      <c r="E6" s="17">
        <v>30000</v>
      </c>
      <c r="F6" s="82">
        <v>24000</v>
      </c>
      <c r="G6" s="82">
        <v>11205</v>
      </c>
      <c r="H6" s="82"/>
      <c r="I6" s="83">
        <f t="shared" si="4"/>
        <v>35205</v>
      </c>
      <c r="J6" s="82">
        <v>24000</v>
      </c>
      <c r="K6" s="82">
        <f>6260</f>
        <v>6260</v>
      </c>
      <c r="L6" s="82"/>
      <c r="M6" s="83">
        <f t="shared" si="5"/>
        <v>30260</v>
      </c>
      <c r="N6" s="82">
        <v>26000</v>
      </c>
      <c r="O6" s="82">
        <f>9340</f>
        <v>9340</v>
      </c>
      <c r="P6" s="82"/>
      <c r="Q6" s="83">
        <f>SUM(N6:P6)</f>
        <v>35340</v>
      </c>
      <c r="R6" s="82">
        <v>26000</v>
      </c>
      <c r="S6" s="82">
        <f>8049</f>
        <v>8049</v>
      </c>
      <c r="T6" s="82"/>
      <c r="U6" s="83">
        <f t="shared" si="6"/>
        <v>34049</v>
      </c>
      <c r="V6" s="82">
        <v>26000</v>
      </c>
      <c r="W6" s="82"/>
      <c r="X6" s="82"/>
      <c r="Y6" s="83">
        <f t="shared" si="7"/>
        <v>26000</v>
      </c>
      <c r="Z6" s="82">
        <v>26000</v>
      </c>
      <c r="AA6" s="82">
        <f>VLOOKUP(C6,'[1]2018.06中力提成汇总'!$B:$N,13,0)</f>
        <v>25678</v>
      </c>
      <c r="AB6" s="82"/>
      <c r="AC6" s="83">
        <f t="shared" si="8"/>
        <v>51678</v>
      </c>
      <c r="AD6" s="219">
        <f>IFERROR(VLOOKUP(C6,'[2]7月集团工资汇总表'!C:AD,28,0),0)</f>
        <v>18000</v>
      </c>
      <c r="AE6" s="219"/>
      <c r="AF6" s="219"/>
      <c r="AG6" s="246">
        <f t="shared" si="0"/>
        <v>18000</v>
      </c>
      <c r="AH6" s="219">
        <f>IFERROR(VLOOKUP(C6,知识科技工资!C:M,11,0),0)</f>
        <v>10000</v>
      </c>
      <c r="AI6" s="82"/>
      <c r="AJ6" s="82"/>
      <c r="AK6" s="246">
        <f>SUM(AH6:AJ6)</f>
        <v>10000</v>
      </c>
      <c r="AL6" s="82"/>
      <c r="AM6" s="82"/>
      <c r="AN6" s="82"/>
      <c r="AO6" s="83">
        <f>SUM(AL6:AN6)</f>
        <v>0</v>
      </c>
      <c r="AP6" s="82"/>
      <c r="AQ6" s="82"/>
      <c r="AR6" s="82"/>
      <c r="AS6" s="83">
        <f>SUM(AP6:AR6)</f>
        <v>0</v>
      </c>
      <c r="AT6" s="82"/>
      <c r="AU6" s="82"/>
      <c r="AV6" s="82"/>
      <c r="AW6" s="84">
        <f>SUM(AT6:AV6)</f>
        <v>0</v>
      </c>
      <c r="AX6" s="85"/>
      <c r="AY6" s="85"/>
      <c r="AZ6" s="85"/>
      <c r="BA6" s="84">
        <f>SUM(AX6:AZ6)</f>
        <v>0</v>
      </c>
      <c r="BB6" s="86">
        <f t="shared" si="1"/>
        <v>180000</v>
      </c>
      <c r="BC6" s="86">
        <f t="shared" si="9"/>
        <v>60532</v>
      </c>
      <c r="BD6" s="86">
        <f t="shared" si="10"/>
        <v>0</v>
      </c>
      <c r="BE6" s="87">
        <f t="shared" si="11"/>
        <v>240532</v>
      </c>
    </row>
    <row r="7" spans="1:57" ht="22.5" customHeight="1">
      <c r="A7" s="3">
        <v>4</v>
      </c>
      <c r="B7" s="15" t="s">
        <v>237</v>
      </c>
      <c r="C7" s="3" t="s">
        <v>238</v>
      </c>
      <c r="D7" s="18">
        <v>43024</v>
      </c>
      <c r="E7" s="17">
        <v>20000</v>
      </c>
      <c r="F7" s="82">
        <v>9838.7099999999991</v>
      </c>
      <c r="G7" s="82"/>
      <c r="H7" s="82"/>
      <c r="I7" s="83">
        <f t="shared" si="4"/>
        <v>9838.7099999999991</v>
      </c>
      <c r="J7" s="82">
        <v>10000</v>
      </c>
      <c r="K7" s="82"/>
      <c r="L7" s="82"/>
      <c r="M7" s="83">
        <f t="shared" si="5"/>
        <v>10000</v>
      </c>
      <c r="N7" s="82">
        <v>14516.13</v>
      </c>
      <c r="O7" s="82"/>
      <c r="P7" s="82"/>
      <c r="Q7" s="83">
        <f t="shared" ref="Q7:Q118" si="12">SUM(N7:P7)</f>
        <v>14516.13</v>
      </c>
      <c r="R7" s="82">
        <v>15000</v>
      </c>
      <c r="S7" s="82">
        <f>400</f>
        <v>400</v>
      </c>
      <c r="T7" s="82"/>
      <c r="U7" s="83">
        <f t="shared" si="6"/>
        <v>15400</v>
      </c>
      <c r="V7" s="82">
        <v>15000</v>
      </c>
      <c r="W7" s="82">
        <v>400</v>
      </c>
      <c r="X7" s="82"/>
      <c r="Y7" s="83">
        <f t="shared" si="7"/>
        <v>15400</v>
      </c>
      <c r="Z7" s="82">
        <v>14000</v>
      </c>
      <c r="AA7" s="82">
        <f>VLOOKUP(C7,'[1]2018.06中力提成汇总'!$B:$N,13,0)</f>
        <v>0</v>
      </c>
      <c r="AB7" s="82"/>
      <c r="AC7" s="83">
        <f t="shared" si="8"/>
        <v>14000</v>
      </c>
      <c r="AD7" s="219">
        <f>IFERROR(VLOOKUP(C7,'[2]7月集团工资汇总表'!C:AD,28,0),0)</f>
        <v>15000</v>
      </c>
      <c r="AE7" s="219">
        <v>200</v>
      </c>
      <c r="AF7" s="219"/>
      <c r="AG7" s="246">
        <f t="shared" si="0"/>
        <v>15200</v>
      </c>
      <c r="AH7" s="219">
        <f>IFERROR(VLOOKUP(C7,知识科技工资!C:M,11,0),0)</f>
        <v>10000</v>
      </c>
      <c r="AI7" s="82"/>
      <c r="AJ7" s="82"/>
      <c r="AK7" s="246">
        <f t="shared" ref="AK7:AK108" si="13">SUM(AH7:AJ7)</f>
        <v>10000</v>
      </c>
      <c r="AL7" s="82"/>
      <c r="AM7" s="82"/>
      <c r="AN7" s="82"/>
      <c r="AO7" s="83">
        <f t="shared" ref="AO7:AO109" si="14">SUM(AL7:AN7)</f>
        <v>0</v>
      </c>
      <c r="AP7" s="82"/>
      <c r="AQ7" s="82"/>
      <c r="AR7" s="82"/>
      <c r="AS7" s="83">
        <f t="shared" ref="AS7:AS109" si="15">SUM(AP7:AR7)</f>
        <v>0</v>
      </c>
      <c r="AT7" s="82"/>
      <c r="AU7" s="82"/>
      <c r="AV7" s="82"/>
      <c r="AW7" s="84">
        <f t="shared" ref="AW7:AW109" si="16">SUM(AT7:AV7)</f>
        <v>0</v>
      </c>
      <c r="AX7" s="85"/>
      <c r="AY7" s="85"/>
      <c r="AZ7" s="85"/>
      <c r="BA7" s="84">
        <f t="shared" ref="BA7:BA109" si="17">SUM(AX7:AZ7)</f>
        <v>0</v>
      </c>
      <c r="BB7" s="86">
        <f t="shared" si="1"/>
        <v>103354.84</v>
      </c>
      <c r="BC7" s="86">
        <f t="shared" si="9"/>
        <v>1000</v>
      </c>
      <c r="BD7" s="86">
        <f t="shared" si="10"/>
        <v>0</v>
      </c>
      <c r="BE7" s="87">
        <f t="shared" si="11"/>
        <v>104354.84</v>
      </c>
    </row>
    <row r="8" spans="1:57" ht="22.5" customHeight="1">
      <c r="A8" s="3">
        <v>5</v>
      </c>
      <c r="B8" s="15" t="s">
        <v>237</v>
      </c>
      <c r="C8" s="3" t="s">
        <v>852</v>
      </c>
      <c r="D8" s="18">
        <v>43046</v>
      </c>
      <c r="E8" s="17">
        <v>10000</v>
      </c>
      <c r="F8" s="82">
        <v>7612.9</v>
      </c>
      <c r="G8" s="82"/>
      <c r="H8" s="82"/>
      <c r="I8" s="83">
        <f t="shared" si="4"/>
        <v>7612.9</v>
      </c>
      <c r="J8" s="82">
        <v>7500</v>
      </c>
      <c r="K8" s="82"/>
      <c r="L8" s="82"/>
      <c r="M8" s="83">
        <f t="shared" si="5"/>
        <v>7500</v>
      </c>
      <c r="N8" s="82">
        <v>8000</v>
      </c>
      <c r="O8" s="82"/>
      <c r="P8" s="82"/>
      <c r="Q8" s="83">
        <f t="shared" si="12"/>
        <v>8000</v>
      </c>
      <c r="R8" s="82">
        <v>8000</v>
      </c>
      <c r="S8" s="82"/>
      <c r="T8" s="82"/>
      <c r="U8" s="83">
        <f t="shared" si="6"/>
        <v>8000</v>
      </c>
      <c r="V8" s="82">
        <v>7870.97</v>
      </c>
      <c r="W8" s="82">
        <v>400</v>
      </c>
      <c r="X8" s="82"/>
      <c r="Y8" s="83">
        <f t="shared" si="7"/>
        <v>8270.9700000000012</v>
      </c>
      <c r="Z8" s="82">
        <v>8000</v>
      </c>
      <c r="AA8" s="82">
        <f>VLOOKUP(C8,'[1]2018.06中力提成汇总'!$B:$N,13,0)</f>
        <v>400</v>
      </c>
      <c r="AB8" s="82"/>
      <c r="AC8" s="83">
        <f t="shared" si="8"/>
        <v>8400</v>
      </c>
      <c r="AD8" s="219">
        <f>IFERROR(VLOOKUP(C8,'[2]7月集团工资汇总表'!C:AD,28,0),0)</f>
        <v>7969.03</v>
      </c>
      <c r="AE8" s="219">
        <v>200</v>
      </c>
      <c r="AF8" s="219"/>
      <c r="AG8" s="246">
        <f t="shared" si="0"/>
        <v>8169.03</v>
      </c>
      <c r="AH8" s="219">
        <f>IFERROR(VLOOKUP(C8,知识科技工资!C:M,11,0),0)</f>
        <v>10000</v>
      </c>
      <c r="AI8" s="82"/>
      <c r="AJ8" s="82"/>
      <c r="AK8" s="246">
        <f t="shared" si="13"/>
        <v>10000</v>
      </c>
      <c r="AL8" s="82"/>
      <c r="AM8" s="82"/>
      <c r="AN8" s="82"/>
      <c r="AO8" s="83">
        <f t="shared" si="14"/>
        <v>0</v>
      </c>
      <c r="AP8" s="82"/>
      <c r="AQ8" s="82"/>
      <c r="AR8" s="82"/>
      <c r="AS8" s="83">
        <f t="shared" si="15"/>
        <v>0</v>
      </c>
      <c r="AT8" s="82"/>
      <c r="AU8" s="82"/>
      <c r="AV8" s="82"/>
      <c r="AW8" s="84">
        <f t="shared" si="16"/>
        <v>0</v>
      </c>
      <c r="AX8" s="85"/>
      <c r="AY8" s="85"/>
      <c r="AZ8" s="85"/>
      <c r="BA8" s="84">
        <f t="shared" si="17"/>
        <v>0</v>
      </c>
      <c r="BB8" s="86">
        <f t="shared" si="1"/>
        <v>64952.9</v>
      </c>
      <c r="BC8" s="86">
        <f t="shared" si="9"/>
        <v>1000</v>
      </c>
      <c r="BD8" s="86">
        <f t="shared" si="10"/>
        <v>0</v>
      </c>
      <c r="BE8" s="87">
        <f t="shared" si="11"/>
        <v>65952.899999999994</v>
      </c>
    </row>
    <row r="9" spans="1:57" ht="22.5" customHeight="1">
      <c r="A9" s="3">
        <v>6</v>
      </c>
      <c r="B9" s="15" t="s">
        <v>237</v>
      </c>
      <c r="C9" s="3" t="s">
        <v>242</v>
      </c>
      <c r="D9" s="18">
        <v>43160</v>
      </c>
      <c r="E9" s="17">
        <v>8000</v>
      </c>
      <c r="F9" s="82"/>
      <c r="G9" s="82"/>
      <c r="H9" s="82"/>
      <c r="I9" s="83"/>
      <c r="J9" s="82"/>
      <c r="K9" s="82"/>
      <c r="L9" s="82"/>
      <c r="M9" s="83"/>
      <c r="N9" s="82">
        <v>7380.6451612903202</v>
      </c>
      <c r="O9" s="82"/>
      <c r="P9" s="82"/>
      <c r="Q9" s="83">
        <f t="shared" si="12"/>
        <v>7380.6451612903202</v>
      </c>
      <c r="R9" s="82">
        <v>8000</v>
      </c>
      <c r="S9" s="82"/>
      <c r="T9" s="82"/>
      <c r="U9" s="83">
        <f t="shared" si="6"/>
        <v>8000</v>
      </c>
      <c r="V9" s="82">
        <v>7870.97</v>
      </c>
      <c r="W9" s="82">
        <v>400</v>
      </c>
      <c r="X9" s="82"/>
      <c r="Y9" s="83">
        <f t="shared" si="7"/>
        <v>8270.9700000000012</v>
      </c>
      <c r="Z9" s="82">
        <v>8000</v>
      </c>
      <c r="AA9" s="82">
        <f>VLOOKUP(C9,'[1]2018.06中力提成汇总'!$B:$N,13,0)</f>
        <v>400</v>
      </c>
      <c r="AB9" s="82"/>
      <c r="AC9" s="83">
        <f t="shared" si="8"/>
        <v>8400</v>
      </c>
      <c r="AD9" s="219">
        <f>IFERROR(VLOOKUP(C9,'[2]7月集团工资汇总表'!C:AD,28,0),0)</f>
        <v>8000</v>
      </c>
      <c r="AE9" s="219">
        <v>200</v>
      </c>
      <c r="AF9" s="219"/>
      <c r="AG9" s="246">
        <f t="shared" si="0"/>
        <v>8200</v>
      </c>
      <c r="AH9" s="219">
        <f>IFERROR(VLOOKUP(C9,知识科技工资!C:M,11,0),0)</f>
        <v>8387.1</v>
      </c>
      <c r="AI9" s="82"/>
      <c r="AJ9" s="82"/>
      <c r="AK9" s="246">
        <f t="shared" si="13"/>
        <v>8387.1</v>
      </c>
      <c r="AL9" s="82"/>
      <c r="AM9" s="82"/>
      <c r="AN9" s="82"/>
      <c r="AO9" s="83">
        <f t="shared" si="14"/>
        <v>0</v>
      </c>
      <c r="AP9" s="82"/>
      <c r="AQ9" s="82"/>
      <c r="AR9" s="82"/>
      <c r="AS9" s="83">
        <f t="shared" si="15"/>
        <v>0</v>
      </c>
      <c r="AT9" s="82"/>
      <c r="AU9" s="82"/>
      <c r="AV9" s="82"/>
      <c r="AW9" s="84">
        <f t="shared" si="16"/>
        <v>0</v>
      </c>
      <c r="AX9" s="85"/>
      <c r="AY9" s="85"/>
      <c r="AZ9" s="85"/>
      <c r="BA9" s="84">
        <f t="shared" si="17"/>
        <v>0</v>
      </c>
      <c r="BB9" s="86">
        <f t="shared" si="1"/>
        <v>47638.715161290318</v>
      </c>
      <c r="BC9" s="86">
        <f t="shared" si="9"/>
        <v>1000</v>
      </c>
      <c r="BD9" s="86">
        <f t="shared" si="10"/>
        <v>0</v>
      </c>
      <c r="BE9" s="87">
        <f t="shared" si="11"/>
        <v>48638.715161290318</v>
      </c>
    </row>
    <row r="10" spans="1:57" ht="22.5" customHeight="1">
      <c r="A10" s="3">
        <v>7</v>
      </c>
      <c r="B10" s="15" t="s">
        <v>237</v>
      </c>
      <c r="C10" s="20" t="s">
        <v>282</v>
      </c>
      <c r="D10" s="18">
        <v>43193</v>
      </c>
      <c r="E10" s="17">
        <v>8000</v>
      </c>
      <c r="F10" s="82"/>
      <c r="G10" s="82"/>
      <c r="H10" s="82"/>
      <c r="I10" s="83"/>
      <c r="J10" s="82"/>
      <c r="K10" s="82"/>
      <c r="L10" s="82"/>
      <c r="M10" s="83"/>
      <c r="N10" s="82"/>
      <c r="O10" s="82"/>
      <c r="P10" s="82"/>
      <c r="Q10" s="83"/>
      <c r="R10" s="82">
        <v>7360</v>
      </c>
      <c r="S10" s="82"/>
      <c r="T10" s="82"/>
      <c r="U10" s="83">
        <f t="shared" si="6"/>
        <v>7360</v>
      </c>
      <c r="V10" s="82">
        <v>7483.87</v>
      </c>
      <c r="W10" s="82"/>
      <c r="X10" s="82"/>
      <c r="Y10" s="83">
        <f t="shared" si="7"/>
        <v>7483.87</v>
      </c>
      <c r="Z10" s="82">
        <v>5666.67</v>
      </c>
      <c r="AA10" s="82">
        <f>VLOOKUP(C10,'[1]2018.06中力提成汇总'!$B:$N,13,0)</f>
        <v>800</v>
      </c>
      <c r="AB10" s="82"/>
      <c r="AC10" s="83">
        <f t="shared" si="8"/>
        <v>6466.67</v>
      </c>
      <c r="AD10" s="219">
        <f>IFERROR(VLOOKUP(C10,'[2]7月集团工资汇总表'!C:AD,28,0),0)</f>
        <v>0</v>
      </c>
      <c r="AE10" s="219"/>
      <c r="AF10" s="219"/>
      <c r="AG10" s="246">
        <f t="shared" si="0"/>
        <v>0</v>
      </c>
      <c r="AH10" s="219">
        <f>IFERROR(VLOOKUP(C10,知识科技工资!C:M,11,0),0)</f>
        <v>0</v>
      </c>
      <c r="AI10" s="82"/>
      <c r="AJ10" s="82"/>
      <c r="AK10" s="246">
        <f t="shared" si="13"/>
        <v>0</v>
      </c>
      <c r="AL10" s="82"/>
      <c r="AM10" s="82"/>
      <c r="AN10" s="82"/>
      <c r="AO10" s="83"/>
      <c r="AP10" s="82"/>
      <c r="AQ10" s="82"/>
      <c r="AR10" s="82"/>
      <c r="AS10" s="83"/>
      <c r="AT10" s="82"/>
      <c r="AU10" s="82"/>
      <c r="AV10" s="82"/>
      <c r="AW10" s="84"/>
      <c r="AX10" s="85"/>
      <c r="AY10" s="85"/>
      <c r="AZ10" s="85"/>
      <c r="BA10" s="84"/>
      <c r="BB10" s="86">
        <f t="shared" si="1"/>
        <v>20510.54</v>
      </c>
      <c r="BC10" s="86">
        <f t="shared" si="9"/>
        <v>800</v>
      </c>
      <c r="BD10" s="86">
        <f t="shared" si="10"/>
        <v>0</v>
      </c>
      <c r="BE10" s="87">
        <f t="shared" si="11"/>
        <v>21310.54</v>
      </c>
    </row>
    <row r="11" spans="1:57" ht="22.5" customHeight="1">
      <c r="A11" s="3">
        <v>8</v>
      </c>
      <c r="B11" s="15" t="s">
        <v>283</v>
      </c>
      <c r="C11" s="3" t="s">
        <v>226</v>
      </c>
      <c r="D11" s="18">
        <v>43154</v>
      </c>
      <c r="E11" s="17">
        <v>30000</v>
      </c>
      <c r="F11" s="82"/>
      <c r="G11" s="82"/>
      <c r="H11" s="82"/>
      <c r="I11" s="83"/>
      <c r="J11" s="82">
        <v>6300</v>
      </c>
      <c r="K11" s="82"/>
      <c r="L11" s="82"/>
      <c r="M11" s="83">
        <f t="shared" si="5"/>
        <v>6300</v>
      </c>
      <c r="N11" s="82">
        <v>30000</v>
      </c>
      <c r="O11" s="82"/>
      <c r="P11" s="82"/>
      <c r="Q11" s="83">
        <f t="shared" si="12"/>
        <v>30000</v>
      </c>
      <c r="R11" s="82">
        <v>30000</v>
      </c>
      <c r="S11" s="82"/>
      <c r="T11" s="82"/>
      <c r="U11" s="83">
        <f t="shared" si="6"/>
        <v>30000</v>
      </c>
      <c r="V11" s="82">
        <v>30000</v>
      </c>
      <c r="W11" s="82"/>
      <c r="X11" s="82"/>
      <c r="Y11" s="83">
        <f t="shared" si="7"/>
        <v>30000</v>
      </c>
      <c r="Z11" s="82">
        <v>30000</v>
      </c>
      <c r="AA11" s="82">
        <f>VLOOKUP(C11,'[1]2018.06中力提成汇总'!$B:$N,13,0)</f>
        <v>1500</v>
      </c>
      <c r="AB11" s="82"/>
      <c r="AC11" s="83">
        <f t="shared" si="8"/>
        <v>31500</v>
      </c>
      <c r="AD11" s="219">
        <f>IFERROR(VLOOKUP(C11,'[2]7月集团工资汇总表'!C:AD,28,0),0)</f>
        <v>18000</v>
      </c>
      <c r="AE11" s="219">
        <v>500</v>
      </c>
      <c r="AF11" s="219"/>
      <c r="AG11" s="246">
        <f t="shared" si="0"/>
        <v>18500</v>
      </c>
      <c r="AH11" s="219">
        <f>IFERROR(VLOOKUP(C11,知识科技工资!C:M,11,0),0)</f>
        <v>10000</v>
      </c>
      <c r="AI11" s="82"/>
      <c r="AJ11" s="82"/>
      <c r="AK11" s="246">
        <f t="shared" si="13"/>
        <v>10000</v>
      </c>
      <c r="AL11" s="82"/>
      <c r="AM11" s="82"/>
      <c r="AN11" s="82"/>
      <c r="AO11" s="83">
        <f t="shared" si="14"/>
        <v>0</v>
      </c>
      <c r="AP11" s="82"/>
      <c r="AQ11" s="82"/>
      <c r="AR11" s="82"/>
      <c r="AS11" s="83">
        <f t="shared" si="15"/>
        <v>0</v>
      </c>
      <c r="AT11" s="82"/>
      <c r="AU11" s="82"/>
      <c r="AV11" s="82"/>
      <c r="AW11" s="84">
        <f t="shared" si="16"/>
        <v>0</v>
      </c>
      <c r="AX11" s="85"/>
      <c r="AY11" s="85"/>
      <c r="AZ11" s="85"/>
      <c r="BA11" s="84">
        <f t="shared" si="17"/>
        <v>0</v>
      </c>
      <c r="BB11" s="86">
        <f t="shared" si="1"/>
        <v>154300</v>
      </c>
      <c r="BC11" s="86">
        <f t="shared" si="9"/>
        <v>2000</v>
      </c>
      <c r="BD11" s="86">
        <f t="shared" si="10"/>
        <v>0</v>
      </c>
      <c r="BE11" s="87">
        <f t="shared" si="11"/>
        <v>156300</v>
      </c>
    </row>
    <row r="12" spans="1:57" ht="22.5" customHeight="1">
      <c r="A12" s="3">
        <v>9</v>
      </c>
      <c r="B12" s="15" t="s">
        <v>283</v>
      </c>
      <c r="C12" s="20" t="s">
        <v>284</v>
      </c>
      <c r="D12" s="18">
        <v>43168</v>
      </c>
      <c r="E12" s="17">
        <v>15000</v>
      </c>
      <c r="F12" s="82"/>
      <c r="G12" s="82"/>
      <c r="H12" s="82"/>
      <c r="I12" s="83"/>
      <c r="J12" s="82"/>
      <c r="K12" s="82"/>
      <c r="L12" s="82"/>
      <c r="M12" s="83"/>
      <c r="N12" s="82">
        <v>11129.032258064501</v>
      </c>
      <c r="O12" s="82"/>
      <c r="P12" s="82"/>
      <c r="Q12" s="83">
        <f t="shared" si="12"/>
        <v>11129.032258064501</v>
      </c>
      <c r="R12" s="82">
        <v>15000</v>
      </c>
      <c r="S12" s="82"/>
      <c r="T12" s="82"/>
      <c r="U12" s="83">
        <f t="shared" si="6"/>
        <v>15000</v>
      </c>
      <c r="V12" s="82">
        <v>15000</v>
      </c>
      <c r="W12" s="82"/>
      <c r="X12" s="82"/>
      <c r="Y12" s="83">
        <f t="shared" si="7"/>
        <v>15000</v>
      </c>
      <c r="Z12" s="82">
        <v>15000</v>
      </c>
      <c r="AA12" s="82">
        <f>VLOOKUP(C12,'[1]2018.06中力提成汇总'!$B:$N,13,0)</f>
        <v>0</v>
      </c>
      <c r="AB12" s="82"/>
      <c r="AC12" s="83">
        <f t="shared" si="8"/>
        <v>15000</v>
      </c>
      <c r="AD12" s="219">
        <f>IFERROR(VLOOKUP(C12,'[2]7月集团工资汇总表'!C:AD,28,0),0)</f>
        <v>0</v>
      </c>
      <c r="AE12" s="219"/>
      <c r="AF12" s="219"/>
      <c r="AG12" s="246">
        <f t="shared" si="0"/>
        <v>0</v>
      </c>
      <c r="AH12" s="219">
        <f>IFERROR(VLOOKUP(C12,知识科技工资!C:M,11,0),0)</f>
        <v>0</v>
      </c>
      <c r="AI12" s="82"/>
      <c r="AJ12" s="82"/>
      <c r="AK12" s="246">
        <f t="shared" si="13"/>
        <v>0</v>
      </c>
      <c r="AL12" s="82"/>
      <c r="AM12" s="82"/>
      <c r="AN12" s="82"/>
      <c r="AO12" s="83">
        <f t="shared" si="14"/>
        <v>0</v>
      </c>
      <c r="AP12" s="82"/>
      <c r="AQ12" s="82"/>
      <c r="AR12" s="82"/>
      <c r="AS12" s="83">
        <f t="shared" si="15"/>
        <v>0</v>
      </c>
      <c r="AT12" s="82"/>
      <c r="AU12" s="82"/>
      <c r="AV12" s="82"/>
      <c r="AW12" s="84">
        <f t="shared" si="16"/>
        <v>0</v>
      </c>
      <c r="AX12" s="85"/>
      <c r="AY12" s="85"/>
      <c r="AZ12" s="85"/>
      <c r="BA12" s="84">
        <f t="shared" si="17"/>
        <v>0</v>
      </c>
      <c r="BB12" s="86">
        <f t="shared" si="1"/>
        <v>56129.032258064501</v>
      </c>
      <c r="BC12" s="86">
        <f t="shared" si="9"/>
        <v>0</v>
      </c>
      <c r="BD12" s="86">
        <f t="shared" si="10"/>
        <v>0</v>
      </c>
      <c r="BE12" s="87">
        <f t="shared" si="11"/>
        <v>56129.032258064501</v>
      </c>
    </row>
    <row r="13" spans="1:57" ht="22.5" customHeight="1">
      <c r="A13" s="3">
        <v>10</v>
      </c>
      <c r="B13" s="15" t="s">
        <v>283</v>
      </c>
      <c r="C13" s="3" t="s">
        <v>48</v>
      </c>
      <c r="D13" s="18">
        <v>43182</v>
      </c>
      <c r="E13" s="17">
        <v>10000</v>
      </c>
      <c r="F13" s="82"/>
      <c r="G13" s="82"/>
      <c r="H13" s="82"/>
      <c r="I13" s="83"/>
      <c r="J13" s="82"/>
      <c r="K13" s="82"/>
      <c r="L13" s="82"/>
      <c r="M13" s="83"/>
      <c r="N13" s="82">
        <v>2612.9032258064499</v>
      </c>
      <c r="O13" s="82"/>
      <c r="P13" s="82"/>
      <c r="Q13" s="83">
        <f t="shared" si="12"/>
        <v>2612.9032258064499</v>
      </c>
      <c r="R13" s="82">
        <v>9000</v>
      </c>
      <c r="S13" s="82"/>
      <c r="T13" s="82"/>
      <c r="U13" s="83">
        <f t="shared" si="6"/>
        <v>9000</v>
      </c>
      <c r="V13" s="82">
        <v>9000</v>
      </c>
      <c r="W13" s="82"/>
      <c r="X13" s="82"/>
      <c r="Y13" s="83">
        <f t="shared" si="7"/>
        <v>9000</v>
      </c>
      <c r="Z13" s="82">
        <v>9000</v>
      </c>
      <c r="AA13" s="82">
        <f>VLOOKUP(C13,'[1]2018.06中力提成汇总'!$B:$N,13,0)</f>
        <v>5500</v>
      </c>
      <c r="AB13" s="82"/>
      <c r="AC13" s="83">
        <f t="shared" si="8"/>
        <v>14500</v>
      </c>
      <c r="AD13" s="219">
        <f>IFERROR(VLOOKUP(C13,'[2]7月集团工资汇总表'!C:AD,28,0),0)</f>
        <v>9322.58</v>
      </c>
      <c r="AE13" s="219"/>
      <c r="AF13" s="219"/>
      <c r="AG13" s="246">
        <f t="shared" si="0"/>
        <v>9322.58</v>
      </c>
      <c r="AH13" s="219">
        <f>IFERROR(VLOOKUP(C13,知识科技工资!C:M,11,0),0)</f>
        <v>10000</v>
      </c>
      <c r="AI13" s="82"/>
      <c r="AJ13" s="82"/>
      <c r="AK13" s="246">
        <f t="shared" si="13"/>
        <v>10000</v>
      </c>
      <c r="AL13" s="82"/>
      <c r="AM13" s="82"/>
      <c r="AN13" s="82"/>
      <c r="AO13" s="83">
        <f t="shared" si="14"/>
        <v>0</v>
      </c>
      <c r="AP13" s="82"/>
      <c r="AQ13" s="82"/>
      <c r="AR13" s="82"/>
      <c r="AS13" s="83">
        <f t="shared" si="15"/>
        <v>0</v>
      </c>
      <c r="AT13" s="82"/>
      <c r="AU13" s="82"/>
      <c r="AV13" s="82"/>
      <c r="AW13" s="84">
        <f t="shared" si="16"/>
        <v>0</v>
      </c>
      <c r="AX13" s="85"/>
      <c r="AY13" s="85"/>
      <c r="AZ13" s="85"/>
      <c r="BA13" s="84">
        <f t="shared" si="17"/>
        <v>0</v>
      </c>
      <c r="BB13" s="86">
        <f t="shared" si="1"/>
        <v>48935.483225806449</v>
      </c>
      <c r="BC13" s="86">
        <f t="shared" si="9"/>
        <v>5500</v>
      </c>
      <c r="BD13" s="86">
        <f t="shared" si="10"/>
        <v>0</v>
      </c>
      <c r="BE13" s="87">
        <f t="shared" si="11"/>
        <v>54435.483225806449</v>
      </c>
    </row>
    <row r="14" spans="1:57" s="140" customFormat="1" ht="22.5" customHeight="1">
      <c r="A14" s="3">
        <v>11</v>
      </c>
      <c r="B14" s="133" t="s">
        <v>285</v>
      </c>
      <c r="C14" s="132" t="s">
        <v>246</v>
      </c>
      <c r="D14" s="134">
        <v>42125</v>
      </c>
      <c r="E14" s="135">
        <v>25000</v>
      </c>
      <c r="F14" s="136">
        <v>20000</v>
      </c>
      <c r="G14" s="136"/>
      <c r="H14" s="136"/>
      <c r="I14" s="137"/>
      <c r="J14" s="136">
        <v>22000</v>
      </c>
      <c r="K14" s="136"/>
      <c r="L14" s="136">
        <v>4000</v>
      </c>
      <c r="M14" s="137">
        <f t="shared" si="5"/>
        <v>26000</v>
      </c>
      <c r="N14" s="136">
        <v>20000</v>
      </c>
      <c r="O14" s="136">
        <f>21000+7000</f>
        <v>28000</v>
      </c>
      <c r="P14" s="136"/>
      <c r="Q14" s="137">
        <f t="shared" si="12"/>
        <v>48000</v>
      </c>
      <c r="R14" s="136">
        <v>24000</v>
      </c>
      <c r="S14" s="136">
        <f>20000+25165+10500</f>
        <v>55665</v>
      </c>
      <c r="T14" s="136"/>
      <c r="U14" s="137">
        <f t="shared" si="6"/>
        <v>79665</v>
      </c>
      <c r="V14" s="136">
        <v>20000</v>
      </c>
      <c r="W14" s="136"/>
      <c r="X14" s="136"/>
      <c r="Y14" s="137">
        <f t="shared" si="7"/>
        <v>20000</v>
      </c>
      <c r="Z14" s="136">
        <v>20029</v>
      </c>
      <c r="AA14" s="136">
        <f>VLOOKUP(C14,'[1]2018.06中力提成汇总'!$B:$N,13,0)</f>
        <v>15550</v>
      </c>
      <c r="AB14" s="136"/>
      <c r="AC14" s="137">
        <f t="shared" si="8"/>
        <v>35579</v>
      </c>
      <c r="AD14" s="219">
        <f>IFERROR(VLOOKUP(C14,'[2]7月集团工资汇总表'!C:AD,28,0),0)</f>
        <v>20000</v>
      </c>
      <c r="AE14" s="247">
        <f>8600+7200+7000+1000</f>
        <v>23800</v>
      </c>
      <c r="AF14" s="247"/>
      <c r="AG14" s="246">
        <f t="shared" si="0"/>
        <v>43800</v>
      </c>
      <c r="AH14" s="219" t="e">
        <f>IFERROR(VLOOKUP(C14,知识科技工资!C:M,11,0),0)+#REF!+#REF!</f>
        <v>#REF!</v>
      </c>
      <c r="AI14" s="136"/>
      <c r="AJ14" s="136"/>
      <c r="AK14" s="246" t="e">
        <f t="shared" si="13"/>
        <v>#REF!</v>
      </c>
      <c r="AL14" s="136"/>
      <c r="AM14" s="136"/>
      <c r="AN14" s="136"/>
      <c r="AO14" s="137">
        <f t="shared" si="14"/>
        <v>0</v>
      </c>
      <c r="AP14" s="136"/>
      <c r="AQ14" s="136"/>
      <c r="AR14" s="136"/>
      <c r="AS14" s="137">
        <f t="shared" si="15"/>
        <v>0</v>
      </c>
      <c r="AT14" s="136"/>
      <c r="AU14" s="136"/>
      <c r="AV14" s="136"/>
      <c r="AW14" s="138">
        <f t="shared" si="16"/>
        <v>0</v>
      </c>
      <c r="AX14" s="139"/>
      <c r="AY14" s="139"/>
      <c r="AZ14" s="139"/>
      <c r="BA14" s="138">
        <f t="shared" si="17"/>
        <v>0</v>
      </c>
      <c r="BB14" s="86" t="e">
        <f t="shared" si="1"/>
        <v>#REF!</v>
      </c>
      <c r="BC14" s="86">
        <f t="shared" si="9"/>
        <v>123015</v>
      </c>
      <c r="BD14" s="86">
        <f t="shared" si="10"/>
        <v>4000</v>
      </c>
      <c r="BE14" s="87" t="e">
        <f t="shared" si="11"/>
        <v>#REF!</v>
      </c>
    </row>
    <row r="15" spans="1:57" ht="22.5" customHeight="1">
      <c r="A15" s="3">
        <v>12</v>
      </c>
      <c r="B15" s="15" t="s">
        <v>285</v>
      </c>
      <c r="C15" s="3" t="s">
        <v>244</v>
      </c>
      <c r="D15" s="18">
        <v>42125</v>
      </c>
      <c r="E15" s="17">
        <v>14000</v>
      </c>
      <c r="F15" s="82">
        <v>14000</v>
      </c>
      <c r="G15" s="82">
        <v>6500</v>
      </c>
      <c r="H15" s="82"/>
      <c r="I15" s="88"/>
      <c r="J15" s="82">
        <v>14000</v>
      </c>
      <c r="K15" s="82"/>
      <c r="L15" s="82"/>
      <c r="M15" s="83">
        <f t="shared" si="5"/>
        <v>14000</v>
      </c>
      <c r="N15" s="82">
        <v>14000</v>
      </c>
      <c r="O15" s="82">
        <f>30000+3000</f>
        <v>33000</v>
      </c>
      <c r="P15" s="82"/>
      <c r="Q15" s="83">
        <f t="shared" si="12"/>
        <v>47000</v>
      </c>
      <c r="R15" s="82">
        <v>14000</v>
      </c>
      <c r="S15" s="82">
        <v>28000</v>
      </c>
      <c r="T15" s="82"/>
      <c r="U15" s="83">
        <f t="shared" si="6"/>
        <v>42000</v>
      </c>
      <c r="V15" s="82">
        <v>14000</v>
      </c>
      <c r="W15" s="82"/>
      <c r="X15" s="82"/>
      <c r="Y15" s="83">
        <f t="shared" si="7"/>
        <v>14000</v>
      </c>
      <c r="Z15" s="82">
        <v>14000</v>
      </c>
      <c r="AA15" s="82">
        <f>VLOOKUP(C15,'[1]2018.06中力提成汇总'!$B:$N,13,0)</f>
        <v>0</v>
      </c>
      <c r="AB15" s="82"/>
      <c r="AC15" s="83">
        <f t="shared" si="8"/>
        <v>14000</v>
      </c>
      <c r="AD15" s="219">
        <f>IFERROR(VLOOKUP(C15,'[2]7月集团工资汇总表'!C:AD,28,0),0)</f>
        <v>14000</v>
      </c>
      <c r="AE15" s="248">
        <v>12400</v>
      </c>
      <c r="AF15" s="248"/>
      <c r="AG15" s="246">
        <f t="shared" si="0"/>
        <v>26400</v>
      </c>
      <c r="AH15" s="219">
        <f>IFERROR(VLOOKUP(C15,知识科技工资!C:M,11,0),0)</f>
        <v>10000</v>
      </c>
      <c r="AI15" s="89"/>
      <c r="AJ15" s="89"/>
      <c r="AK15" s="246">
        <f t="shared" si="13"/>
        <v>10000</v>
      </c>
      <c r="AL15" s="89"/>
      <c r="AM15" s="89"/>
      <c r="AN15" s="89"/>
      <c r="AO15" s="90">
        <f t="shared" si="14"/>
        <v>0</v>
      </c>
      <c r="AP15" s="89"/>
      <c r="AQ15" s="89"/>
      <c r="AR15" s="89"/>
      <c r="AS15" s="90">
        <f t="shared" si="15"/>
        <v>0</v>
      </c>
      <c r="AT15" s="89"/>
      <c r="AU15" s="89"/>
      <c r="AV15" s="89"/>
      <c r="AW15" s="91">
        <f t="shared" si="16"/>
        <v>0</v>
      </c>
      <c r="AX15" s="92"/>
      <c r="AY15" s="92"/>
      <c r="AZ15" s="92"/>
      <c r="BA15" s="91">
        <f t="shared" si="17"/>
        <v>0</v>
      </c>
      <c r="BB15" s="86">
        <f t="shared" si="1"/>
        <v>108000</v>
      </c>
      <c r="BC15" s="86">
        <f t="shared" si="9"/>
        <v>79900</v>
      </c>
      <c r="BD15" s="86">
        <f t="shared" si="10"/>
        <v>0</v>
      </c>
      <c r="BE15" s="87">
        <f t="shared" si="11"/>
        <v>187900</v>
      </c>
    </row>
    <row r="16" spans="1:57" ht="22.5" customHeight="1">
      <c r="A16" s="3">
        <v>13</v>
      </c>
      <c r="B16" s="15" t="s">
        <v>285</v>
      </c>
      <c r="C16" s="3" t="s">
        <v>248</v>
      </c>
      <c r="D16" s="18">
        <v>43273</v>
      </c>
      <c r="E16" s="17">
        <v>9000</v>
      </c>
      <c r="F16" s="82"/>
      <c r="G16" s="82"/>
      <c r="H16" s="82"/>
      <c r="I16" s="88"/>
      <c r="J16" s="82"/>
      <c r="K16" s="82"/>
      <c r="L16" s="82"/>
      <c r="M16" s="83"/>
      <c r="N16" s="82"/>
      <c r="O16" s="82"/>
      <c r="P16" s="82"/>
      <c r="Q16" s="83"/>
      <c r="R16" s="82"/>
      <c r="S16" s="82"/>
      <c r="T16" s="82"/>
      <c r="U16" s="83"/>
      <c r="V16" s="82"/>
      <c r="W16" s="82"/>
      <c r="X16" s="82"/>
      <c r="Y16" s="83"/>
      <c r="Z16" s="82">
        <v>2700</v>
      </c>
      <c r="AA16" s="82">
        <f>VLOOKUP(C16,'[1]2018.06中力提成汇总'!$B:$N,13,0)</f>
        <v>0</v>
      </c>
      <c r="AB16" s="82"/>
      <c r="AC16" s="83">
        <f t="shared" si="8"/>
        <v>2700</v>
      </c>
      <c r="AD16" s="219">
        <f>IFERROR(VLOOKUP(C16,'[2]7月集团工资汇总表'!C:AD,28,0),0)</f>
        <v>9000</v>
      </c>
      <c r="AE16" s="248"/>
      <c r="AF16" s="248"/>
      <c r="AG16" s="246">
        <f t="shared" si="0"/>
        <v>9000</v>
      </c>
      <c r="AH16" s="219">
        <f>IFERROR(VLOOKUP(C16,知识科技工资!C:M,11,0),0)</f>
        <v>9677.42</v>
      </c>
      <c r="AI16" s="89"/>
      <c r="AJ16" s="89"/>
      <c r="AK16" s="246">
        <f t="shared" si="13"/>
        <v>9677.42</v>
      </c>
      <c r="AL16" s="89"/>
      <c r="AM16" s="89"/>
      <c r="AN16" s="89"/>
      <c r="AO16" s="90"/>
      <c r="AP16" s="89"/>
      <c r="AQ16" s="89"/>
      <c r="AR16" s="89"/>
      <c r="AS16" s="90"/>
      <c r="AT16" s="89"/>
      <c r="AU16" s="89"/>
      <c r="AV16" s="89"/>
      <c r="AW16" s="91"/>
      <c r="AX16" s="92"/>
      <c r="AY16" s="92"/>
      <c r="AZ16" s="92"/>
      <c r="BA16" s="91"/>
      <c r="BB16" s="86">
        <f t="shared" si="1"/>
        <v>21377.42</v>
      </c>
      <c r="BC16" s="86">
        <f t="shared" si="9"/>
        <v>0</v>
      </c>
      <c r="BD16" s="86">
        <f t="shared" si="10"/>
        <v>0</v>
      </c>
      <c r="BE16" s="87">
        <f t="shared" si="11"/>
        <v>21377.42</v>
      </c>
    </row>
    <row r="17" spans="1:57" ht="22.5" customHeight="1">
      <c r="A17" s="3">
        <v>14</v>
      </c>
      <c r="B17" s="15" t="s">
        <v>285</v>
      </c>
      <c r="C17" s="202" t="s">
        <v>1006</v>
      </c>
      <c r="D17" s="203">
        <v>43332</v>
      </c>
      <c r="E17" s="204">
        <v>20000</v>
      </c>
      <c r="F17" s="205"/>
      <c r="G17" s="205"/>
      <c r="H17" s="205"/>
      <c r="I17" s="212"/>
      <c r="J17" s="205"/>
      <c r="K17" s="205"/>
      <c r="L17" s="205"/>
      <c r="M17" s="206"/>
      <c r="N17" s="205"/>
      <c r="O17" s="205"/>
      <c r="P17" s="205"/>
      <c r="Q17" s="206"/>
      <c r="R17" s="205"/>
      <c r="S17" s="205"/>
      <c r="T17" s="205"/>
      <c r="U17" s="206"/>
      <c r="V17" s="205"/>
      <c r="W17" s="205"/>
      <c r="X17" s="205"/>
      <c r="Y17" s="206"/>
      <c r="Z17" s="205"/>
      <c r="AA17" s="205"/>
      <c r="AB17" s="205"/>
      <c r="AC17" s="206"/>
      <c r="AD17" s="219">
        <f>IFERROR(VLOOKUP(C17,'[2]7月集团工资汇总表'!C:AD,28,0),0)</f>
        <v>0</v>
      </c>
      <c r="AE17" s="249"/>
      <c r="AF17" s="249"/>
      <c r="AG17" s="250"/>
      <c r="AH17" s="219">
        <f>IFERROR(VLOOKUP(C17,知识科技工资!C:M,11,0),0)</f>
        <v>3870.97</v>
      </c>
      <c r="AI17" s="213"/>
      <c r="AJ17" s="213"/>
      <c r="AK17" s="246">
        <f t="shared" si="13"/>
        <v>3870.97</v>
      </c>
      <c r="AL17" s="213"/>
      <c r="AM17" s="213"/>
      <c r="AN17" s="213"/>
      <c r="AO17" s="214"/>
      <c r="AP17" s="213"/>
      <c r="AQ17" s="213"/>
      <c r="AR17" s="213"/>
      <c r="AS17" s="214"/>
      <c r="AT17" s="213"/>
      <c r="AU17" s="213"/>
      <c r="AV17" s="213"/>
      <c r="AW17" s="215"/>
      <c r="AX17" s="216"/>
      <c r="AY17" s="216"/>
      <c r="AZ17" s="216"/>
      <c r="BA17" s="215"/>
      <c r="BB17" s="86">
        <f t="shared" si="1"/>
        <v>3870.97</v>
      </c>
      <c r="BC17" s="209"/>
      <c r="BD17" s="209"/>
      <c r="BE17" s="210"/>
    </row>
    <row r="18" spans="1:57" ht="22.5" customHeight="1">
      <c r="A18" s="3">
        <v>15</v>
      </c>
      <c r="B18" s="15" t="s">
        <v>285</v>
      </c>
      <c r="C18" s="202" t="s">
        <v>1007</v>
      </c>
      <c r="D18" s="203">
        <v>43333</v>
      </c>
      <c r="E18" s="204">
        <v>18000</v>
      </c>
      <c r="F18" s="205"/>
      <c r="G18" s="205"/>
      <c r="H18" s="205"/>
      <c r="I18" s="212"/>
      <c r="J18" s="205"/>
      <c r="K18" s="205"/>
      <c r="L18" s="205"/>
      <c r="M18" s="206"/>
      <c r="N18" s="205"/>
      <c r="O18" s="205"/>
      <c r="P18" s="205"/>
      <c r="Q18" s="206"/>
      <c r="R18" s="205"/>
      <c r="S18" s="205"/>
      <c r="T18" s="205"/>
      <c r="U18" s="206"/>
      <c r="V18" s="205"/>
      <c r="W18" s="205"/>
      <c r="X18" s="205"/>
      <c r="Y18" s="206"/>
      <c r="Z18" s="205"/>
      <c r="AA18" s="205"/>
      <c r="AB18" s="205"/>
      <c r="AC18" s="206"/>
      <c r="AD18" s="219">
        <f>IFERROR(VLOOKUP(C18,'[2]7月集团工资汇总表'!C:AD,28,0),0)</f>
        <v>0</v>
      </c>
      <c r="AE18" s="249"/>
      <c r="AF18" s="249"/>
      <c r="AG18" s="250"/>
      <c r="AH18" s="219">
        <f>IFERROR(VLOOKUP(C18,知识科技工资!C:M,11,0),0)</f>
        <v>3548.39</v>
      </c>
      <c r="AI18" s="213"/>
      <c r="AJ18" s="213"/>
      <c r="AK18" s="246">
        <f t="shared" si="13"/>
        <v>3548.39</v>
      </c>
      <c r="AL18" s="213"/>
      <c r="AM18" s="213"/>
      <c r="AN18" s="213"/>
      <c r="AO18" s="214"/>
      <c r="AP18" s="213"/>
      <c r="AQ18" s="213"/>
      <c r="AR18" s="213"/>
      <c r="AS18" s="214"/>
      <c r="AT18" s="213"/>
      <c r="AU18" s="213"/>
      <c r="AV18" s="213"/>
      <c r="AW18" s="215"/>
      <c r="AX18" s="216"/>
      <c r="AY18" s="216"/>
      <c r="AZ18" s="216"/>
      <c r="BA18" s="215"/>
      <c r="BB18" s="86">
        <f t="shared" si="1"/>
        <v>3548.39</v>
      </c>
      <c r="BC18" s="209"/>
      <c r="BD18" s="209"/>
      <c r="BE18" s="210"/>
    </row>
    <row r="19" spans="1:57" ht="22.5" customHeight="1">
      <c r="A19" s="3">
        <v>16</v>
      </c>
      <c r="B19" s="15" t="s">
        <v>286</v>
      </c>
      <c r="C19" s="3" t="s">
        <v>287</v>
      </c>
      <c r="D19" s="18">
        <v>42907</v>
      </c>
      <c r="E19" s="17">
        <v>8000</v>
      </c>
      <c r="F19" s="82">
        <v>8000</v>
      </c>
      <c r="G19" s="82"/>
      <c r="H19" s="82"/>
      <c r="I19" s="83">
        <v>6967.7419354838703</v>
      </c>
      <c r="J19" s="82">
        <v>8000</v>
      </c>
      <c r="K19" s="82"/>
      <c r="L19" s="82"/>
      <c r="M19" s="83">
        <f t="shared" si="5"/>
        <v>8000</v>
      </c>
      <c r="N19" s="82">
        <v>7741.9354838709696</v>
      </c>
      <c r="O19" s="82"/>
      <c r="P19" s="82"/>
      <c r="Q19" s="83">
        <f t="shared" si="12"/>
        <v>7741.9354838709696</v>
      </c>
      <c r="R19" s="82">
        <v>8000</v>
      </c>
      <c r="S19" s="82"/>
      <c r="T19" s="82"/>
      <c r="U19" s="83">
        <f t="shared" si="6"/>
        <v>8000</v>
      </c>
      <c r="V19" s="82">
        <v>8000</v>
      </c>
      <c r="W19" s="82"/>
      <c r="X19" s="82"/>
      <c r="Y19" s="83">
        <f t="shared" si="7"/>
        <v>8000</v>
      </c>
      <c r="Z19" s="82">
        <v>8029</v>
      </c>
      <c r="AA19" s="82">
        <f>VLOOKUP(C19,'[1]2018.06中力提成汇总'!$B:$N,13,0)</f>
        <v>0</v>
      </c>
      <c r="AB19" s="82"/>
      <c r="AC19" s="83">
        <f t="shared" si="8"/>
        <v>8029</v>
      </c>
      <c r="AD19" s="219">
        <f>IFERROR(VLOOKUP(C19,'[2]7月集团工资汇总表'!C:AD,28,0),0)</f>
        <v>7896.77</v>
      </c>
      <c r="AE19" s="219"/>
      <c r="AF19" s="219"/>
      <c r="AG19" s="246">
        <f t="shared" si="0"/>
        <v>7896.77</v>
      </c>
      <c r="AH19" s="219">
        <v>6709.68</v>
      </c>
      <c r="AI19" s="82"/>
      <c r="AJ19" s="82"/>
      <c r="AK19" s="246">
        <f t="shared" si="13"/>
        <v>6709.68</v>
      </c>
      <c r="AL19" s="82"/>
      <c r="AM19" s="82"/>
      <c r="AN19" s="82"/>
      <c r="AO19" s="83">
        <f t="shared" si="14"/>
        <v>0</v>
      </c>
      <c r="AP19" s="82"/>
      <c r="AQ19" s="82"/>
      <c r="AR19" s="82"/>
      <c r="AS19" s="83">
        <f t="shared" si="15"/>
        <v>0</v>
      </c>
      <c r="AT19" s="82"/>
      <c r="AU19" s="82"/>
      <c r="AV19" s="82"/>
      <c r="AW19" s="84">
        <f t="shared" si="16"/>
        <v>0</v>
      </c>
      <c r="AX19" s="85"/>
      <c r="AY19" s="85"/>
      <c r="AZ19" s="85"/>
      <c r="BA19" s="84">
        <f t="shared" si="17"/>
        <v>0</v>
      </c>
      <c r="BB19" s="86">
        <f t="shared" si="1"/>
        <v>62377.385483870974</v>
      </c>
      <c r="BC19" s="86">
        <f t="shared" si="9"/>
        <v>0</v>
      </c>
      <c r="BD19" s="86">
        <f t="shared" si="10"/>
        <v>0</v>
      </c>
      <c r="BE19" s="87">
        <f t="shared" si="11"/>
        <v>62377.385483870974</v>
      </c>
    </row>
    <row r="20" spans="1:57" ht="22.5" customHeight="1">
      <c r="A20" s="3">
        <v>17</v>
      </c>
      <c r="B20" s="15" t="s">
        <v>286</v>
      </c>
      <c r="C20" s="3" t="s">
        <v>288</v>
      </c>
      <c r="D20" s="18">
        <v>42860</v>
      </c>
      <c r="E20" s="17">
        <v>8000</v>
      </c>
      <c r="F20" s="82"/>
      <c r="G20" s="82"/>
      <c r="H20" s="82"/>
      <c r="I20" s="83"/>
      <c r="J20" s="82"/>
      <c r="K20" s="82"/>
      <c r="L20" s="82"/>
      <c r="M20" s="83"/>
      <c r="N20" s="82"/>
      <c r="O20" s="82"/>
      <c r="P20" s="82"/>
      <c r="Q20" s="83"/>
      <c r="R20" s="82"/>
      <c r="S20" s="82"/>
      <c r="T20" s="82"/>
      <c r="U20" s="83"/>
      <c r="V20" s="82">
        <v>6967.74</v>
      </c>
      <c r="W20" s="82"/>
      <c r="X20" s="82"/>
      <c r="Y20" s="83">
        <f t="shared" si="7"/>
        <v>6967.74</v>
      </c>
      <c r="Z20" s="82">
        <v>7762.33</v>
      </c>
      <c r="AA20" s="82">
        <f>VLOOKUP(C20,'[1]2018.06中力提成汇总'!$B:$N,13,0)</f>
        <v>0</v>
      </c>
      <c r="AB20" s="82"/>
      <c r="AC20" s="83">
        <f t="shared" si="8"/>
        <v>7762.33</v>
      </c>
      <c r="AD20" s="219">
        <f>IFERROR(VLOOKUP(C20,'[2]7月集团工资汇总表'!C:AD,28,0),0)</f>
        <v>8000</v>
      </c>
      <c r="AE20" s="219"/>
      <c r="AF20" s="219"/>
      <c r="AG20" s="246">
        <f t="shared" si="0"/>
        <v>8000</v>
      </c>
      <c r="AH20" s="219">
        <v>8000</v>
      </c>
      <c r="AI20" s="82"/>
      <c r="AJ20" s="82"/>
      <c r="AK20" s="246">
        <f t="shared" si="13"/>
        <v>8000</v>
      </c>
      <c r="AL20" s="82"/>
      <c r="AM20" s="82"/>
      <c r="AN20" s="82"/>
      <c r="AO20" s="83"/>
      <c r="AP20" s="82"/>
      <c r="AQ20" s="82"/>
      <c r="AR20" s="82"/>
      <c r="AS20" s="83"/>
      <c r="AT20" s="82"/>
      <c r="AU20" s="82"/>
      <c r="AV20" s="82"/>
      <c r="AW20" s="84"/>
      <c r="AX20" s="85"/>
      <c r="AY20" s="85"/>
      <c r="AZ20" s="85"/>
      <c r="BA20" s="84"/>
      <c r="BB20" s="86">
        <f t="shared" si="1"/>
        <v>30730.07</v>
      </c>
      <c r="BC20" s="86">
        <f t="shared" si="9"/>
        <v>0</v>
      </c>
      <c r="BD20" s="86">
        <f t="shared" si="10"/>
        <v>0</v>
      </c>
      <c r="BE20" s="87">
        <f t="shared" si="11"/>
        <v>30730.07</v>
      </c>
    </row>
    <row r="21" spans="1:57" ht="22.5" customHeight="1">
      <c r="A21" s="3">
        <v>18</v>
      </c>
      <c r="B21" s="15" t="s">
        <v>286</v>
      </c>
      <c r="C21" s="3" t="s">
        <v>289</v>
      </c>
      <c r="D21" s="18">
        <v>43251</v>
      </c>
      <c r="E21" s="17">
        <v>6000</v>
      </c>
      <c r="F21" s="82"/>
      <c r="G21" s="82"/>
      <c r="H21" s="82"/>
      <c r="I21" s="83"/>
      <c r="J21" s="82"/>
      <c r="K21" s="82"/>
      <c r="L21" s="82"/>
      <c r="M21" s="83"/>
      <c r="N21" s="82"/>
      <c r="O21" s="82"/>
      <c r="P21" s="82"/>
      <c r="Q21" s="83"/>
      <c r="R21" s="82"/>
      <c r="S21" s="82"/>
      <c r="T21" s="82"/>
      <c r="U21" s="83"/>
      <c r="V21" s="82"/>
      <c r="W21" s="82"/>
      <c r="X21" s="82"/>
      <c r="Y21" s="83"/>
      <c r="Z21" s="82">
        <v>6200</v>
      </c>
      <c r="AA21" s="82">
        <f>VLOOKUP(C21,'[1]2018.06中力提成汇总'!$B:$N,13,0)</f>
        <v>0</v>
      </c>
      <c r="AB21" s="82"/>
      <c r="AC21" s="83">
        <f t="shared" si="8"/>
        <v>6200</v>
      </c>
      <c r="AD21" s="219">
        <f>IFERROR(VLOOKUP(C21,'[2]7月集团工资汇总表'!C:AD,28,0),0)</f>
        <v>6000</v>
      </c>
      <c r="AE21" s="219"/>
      <c r="AF21" s="219"/>
      <c r="AG21" s="246">
        <f t="shared" si="0"/>
        <v>6000</v>
      </c>
      <c r="AH21" s="219">
        <v>6000</v>
      </c>
      <c r="AI21" s="82"/>
      <c r="AJ21" s="82"/>
      <c r="AK21" s="246">
        <f t="shared" si="13"/>
        <v>6000</v>
      </c>
      <c r="AL21" s="82"/>
      <c r="AM21" s="82"/>
      <c r="AN21" s="82"/>
      <c r="AO21" s="83"/>
      <c r="AP21" s="82"/>
      <c r="AQ21" s="82"/>
      <c r="AR21" s="82"/>
      <c r="AS21" s="83"/>
      <c r="AT21" s="82"/>
      <c r="AU21" s="82"/>
      <c r="AV21" s="82"/>
      <c r="AW21" s="84"/>
      <c r="AX21" s="85"/>
      <c r="AY21" s="85"/>
      <c r="AZ21" s="85"/>
      <c r="BA21" s="84"/>
      <c r="BB21" s="86">
        <f t="shared" si="1"/>
        <v>18200</v>
      </c>
      <c r="BC21" s="86">
        <f t="shared" si="9"/>
        <v>0</v>
      </c>
      <c r="BD21" s="86">
        <f t="shared" si="10"/>
        <v>0</v>
      </c>
      <c r="BE21" s="87">
        <f t="shared" si="11"/>
        <v>18200</v>
      </c>
    </row>
    <row r="22" spans="1:57" ht="22.5" customHeight="1">
      <c r="A22" s="3">
        <v>19</v>
      </c>
      <c r="B22" s="15" t="s">
        <v>286</v>
      </c>
      <c r="C22" s="3" t="s">
        <v>855</v>
      </c>
      <c r="D22" s="18">
        <v>43255</v>
      </c>
      <c r="E22" s="17">
        <v>15000</v>
      </c>
      <c r="F22" s="82"/>
      <c r="G22" s="82"/>
      <c r="H22" s="82"/>
      <c r="I22" s="83"/>
      <c r="J22" s="82"/>
      <c r="K22" s="82"/>
      <c r="L22" s="82"/>
      <c r="M22" s="83"/>
      <c r="N22" s="82"/>
      <c r="O22" s="82"/>
      <c r="P22" s="82"/>
      <c r="Q22" s="83"/>
      <c r="R22" s="82"/>
      <c r="S22" s="82"/>
      <c r="T22" s="82"/>
      <c r="U22" s="83"/>
      <c r="V22" s="82"/>
      <c r="W22" s="82"/>
      <c r="X22" s="82"/>
      <c r="Y22" s="83"/>
      <c r="Z22" s="82"/>
      <c r="AA22" s="82"/>
      <c r="AB22" s="82"/>
      <c r="AC22" s="83"/>
      <c r="AD22" s="219">
        <f>IFERROR(VLOOKUP(C22,'[2]7月集团工资汇总表'!C:AD,28,0),0)</f>
        <v>15000</v>
      </c>
      <c r="AE22" s="219"/>
      <c r="AF22" s="219"/>
      <c r="AG22" s="246">
        <f t="shared" si="0"/>
        <v>15000</v>
      </c>
      <c r="AH22" s="219">
        <v>15000</v>
      </c>
      <c r="AI22" s="82"/>
      <c r="AJ22" s="82"/>
      <c r="AK22" s="246">
        <f t="shared" si="13"/>
        <v>15000</v>
      </c>
      <c r="AL22" s="82"/>
      <c r="AM22" s="82"/>
      <c r="AN22" s="82"/>
      <c r="AO22" s="83"/>
      <c r="AP22" s="82"/>
      <c r="AQ22" s="82"/>
      <c r="AR22" s="82"/>
      <c r="AS22" s="83"/>
      <c r="AT22" s="82"/>
      <c r="AU22" s="82"/>
      <c r="AV22" s="82"/>
      <c r="AW22" s="84"/>
      <c r="AX22" s="85"/>
      <c r="AY22" s="85"/>
      <c r="AZ22" s="85"/>
      <c r="BA22" s="84"/>
      <c r="BB22" s="86">
        <f t="shared" si="1"/>
        <v>30000</v>
      </c>
      <c r="BC22" s="86">
        <f t="shared" si="9"/>
        <v>0</v>
      </c>
      <c r="BD22" s="86">
        <f t="shared" si="10"/>
        <v>0</v>
      </c>
      <c r="BE22" s="87">
        <f t="shared" si="11"/>
        <v>30000</v>
      </c>
    </row>
    <row r="23" spans="1:57" ht="22.5" customHeight="1">
      <c r="A23" s="3">
        <v>20</v>
      </c>
      <c r="B23" s="15" t="s">
        <v>290</v>
      </c>
      <c r="C23" s="3" t="s">
        <v>167</v>
      </c>
      <c r="D23" s="18">
        <v>41883</v>
      </c>
      <c r="E23" s="17">
        <v>12000</v>
      </c>
      <c r="F23" s="82">
        <v>24000</v>
      </c>
      <c r="G23" s="82">
        <v>31480</v>
      </c>
      <c r="H23" s="82"/>
      <c r="I23" s="83">
        <f t="shared" si="4"/>
        <v>55480</v>
      </c>
      <c r="J23" s="82">
        <v>24000</v>
      </c>
      <c r="K23" s="82">
        <v>1000</v>
      </c>
      <c r="L23" s="82"/>
      <c r="M23" s="83">
        <f t="shared" si="5"/>
        <v>25000</v>
      </c>
      <c r="N23" s="82">
        <v>24000</v>
      </c>
      <c r="O23" s="82">
        <f>5000+20800</f>
        <v>25800</v>
      </c>
      <c r="P23" s="82"/>
      <c r="Q23" s="83">
        <f t="shared" si="12"/>
        <v>49800</v>
      </c>
      <c r="R23" s="82">
        <v>24000</v>
      </c>
      <c r="S23" s="82">
        <f>2000+4330+81000</f>
        <v>87330</v>
      </c>
      <c r="T23" s="82"/>
      <c r="U23" s="83">
        <f t="shared" si="6"/>
        <v>111330</v>
      </c>
      <c r="V23" s="82">
        <v>24000</v>
      </c>
      <c r="W23" s="82"/>
      <c r="X23" s="82"/>
      <c r="Y23" s="83">
        <f t="shared" si="7"/>
        <v>24000</v>
      </c>
      <c r="Z23" s="82">
        <v>24000</v>
      </c>
      <c r="AA23" s="82">
        <f>VLOOKUP(C23,'[1]2018.06中力提成汇总'!$B:$N,13,0)</f>
        <v>128980</v>
      </c>
      <c r="AB23" s="82"/>
      <c r="AC23" s="83">
        <f t="shared" si="8"/>
        <v>152980</v>
      </c>
      <c r="AD23" s="219">
        <f>IFERROR(VLOOKUP(C23,'[2]7月集团工资汇总表'!C:AD,28,0),0)</f>
        <v>12000</v>
      </c>
      <c r="AE23" s="219">
        <f>600+1000</f>
        <v>1600</v>
      </c>
      <c r="AF23" s="219"/>
      <c r="AG23" s="246">
        <f t="shared" si="0"/>
        <v>13600</v>
      </c>
      <c r="AH23" s="219">
        <f>IFERROR(VLOOKUP(C23,知识科技工资!C:M,11,0),0)</f>
        <v>10000</v>
      </c>
      <c r="AI23" s="82"/>
      <c r="AJ23" s="82"/>
      <c r="AK23" s="246">
        <f t="shared" si="13"/>
        <v>10000</v>
      </c>
      <c r="AL23" s="82"/>
      <c r="AM23" s="82"/>
      <c r="AN23" s="82"/>
      <c r="AO23" s="83">
        <f t="shared" si="14"/>
        <v>0</v>
      </c>
      <c r="AP23" s="82"/>
      <c r="AQ23" s="82"/>
      <c r="AR23" s="82"/>
      <c r="AS23" s="83">
        <f t="shared" si="15"/>
        <v>0</v>
      </c>
      <c r="AT23" s="82"/>
      <c r="AU23" s="82"/>
      <c r="AV23" s="82"/>
      <c r="AW23" s="84">
        <f t="shared" si="16"/>
        <v>0</v>
      </c>
      <c r="AX23" s="85"/>
      <c r="AY23" s="85"/>
      <c r="AZ23" s="85"/>
      <c r="BA23" s="84">
        <f t="shared" si="17"/>
        <v>0</v>
      </c>
      <c r="BB23" s="86">
        <f t="shared" si="1"/>
        <v>166000</v>
      </c>
      <c r="BC23" s="86">
        <f t="shared" si="9"/>
        <v>276190</v>
      </c>
      <c r="BD23" s="86">
        <f t="shared" si="10"/>
        <v>0</v>
      </c>
      <c r="BE23" s="87">
        <f t="shared" si="11"/>
        <v>442190</v>
      </c>
    </row>
    <row r="24" spans="1:57" s="124" customFormat="1" ht="22.5" customHeight="1">
      <c r="A24" s="3">
        <v>21</v>
      </c>
      <c r="B24" s="117" t="s">
        <v>290</v>
      </c>
      <c r="C24" s="116" t="s">
        <v>47</v>
      </c>
      <c r="D24" s="118">
        <v>42062</v>
      </c>
      <c r="E24" s="119">
        <v>15000</v>
      </c>
      <c r="F24" s="120">
        <v>14000</v>
      </c>
      <c r="G24" s="120">
        <f>1000+14500</f>
        <v>15500</v>
      </c>
      <c r="H24" s="120"/>
      <c r="I24" s="121">
        <f t="shared" si="4"/>
        <v>29500</v>
      </c>
      <c r="J24" s="120">
        <v>14000</v>
      </c>
      <c r="K24" s="120"/>
      <c r="L24" s="120"/>
      <c r="M24" s="121">
        <f t="shared" si="5"/>
        <v>14000</v>
      </c>
      <c r="N24" s="120">
        <v>14000</v>
      </c>
      <c r="O24" s="120">
        <f>18900</f>
        <v>18900</v>
      </c>
      <c r="P24" s="120"/>
      <c r="Q24" s="121">
        <f t="shared" si="12"/>
        <v>32900</v>
      </c>
      <c r="R24" s="120">
        <v>14000</v>
      </c>
      <c r="S24" s="120">
        <v>19000</v>
      </c>
      <c r="T24" s="120"/>
      <c r="U24" s="121">
        <f t="shared" si="6"/>
        <v>33000</v>
      </c>
      <c r="V24" s="120">
        <v>14000</v>
      </c>
      <c r="W24" s="120">
        <v>1000</v>
      </c>
      <c r="X24" s="120"/>
      <c r="Y24" s="121">
        <f t="shared" si="7"/>
        <v>15000</v>
      </c>
      <c r="Z24" s="120">
        <v>14029</v>
      </c>
      <c r="AA24" s="120">
        <v>30190</v>
      </c>
      <c r="AB24" s="120"/>
      <c r="AC24" s="121">
        <f t="shared" si="8"/>
        <v>44219</v>
      </c>
      <c r="AD24" s="219">
        <f>IFERROR(VLOOKUP(C24,'[2]7月集团工资汇总表'!C:AD,28,0),0)</f>
        <v>15000</v>
      </c>
      <c r="AE24" s="251">
        <v>6500</v>
      </c>
      <c r="AF24" s="251"/>
      <c r="AG24" s="246">
        <f t="shared" si="0"/>
        <v>21500</v>
      </c>
      <c r="AH24" s="219">
        <f>IFERROR(VLOOKUP(C24,知识科技工资!C:M,11,0),0)+2000</f>
        <v>12000</v>
      </c>
      <c r="AI24" s="120"/>
      <c r="AJ24" s="120"/>
      <c r="AK24" s="246">
        <f t="shared" si="13"/>
        <v>12000</v>
      </c>
      <c r="AL24" s="120"/>
      <c r="AM24" s="120"/>
      <c r="AN24" s="120"/>
      <c r="AO24" s="121">
        <f t="shared" si="14"/>
        <v>0</v>
      </c>
      <c r="AP24" s="120"/>
      <c r="AQ24" s="120"/>
      <c r="AR24" s="120"/>
      <c r="AS24" s="121">
        <f t="shared" si="15"/>
        <v>0</v>
      </c>
      <c r="AT24" s="120"/>
      <c r="AU24" s="120"/>
      <c r="AV24" s="120"/>
      <c r="AW24" s="122">
        <f t="shared" si="16"/>
        <v>0</v>
      </c>
      <c r="AX24" s="123"/>
      <c r="AY24" s="123"/>
      <c r="AZ24" s="123"/>
      <c r="BA24" s="122">
        <f t="shared" si="17"/>
        <v>0</v>
      </c>
      <c r="BB24" s="86">
        <f t="shared" si="1"/>
        <v>111029</v>
      </c>
      <c r="BC24" s="86">
        <f t="shared" si="9"/>
        <v>91090</v>
      </c>
      <c r="BD24" s="86">
        <f t="shared" si="10"/>
        <v>0</v>
      </c>
      <c r="BE24" s="87">
        <f t="shared" si="11"/>
        <v>202119</v>
      </c>
    </row>
    <row r="25" spans="1:57" s="124" customFormat="1" ht="22.5" customHeight="1">
      <c r="A25" s="3">
        <v>22</v>
      </c>
      <c r="B25" s="117" t="s">
        <v>290</v>
      </c>
      <c r="C25" s="116" t="s">
        <v>46</v>
      </c>
      <c r="D25" s="125">
        <v>42598</v>
      </c>
      <c r="E25" s="119">
        <v>15000</v>
      </c>
      <c r="F25" s="120">
        <v>12000</v>
      </c>
      <c r="G25" s="120">
        <f>3000+84000+25240</f>
        <v>112240</v>
      </c>
      <c r="H25" s="120"/>
      <c r="I25" s="121">
        <f t="shared" si="4"/>
        <v>124240</v>
      </c>
      <c r="J25" s="120">
        <v>12000</v>
      </c>
      <c r="K25" s="120">
        <v>1000</v>
      </c>
      <c r="L25" s="120"/>
      <c r="M25" s="121">
        <f t="shared" si="5"/>
        <v>13000</v>
      </c>
      <c r="N25" s="120">
        <v>12000</v>
      </c>
      <c r="O25" s="120">
        <f>2000+3000</f>
        <v>5000</v>
      </c>
      <c r="P25" s="120"/>
      <c r="Q25" s="121">
        <f t="shared" si="12"/>
        <v>17000</v>
      </c>
      <c r="R25" s="120">
        <v>12000</v>
      </c>
      <c r="S25" s="120">
        <f>41000</f>
        <v>41000</v>
      </c>
      <c r="T25" s="120"/>
      <c r="U25" s="121">
        <f t="shared" si="6"/>
        <v>53000</v>
      </c>
      <c r="V25" s="120">
        <v>12000</v>
      </c>
      <c r="W25" s="120">
        <v>7250</v>
      </c>
      <c r="X25" s="120"/>
      <c r="Y25" s="121">
        <f t="shared" si="7"/>
        <v>19250</v>
      </c>
      <c r="Z25" s="120">
        <v>12000</v>
      </c>
      <c r="AA25" s="120">
        <f>VLOOKUP(C25,'[1]2018.06中力提成汇总'!$B:$N,13,0)</f>
        <v>70940</v>
      </c>
      <c r="AB25" s="120"/>
      <c r="AC25" s="121">
        <f t="shared" si="8"/>
        <v>82940</v>
      </c>
      <c r="AD25" s="219">
        <f>IFERROR(VLOOKUP(C25,'[2]7月集团工资汇总表'!C:AD,28,0),0)</f>
        <v>15000</v>
      </c>
      <c r="AE25" s="251">
        <f>21460+7000+2000</f>
        <v>30460</v>
      </c>
      <c r="AF25" s="251"/>
      <c r="AG25" s="246">
        <f t="shared" si="0"/>
        <v>45460</v>
      </c>
      <c r="AH25" s="219">
        <f>IFERROR(VLOOKUP(C25,知识科技工资!C:M,11,0),0)</f>
        <v>11000</v>
      </c>
      <c r="AI25" s="120"/>
      <c r="AJ25" s="120"/>
      <c r="AK25" s="246">
        <f t="shared" si="13"/>
        <v>11000</v>
      </c>
      <c r="AL25" s="120"/>
      <c r="AM25" s="120"/>
      <c r="AN25" s="120"/>
      <c r="AO25" s="121">
        <f t="shared" si="14"/>
        <v>0</v>
      </c>
      <c r="AP25" s="120"/>
      <c r="AQ25" s="120"/>
      <c r="AR25" s="120"/>
      <c r="AS25" s="121">
        <f t="shared" si="15"/>
        <v>0</v>
      </c>
      <c r="AT25" s="120"/>
      <c r="AU25" s="120"/>
      <c r="AV25" s="120"/>
      <c r="AW25" s="122">
        <f t="shared" si="16"/>
        <v>0</v>
      </c>
      <c r="AX25" s="123"/>
      <c r="AY25" s="123"/>
      <c r="AZ25" s="123"/>
      <c r="BA25" s="122">
        <f t="shared" si="17"/>
        <v>0</v>
      </c>
      <c r="BB25" s="86">
        <f t="shared" si="1"/>
        <v>98000</v>
      </c>
      <c r="BC25" s="86">
        <f t="shared" si="9"/>
        <v>267890</v>
      </c>
      <c r="BD25" s="86">
        <f t="shared" si="10"/>
        <v>0</v>
      </c>
      <c r="BE25" s="87">
        <f t="shared" si="11"/>
        <v>365890</v>
      </c>
    </row>
    <row r="26" spans="1:57" ht="22.5" customHeight="1">
      <c r="A26" s="3">
        <v>23</v>
      </c>
      <c r="B26" s="15" t="s">
        <v>290</v>
      </c>
      <c r="C26" s="20" t="s">
        <v>291</v>
      </c>
      <c r="D26" s="18">
        <v>43074</v>
      </c>
      <c r="E26" s="17">
        <v>0</v>
      </c>
      <c r="F26" s="82">
        <v>2903.23</v>
      </c>
      <c r="G26" s="82"/>
      <c r="H26" s="82"/>
      <c r="I26" s="83">
        <f t="shared" si="4"/>
        <v>2903.23</v>
      </c>
      <c r="J26" s="82">
        <v>6964.2857142857101</v>
      </c>
      <c r="K26" s="82"/>
      <c r="L26" s="82"/>
      <c r="M26" s="83">
        <f t="shared" si="5"/>
        <v>6964.2857142857101</v>
      </c>
      <c r="N26" s="82">
        <v>7500</v>
      </c>
      <c r="O26" s="82">
        <v>500</v>
      </c>
      <c r="P26" s="82"/>
      <c r="Q26" s="83">
        <f t="shared" si="12"/>
        <v>8000</v>
      </c>
      <c r="R26" s="82">
        <v>8000</v>
      </c>
      <c r="S26" s="82"/>
      <c r="T26" s="82"/>
      <c r="U26" s="83">
        <f t="shared" si="6"/>
        <v>8000</v>
      </c>
      <c r="V26" s="82"/>
      <c r="W26" s="82"/>
      <c r="X26" s="82"/>
      <c r="Y26" s="83">
        <f t="shared" si="7"/>
        <v>0</v>
      </c>
      <c r="Z26" s="82"/>
      <c r="AA26" s="82">
        <f>VLOOKUP(C26,'[1]2018.06中力提成汇总'!$B:$N,13,0)</f>
        <v>500</v>
      </c>
      <c r="AB26" s="82"/>
      <c r="AC26" s="83">
        <f t="shared" si="8"/>
        <v>500</v>
      </c>
      <c r="AD26" s="219">
        <f>IFERROR(VLOOKUP(C26,'[2]7月集团工资汇总表'!C:AD,28,0),0)</f>
        <v>0</v>
      </c>
      <c r="AE26" s="219"/>
      <c r="AF26" s="219"/>
      <c r="AG26" s="246">
        <f t="shared" si="0"/>
        <v>0</v>
      </c>
      <c r="AH26" s="219">
        <f>IFERROR(VLOOKUP(C26,知识科技工资!C:M,11,0),0)</f>
        <v>0</v>
      </c>
      <c r="AI26" s="82"/>
      <c r="AJ26" s="82"/>
      <c r="AK26" s="246">
        <f t="shared" si="13"/>
        <v>0</v>
      </c>
      <c r="AL26" s="82"/>
      <c r="AM26" s="82"/>
      <c r="AN26" s="82"/>
      <c r="AO26" s="83">
        <f t="shared" si="14"/>
        <v>0</v>
      </c>
      <c r="AP26" s="82"/>
      <c r="AQ26" s="82"/>
      <c r="AR26" s="82"/>
      <c r="AS26" s="83">
        <f t="shared" si="15"/>
        <v>0</v>
      </c>
      <c r="AT26" s="82"/>
      <c r="AU26" s="82"/>
      <c r="AV26" s="82"/>
      <c r="AW26" s="84">
        <f t="shared" si="16"/>
        <v>0</v>
      </c>
      <c r="AX26" s="85"/>
      <c r="AY26" s="85"/>
      <c r="AZ26" s="85"/>
      <c r="BA26" s="84">
        <f t="shared" si="17"/>
        <v>0</v>
      </c>
      <c r="BB26" s="86">
        <f t="shared" si="1"/>
        <v>25367.51571428571</v>
      </c>
      <c r="BC26" s="86">
        <f t="shared" si="9"/>
        <v>1000</v>
      </c>
      <c r="BD26" s="86">
        <f t="shared" si="10"/>
        <v>0</v>
      </c>
      <c r="BE26" s="87">
        <f t="shared" si="11"/>
        <v>26367.51571428571</v>
      </c>
    </row>
    <row r="27" spans="1:57" ht="22.5" customHeight="1">
      <c r="A27" s="3">
        <v>24</v>
      </c>
      <c r="B27" s="15" t="s">
        <v>290</v>
      </c>
      <c r="C27" s="20" t="s">
        <v>292</v>
      </c>
      <c r="D27" s="18">
        <v>43164</v>
      </c>
      <c r="E27" s="17">
        <v>0</v>
      </c>
      <c r="F27" s="82"/>
      <c r="G27" s="82"/>
      <c r="H27" s="82"/>
      <c r="I27" s="83"/>
      <c r="J27" s="82"/>
      <c r="K27" s="82"/>
      <c r="L27" s="82"/>
      <c r="M27" s="83"/>
      <c r="N27" s="82">
        <v>2564.5161290322599</v>
      </c>
      <c r="O27" s="82"/>
      <c r="P27" s="82"/>
      <c r="Q27" s="83">
        <f t="shared" si="12"/>
        <v>2564.5161290322599</v>
      </c>
      <c r="R27" s="82">
        <v>2950</v>
      </c>
      <c r="S27" s="82"/>
      <c r="T27" s="82"/>
      <c r="U27" s="83">
        <f t="shared" si="6"/>
        <v>2950</v>
      </c>
      <c r="V27" s="82">
        <v>2758.06</v>
      </c>
      <c r="W27" s="82"/>
      <c r="X27" s="82"/>
      <c r="Y27" s="83">
        <f t="shared" si="7"/>
        <v>2758.06</v>
      </c>
      <c r="Z27" s="82">
        <v>800</v>
      </c>
      <c r="AA27" s="82">
        <f>VLOOKUP(C27,'[1]2018.06中力提成汇总'!$B:$N,13,0)</f>
        <v>0</v>
      </c>
      <c r="AB27" s="82"/>
      <c r="AC27" s="83">
        <f t="shared" si="8"/>
        <v>800</v>
      </c>
      <c r="AD27" s="219">
        <f>IFERROR(VLOOKUP(C27,'[2]7月集团工资汇总表'!C:AD,28,0),0)</f>
        <v>0</v>
      </c>
      <c r="AE27" s="219"/>
      <c r="AF27" s="219"/>
      <c r="AG27" s="246">
        <f t="shared" si="0"/>
        <v>0</v>
      </c>
      <c r="AH27" s="219">
        <f>IFERROR(VLOOKUP(C27,知识科技工资!C:M,11,0),0)</f>
        <v>0</v>
      </c>
      <c r="AI27" s="82"/>
      <c r="AJ27" s="82"/>
      <c r="AK27" s="246">
        <f t="shared" si="13"/>
        <v>0</v>
      </c>
      <c r="AL27" s="82"/>
      <c r="AM27" s="82"/>
      <c r="AN27" s="82"/>
      <c r="AO27" s="83">
        <f t="shared" si="14"/>
        <v>0</v>
      </c>
      <c r="AP27" s="82"/>
      <c r="AQ27" s="82"/>
      <c r="AR27" s="82"/>
      <c r="AS27" s="83">
        <f t="shared" si="15"/>
        <v>0</v>
      </c>
      <c r="AT27" s="82"/>
      <c r="AU27" s="82"/>
      <c r="AV27" s="82"/>
      <c r="AW27" s="84">
        <f t="shared" si="16"/>
        <v>0</v>
      </c>
      <c r="AX27" s="85"/>
      <c r="AY27" s="85"/>
      <c r="AZ27" s="85"/>
      <c r="BA27" s="84">
        <f t="shared" si="17"/>
        <v>0</v>
      </c>
      <c r="BB27" s="86">
        <f t="shared" si="1"/>
        <v>9072.5761290322589</v>
      </c>
      <c r="BC27" s="86">
        <f t="shared" si="9"/>
        <v>0</v>
      </c>
      <c r="BD27" s="86">
        <f t="shared" si="10"/>
        <v>0</v>
      </c>
      <c r="BE27" s="87">
        <f t="shared" si="11"/>
        <v>9072.5761290322589</v>
      </c>
    </row>
    <row r="28" spans="1:57" ht="22.5" customHeight="1">
      <c r="A28" s="3">
        <v>25</v>
      </c>
      <c r="B28" s="15" t="s">
        <v>290</v>
      </c>
      <c r="C28" s="3" t="s">
        <v>166</v>
      </c>
      <c r="D28" s="18">
        <v>43185</v>
      </c>
      <c r="E28" s="17">
        <v>10000</v>
      </c>
      <c r="F28" s="82"/>
      <c r="G28" s="82"/>
      <c r="H28" s="82"/>
      <c r="I28" s="83"/>
      <c r="J28" s="82"/>
      <c r="K28" s="82"/>
      <c r="L28" s="82"/>
      <c r="M28" s="83"/>
      <c r="N28" s="82">
        <v>1935.4838709677399</v>
      </c>
      <c r="O28" s="82"/>
      <c r="P28" s="82"/>
      <c r="Q28" s="83">
        <f t="shared" si="12"/>
        <v>1935.4838709677399</v>
      </c>
      <c r="R28" s="82">
        <v>10000</v>
      </c>
      <c r="S28" s="82"/>
      <c r="T28" s="82"/>
      <c r="U28" s="83">
        <f t="shared" si="6"/>
        <v>10000</v>
      </c>
      <c r="V28" s="82">
        <v>10000</v>
      </c>
      <c r="W28" s="82"/>
      <c r="X28" s="82"/>
      <c r="Y28" s="83">
        <f t="shared" si="7"/>
        <v>10000</v>
      </c>
      <c r="Z28" s="82">
        <v>10000</v>
      </c>
      <c r="AA28" s="82">
        <f>VLOOKUP(C28,'[1]2018.06中力提成汇总'!$B:$N,13,0)</f>
        <v>7000</v>
      </c>
      <c r="AB28" s="82"/>
      <c r="AC28" s="83">
        <f t="shared" si="8"/>
        <v>17000</v>
      </c>
      <c r="AD28" s="219">
        <f>IFERROR(VLOOKUP(C28,'[2]7月集团工资汇总表'!C:AD,28,0),0)</f>
        <v>10322.58</v>
      </c>
      <c r="AE28" s="219"/>
      <c r="AF28" s="219"/>
      <c r="AG28" s="246">
        <f t="shared" si="0"/>
        <v>10322.58</v>
      </c>
      <c r="AH28" s="219">
        <f>IFERROR(VLOOKUP(C28,知识科技工资!C:M,11,0),0)</f>
        <v>322.58</v>
      </c>
      <c r="AI28" s="82"/>
      <c r="AJ28" s="82"/>
      <c r="AK28" s="246">
        <f t="shared" si="13"/>
        <v>322.58</v>
      </c>
      <c r="AL28" s="82"/>
      <c r="AM28" s="82"/>
      <c r="AN28" s="82"/>
      <c r="AO28" s="83">
        <f t="shared" si="14"/>
        <v>0</v>
      </c>
      <c r="AP28" s="82"/>
      <c r="AQ28" s="82"/>
      <c r="AR28" s="82"/>
      <c r="AS28" s="83">
        <f t="shared" si="15"/>
        <v>0</v>
      </c>
      <c r="AT28" s="82"/>
      <c r="AU28" s="82"/>
      <c r="AV28" s="82"/>
      <c r="AW28" s="84">
        <f t="shared" si="16"/>
        <v>0</v>
      </c>
      <c r="AX28" s="85"/>
      <c r="AY28" s="85"/>
      <c r="AZ28" s="85"/>
      <c r="BA28" s="84">
        <f t="shared" si="17"/>
        <v>0</v>
      </c>
      <c r="BB28" s="86">
        <f t="shared" si="1"/>
        <v>42580.643870967746</v>
      </c>
      <c r="BC28" s="86">
        <f t="shared" si="9"/>
        <v>7000</v>
      </c>
      <c r="BD28" s="86">
        <f t="shared" si="10"/>
        <v>0</v>
      </c>
      <c r="BE28" s="87">
        <f t="shared" si="11"/>
        <v>49580.643870967746</v>
      </c>
    </row>
    <row r="29" spans="1:57" ht="22.5" customHeight="1">
      <c r="A29" s="3">
        <v>26</v>
      </c>
      <c r="B29" s="15" t="s">
        <v>290</v>
      </c>
      <c r="C29" s="3" t="s">
        <v>169</v>
      </c>
      <c r="D29" s="18">
        <v>43235</v>
      </c>
      <c r="E29" s="17">
        <v>3000</v>
      </c>
      <c r="F29" s="82"/>
      <c r="G29" s="82"/>
      <c r="H29" s="82"/>
      <c r="I29" s="83"/>
      <c r="J29" s="82"/>
      <c r="K29" s="82"/>
      <c r="L29" s="82"/>
      <c r="M29" s="83"/>
      <c r="N29" s="82"/>
      <c r="O29" s="82"/>
      <c r="P29" s="82"/>
      <c r="Q29" s="83"/>
      <c r="R29" s="82"/>
      <c r="S29" s="82"/>
      <c r="T29" s="82"/>
      <c r="U29" s="83"/>
      <c r="V29" s="82">
        <v>1645.16</v>
      </c>
      <c r="W29" s="82"/>
      <c r="X29" s="82"/>
      <c r="Y29" s="83">
        <f t="shared" si="7"/>
        <v>1645.16</v>
      </c>
      <c r="Z29" s="82">
        <v>2700</v>
      </c>
      <c r="AA29" s="82">
        <f>VLOOKUP(C29,'[1]2018.06中力提成汇总'!$B:$N,13,0)</f>
        <v>0</v>
      </c>
      <c r="AB29" s="82"/>
      <c r="AC29" s="83">
        <f t="shared" si="8"/>
        <v>2700</v>
      </c>
      <c r="AD29" s="219">
        <f>IFERROR(VLOOKUP(C29,'[2]7月集团工资汇总表'!C:AD,28,0),0)</f>
        <v>2806.45</v>
      </c>
      <c r="AE29" s="219"/>
      <c r="AF29" s="219"/>
      <c r="AG29" s="246">
        <f t="shared" si="0"/>
        <v>2806.45</v>
      </c>
      <c r="AH29" s="219">
        <f>IFERROR(VLOOKUP(C29,知识科技工资!C:M,11,0),0)</f>
        <v>322.58</v>
      </c>
      <c r="AI29" s="82"/>
      <c r="AJ29" s="82"/>
      <c r="AK29" s="246">
        <f t="shared" si="13"/>
        <v>322.58</v>
      </c>
      <c r="AL29" s="82"/>
      <c r="AM29" s="82"/>
      <c r="AN29" s="82"/>
      <c r="AO29" s="83"/>
      <c r="AP29" s="82"/>
      <c r="AQ29" s="82"/>
      <c r="AR29" s="82"/>
      <c r="AS29" s="83"/>
      <c r="AT29" s="82"/>
      <c r="AU29" s="82"/>
      <c r="AV29" s="82"/>
      <c r="AW29" s="84"/>
      <c r="AX29" s="85"/>
      <c r="AY29" s="85"/>
      <c r="AZ29" s="85"/>
      <c r="BA29" s="84"/>
      <c r="BB29" s="86">
        <f t="shared" si="1"/>
        <v>7474.19</v>
      </c>
      <c r="BC29" s="86">
        <f t="shared" si="9"/>
        <v>0</v>
      </c>
      <c r="BD29" s="86">
        <f t="shared" si="10"/>
        <v>0</v>
      </c>
      <c r="BE29" s="87">
        <f t="shared" si="11"/>
        <v>7474.19</v>
      </c>
    </row>
    <row r="30" spans="1:57" s="124" customFormat="1" ht="22.5" customHeight="1">
      <c r="A30" s="3">
        <v>27</v>
      </c>
      <c r="B30" s="117" t="s">
        <v>293</v>
      </c>
      <c r="C30" s="116" t="s">
        <v>45</v>
      </c>
      <c r="D30" s="125">
        <v>42208</v>
      </c>
      <c r="E30" s="119">
        <v>13000</v>
      </c>
      <c r="F30" s="120">
        <v>14000</v>
      </c>
      <c r="G30" s="120">
        <f>96925+1000+47580</f>
        <v>145505</v>
      </c>
      <c r="H30" s="120"/>
      <c r="I30" s="121">
        <f t="shared" si="4"/>
        <v>159505</v>
      </c>
      <c r="J30" s="120">
        <v>14000</v>
      </c>
      <c r="K30" s="120">
        <v>1000</v>
      </c>
      <c r="L30" s="120"/>
      <c r="M30" s="121">
        <f t="shared" si="5"/>
        <v>15000</v>
      </c>
      <c r="N30" s="120">
        <v>14000</v>
      </c>
      <c r="O30" s="120">
        <f>15159.6</f>
        <v>15159.6</v>
      </c>
      <c r="P30" s="120"/>
      <c r="Q30" s="121">
        <f t="shared" si="12"/>
        <v>29159.599999999999</v>
      </c>
      <c r="R30" s="120">
        <v>14000</v>
      </c>
      <c r="S30" s="120">
        <v>26985</v>
      </c>
      <c r="T30" s="120"/>
      <c r="U30" s="121">
        <f t="shared" si="6"/>
        <v>40985</v>
      </c>
      <c r="V30" s="120">
        <v>14000</v>
      </c>
      <c r="W30" s="120">
        <v>31350</v>
      </c>
      <c r="X30" s="120"/>
      <c r="Y30" s="121">
        <f t="shared" si="7"/>
        <v>45350</v>
      </c>
      <c r="Z30" s="120">
        <v>14000</v>
      </c>
      <c r="AA30" s="120">
        <f>VLOOKUP(C30,'[1]2018.06中力提成汇总'!$B:$N,13,0)</f>
        <v>49325</v>
      </c>
      <c r="AB30" s="120"/>
      <c r="AC30" s="121">
        <f t="shared" si="8"/>
        <v>63325</v>
      </c>
      <c r="AD30" s="219">
        <f>IFERROR(VLOOKUP(C30,'[2]7月集团工资汇总表'!C:AD,28,0),0)</f>
        <v>13000</v>
      </c>
      <c r="AE30" s="251"/>
      <c r="AF30" s="251"/>
      <c r="AG30" s="246">
        <f t="shared" si="0"/>
        <v>13000</v>
      </c>
      <c r="AH30" s="219">
        <f>IFERROR(VLOOKUP(C30,知识科技工资!C:M,11,0),0)</f>
        <v>10000</v>
      </c>
      <c r="AI30" s="120"/>
      <c r="AJ30" s="120"/>
      <c r="AK30" s="246">
        <f t="shared" si="13"/>
        <v>10000</v>
      </c>
      <c r="AL30" s="120"/>
      <c r="AM30" s="120"/>
      <c r="AN30" s="120"/>
      <c r="AO30" s="121">
        <f t="shared" si="14"/>
        <v>0</v>
      </c>
      <c r="AP30" s="120"/>
      <c r="AQ30" s="120"/>
      <c r="AR30" s="120"/>
      <c r="AS30" s="121">
        <f t="shared" si="15"/>
        <v>0</v>
      </c>
      <c r="AT30" s="120"/>
      <c r="AU30" s="120"/>
      <c r="AV30" s="120"/>
      <c r="AW30" s="122">
        <f t="shared" si="16"/>
        <v>0</v>
      </c>
      <c r="AX30" s="123"/>
      <c r="AY30" s="123"/>
      <c r="AZ30" s="123"/>
      <c r="BA30" s="122">
        <f t="shared" si="17"/>
        <v>0</v>
      </c>
      <c r="BB30" s="86">
        <f t="shared" si="1"/>
        <v>107000</v>
      </c>
      <c r="BC30" s="86">
        <f t="shared" si="9"/>
        <v>269324.59999999998</v>
      </c>
      <c r="BD30" s="86">
        <f t="shared" si="10"/>
        <v>0</v>
      </c>
      <c r="BE30" s="87">
        <f t="shared" si="11"/>
        <v>376324.6</v>
      </c>
    </row>
    <row r="31" spans="1:57" ht="22.5" customHeight="1">
      <c r="A31" s="3">
        <v>28</v>
      </c>
      <c r="B31" s="15" t="s">
        <v>293</v>
      </c>
      <c r="C31" s="3" t="s">
        <v>97</v>
      </c>
      <c r="D31" s="18">
        <v>42248</v>
      </c>
      <c r="E31" s="17">
        <v>10000</v>
      </c>
      <c r="F31" s="82">
        <v>9100</v>
      </c>
      <c r="G31" s="82">
        <f>15000+2000+44100</f>
        <v>61100</v>
      </c>
      <c r="H31" s="82"/>
      <c r="I31" s="83">
        <f t="shared" si="4"/>
        <v>70200</v>
      </c>
      <c r="J31" s="82">
        <v>9100</v>
      </c>
      <c r="K31" s="82"/>
      <c r="L31" s="82"/>
      <c r="M31" s="83">
        <f t="shared" si="5"/>
        <v>9100</v>
      </c>
      <c r="N31" s="82">
        <v>10000</v>
      </c>
      <c r="O31" s="82">
        <v>1000</v>
      </c>
      <c r="P31" s="82"/>
      <c r="Q31" s="83">
        <f t="shared" si="12"/>
        <v>11000</v>
      </c>
      <c r="R31" s="82">
        <v>10000</v>
      </c>
      <c r="S31" s="82">
        <f>7500</f>
        <v>7500</v>
      </c>
      <c r="T31" s="82"/>
      <c r="U31" s="83">
        <f t="shared" si="6"/>
        <v>17500</v>
      </c>
      <c r="V31" s="82">
        <v>10000</v>
      </c>
      <c r="W31" s="82"/>
      <c r="X31" s="82"/>
      <c r="Y31" s="83">
        <f t="shared" si="7"/>
        <v>10000</v>
      </c>
      <c r="Z31" s="82">
        <v>10029</v>
      </c>
      <c r="AA31" s="82">
        <f>VLOOKUP(C31,'[1]2018.06中力提成汇总'!$B:$N,13,0)</f>
        <v>30000</v>
      </c>
      <c r="AB31" s="82"/>
      <c r="AC31" s="83">
        <f t="shared" si="8"/>
        <v>40029</v>
      </c>
      <c r="AD31" s="219">
        <f>IFERROR(VLOOKUP(C31,'[2]7月集团工资汇总表'!C:AD,28,0),0)</f>
        <v>10000</v>
      </c>
      <c r="AE31" s="219">
        <f>1000</f>
        <v>1000</v>
      </c>
      <c r="AF31" s="219"/>
      <c r="AG31" s="246">
        <f t="shared" si="0"/>
        <v>11000</v>
      </c>
      <c r="AH31" s="219">
        <f>IFERROR(VLOOKUP(C31,知识科技工资!C:M,11,0),0)+4600</f>
        <v>14600</v>
      </c>
      <c r="AI31" s="82"/>
      <c r="AJ31" s="82"/>
      <c r="AK31" s="246">
        <f t="shared" si="13"/>
        <v>14600</v>
      </c>
      <c r="AL31" s="82"/>
      <c r="AM31" s="82"/>
      <c r="AN31" s="82"/>
      <c r="AO31" s="83">
        <f t="shared" si="14"/>
        <v>0</v>
      </c>
      <c r="AP31" s="82"/>
      <c r="AQ31" s="82"/>
      <c r="AR31" s="82"/>
      <c r="AS31" s="83">
        <f t="shared" si="15"/>
        <v>0</v>
      </c>
      <c r="AT31" s="82"/>
      <c r="AU31" s="82"/>
      <c r="AV31" s="82"/>
      <c r="AW31" s="84">
        <f t="shared" si="16"/>
        <v>0</v>
      </c>
      <c r="AX31" s="85"/>
      <c r="AY31" s="85"/>
      <c r="AZ31" s="85"/>
      <c r="BA31" s="84">
        <f t="shared" si="17"/>
        <v>0</v>
      </c>
      <c r="BB31" s="86">
        <f t="shared" si="1"/>
        <v>82829</v>
      </c>
      <c r="BC31" s="86">
        <f t="shared" si="9"/>
        <v>100600</v>
      </c>
      <c r="BD31" s="86">
        <f t="shared" si="10"/>
        <v>0</v>
      </c>
      <c r="BE31" s="87">
        <f t="shared" si="11"/>
        <v>183429</v>
      </c>
    </row>
    <row r="32" spans="1:57" ht="22.5" customHeight="1">
      <c r="A32" s="3">
        <v>29</v>
      </c>
      <c r="B32" s="15" t="s">
        <v>293</v>
      </c>
      <c r="C32" s="3" t="s">
        <v>99</v>
      </c>
      <c r="D32" s="18">
        <v>42349</v>
      </c>
      <c r="E32" s="17">
        <v>50000</v>
      </c>
      <c r="F32" s="82">
        <v>24000</v>
      </c>
      <c r="G32" s="82">
        <f>42400+2000+104160</f>
        <v>148560</v>
      </c>
      <c r="H32" s="82"/>
      <c r="I32" s="83">
        <f t="shared" si="4"/>
        <v>172560</v>
      </c>
      <c r="J32" s="82">
        <v>24000</v>
      </c>
      <c r="K32" s="82"/>
      <c r="L32" s="82"/>
      <c r="M32" s="83">
        <f t="shared" si="5"/>
        <v>24000</v>
      </c>
      <c r="N32" s="82">
        <v>24000</v>
      </c>
      <c r="O32" s="82">
        <f>7596</f>
        <v>7596</v>
      </c>
      <c r="P32" s="82"/>
      <c r="Q32" s="83">
        <f t="shared" si="12"/>
        <v>31596</v>
      </c>
      <c r="R32" s="82">
        <v>24000</v>
      </c>
      <c r="S32" s="82">
        <v>40000</v>
      </c>
      <c r="T32" s="82"/>
      <c r="U32" s="83">
        <f t="shared" si="6"/>
        <v>64000</v>
      </c>
      <c r="V32" s="82">
        <v>24000</v>
      </c>
      <c r="W32" s="82">
        <v>12800</v>
      </c>
      <c r="X32" s="82"/>
      <c r="Y32" s="83">
        <f t="shared" si="7"/>
        <v>36800</v>
      </c>
      <c r="Z32" s="82">
        <v>24000</v>
      </c>
      <c r="AA32" s="82">
        <f>VLOOKUP(C32,'[1]2018.06中力提成汇总'!$B:$N,13,0)</f>
        <v>64275</v>
      </c>
      <c r="AB32" s="82"/>
      <c r="AC32" s="83">
        <f t="shared" si="8"/>
        <v>88275</v>
      </c>
      <c r="AD32" s="219">
        <f>IFERROR(VLOOKUP(C32,'[2]7月集团工资汇总表'!C:AD,28,0),0)</f>
        <v>22000</v>
      </c>
      <c r="AE32" s="219">
        <f>3000</f>
        <v>3000</v>
      </c>
      <c r="AF32" s="219"/>
      <c r="AG32" s="246">
        <f t="shared" si="0"/>
        <v>25000</v>
      </c>
      <c r="AH32" s="219">
        <f>IFERROR(VLOOKUP(C32,知识科技工资!C:M,11,0),0)</f>
        <v>10000</v>
      </c>
      <c r="AI32" s="82"/>
      <c r="AJ32" s="82"/>
      <c r="AK32" s="246">
        <f t="shared" si="13"/>
        <v>10000</v>
      </c>
      <c r="AL32" s="82"/>
      <c r="AM32" s="82"/>
      <c r="AN32" s="82"/>
      <c r="AO32" s="83">
        <f t="shared" si="14"/>
        <v>0</v>
      </c>
      <c r="AP32" s="82"/>
      <c r="AQ32" s="82"/>
      <c r="AR32" s="82"/>
      <c r="AS32" s="83">
        <f t="shared" si="15"/>
        <v>0</v>
      </c>
      <c r="AT32" s="82"/>
      <c r="AU32" s="82"/>
      <c r="AV32" s="82"/>
      <c r="AW32" s="84">
        <f t="shared" si="16"/>
        <v>0</v>
      </c>
      <c r="AX32" s="85"/>
      <c r="AY32" s="85"/>
      <c r="AZ32" s="85"/>
      <c r="BA32" s="84">
        <f t="shared" si="17"/>
        <v>0</v>
      </c>
      <c r="BB32" s="86">
        <f t="shared" si="1"/>
        <v>176000</v>
      </c>
      <c r="BC32" s="86">
        <f t="shared" si="9"/>
        <v>276231</v>
      </c>
      <c r="BD32" s="86">
        <f t="shared" si="10"/>
        <v>0</v>
      </c>
      <c r="BE32" s="87">
        <f t="shared" si="11"/>
        <v>452231</v>
      </c>
    </row>
    <row r="33" spans="1:57" ht="22.5" customHeight="1">
      <c r="A33" s="3">
        <v>30</v>
      </c>
      <c r="B33" s="15" t="s">
        <v>293</v>
      </c>
      <c r="C33" s="20" t="s">
        <v>107</v>
      </c>
      <c r="D33" s="18">
        <v>42636</v>
      </c>
      <c r="E33" s="17">
        <v>11000</v>
      </c>
      <c r="F33" s="82">
        <v>11000</v>
      </c>
      <c r="G33" s="82">
        <f>3000+9500+7000</f>
        <v>19500</v>
      </c>
      <c r="H33" s="82"/>
      <c r="I33" s="83">
        <f t="shared" si="4"/>
        <v>30500</v>
      </c>
      <c r="J33" s="82">
        <v>11000</v>
      </c>
      <c r="K33" s="82">
        <v>2000</v>
      </c>
      <c r="L33" s="82"/>
      <c r="M33" s="83">
        <f t="shared" si="5"/>
        <v>13000</v>
      </c>
      <c r="N33" s="82">
        <v>11000</v>
      </c>
      <c r="O33" s="82">
        <v>5980</v>
      </c>
      <c r="P33" s="82"/>
      <c r="Q33" s="83">
        <f t="shared" si="12"/>
        <v>16980</v>
      </c>
      <c r="R33" s="82">
        <v>11000</v>
      </c>
      <c r="S33" s="82">
        <v>9000</v>
      </c>
      <c r="T33" s="82"/>
      <c r="U33" s="83">
        <f t="shared" si="6"/>
        <v>20000</v>
      </c>
      <c r="V33" s="82">
        <v>11000</v>
      </c>
      <c r="W33" s="82"/>
      <c r="X33" s="82"/>
      <c r="Y33" s="83">
        <f t="shared" si="7"/>
        <v>11000</v>
      </c>
      <c r="Z33" s="82">
        <v>11000</v>
      </c>
      <c r="AA33" s="82">
        <f>VLOOKUP(C33,'[1]2018.06中力提成汇总'!$B:$N,13,0)</f>
        <v>18000</v>
      </c>
      <c r="AB33" s="82"/>
      <c r="AC33" s="83">
        <f t="shared" si="8"/>
        <v>29000</v>
      </c>
      <c r="AD33" s="219">
        <f>IFERROR(VLOOKUP(C33,'[2]7月集团工资汇总表'!C:AD,28,0),0)</f>
        <v>6387.1</v>
      </c>
      <c r="AE33" s="219"/>
      <c r="AF33" s="219"/>
      <c r="AG33" s="246">
        <f t="shared" si="0"/>
        <v>6387.1</v>
      </c>
      <c r="AH33" s="219">
        <f>IFERROR(VLOOKUP(C33,知识科技工资!C:M,11,0),0)</f>
        <v>0</v>
      </c>
      <c r="AI33" s="82"/>
      <c r="AJ33" s="82"/>
      <c r="AK33" s="246">
        <f t="shared" si="13"/>
        <v>0</v>
      </c>
      <c r="AL33" s="82"/>
      <c r="AM33" s="82"/>
      <c r="AN33" s="82"/>
      <c r="AO33" s="83">
        <f t="shared" si="14"/>
        <v>0</v>
      </c>
      <c r="AP33" s="82"/>
      <c r="AQ33" s="82"/>
      <c r="AR33" s="82"/>
      <c r="AS33" s="83">
        <f t="shared" si="15"/>
        <v>0</v>
      </c>
      <c r="AT33" s="82"/>
      <c r="AU33" s="82"/>
      <c r="AV33" s="82"/>
      <c r="AW33" s="84">
        <f t="shared" si="16"/>
        <v>0</v>
      </c>
      <c r="AX33" s="85"/>
      <c r="AY33" s="85"/>
      <c r="AZ33" s="85"/>
      <c r="BA33" s="84">
        <f t="shared" si="17"/>
        <v>0</v>
      </c>
      <c r="BB33" s="86">
        <f t="shared" si="1"/>
        <v>72387.100000000006</v>
      </c>
      <c r="BC33" s="86">
        <f t="shared" si="9"/>
        <v>54480</v>
      </c>
      <c r="BD33" s="86">
        <f t="shared" si="10"/>
        <v>0</v>
      </c>
      <c r="BE33" s="87">
        <f t="shared" si="11"/>
        <v>126867.1</v>
      </c>
    </row>
    <row r="34" spans="1:57" ht="22.5" customHeight="1">
      <c r="A34" s="3">
        <v>31</v>
      </c>
      <c r="B34" s="15" t="s">
        <v>293</v>
      </c>
      <c r="C34" s="20" t="s">
        <v>294</v>
      </c>
      <c r="D34" s="18">
        <v>42636</v>
      </c>
      <c r="E34" s="17">
        <v>0</v>
      </c>
      <c r="F34" s="82">
        <v>12000</v>
      </c>
      <c r="G34" s="82">
        <f>36000+7000+3000</f>
        <v>46000</v>
      </c>
      <c r="H34" s="82"/>
      <c r="I34" s="83">
        <f t="shared" si="4"/>
        <v>58000</v>
      </c>
      <c r="J34" s="82">
        <v>12000</v>
      </c>
      <c r="K34" s="82">
        <v>3000</v>
      </c>
      <c r="L34" s="82"/>
      <c r="M34" s="83">
        <f t="shared" si="5"/>
        <v>15000</v>
      </c>
      <c r="N34" s="82">
        <v>12000</v>
      </c>
      <c r="O34" s="82">
        <v>6980</v>
      </c>
      <c r="P34" s="82"/>
      <c r="Q34" s="83">
        <f t="shared" si="12"/>
        <v>18980</v>
      </c>
      <c r="R34" s="82">
        <v>12000</v>
      </c>
      <c r="S34" s="82">
        <f>21000</f>
        <v>21000</v>
      </c>
      <c r="T34" s="82"/>
      <c r="U34" s="83">
        <f t="shared" si="6"/>
        <v>33000</v>
      </c>
      <c r="V34" s="82">
        <v>12000</v>
      </c>
      <c r="W34" s="82"/>
      <c r="X34" s="82"/>
      <c r="Y34" s="83">
        <f t="shared" si="7"/>
        <v>12000</v>
      </c>
      <c r="Z34" s="82">
        <v>6000</v>
      </c>
      <c r="AA34" s="82">
        <f>VLOOKUP(C34,'[1]2018.06中力提成汇总'!$B:$N,13,0)</f>
        <v>0</v>
      </c>
      <c r="AB34" s="82"/>
      <c r="AC34" s="83">
        <f t="shared" si="8"/>
        <v>6000</v>
      </c>
      <c r="AD34" s="219">
        <f>IFERROR(VLOOKUP(C34,'[2]7月集团工资汇总表'!C:AD,28,0),0)</f>
        <v>0</v>
      </c>
      <c r="AE34" s="219"/>
      <c r="AF34" s="219"/>
      <c r="AG34" s="246">
        <f t="shared" si="0"/>
        <v>0</v>
      </c>
      <c r="AH34" s="219">
        <f>IFERROR(VLOOKUP(C34,知识科技工资!C:M,11,0),0)</f>
        <v>0</v>
      </c>
      <c r="AI34" s="82"/>
      <c r="AJ34" s="82"/>
      <c r="AK34" s="246">
        <f t="shared" si="13"/>
        <v>0</v>
      </c>
      <c r="AL34" s="82"/>
      <c r="AM34" s="82"/>
      <c r="AN34" s="82"/>
      <c r="AO34" s="83">
        <f t="shared" si="14"/>
        <v>0</v>
      </c>
      <c r="AP34" s="82"/>
      <c r="AQ34" s="82"/>
      <c r="AR34" s="82"/>
      <c r="AS34" s="83">
        <f t="shared" si="15"/>
        <v>0</v>
      </c>
      <c r="AT34" s="82"/>
      <c r="AU34" s="82"/>
      <c r="AV34" s="82"/>
      <c r="AW34" s="84">
        <f t="shared" si="16"/>
        <v>0</v>
      </c>
      <c r="AX34" s="85"/>
      <c r="AY34" s="85"/>
      <c r="AZ34" s="85"/>
      <c r="BA34" s="84">
        <f t="shared" si="17"/>
        <v>0</v>
      </c>
      <c r="BB34" s="86">
        <f t="shared" si="1"/>
        <v>66000</v>
      </c>
      <c r="BC34" s="86">
        <f t="shared" si="9"/>
        <v>76980</v>
      </c>
      <c r="BD34" s="86">
        <f t="shared" si="10"/>
        <v>0</v>
      </c>
      <c r="BE34" s="87">
        <f t="shared" si="11"/>
        <v>142980</v>
      </c>
    </row>
    <row r="35" spans="1:57" ht="22.5" customHeight="1">
      <c r="A35" s="3">
        <v>32</v>
      </c>
      <c r="B35" s="15" t="s">
        <v>293</v>
      </c>
      <c r="C35" s="19" t="s">
        <v>164</v>
      </c>
      <c r="D35" s="18">
        <v>42662</v>
      </c>
      <c r="E35" s="17">
        <v>12000</v>
      </c>
      <c r="F35" s="82">
        <v>12000</v>
      </c>
      <c r="G35" s="82">
        <f>18375+5000+104200+1000</f>
        <v>128575</v>
      </c>
      <c r="H35" s="82"/>
      <c r="I35" s="83">
        <f t="shared" si="4"/>
        <v>140575</v>
      </c>
      <c r="J35" s="82">
        <v>12000</v>
      </c>
      <c r="K35" s="82">
        <v>1000</v>
      </c>
      <c r="L35" s="82"/>
      <c r="M35" s="83">
        <f t="shared" si="5"/>
        <v>13000</v>
      </c>
      <c r="N35" s="82">
        <v>12000</v>
      </c>
      <c r="O35" s="82">
        <v>19500</v>
      </c>
      <c r="P35" s="82"/>
      <c r="Q35" s="83">
        <f t="shared" si="12"/>
        <v>31500</v>
      </c>
      <c r="R35" s="82">
        <v>12000</v>
      </c>
      <c r="S35" s="82">
        <v>47000</v>
      </c>
      <c r="T35" s="82"/>
      <c r="U35" s="83">
        <f t="shared" si="6"/>
        <v>59000</v>
      </c>
      <c r="V35" s="82">
        <v>12000</v>
      </c>
      <c r="W35" s="82">
        <v>2000</v>
      </c>
      <c r="X35" s="82"/>
      <c r="Y35" s="83">
        <f t="shared" si="7"/>
        <v>14000</v>
      </c>
      <c r="Z35" s="82">
        <v>12000</v>
      </c>
      <c r="AA35" s="82">
        <f>VLOOKUP(C35,'[1]2018.06中力提成汇总'!$B:$N,13,0)</f>
        <v>75000</v>
      </c>
      <c r="AB35" s="82"/>
      <c r="AC35" s="83">
        <f t="shared" si="8"/>
        <v>87000</v>
      </c>
      <c r="AD35" s="219">
        <f>IFERROR(VLOOKUP(C35,'[2]7月集团工资汇总表'!C:AD,28,0),0)</f>
        <v>12000</v>
      </c>
      <c r="AE35" s="219">
        <f>7000+1000+1000</f>
        <v>9000</v>
      </c>
      <c r="AF35" s="219"/>
      <c r="AG35" s="246">
        <f t="shared" si="0"/>
        <v>21000</v>
      </c>
      <c r="AH35" s="219">
        <f>IFERROR(VLOOKUP(C35,知识科技工资!C:M,11,0),0)</f>
        <v>10000</v>
      </c>
      <c r="AI35" s="82"/>
      <c r="AJ35" s="82"/>
      <c r="AK35" s="246">
        <f t="shared" si="13"/>
        <v>10000</v>
      </c>
      <c r="AL35" s="82"/>
      <c r="AM35" s="82"/>
      <c r="AN35" s="82"/>
      <c r="AO35" s="83">
        <f t="shared" si="14"/>
        <v>0</v>
      </c>
      <c r="AP35" s="82"/>
      <c r="AQ35" s="82"/>
      <c r="AR35" s="82"/>
      <c r="AS35" s="83">
        <f t="shared" si="15"/>
        <v>0</v>
      </c>
      <c r="AT35" s="82"/>
      <c r="AU35" s="82"/>
      <c r="AV35" s="82"/>
      <c r="AW35" s="84">
        <f t="shared" si="16"/>
        <v>0</v>
      </c>
      <c r="AX35" s="85"/>
      <c r="AY35" s="85"/>
      <c r="AZ35" s="85"/>
      <c r="BA35" s="84">
        <f t="shared" si="17"/>
        <v>0</v>
      </c>
      <c r="BB35" s="86">
        <f t="shared" si="1"/>
        <v>94000</v>
      </c>
      <c r="BC35" s="86">
        <f t="shared" si="9"/>
        <v>282075</v>
      </c>
      <c r="BD35" s="86">
        <f t="shared" si="10"/>
        <v>0</v>
      </c>
      <c r="BE35" s="87">
        <f t="shared" si="11"/>
        <v>376075</v>
      </c>
    </row>
    <row r="36" spans="1:57" ht="22.5" customHeight="1">
      <c r="A36" s="3">
        <v>33</v>
      </c>
      <c r="B36" s="15" t="s">
        <v>293</v>
      </c>
      <c r="C36" s="3" t="s">
        <v>101</v>
      </c>
      <c r="D36" s="18">
        <v>42668</v>
      </c>
      <c r="E36" s="17">
        <v>10000</v>
      </c>
      <c r="F36" s="82">
        <v>10000</v>
      </c>
      <c r="G36" s="82">
        <f>3000+46200+500</f>
        <v>49700</v>
      </c>
      <c r="H36" s="82"/>
      <c r="I36" s="83">
        <f t="shared" si="4"/>
        <v>59700</v>
      </c>
      <c r="J36" s="82">
        <v>10000</v>
      </c>
      <c r="K36" s="82"/>
      <c r="L36" s="82"/>
      <c r="M36" s="83">
        <f t="shared" si="5"/>
        <v>10000</v>
      </c>
      <c r="N36" s="82">
        <v>10000</v>
      </c>
      <c r="O36" s="82"/>
      <c r="P36" s="82"/>
      <c r="Q36" s="83">
        <f t="shared" si="12"/>
        <v>10000</v>
      </c>
      <c r="R36" s="82">
        <v>10000</v>
      </c>
      <c r="S36" s="82">
        <v>8100</v>
      </c>
      <c r="T36" s="82"/>
      <c r="U36" s="83">
        <f t="shared" si="6"/>
        <v>18100</v>
      </c>
      <c r="V36" s="82">
        <v>10000</v>
      </c>
      <c r="W36" s="82">
        <v>1000</v>
      </c>
      <c r="X36" s="82"/>
      <c r="Y36" s="83">
        <f t="shared" si="7"/>
        <v>11000</v>
      </c>
      <c r="Z36" s="82">
        <v>10000</v>
      </c>
      <c r="AA36" s="82">
        <f>VLOOKUP(C36,'[1]2018.06中力提成汇总'!$B:$N,13,0)</f>
        <v>58750</v>
      </c>
      <c r="AB36" s="82"/>
      <c r="AC36" s="83">
        <f t="shared" si="8"/>
        <v>68750</v>
      </c>
      <c r="AD36" s="219">
        <f>IFERROR(VLOOKUP(C36,'[2]7月集团工资汇总表'!C:AD,28,0),0)</f>
        <v>10000</v>
      </c>
      <c r="AE36" s="219">
        <f>1000</f>
        <v>1000</v>
      </c>
      <c r="AF36" s="219"/>
      <c r="AG36" s="246">
        <f t="shared" si="0"/>
        <v>11000</v>
      </c>
      <c r="AH36" s="219">
        <f>IFERROR(VLOOKUP(C36,知识科技工资!C:M,11,0),0)</f>
        <v>10000</v>
      </c>
      <c r="AI36" s="82"/>
      <c r="AJ36" s="82"/>
      <c r="AK36" s="246">
        <f t="shared" si="13"/>
        <v>10000</v>
      </c>
      <c r="AL36" s="82"/>
      <c r="AM36" s="82"/>
      <c r="AN36" s="82"/>
      <c r="AO36" s="83">
        <f t="shared" si="14"/>
        <v>0</v>
      </c>
      <c r="AP36" s="82"/>
      <c r="AQ36" s="82"/>
      <c r="AR36" s="82"/>
      <c r="AS36" s="83">
        <f t="shared" si="15"/>
        <v>0</v>
      </c>
      <c r="AT36" s="82"/>
      <c r="AU36" s="82"/>
      <c r="AV36" s="82"/>
      <c r="AW36" s="84">
        <f t="shared" si="16"/>
        <v>0</v>
      </c>
      <c r="AX36" s="85"/>
      <c r="AY36" s="85"/>
      <c r="AZ36" s="85"/>
      <c r="BA36" s="84">
        <f t="shared" si="17"/>
        <v>0</v>
      </c>
      <c r="BB36" s="86">
        <f t="shared" si="1"/>
        <v>80000</v>
      </c>
      <c r="BC36" s="86">
        <f t="shared" si="9"/>
        <v>118550</v>
      </c>
      <c r="BD36" s="86">
        <f t="shared" si="10"/>
        <v>0</v>
      </c>
      <c r="BE36" s="87">
        <f t="shared" si="11"/>
        <v>198550</v>
      </c>
    </row>
    <row r="37" spans="1:57" ht="22.5" customHeight="1">
      <c r="A37" s="3">
        <v>34</v>
      </c>
      <c r="B37" s="15" t="s">
        <v>293</v>
      </c>
      <c r="C37" s="20" t="s">
        <v>295</v>
      </c>
      <c r="D37" s="18">
        <v>42698</v>
      </c>
      <c r="E37" s="17">
        <v>0</v>
      </c>
      <c r="F37" s="82">
        <v>12000</v>
      </c>
      <c r="G37" s="82">
        <f>100800+3000+6500</f>
        <v>110300</v>
      </c>
      <c r="H37" s="82"/>
      <c r="I37" s="83">
        <f t="shared" si="4"/>
        <v>122300</v>
      </c>
      <c r="J37" s="82">
        <v>12000</v>
      </c>
      <c r="K37" s="82"/>
      <c r="L37" s="82"/>
      <c r="M37" s="83">
        <f t="shared" si="5"/>
        <v>12000</v>
      </c>
      <c r="N37" s="82">
        <v>12000</v>
      </c>
      <c r="O37" s="82">
        <v>3000</v>
      </c>
      <c r="P37" s="82"/>
      <c r="Q37" s="83">
        <f t="shared" si="12"/>
        <v>15000</v>
      </c>
      <c r="R37" s="82">
        <v>12000</v>
      </c>
      <c r="S37" s="82">
        <v>41000</v>
      </c>
      <c r="T37" s="82"/>
      <c r="U37" s="83">
        <f t="shared" si="6"/>
        <v>53000</v>
      </c>
      <c r="V37" s="82">
        <v>3870.97</v>
      </c>
      <c r="W37" s="82"/>
      <c r="X37" s="82"/>
      <c r="Y37" s="83">
        <f t="shared" si="7"/>
        <v>3870.97</v>
      </c>
      <c r="Z37" s="82"/>
      <c r="AA37" s="82">
        <f>VLOOKUP(C37,'[1]2018.06中力提成汇总'!$B:$N,13,0)</f>
        <v>9500</v>
      </c>
      <c r="AB37" s="82"/>
      <c r="AC37" s="83">
        <f t="shared" si="8"/>
        <v>9500</v>
      </c>
      <c r="AD37" s="219">
        <f>IFERROR(VLOOKUP(C37,'[2]7月集团工资汇总表'!C:AD,28,0),0)</f>
        <v>0</v>
      </c>
      <c r="AE37" s="219"/>
      <c r="AF37" s="219"/>
      <c r="AG37" s="246">
        <f t="shared" si="0"/>
        <v>0</v>
      </c>
      <c r="AH37" s="219">
        <f>IFERROR(VLOOKUP(C37,知识科技工资!C:M,11,0),0)</f>
        <v>0</v>
      </c>
      <c r="AI37" s="82"/>
      <c r="AJ37" s="82"/>
      <c r="AK37" s="246">
        <f t="shared" si="13"/>
        <v>0</v>
      </c>
      <c r="AL37" s="82"/>
      <c r="AM37" s="82"/>
      <c r="AN37" s="82"/>
      <c r="AO37" s="83">
        <f t="shared" si="14"/>
        <v>0</v>
      </c>
      <c r="AP37" s="82"/>
      <c r="AQ37" s="82"/>
      <c r="AR37" s="82"/>
      <c r="AS37" s="83">
        <f t="shared" si="15"/>
        <v>0</v>
      </c>
      <c r="AT37" s="82"/>
      <c r="AU37" s="82"/>
      <c r="AV37" s="82"/>
      <c r="AW37" s="84">
        <f t="shared" si="16"/>
        <v>0</v>
      </c>
      <c r="AX37" s="85"/>
      <c r="AY37" s="85"/>
      <c r="AZ37" s="85"/>
      <c r="BA37" s="84">
        <f t="shared" si="17"/>
        <v>0</v>
      </c>
      <c r="BB37" s="86">
        <f t="shared" si="1"/>
        <v>51870.97</v>
      </c>
      <c r="BC37" s="86">
        <f t="shared" si="9"/>
        <v>163800</v>
      </c>
      <c r="BD37" s="86">
        <f t="shared" si="10"/>
        <v>0</v>
      </c>
      <c r="BE37" s="87">
        <f t="shared" si="11"/>
        <v>215670.97</v>
      </c>
    </row>
    <row r="38" spans="1:57" ht="22.5" customHeight="1">
      <c r="A38" s="3">
        <v>35</v>
      </c>
      <c r="B38" s="15" t="s">
        <v>293</v>
      </c>
      <c r="C38" s="3" t="s">
        <v>103</v>
      </c>
      <c r="D38" s="18">
        <v>42676</v>
      </c>
      <c r="E38" s="17">
        <v>8000</v>
      </c>
      <c r="F38" s="82">
        <v>7000</v>
      </c>
      <c r="G38" s="82">
        <f>7200+22500</f>
        <v>29700</v>
      </c>
      <c r="H38" s="82"/>
      <c r="I38" s="83">
        <f t="shared" si="4"/>
        <v>36700</v>
      </c>
      <c r="J38" s="82">
        <v>7000</v>
      </c>
      <c r="K38" s="82"/>
      <c r="L38" s="82"/>
      <c r="M38" s="83">
        <f t="shared" si="5"/>
        <v>7000</v>
      </c>
      <c r="N38" s="82">
        <v>8000</v>
      </c>
      <c r="O38" s="82"/>
      <c r="P38" s="82"/>
      <c r="Q38" s="83">
        <f t="shared" si="12"/>
        <v>8000</v>
      </c>
      <c r="R38" s="82">
        <v>8000</v>
      </c>
      <c r="S38" s="82">
        <v>7200</v>
      </c>
      <c r="T38" s="82"/>
      <c r="U38" s="83">
        <f t="shared" si="6"/>
        <v>15200</v>
      </c>
      <c r="V38" s="82">
        <v>8000</v>
      </c>
      <c r="W38" s="82"/>
      <c r="X38" s="82"/>
      <c r="Y38" s="83">
        <f t="shared" si="7"/>
        <v>8000</v>
      </c>
      <c r="Z38" s="82">
        <v>8000</v>
      </c>
      <c r="AA38" s="82">
        <f>VLOOKUP(C38,'[1]2018.06中力提成汇总'!$B:$N,13,0)</f>
        <v>9000</v>
      </c>
      <c r="AB38" s="82"/>
      <c r="AC38" s="83">
        <f t="shared" si="8"/>
        <v>17000</v>
      </c>
      <c r="AD38" s="219">
        <f>IFERROR(VLOOKUP(C38,'[2]7月集团工资汇总表'!C:AD,28,0),0)</f>
        <v>8000</v>
      </c>
      <c r="AE38" s="219">
        <f>800+1000</f>
        <v>1800</v>
      </c>
      <c r="AF38" s="219"/>
      <c r="AG38" s="246">
        <f t="shared" si="0"/>
        <v>9800</v>
      </c>
      <c r="AH38" s="219">
        <f>IFERROR(VLOOKUP(C38,知识科技工资!C:M,11,0),0)</f>
        <v>10000</v>
      </c>
      <c r="AI38" s="82"/>
      <c r="AJ38" s="82"/>
      <c r="AK38" s="246">
        <f t="shared" si="13"/>
        <v>10000</v>
      </c>
      <c r="AL38" s="82"/>
      <c r="AM38" s="82"/>
      <c r="AN38" s="82"/>
      <c r="AO38" s="83">
        <f t="shared" si="14"/>
        <v>0</v>
      </c>
      <c r="AP38" s="82"/>
      <c r="AQ38" s="82"/>
      <c r="AR38" s="82"/>
      <c r="AS38" s="83">
        <f t="shared" si="15"/>
        <v>0</v>
      </c>
      <c r="AT38" s="82"/>
      <c r="AU38" s="82"/>
      <c r="AV38" s="82"/>
      <c r="AW38" s="84">
        <f t="shared" si="16"/>
        <v>0</v>
      </c>
      <c r="AX38" s="85"/>
      <c r="AY38" s="85"/>
      <c r="AZ38" s="85"/>
      <c r="BA38" s="84">
        <f t="shared" si="17"/>
        <v>0</v>
      </c>
      <c r="BB38" s="86">
        <f t="shared" si="1"/>
        <v>64000</v>
      </c>
      <c r="BC38" s="86">
        <f t="shared" si="9"/>
        <v>47700</v>
      </c>
      <c r="BD38" s="86">
        <f t="shared" si="10"/>
        <v>0</v>
      </c>
      <c r="BE38" s="87">
        <f t="shared" si="11"/>
        <v>111700</v>
      </c>
    </row>
    <row r="39" spans="1:57" ht="22.5" customHeight="1">
      <c r="A39" s="3">
        <v>36</v>
      </c>
      <c r="B39" s="15" t="s">
        <v>293</v>
      </c>
      <c r="C39" s="3" t="s">
        <v>105</v>
      </c>
      <c r="D39" s="18">
        <v>42831</v>
      </c>
      <c r="E39" s="17">
        <v>10000</v>
      </c>
      <c r="F39" s="82">
        <f>10000</f>
        <v>10000</v>
      </c>
      <c r="G39" s="82">
        <f>12000+500</f>
        <v>12500</v>
      </c>
      <c r="H39" s="82"/>
      <c r="I39" s="83">
        <f t="shared" si="4"/>
        <v>22500</v>
      </c>
      <c r="J39" s="82">
        <v>10000</v>
      </c>
      <c r="K39" s="82">
        <v>1000</v>
      </c>
      <c r="L39" s="82"/>
      <c r="M39" s="83">
        <f t="shared" si="5"/>
        <v>11000</v>
      </c>
      <c r="N39" s="82">
        <v>10000</v>
      </c>
      <c r="O39" s="82">
        <v>1000</v>
      </c>
      <c r="P39" s="82"/>
      <c r="Q39" s="83">
        <f t="shared" si="12"/>
        <v>11000</v>
      </c>
      <c r="R39" s="82">
        <v>10000</v>
      </c>
      <c r="S39" s="82">
        <v>20000</v>
      </c>
      <c r="T39" s="82"/>
      <c r="U39" s="83">
        <f t="shared" si="6"/>
        <v>30000</v>
      </c>
      <c r="V39" s="82">
        <v>10000</v>
      </c>
      <c r="W39" s="82"/>
      <c r="X39" s="82"/>
      <c r="Y39" s="83">
        <f t="shared" si="7"/>
        <v>10000</v>
      </c>
      <c r="Z39" s="82">
        <v>10000</v>
      </c>
      <c r="AA39" s="82">
        <f>VLOOKUP(C39,'[1]2018.06中力提成汇总'!$B:$N,13,0)</f>
        <v>25650</v>
      </c>
      <c r="AB39" s="82"/>
      <c r="AC39" s="83">
        <f t="shared" si="8"/>
        <v>35650</v>
      </c>
      <c r="AD39" s="219">
        <f>IFERROR(VLOOKUP(C39,'[2]7月集团工资汇总表'!C:AD,28,0),0)</f>
        <v>10000</v>
      </c>
      <c r="AE39" s="219"/>
      <c r="AF39" s="219"/>
      <c r="AG39" s="246">
        <f t="shared" si="0"/>
        <v>10000</v>
      </c>
      <c r="AH39" s="219">
        <f>IFERROR(VLOOKUP(C39,知识科技工资!C:M,11,0),0)</f>
        <v>10000</v>
      </c>
      <c r="AI39" s="82"/>
      <c r="AJ39" s="82"/>
      <c r="AK39" s="246">
        <f t="shared" si="13"/>
        <v>10000</v>
      </c>
      <c r="AL39" s="82"/>
      <c r="AM39" s="82"/>
      <c r="AN39" s="82"/>
      <c r="AO39" s="83">
        <f t="shared" si="14"/>
        <v>0</v>
      </c>
      <c r="AP39" s="82"/>
      <c r="AQ39" s="82"/>
      <c r="AR39" s="82"/>
      <c r="AS39" s="83">
        <f t="shared" si="15"/>
        <v>0</v>
      </c>
      <c r="AT39" s="82"/>
      <c r="AU39" s="82"/>
      <c r="AV39" s="82"/>
      <c r="AW39" s="84">
        <f t="shared" si="16"/>
        <v>0</v>
      </c>
      <c r="AX39" s="85"/>
      <c r="AY39" s="85"/>
      <c r="AZ39" s="85"/>
      <c r="BA39" s="84">
        <f t="shared" si="17"/>
        <v>0</v>
      </c>
      <c r="BB39" s="86">
        <f t="shared" si="1"/>
        <v>80000</v>
      </c>
      <c r="BC39" s="86">
        <f t="shared" si="9"/>
        <v>60150</v>
      </c>
      <c r="BD39" s="86">
        <f t="shared" si="10"/>
        <v>0</v>
      </c>
      <c r="BE39" s="87">
        <f t="shared" si="11"/>
        <v>140150</v>
      </c>
    </row>
    <row r="40" spans="1:57" s="124" customFormat="1" ht="22.5" customHeight="1">
      <c r="A40" s="3">
        <v>37</v>
      </c>
      <c r="B40" s="117" t="s">
        <v>293</v>
      </c>
      <c r="C40" s="116" t="s">
        <v>44</v>
      </c>
      <c r="D40" s="125">
        <v>43004</v>
      </c>
      <c r="E40" s="119">
        <v>13000</v>
      </c>
      <c r="F40" s="120">
        <v>7258.06</v>
      </c>
      <c r="G40" s="120">
        <f>3900+3960</f>
        <v>7860</v>
      </c>
      <c r="H40" s="120"/>
      <c r="I40" s="121">
        <f t="shared" si="4"/>
        <v>15118.060000000001</v>
      </c>
      <c r="J40" s="120">
        <v>7500</v>
      </c>
      <c r="K40" s="120"/>
      <c r="L40" s="120"/>
      <c r="M40" s="121">
        <f t="shared" si="5"/>
        <v>7500</v>
      </c>
      <c r="N40" s="120">
        <v>7838.71</v>
      </c>
      <c r="O40" s="120">
        <v>989.4</v>
      </c>
      <c r="P40" s="120"/>
      <c r="Q40" s="121">
        <f t="shared" si="12"/>
        <v>8828.11</v>
      </c>
      <c r="R40" s="120">
        <v>9000</v>
      </c>
      <c r="S40" s="120">
        <f>5985+7500</f>
        <v>13485</v>
      </c>
      <c r="T40" s="120"/>
      <c r="U40" s="121">
        <f t="shared" si="6"/>
        <v>22485</v>
      </c>
      <c r="V40" s="120">
        <v>9000</v>
      </c>
      <c r="W40" s="120">
        <v>600</v>
      </c>
      <c r="X40" s="120"/>
      <c r="Y40" s="121">
        <f t="shared" si="7"/>
        <v>9600</v>
      </c>
      <c r="Z40" s="120">
        <v>9000</v>
      </c>
      <c r="AA40" s="120">
        <f>VLOOKUP(C40,'[1]2018.06中力提成汇总'!$B:$N,13,0)</f>
        <v>10350</v>
      </c>
      <c r="AB40" s="120"/>
      <c r="AC40" s="121">
        <f t="shared" si="8"/>
        <v>19350</v>
      </c>
      <c r="AD40" s="219">
        <f>IFERROR(VLOOKUP(C40,'[2]7月集团工资汇总表'!C:AD,28,0),0)</f>
        <v>13000</v>
      </c>
      <c r="AE40" s="251"/>
      <c r="AF40" s="251"/>
      <c r="AG40" s="246">
        <f t="shared" si="0"/>
        <v>13000</v>
      </c>
      <c r="AH40" s="219">
        <f>IFERROR(VLOOKUP(C40,知识科技工资!C:M,11,0),0)</f>
        <v>10000</v>
      </c>
      <c r="AI40" s="120"/>
      <c r="AJ40" s="120"/>
      <c r="AK40" s="246">
        <f t="shared" si="13"/>
        <v>10000</v>
      </c>
      <c r="AL40" s="120"/>
      <c r="AM40" s="120"/>
      <c r="AN40" s="120"/>
      <c r="AO40" s="121">
        <f t="shared" si="14"/>
        <v>0</v>
      </c>
      <c r="AP40" s="120"/>
      <c r="AQ40" s="120"/>
      <c r="AR40" s="120"/>
      <c r="AS40" s="121">
        <f t="shared" si="15"/>
        <v>0</v>
      </c>
      <c r="AT40" s="120"/>
      <c r="AU40" s="120"/>
      <c r="AV40" s="120"/>
      <c r="AW40" s="122">
        <f t="shared" si="16"/>
        <v>0</v>
      </c>
      <c r="AX40" s="123"/>
      <c r="AY40" s="123"/>
      <c r="AZ40" s="123"/>
      <c r="BA40" s="122">
        <f t="shared" si="17"/>
        <v>0</v>
      </c>
      <c r="BB40" s="86">
        <f t="shared" si="1"/>
        <v>72596.77</v>
      </c>
      <c r="BC40" s="86">
        <f t="shared" si="9"/>
        <v>33284.400000000001</v>
      </c>
      <c r="BD40" s="86">
        <f t="shared" si="10"/>
        <v>0</v>
      </c>
      <c r="BE40" s="87">
        <f t="shared" si="11"/>
        <v>105881.17000000001</v>
      </c>
    </row>
    <row r="41" spans="1:57" ht="22.5" customHeight="1">
      <c r="A41" s="3">
        <v>38</v>
      </c>
      <c r="B41" s="15" t="s">
        <v>293</v>
      </c>
      <c r="C41" s="3" t="s">
        <v>92</v>
      </c>
      <c r="D41" s="18">
        <v>43052</v>
      </c>
      <c r="E41" s="17">
        <v>10000</v>
      </c>
      <c r="F41" s="82">
        <v>9677.42</v>
      </c>
      <c r="G41" s="82">
        <f>8400+37000</f>
        <v>45400</v>
      </c>
      <c r="H41" s="82"/>
      <c r="I41" s="83">
        <f t="shared" si="4"/>
        <v>55077.42</v>
      </c>
      <c r="J41" s="82">
        <v>9285.7142857142899</v>
      </c>
      <c r="K41" s="82"/>
      <c r="L41" s="82"/>
      <c r="M41" s="83">
        <f t="shared" si="5"/>
        <v>9285.7142857142899</v>
      </c>
      <c r="N41" s="82">
        <v>10000</v>
      </c>
      <c r="O41" s="82">
        <v>4980</v>
      </c>
      <c r="P41" s="82"/>
      <c r="Q41" s="83">
        <f t="shared" si="12"/>
        <v>14980</v>
      </c>
      <c r="R41" s="82">
        <v>10000</v>
      </c>
      <c r="S41" s="82">
        <v>20000</v>
      </c>
      <c r="T41" s="82"/>
      <c r="U41" s="83">
        <f t="shared" si="6"/>
        <v>30000</v>
      </c>
      <c r="V41" s="82">
        <v>10000</v>
      </c>
      <c r="W41" s="82"/>
      <c r="X41" s="82"/>
      <c r="Y41" s="83">
        <f t="shared" si="7"/>
        <v>10000</v>
      </c>
      <c r="Z41" s="82">
        <v>10000</v>
      </c>
      <c r="AA41" s="82">
        <f>VLOOKUP(C41,'[1]2018.06中力提成汇总'!$B:$N,13,0)</f>
        <v>11000</v>
      </c>
      <c r="AB41" s="82"/>
      <c r="AC41" s="83">
        <f t="shared" si="8"/>
        <v>21000</v>
      </c>
      <c r="AD41" s="219">
        <f>IFERROR(VLOOKUP(C41,'[2]7月集团工资汇总表'!C:AD,28,0),0)</f>
        <v>7419.35</v>
      </c>
      <c r="AE41" s="219"/>
      <c r="AF41" s="219"/>
      <c r="AG41" s="246">
        <f t="shared" si="0"/>
        <v>7419.35</v>
      </c>
      <c r="AH41" s="219">
        <f>IFERROR(VLOOKUP(C41,知识科技工资!C:M,11,0),0)</f>
        <v>0</v>
      </c>
      <c r="AI41" s="82"/>
      <c r="AJ41" s="82"/>
      <c r="AK41" s="246">
        <f t="shared" si="13"/>
        <v>0</v>
      </c>
      <c r="AL41" s="82"/>
      <c r="AM41" s="82"/>
      <c r="AN41" s="82"/>
      <c r="AO41" s="83">
        <f t="shared" si="14"/>
        <v>0</v>
      </c>
      <c r="AP41" s="82"/>
      <c r="AQ41" s="82"/>
      <c r="AR41" s="82"/>
      <c r="AS41" s="83">
        <f t="shared" si="15"/>
        <v>0</v>
      </c>
      <c r="AT41" s="82"/>
      <c r="AU41" s="82"/>
      <c r="AV41" s="82"/>
      <c r="AW41" s="84">
        <f t="shared" si="16"/>
        <v>0</v>
      </c>
      <c r="AX41" s="85"/>
      <c r="AY41" s="85"/>
      <c r="AZ41" s="85"/>
      <c r="BA41" s="84">
        <f t="shared" si="17"/>
        <v>0</v>
      </c>
      <c r="BB41" s="86">
        <f t="shared" si="1"/>
        <v>66382.484285714294</v>
      </c>
      <c r="BC41" s="86">
        <f t="shared" si="9"/>
        <v>81380</v>
      </c>
      <c r="BD41" s="86">
        <f t="shared" si="10"/>
        <v>0</v>
      </c>
      <c r="BE41" s="87">
        <f t="shared" si="11"/>
        <v>147762.48428571428</v>
      </c>
    </row>
    <row r="42" spans="1:57" s="124" customFormat="1" ht="22.5" customHeight="1">
      <c r="A42" s="3">
        <v>39</v>
      </c>
      <c r="B42" s="117" t="s">
        <v>293</v>
      </c>
      <c r="C42" s="116" t="s">
        <v>43</v>
      </c>
      <c r="D42" s="125">
        <v>43052</v>
      </c>
      <c r="E42" s="119">
        <v>13000</v>
      </c>
      <c r="F42" s="120">
        <v>9677.42</v>
      </c>
      <c r="G42" s="120">
        <f>24750+500</f>
        <v>25250</v>
      </c>
      <c r="H42" s="120"/>
      <c r="I42" s="121">
        <f t="shared" si="4"/>
        <v>34927.42</v>
      </c>
      <c r="J42" s="120">
        <v>9285.7142857142899</v>
      </c>
      <c r="K42" s="120"/>
      <c r="L42" s="120"/>
      <c r="M42" s="121">
        <f t="shared" si="5"/>
        <v>9285.7142857142899</v>
      </c>
      <c r="N42" s="120">
        <v>10000</v>
      </c>
      <c r="O42" s="120">
        <f>19500+1000</f>
        <v>20500</v>
      </c>
      <c r="P42" s="120"/>
      <c r="Q42" s="121">
        <f t="shared" si="12"/>
        <v>30500</v>
      </c>
      <c r="R42" s="120">
        <v>10000</v>
      </c>
      <c r="S42" s="120"/>
      <c r="T42" s="120"/>
      <c r="U42" s="121">
        <f t="shared" si="6"/>
        <v>10000</v>
      </c>
      <c r="V42" s="120">
        <v>10000</v>
      </c>
      <c r="W42" s="120">
        <v>18000</v>
      </c>
      <c r="X42" s="120"/>
      <c r="Y42" s="121">
        <f t="shared" si="7"/>
        <v>28000</v>
      </c>
      <c r="Z42" s="120">
        <v>10000</v>
      </c>
      <c r="AA42" s="120">
        <f>VLOOKUP(C42,'[1]2018.06中力提成汇总'!$B:$N,13,0)</f>
        <v>500</v>
      </c>
      <c r="AB42" s="120"/>
      <c r="AC42" s="121">
        <f t="shared" si="8"/>
        <v>10500</v>
      </c>
      <c r="AD42" s="219">
        <f>IFERROR(VLOOKUP(C42,'[2]7月集团工资汇总表'!C:AD,28,0),0)</f>
        <v>13000</v>
      </c>
      <c r="AE42" s="251"/>
      <c r="AF42" s="251"/>
      <c r="AG42" s="246">
        <f t="shared" si="0"/>
        <v>13000</v>
      </c>
      <c r="AH42" s="219">
        <f>IFERROR(VLOOKUP(C42,知识科技工资!C:M,11,0),0)</f>
        <v>10000</v>
      </c>
      <c r="AI42" s="120"/>
      <c r="AJ42" s="120"/>
      <c r="AK42" s="246">
        <f t="shared" si="13"/>
        <v>10000</v>
      </c>
      <c r="AL42" s="120"/>
      <c r="AM42" s="120"/>
      <c r="AN42" s="120"/>
      <c r="AO42" s="121">
        <f t="shared" si="14"/>
        <v>0</v>
      </c>
      <c r="AP42" s="120"/>
      <c r="AQ42" s="120"/>
      <c r="AR42" s="120"/>
      <c r="AS42" s="121">
        <f t="shared" si="15"/>
        <v>0</v>
      </c>
      <c r="AT42" s="120"/>
      <c r="AU42" s="120"/>
      <c r="AV42" s="120"/>
      <c r="AW42" s="122">
        <f t="shared" si="16"/>
        <v>0</v>
      </c>
      <c r="AX42" s="123"/>
      <c r="AY42" s="123"/>
      <c r="AZ42" s="123"/>
      <c r="BA42" s="122">
        <f t="shared" si="17"/>
        <v>0</v>
      </c>
      <c r="BB42" s="86">
        <f t="shared" si="1"/>
        <v>81963.134285714288</v>
      </c>
      <c r="BC42" s="86">
        <f t="shared" si="9"/>
        <v>64250</v>
      </c>
      <c r="BD42" s="86">
        <f t="shared" si="10"/>
        <v>0</v>
      </c>
      <c r="BE42" s="87">
        <f t="shared" si="11"/>
        <v>146213.1342857143</v>
      </c>
    </row>
    <row r="43" spans="1:57" s="124" customFormat="1" ht="22.5" customHeight="1">
      <c r="A43" s="3">
        <v>40</v>
      </c>
      <c r="B43" s="117" t="s">
        <v>293</v>
      </c>
      <c r="C43" s="116" t="s">
        <v>49</v>
      </c>
      <c r="D43" s="125">
        <v>43080</v>
      </c>
      <c r="E43" s="119">
        <v>8000</v>
      </c>
      <c r="F43" s="120">
        <v>7258.06</v>
      </c>
      <c r="G43" s="120">
        <v>500</v>
      </c>
      <c r="H43" s="120"/>
      <c r="I43" s="121">
        <f t="shared" si="4"/>
        <v>7758.06</v>
      </c>
      <c r="J43" s="120">
        <v>6964.2857142857101</v>
      </c>
      <c r="K43" s="120"/>
      <c r="L43" s="120"/>
      <c r="M43" s="121">
        <f t="shared" si="5"/>
        <v>6964.2857142857101</v>
      </c>
      <c r="N43" s="120">
        <v>7500</v>
      </c>
      <c r="O43" s="120"/>
      <c r="P43" s="120"/>
      <c r="Q43" s="121">
        <f t="shared" si="12"/>
        <v>7500</v>
      </c>
      <c r="R43" s="120">
        <v>7500</v>
      </c>
      <c r="S43" s="120">
        <v>3000</v>
      </c>
      <c r="T43" s="120"/>
      <c r="U43" s="121">
        <f t="shared" si="6"/>
        <v>10500</v>
      </c>
      <c r="V43" s="120">
        <v>7500</v>
      </c>
      <c r="W43" s="120"/>
      <c r="X43" s="120"/>
      <c r="Y43" s="121">
        <f t="shared" si="7"/>
        <v>7500</v>
      </c>
      <c r="Z43" s="120">
        <v>8620</v>
      </c>
      <c r="AA43" s="120">
        <f>VLOOKUP(C43,'[1]2018.06中力提成汇总'!$B:$N,13,0)</f>
        <v>9275</v>
      </c>
      <c r="AB43" s="120"/>
      <c r="AC43" s="121">
        <f t="shared" si="8"/>
        <v>17895</v>
      </c>
      <c r="AD43" s="219">
        <f>IFERROR(VLOOKUP(C43,'[2]7月集团工资汇总表'!C:AD,28,0),0)</f>
        <v>8000</v>
      </c>
      <c r="AE43" s="251">
        <f>1500+500</f>
        <v>2000</v>
      </c>
      <c r="AF43" s="251"/>
      <c r="AG43" s="246">
        <f t="shared" si="0"/>
        <v>10000</v>
      </c>
      <c r="AH43" s="219">
        <v>8000</v>
      </c>
      <c r="AI43" s="120"/>
      <c r="AJ43" s="120"/>
      <c r="AK43" s="246">
        <f t="shared" si="13"/>
        <v>8000</v>
      </c>
      <c r="AL43" s="120"/>
      <c r="AM43" s="120"/>
      <c r="AN43" s="120"/>
      <c r="AO43" s="121">
        <f t="shared" si="14"/>
        <v>0</v>
      </c>
      <c r="AP43" s="120"/>
      <c r="AQ43" s="120"/>
      <c r="AR43" s="120"/>
      <c r="AS43" s="121">
        <f t="shared" si="15"/>
        <v>0</v>
      </c>
      <c r="AT43" s="120"/>
      <c r="AU43" s="120"/>
      <c r="AV43" s="120"/>
      <c r="AW43" s="122">
        <f t="shared" si="16"/>
        <v>0</v>
      </c>
      <c r="AX43" s="123"/>
      <c r="AY43" s="123"/>
      <c r="AZ43" s="123"/>
      <c r="BA43" s="122">
        <f t="shared" si="17"/>
        <v>0</v>
      </c>
      <c r="BB43" s="86">
        <f t="shared" si="1"/>
        <v>61342.345714285708</v>
      </c>
      <c r="BC43" s="86">
        <f t="shared" si="9"/>
        <v>14775</v>
      </c>
      <c r="BD43" s="86">
        <f t="shared" si="10"/>
        <v>0</v>
      </c>
      <c r="BE43" s="87">
        <f t="shared" si="11"/>
        <v>76117.345714285708</v>
      </c>
    </row>
    <row r="44" spans="1:57" ht="22.5" customHeight="1">
      <c r="A44" s="3">
        <v>41</v>
      </c>
      <c r="B44" s="15" t="s">
        <v>293</v>
      </c>
      <c r="C44" s="20" t="s">
        <v>88</v>
      </c>
      <c r="D44" s="18">
        <v>43121</v>
      </c>
      <c r="E44" s="17">
        <v>7500</v>
      </c>
      <c r="F44" s="82">
        <v>2419.35</v>
      </c>
      <c r="G44" s="82"/>
      <c r="H44" s="82"/>
      <c r="I44" s="83">
        <f t="shared" si="4"/>
        <v>2419.35</v>
      </c>
      <c r="J44" s="82">
        <v>6428.5714285714303</v>
      </c>
      <c r="K44" s="82"/>
      <c r="L44" s="82"/>
      <c r="M44" s="83">
        <f t="shared" si="5"/>
        <v>6428.5714285714303</v>
      </c>
      <c r="N44" s="82">
        <v>7500</v>
      </c>
      <c r="O44" s="82"/>
      <c r="P44" s="82"/>
      <c r="Q44" s="83">
        <f t="shared" si="12"/>
        <v>7500</v>
      </c>
      <c r="R44" s="82">
        <v>7500</v>
      </c>
      <c r="S44" s="82">
        <f>500</f>
        <v>500</v>
      </c>
      <c r="T44" s="82"/>
      <c r="U44" s="83">
        <f t="shared" si="6"/>
        <v>8000</v>
      </c>
      <c r="V44" s="82">
        <v>7500</v>
      </c>
      <c r="W44" s="82"/>
      <c r="X44" s="82"/>
      <c r="Y44" s="83">
        <f t="shared" si="7"/>
        <v>7500</v>
      </c>
      <c r="Z44" s="82">
        <v>7500</v>
      </c>
      <c r="AA44" s="82">
        <f>VLOOKUP(C44,'[1]2018.06中力提成汇总'!$B:$N,13,0)</f>
        <v>0</v>
      </c>
      <c r="AB44" s="82"/>
      <c r="AC44" s="83">
        <f t="shared" si="8"/>
        <v>7500</v>
      </c>
      <c r="AD44" s="219">
        <f>IFERROR(VLOOKUP(C44,'[2]7月集团工资汇总表'!C:AD,28,0),0)</f>
        <v>725.81</v>
      </c>
      <c r="AE44" s="219"/>
      <c r="AF44" s="219"/>
      <c r="AG44" s="246">
        <f t="shared" si="0"/>
        <v>725.81</v>
      </c>
      <c r="AH44" s="219">
        <f>IFERROR(VLOOKUP(C44,知识科技工资!C:M,11,0),0)</f>
        <v>0</v>
      </c>
      <c r="AI44" s="82"/>
      <c r="AJ44" s="82"/>
      <c r="AK44" s="246">
        <f t="shared" si="13"/>
        <v>0</v>
      </c>
      <c r="AL44" s="82"/>
      <c r="AM44" s="82"/>
      <c r="AN44" s="82"/>
      <c r="AO44" s="83">
        <f t="shared" si="14"/>
        <v>0</v>
      </c>
      <c r="AP44" s="82"/>
      <c r="AQ44" s="82"/>
      <c r="AR44" s="82"/>
      <c r="AS44" s="83">
        <f t="shared" si="15"/>
        <v>0</v>
      </c>
      <c r="AT44" s="82"/>
      <c r="AU44" s="82"/>
      <c r="AV44" s="82"/>
      <c r="AW44" s="84">
        <f t="shared" si="16"/>
        <v>0</v>
      </c>
      <c r="AX44" s="85"/>
      <c r="AY44" s="85"/>
      <c r="AZ44" s="85"/>
      <c r="BA44" s="84">
        <f t="shared" si="17"/>
        <v>0</v>
      </c>
      <c r="BB44" s="86">
        <f t="shared" si="1"/>
        <v>39573.731428571424</v>
      </c>
      <c r="BC44" s="86">
        <f t="shared" si="9"/>
        <v>500</v>
      </c>
      <c r="BD44" s="86">
        <f t="shared" si="10"/>
        <v>0</v>
      </c>
      <c r="BE44" s="87">
        <f t="shared" si="11"/>
        <v>40073.731428571424</v>
      </c>
    </row>
    <row r="45" spans="1:57" ht="22.5" customHeight="1">
      <c r="A45" s="3">
        <v>42</v>
      </c>
      <c r="B45" s="15" t="s">
        <v>293</v>
      </c>
      <c r="C45" s="3" t="s">
        <v>85</v>
      </c>
      <c r="D45" s="18">
        <v>42542</v>
      </c>
      <c r="E45" s="17">
        <v>20000</v>
      </c>
      <c r="F45" s="82"/>
      <c r="G45" s="82"/>
      <c r="H45" s="82"/>
      <c r="I45" s="83"/>
      <c r="J45" s="82"/>
      <c r="K45" s="82"/>
      <c r="L45" s="82"/>
      <c r="M45" s="83"/>
      <c r="N45" s="82"/>
      <c r="O45" s="82"/>
      <c r="P45" s="82"/>
      <c r="Q45" s="83"/>
      <c r="R45" s="82"/>
      <c r="S45" s="82"/>
      <c r="T45" s="82"/>
      <c r="U45" s="83"/>
      <c r="V45" s="82"/>
      <c r="W45" s="82"/>
      <c r="X45" s="82"/>
      <c r="Y45" s="83"/>
      <c r="Z45" s="82">
        <v>6666.67</v>
      </c>
      <c r="AA45" s="82">
        <f>VLOOKUP(C45,'[1]2018.06中力提成汇总'!$B:$N,13,0)</f>
        <v>0</v>
      </c>
      <c r="AB45" s="82"/>
      <c r="AC45" s="83">
        <f t="shared" si="8"/>
        <v>6666.67</v>
      </c>
      <c r="AD45" s="219">
        <f>IFERROR(VLOOKUP(C45,'[2]7月集团工资汇总表'!C:AD,28,0),0)</f>
        <v>20000</v>
      </c>
      <c r="AE45" s="219"/>
      <c r="AF45" s="219"/>
      <c r="AG45" s="246">
        <f t="shared" si="0"/>
        <v>20000</v>
      </c>
      <c r="AH45" s="219">
        <f>IFERROR(VLOOKUP(C45,知识科技工资!C:M,11,0),0)</f>
        <v>10000</v>
      </c>
      <c r="AI45" s="82"/>
      <c r="AJ45" s="82"/>
      <c r="AK45" s="246">
        <f t="shared" si="13"/>
        <v>10000</v>
      </c>
      <c r="AL45" s="82"/>
      <c r="AM45" s="82"/>
      <c r="AN45" s="82"/>
      <c r="AO45" s="83"/>
      <c r="AP45" s="82"/>
      <c r="AQ45" s="82"/>
      <c r="AR45" s="82"/>
      <c r="AS45" s="83"/>
      <c r="AT45" s="82"/>
      <c r="AU45" s="82"/>
      <c r="AV45" s="82"/>
      <c r="AW45" s="84"/>
      <c r="AX45" s="85"/>
      <c r="AY45" s="85"/>
      <c r="AZ45" s="85"/>
      <c r="BA45" s="84"/>
      <c r="BB45" s="86">
        <f t="shared" si="1"/>
        <v>36666.67</v>
      </c>
      <c r="BC45" s="86">
        <f t="shared" si="9"/>
        <v>0</v>
      </c>
      <c r="BD45" s="86">
        <f t="shared" si="10"/>
        <v>0</v>
      </c>
      <c r="BE45" s="87">
        <f t="shared" si="11"/>
        <v>36666.67</v>
      </c>
    </row>
    <row r="46" spans="1:57" ht="22.5" customHeight="1">
      <c r="A46" s="3">
        <v>43</v>
      </c>
      <c r="B46" s="15" t="s">
        <v>293</v>
      </c>
      <c r="C46" s="33" t="s">
        <v>851</v>
      </c>
      <c r="D46" s="22">
        <v>42709</v>
      </c>
      <c r="E46" s="17">
        <v>6000</v>
      </c>
      <c r="F46" s="82">
        <v>5411.29</v>
      </c>
      <c r="G46" s="82">
        <f>4368</f>
        <v>4368</v>
      </c>
      <c r="H46" s="82"/>
      <c r="I46" s="83">
        <f>SUM(F46:H46)</f>
        <v>9779.2900000000009</v>
      </c>
      <c r="J46" s="82">
        <v>5500</v>
      </c>
      <c r="K46" s="82">
        <f>900+1200+3380</f>
        <v>5480</v>
      </c>
      <c r="L46" s="82"/>
      <c r="M46" s="83">
        <f>SUM(J46:L46)</f>
        <v>10980</v>
      </c>
      <c r="N46" s="82">
        <v>6000</v>
      </c>
      <c r="O46" s="82">
        <f>400+450</f>
        <v>850</v>
      </c>
      <c r="P46" s="82"/>
      <c r="Q46" s="83">
        <f>SUM(N46:P46)</f>
        <v>6850</v>
      </c>
      <c r="R46" s="82">
        <v>5750</v>
      </c>
      <c r="S46" s="82">
        <f>4824</f>
        <v>4824</v>
      </c>
      <c r="T46" s="82"/>
      <c r="U46" s="83">
        <f>SUM(R46:T46)</f>
        <v>10574</v>
      </c>
      <c r="V46" s="82">
        <v>6000</v>
      </c>
      <c r="W46" s="82"/>
      <c r="X46" s="82"/>
      <c r="Y46" s="83">
        <f>SUM(V46:X46)</f>
        <v>6000</v>
      </c>
      <c r="Z46" s="82">
        <v>6000</v>
      </c>
      <c r="AA46" s="82">
        <f>VLOOKUP(C46,'[1]2018.06中力提成汇总'!$B:$N,13,0)</f>
        <v>0</v>
      </c>
      <c r="AB46" s="82"/>
      <c r="AC46" s="83">
        <f>SUM(Z46:AB46)</f>
        <v>6000</v>
      </c>
      <c r="AD46" s="219">
        <f>IFERROR(VLOOKUP(C46,'[2]7月集团工资汇总表'!C:AD,28,0),0)</f>
        <v>6000</v>
      </c>
      <c r="AE46" s="219"/>
      <c r="AF46" s="219"/>
      <c r="AG46" s="246">
        <f t="shared" si="0"/>
        <v>6000</v>
      </c>
      <c r="AH46" s="219">
        <f>IFERROR(VLOOKUP(C46,知识科技工资!C:M,11,0),0)</f>
        <v>10000</v>
      </c>
      <c r="AI46" s="82"/>
      <c r="AJ46" s="82"/>
      <c r="AK46" s="246">
        <f t="shared" si="13"/>
        <v>10000</v>
      </c>
      <c r="AL46" s="82"/>
      <c r="AM46" s="82"/>
      <c r="AN46" s="82"/>
      <c r="AO46" s="83">
        <f>SUM(AL46:AN46)</f>
        <v>0</v>
      </c>
      <c r="AP46" s="82"/>
      <c r="AQ46" s="82"/>
      <c r="AR46" s="82"/>
      <c r="AS46" s="83">
        <f>SUM(AP46:AR46)</f>
        <v>0</v>
      </c>
      <c r="AT46" s="82"/>
      <c r="AU46" s="82"/>
      <c r="AV46" s="82"/>
      <c r="AW46" s="84">
        <f>SUM(AT46:AV46)</f>
        <v>0</v>
      </c>
      <c r="AX46" s="85"/>
      <c r="AY46" s="85"/>
      <c r="AZ46" s="85"/>
      <c r="BA46" s="84">
        <f>SUM(AX46:AZ46)</f>
        <v>0</v>
      </c>
      <c r="BB46" s="86">
        <f t="shared" si="1"/>
        <v>50661.29</v>
      </c>
      <c r="BC46" s="86">
        <f t="shared" si="9"/>
        <v>15522</v>
      </c>
      <c r="BD46" s="86">
        <f t="shared" si="10"/>
        <v>0</v>
      </c>
      <c r="BE46" s="87">
        <f t="shared" si="11"/>
        <v>66183.290000000008</v>
      </c>
    </row>
    <row r="47" spans="1:57" ht="22.5" customHeight="1">
      <c r="A47" s="3">
        <v>44</v>
      </c>
      <c r="B47" s="15" t="s">
        <v>293</v>
      </c>
      <c r="C47" s="217" t="s">
        <v>1008</v>
      </c>
      <c r="D47" s="218">
        <v>43334</v>
      </c>
      <c r="E47" s="204">
        <v>7500</v>
      </c>
      <c r="F47" s="205"/>
      <c r="G47" s="205"/>
      <c r="H47" s="205"/>
      <c r="I47" s="206"/>
      <c r="J47" s="205"/>
      <c r="K47" s="205"/>
      <c r="L47" s="205"/>
      <c r="M47" s="206"/>
      <c r="N47" s="205"/>
      <c r="O47" s="205"/>
      <c r="P47" s="205"/>
      <c r="Q47" s="206"/>
      <c r="R47" s="205"/>
      <c r="S47" s="205"/>
      <c r="T47" s="205"/>
      <c r="U47" s="206"/>
      <c r="V47" s="205"/>
      <c r="W47" s="205"/>
      <c r="X47" s="205"/>
      <c r="Y47" s="206"/>
      <c r="Z47" s="205"/>
      <c r="AA47" s="205"/>
      <c r="AB47" s="205"/>
      <c r="AC47" s="206"/>
      <c r="AD47" s="219">
        <f>IFERROR(VLOOKUP(C47,'[2]7月集团工资汇总表'!C:AD,28,0),0)</f>
        <v>0</v>
      </c>
      <c r="AE47" s="221"/>
      <c r="AF47" s="221"/>
      <c r="AG47" s="250"/>
      <c r="AH47" s="219">
        <f>IFERROR(VLOOKUP(C47,知识科技工资!C:M,11,0),0)</f>
        <v>3225.81</v>
      </c>
      <c r="AI47" s="205"/>
      <c r="AJ47" s="205"/>
      <c r="AK47" s="246">
        <f t="shared" si="13"/>
        <v>3225.81</v>
      </c>
      <c r="AL47" s="205"/>
      <c r="AM47" s="205"/>
      <c r="AN47" s="205"/>
      <c r="AO47" s="206"/>
      <c r="AP47" s="205"/>
      <c r="AQ47" s="205"/>
      <c r="AR47" s="205"/>
      <c r="AS47" s="206"/>
      <c r="AT47" s="205"/>
      <c r="AU47" s="205"/>
      <c r="AV47" s="205"/>
      <c r="AW47" s="207"/>
      <c r="AX47" s="208"/>
      <c r="AY47" s="208"/>
      <c r="AZ47" s="208"/>
      <c r="BA47" s="207"/>
      <c r="BB47" s="86">
        <f t="shared" si="1"/>
        <v>3225.81</v>
      </c>
      <c r="BC47" s="209"/>
      <c r="BD47" s="209"/>
      <c r="BE47" s="210"/>
    </row>
    <row r="48" spans="1:57" ht="22.5" customHeight="1">
      <c r="A48" s="3">
        <v>45</v>
      </c>
      <c r="B48" s="15" t="s">
        <v>293</v>
      </c>
      <c r="C48" s="217" t="s">
        <v>1009</v>
      </c>
      <c r="D48" s="218">
        <v>43339</v>
      </c>
      <c r="E48" s="204">
        <v>10000</v>
      </c>
      <c r="F48" s="205"/>
      <c r="G48" s="205"/>
      <c r="H48" s="205"/>
      <c r="I48" s="206"/>
      <c r="J48" s="205"/>
      <c r="K48" s="205"/>
      <c r="L48" s="205"/>
      <c r="M48" s="206"/>
      <c r="N48" s="205"/>
      <c r="O48" s="205"/>
      <c r="P48" s="205"/>
      <c r="Q48" s="206"/>
      <c r="R48" s="205"/>
      <c r="S48" s="205"/>
      <c r="T48" s="205"/>
      <c r="U48" s="206"/>
      <c r="V48" s="205"/>
      <c r="W48" s="205"/>
      <c r="X48" s="205"/>
      <c r="Y48" s="206"/>
      <c r="Z48" s="205"/>
      <c r="AA48" s="205"/>
      <c r="AB48" s="205"/>
      <c r="AC48" s="206"/>
      <c r="AD48" s="219">
        <f>IFERROR(VLOOKUP(C48,'[2]7月集团工资汇总表'!C:AD,28,0),0)</f>
        <v>0</v>
      </c>
      <c r="AE48" s="221"/>
      <c r="AF48" s="221"/>
      <c r="AG48" s="250"/>
      <c r="AH48" s="219">
        <f>IFERROR(VLOOKUP(C48,知识科技工资!C:M,11,0),0)</f>
        <v>1290.32</v>
      </c>
      <c r="AI48" s="205"/>
      <c r="AJ48" s="205"/>
      <c r="AK48" s="246">
        <f t="shared" si="13"/>
        <v>1290.32</v>
      </c>
      <c r="AL48" s="205"/>
      <c r="AM48" s="205"/>
      <c r="AN48" s="205"/>
      <c r="AO48" s="206"/>
      <c r="AP48" s="205"/>
      <c r="AQ48" s="205"/>
      <c r="AR48" s="205"/>
      <c r="AS48" s="206"/>
      <c r="AT48" s="205"/>
      <c r="AU48" s="205"/>
      <c r="AV48" s="205"/>
      <c r="AW48" s="207"/>
      <c r="AX48" s="208"/>
      <c r="AY48" s="208"/>
      <c r="AZ48" s="208"/>
      <c r="BA48" s="207"/>
      <c r="BB48" s="86">
        <f t="shared" si="1"/>
        <v>1290.32</v>
      </c>
      <c r="BC48" s="209"/>
      <c r="BD48" s="209"/>
      <c r="BE48" s="210"/>
    </row>
    <row r="49" spans="1:57" ht="22.5" customHeight="1">
      <c r="A49" s="3">
        <v>46</v>
      </c>
      <c r="B49" s="15" t="s">
        <v>293</v>
      </c>
      <c r="C49" s="20" t="s">
        <v>854</v>
      </c>
      <c r="D49" s="18"/>
      <c r="E49" s="17"/>
      <c r="F49" s="82"/>
      <c r="G49" s="82"/>
      <c r="H49" s="82"/>
      <c r="I49" s="83"/>
      <c r="J49" s="82"/>
      <c r="K49" s="82"/>
      <c r="L49" s="82"/>
      <c r="M49" s="83"/>
      <c r="N49" s="82"/>
      <c r="O49" s="82"/>
      <c r="P49" s="82"/>
      <c r="Q49" s="83"/>
      <c r="R49" s="82"/>
      <c r="S49" s="82"/>
      <c r="T49" s="82"/>
      <c r="U49" s="83"/>
      <c r="V49" s="82"/>
      <c r="W49" s="82"/>
      <c r="X49" s="82"/>
      <c r="Y49" s="83"/>
      <c r="Z49" s="82"/>
      <c r="AA49" s="82">
        <v>4500</v>
      </c>
      <c r="AB49" s="82"/>
      <c r="AC49" s="83"/>
      <c r="AD49" s="219">
        <f>IFERROR(VLOOKUP(C49,'[2]7月集团工资汇总表'!C:AD,28,0),0)</f>
        <v>0</v>
      </c>
      <c r="AE49" s="219"/>
      <c r="AF49" s="219"/>
      <c r="AG49" s="246">
        <f t="shared" si="0"/>
        <v>0</v>
      </c>
      <c r="AH49" s="219">
        <f>IFERROR(VLOOKUP(C49,知识科技工资!C:M,11,0),0)</f>
        <v>0</v>
      </c>
      <c r="AI49" s="82"/>
      <c r="AJ49" s="82"/>
      <c r="AK49" s="246">
        <f t="shared" si="13"/>
        <v>0</v>
      </c>
      <c r="AL49" s="82"/>
      <c r="AM49" s="82"/>
      <c r="AN49" s="82"/>
      <c r="AO49" s="83"/>
      <c r="AP49" s="82"/>
      <c r="AQ49" s="82"/>
      <c r="AR49" s="82"/>
      <c r="AS49" s="83"/>
      <c r="AT49" s="82"/>
      <c r="AU49" s="82"/>
      <c r="AV49" s="82"/>
      <c r="AW49" s="84"/>
      <c r="AX49" s="85"/>
      <c r="AY49" s="85"/>
      <c r="AZ49" s="85"/>
      <c r="BA49" s="84"/>
      <c r="BB49" s="86">
        <f t="shared" si="1"/>
        <v>0</v>
      </c>
      <c r="BC49" s="86">
        <f t="shared" si="9"/>
        <v>4500</v>
      </c>
      <c r="BD49" s="86">
        <f t="shared" si="10"/>
        <v>0</v>
      </c>
      <c r="BE49" s="87">
        <f t="shared" si="11"/>
        <v>4500</v>
      </c>
    </row>
    <row r="50" spans="1:57" ht="22.5" customHeight="1">
      <c r="A50" s="3">
        <v>47</v>
      </c>
      <c r="B50" s="15" t="s">
        <v>293</v>
      </c>
      <c r="C50" s="3" t="s">
        <v>34</v>
      </c>
      <c r="D50" s="18">
        <v>43306</v>
      </c>
      <c r="E50" s="17">
        <v>12000</v>
      </c>
      <c r="F50" s="82"/>
      <c r="G50" s="82"/>
      <c r="H50" s="82"/>
      <c r="I50" s="83"/>
      <c r="J50" s="82"/>
      <c r="K50" s="82"/>
      <c r="L50" s="82"/>
      <c r="M50" s="83"/>
      <c r="N50" s="82"/>
      <c r="O50" s="82"/>
      <c r="P50" s="82"/>
      <c r="Q50" s="83"/>
      <c r="R50" s="82"/>
      <c r="S50" s="82"/>
      <c r="T50" s="82"/>
      <c r="U50" s="83"/>
      <c r="V50" s="82"/>
      <c r="W50" s="82"/>
      <c r="X50" s="82"/>
      <c r="Y50" s="83"/>
      <c r="Z50" s="82"/>
      <c r="AA50" s="82">
        <v>0</v>
      </c>
      <c r="AB50" s="82"/>
      <c r="AC50" s="83"/>
      <c r="AD50" s="219">
        <f>IFERROR(VLOOKUP(C50,'[2]7月集团工资汇总表'!C:AD,28,0),0)</f>
        <v>2709.68</v>
      </c>
      <c r="AE50" s="219"/>
      <c r="AF50" s="219"/>
      <c r="AG50" s="246">
        <f t="shared" si="0"/>
        <v>2709.68</v>
      </c>
      <c r="AH50" s="219">
        <f>IFERROR(VLOOKUP(C50,知识科技工资!C:M,11,0),0)</f>
        <v>10000</v>
      </c>
      <c r="AI50" s="82"/>
      <c r="AJ50" s="82"/>
      <c r="AK50" s="246">
        <f t="shared" si="13"/>
        <v>10000</v>
      </c>
      <c r="AL50" s="82"/>
      <c r="AM50" s="82"/>
      <c r="AN50" s="82"/>
      <c r="AO50" s="83"/>
      <c r="AP50" s="82"/>
      <c r="AQ50" s="82"/>
      <c r="AR50" s="82"/>
      <c r="AS50" s="83"/>
      <c r="AT50" s="82"/>
      <c r="AU50" s="82"/>
      <c r="AV50" s="82"/>
      <c r="AW50" s="84"/>
      <c r="AX50" s="85"/>
      <c r="AY50" s="85"/>
      <c r="AZ50" s="85"/>
      <c r="BA50" s="84"/>
      <c r="BB50" s="86">
        <f t="shared" si="1"/>
        <v>12709.68</v>
      </c>
      <c r="BC50" s="86">
        <f t="shared" si="9"/>
        <v>0</v>
      </c>
      <c r="BD50" s="86">
        <f t="shared" si="10"/>
        <v>0</v>
      </c>
      <c r="BE50" s="87">
        <f t="shared" si="11"/>
        <v>12709.68</v>
      </c>
    </row>
    <row r="51" spans="1:57" ht="22.5" customHeight="1">
      <c r="A51" s="3">
        <v>48</v>
      </c>
      <c r="B51" s="15" t="s">
        <v>293</v>
      </c>
      <c r="C51" s="3" t="s">
        <v>26</v>
      </c>
      <c r="D51" s="18">
        <v>43297</v>
      </c>
      <c r="E51" s="17">
        <v>7500</v>
      </c>
      <c r="F51" s="82"/>
      <c r="G51" s="82"/>
      <c r="H51" s="82"/>
      <c r="I51" s="83"/>
      <c r="J51" s="82"/>
      <c r="K51" s="82"/>
      <c r="L51" s="82"/>
      <c r="M51" s="83"/>
      <c r="N51" s="82"/>
      <c r="O51" s="82"/>
      <c r="P51" s="82"/>
      <c r="Q51" s="83"/>
      <c r="R51" s="82"/>
      <c r="S51" s="82"/>
      <c r="T51" s="82"/>
      <c r="U51" s="83"/>
      <c r="V51" s="82"/>
      <c r="W51" s="82"/>
      <c r="X51" s="82"/>
      <c r="Y51" s="83"/>
      <c r="Z51" s="82"/>
      <c r="AA51" s="82">
        <v>0</v>
      </c>
      <c r="AB51" s="82"/>
      <c r="AC51" s="83"/>
      <c r="AD51" s="219">
        <f>IFERROR(VLOOKUP(C51,'[2]7月集团工资汇总表'!C:AD,28,0),0)</f>
        <v>3870.97</v>
      </c>
      <c r="AE51" s="219"/>
      <c r="AF51" s="219"/>
      <c r="AG51" s="246">
        <f t="shared" si="0"/>
        <v>3870.97</v>
      </c>
      <c r="AH51" s="219">
        <f>IFERROR(VLOOKUP(C51,知识科技工资!C:M,11,0),0)</f>
        <v>10000</v>
      </c>
      <c r="AI51" s="82"/>
      <c r="AJ51" s="82"/>
      <c r="AK51" s="246">
        <f t="shared" si="13"/>
        <v>10000</v>
      </c>
      <c r="AL51" s="82"/>
      <c r="AM51" s="82"/>
      <c r="AN51" s="82"/>
      <c r="AO51" s="83"/>
      <c r="AP51" s="82"/>
      <c r="AQ51" s="82"/>
      <c r="AR51" s="82"/>
      <c r="AS51" s="83"/>
      <c r="AT51" s="82"/>
      <c r="AU51" s="82"/>
      <c r="AV51" s="82"/>
      <c r="AW51" s="84"/>
      <c r="AX51" s="85"/>
      <c r="AY51" s="85"/>
      <c r="AZ51" s="85"/>
      <c r="BA51" s="84"/>
      <c r="BB51" s="86">
        <f t="shared" si="1"/>
        <v>13870.97</v>
      </c>
      <c r="BC51" s="86">
        <f t="shared" si="9"/>
        <v>0</v>
      </c>
      <c r="BD51" s="86">
        <f t="shared" si="10"/>
        <v>0</v>
      </c>
      <c r="BE51" s="87">
        <f t="shared" si="11"/>
        <v>13870.97</v>
      </c>
    </row>
    <row r="52" spans="1:57" ht="22.5" customHeight="1">
      <c r="A52" s="3">
        <v>49</v>
      </c>
      <c r="B52" s="21" t="s">
        <v>25</v>
      </c>
      <c r="C52" s="3" t="s">
        <v>228</v>
      </c>
      <c r="D52" s="22">
        <v>42209</v>
      </c>
      <c r="E52" s="17">
        <v>18000</v>
      </c>
      <c r="F52" s="82">
        <v>18000</v>
      </c>
      <c r="G52" s="82">
        <v>9520</v>
      </c>
      <c r="H52" s="82"/>
      <c r="I52" s="83">
        <f t="shared" si="4"/>
        <v>27520</v>
      </c>
      <c r="J52" s="82">
        <v>18000</v>
      </c>
      <c r="K52" s="82">
        <f>9450</f>
        <v>9450</v>
      </c>
      <c r="L52" s="82"/>
      <c r="M52" s="83">
        <f t="shared" si="5"/>
        <v>27450</v>
      </c>
      <c r="N52" s="82">
        <v>18000</v>
      </c>
      <c r="O52" s="82"/>
      <c r="P52" s="82"/>
      <c r="Q52" s="83">
        <f t="shared" si="12"/>
        <v>18000</v>
      </c>
      <c r="R52" s="82">
        <v>18000</v>
      </c>
      <c r="S52" s="82">
        <f>5544</f>
        <v>5544</v>
      </c>
      <c r="T52" s="82"/>
      <c r="U52" s="83">
        <f t="shared" si="6"/>
        <v>23544</v>
      </c>
      <c r="V52" s="82">
        <v>18000</v>
      </c>
      <c r="W52" s="82"/>
      <c r="X52" s="82"/>
      <c r="Y52" s="83">
        <f t="shared" si="7"/>
        <v>18000</v>
      </c>
      <c r="Z52" s="82">
        <v>18029</v>
      </c>
      <c r="AA52" s="82">
        <f>VLOOKUP(C52,'[1]2018.06中力提成汇总'!$B:$N,13,0)</f>
        <v>0</v>
      </c>
      <c r="AB52" s="82"/>
      <c r="AC52" s="83">
        <f t="shared" si="8"/>
        <v>18029</v>
      </c>
      <c r="AD52" s="219">
        <f>IFERROR(VLOOKUP(C52,'[2]7月集团工资汇总表'!C:AD,28,0),0)</f>
        <v>18000</v>
      </c>
      <c r="AE52" s="219"/>
      <c r="AF52" s="219"/>
      <c r="AG52" s="246">
        <f t="shared" si="0"/>
        <v>18000</v>
      </c>
      <c r="AH52" s="219">
        <f>IFERROR(VLOOKUP(C52,知识科技工资!C:M,11,0),0)+6000</f>
        <v>16000</v>
      </c>
      <c r="AI52" s="82"/>
      <c r="AJ52" s="82"/>
      <c r="AK52" s="246">
        <f t="shared" si="13"/>
        <v>16000</v>
      </c>
      <c r="AL52" s="82"/>
      <c r="AM52" s="82"/>
      <c r="AN52" s="82"/>
      <c r="AO52" s="83">
        <f t="shared" si="14"/>
        <v>0</v>
      </c>
      <c r="AP52" s="82"/>
      <c r="AQ52" s="82"/>
      <c r="AR52" s="82"/>
      <c r="AS52" s="83">
        <f t="shared" si="15"/>
        <v>0</v>
      </c>
      <c r="AT52" s="82"/>
      <c r="AU52" s="82"/>
      <c r="AV52" s="82"/>
      <c r="AW52" s="84">
        <f t="shared" si="16"/>
        <v>0</v>
      </c>
      <c r="AX52" s="85"/>
      <c r="AY52" s="85"/>
      <c r="AZ52" s="85"/>
      <c r="BA52" s="84">
        <f t="shared" si="17"/>
        <v>0</v>
      </c>
      <c r="BB52" s="86">
        <f t="shared" si="1"/>
        <v>142029</v>
      </c>
      <c r="BC52" s="86">
        <f t="shared" si="9"/>
        <v>24514</v>
      </c>
      <c r="BD52" s="86">
        <f t="shared" si="10"/>
        <v>0</v>
      </c>
      <c r="BE52" s="87">
        <f t="shared" si="11"/>
        <v>166543</v>
      </c>
    </row>
    <row r="53" spans="1:57" ht="22.5" customHeight="1">
      <c r="A53" s="3">
        <v>50</v>
      </c>
      <c r="B53" s="21" t="s">
        <v>25</v>
      </c>
      <c r="C53" s="23" t="s">
        <v>296</v>
      </c>
      <c r="D53" s="22">
        <v>42202</v>
      </c>
      <c r="E53" s="17">
        <v>0</v>
      </c>
      <c r="F53" s="82">
        <v>7500</v>
      </c>
      <c r="G53" s="82">
        <v>2856</v>
      </c>
      <c r="H53" s="82"/>
      <c r="I53" s="83">
        <f t="shared" si="4"/>
        <v>10356</v>
      </c>
      <c r="J53" s="82">
        <v>7500</v>
      </c>
      <c r="K53" s="82">
        <f>4050</f>
        <v>4050</v>
      </c>
      <c r="L53" s="82"/>
      <c r="M53" s="83">
        <f t="shared" si="5"/>
        <v>11550</v>
      </c>
      <c r="N53" s="82">
        <v>7258.0645161290304</v>
      </c>
      <c r="O53" s="82"/>
      <c r="P53" s="82"/>
      <c r="Q53" s="83">
        <f t="shared" si="12"/>
        <v>7258.0645161290304</v>
      </c>
      <c r="R53" s="82"/>
      <c r="S53" s="82"/>
      <c r="T53" s="82"/>
      <c r="U53" s="83">
        <f t="shared" si="6"/>
        <v>0</v>
      </c>
      <c r="V53" s="82"/>
      <c r="W53" s="82"/>
      <c r="X53" s="82"/>
      <c r="Y53" s="83">
        <f t="shared" si="7"/>
        <v>0</v>
      </c>
      <c r="Z53" s="82"/>
      <c r="AA53" s="82">
        <f>VLOOKUP(C53,'[1]2018.06中力提成汇总'!$B:$N,13,0)</f>
        <v>0</v>
      </c>
      <c r="AB53" s="82"/>
      <c r="AC53" s="83">
        <f t="shared" si="8"/>
        <v>0</v>
      </c>
      <c r="AD53" s="219">
        <f>IFERROR(VLOOKUP(C53,'[2]7月集团工资汇总表'!C:AD,28,0),0)</f>
        <v>0</v>
      </c>
      <c r="AE53" s="219"/>
      <c r="AF53" s="219"/>
      <c r="AG53" s="246">
        <f t="shared" si="0"/>
        <v>0</v>
      </c>
      <c r="AH53" s="219">
        <f>IFERROR(VLOOKUP(C53,知识科技工资!C:M,11,0),0)</f>
        <v>0</v>
      </c>
      <c r="AI53" s="82"/>
      <c r="AJ53" s="82"/>
      <c r="AK53" s="246">
        <f t="shared" si="13"/>
        <v>0</v>
      </c>
      <c r="AL53" s="82"/>
      <c r="AM53" s="82"/>
      <c r="AN53" s="82"/>
      <c r="AO53" s="83">
        <f t="shared" si="14"/>
        <v>0</v>
      </c>
      <c r="AP53" s="82"/>
      <c r="AQ53" s="82"/>
      <c r="AR53" s="82"/>
      <c r="AS53" s="83">
        <f t="shared" si="15"/>
        <v>0</v>
      </c>
      <c r="AT53" s="82"/>
      <c r="AU53" s="82"/>
      <c r="AV53" s="82"/>
      <c r="AW53" s="84">
        <f t="shared" si="16"/>
        <v>0</v>
      </c>
      <c r="AX53" s="85"/>
      <c r="AY53" s="85"/>
      <c r="AZ53" s="85"/>
      <c r="BA53" s="84">
        <f t="shared" si="17"/>
        <v>0</v>
      </c>
      <c r="BB53" s="86">
        <f t="shared" si="1"/>
        <v>22258.06451612903</v>
      </c>
      <c r="BC53" s="86">
        <f t="shared" si="9"/>
        <v>6906</v>
      </c>
      <c r="BD53" s="86">
        <f t="shared" si="10"/>
        <v>0</v>
      </c>
      <c r="BE53" s="87">
        <f t="shared" si="11"/>
        <v>29164.06451612903</v>
      </c>
    </row>
    <row r="54" spans="1:57" ht="22.5" customHeight="1">
      <c r="A54" s="3">
        <v>51</v>
      </c>
      <c r="B54" s="21" t="s">
        <v>25</v>
      </c>
      <c r="C54" s="24" t="s">
        <v>297</v>
      </c>
      <c r="D54" s="22">
        <v>42527</v>
      </c>
      <c r="E54" s="17">
        <v>0</v>
      </c>
      <c r="F54" s="82">
        <f>4500</f>
        <v>4500</v>
      </c>
      <c r="G54" s="82">
        <v>2856</v>
      </c>
      <c r="H54" s="82"/>
      <c r="I54" s="83">
        <f t="shared" si="4"/>
        <v>7356</v>
      </c>
      <c r="J54" s="82">
        <v>4178.5714285714303</v>
      </c>
      <c r="K54" s="82"/>
      <c r="L54" s="82"/>
      <c r="M54" s="83">
        <f t="shared" si="5"/>
        <v>4178.5714285714303</v>
      </c>
      <c r="N54" s="82">
        <v>4209.6774193548399</v>
      </c>
      <c r="O54" s="82"/>
      <c r="P54" s="82"/>
      <c r="Q54" s="83">
        <f t="shared" si="12"/>
        <v>4209.6774193548399</v>
      </c>
      <c r="R54" s="82"/>
      <c r="S54" s="82"/>
      <c r="T54" s="82"/>
      <c r="U54" s="83">
        <f t="shared" si="6"/>
        <v>0</v>
      </c>
      <c r="V54" s="82"/>
      <c r="W54" s="82"/>
      <c r="X54" s="82"/>
      <c r="Y54" s="83">
        <f t="shared" si="7"/>
        <v>0</v>
      </c>
      <c r="Z54" s="82"/>
      <c r="AA54" s="82">
        <f>VLOOKUP(C54,'[1]2018.06中力提成汇总'!$B:$N,13,0)</f>
        <v>0</v>
      </c>
      <c r="AB54" s="82"/>
      <c r="AC54" s="83">
        <f t="shared" si="8"/>
        <v>0</v>
      </c>
      <c r="AD54" s="219">
        <f>IFERROR(VLOOKUP(C54,'[2]7月集团工资汇总表'!C:AD,28,0),0)</f>
        <v>0</v>
      </c>
      <c r="AE54" s="219"/>
      <c r="AF54" s="219"/>
      <c r="AG54" s="246">
        <f t="shared" si="0"/>
        <v>0</v>
      </c>
      <c r="AH54" s="219">
        <f>IFERROR(VLOOKUP(C54,知识科技工资!C:M,11,0),0)</f>
        <v>0</v>
      </c>
      <c r="AI54" s="82"/>
      <c r="AJ54" s="82"/>
      <c r="AK54" s="246">
        <f t="shared" si="13"/>
        <v>0</v>
      </c>
      <c r="AL54" s="82"/>
      <c r="AM54" s="82"/>
      <c r="AN54" s="82"/>
      <c r="AO54" s="83">
        <f t="shared" si="14"/>
        <v>0</v>
      </c>
      <c r="AP54" s="82"/>
      <c r="AQ54" s="82"/>
      <c r="AR54" s="82"/>
      <c r="AS54" s="83">
        <f t="shared" si="15"/>
        <v>0</v>
      </c>
      <c r="AT54" s="82"/>
      <c r="AU54" s="82"/>
      <c r="AV54" s="82"/>
      <c r="AW54" s="84">
        <f t="shared" si="16"/>
        <v>0</v>
      </c>
      <c r="AX54" s="85"/>
      <c r="AY54" s="85"/>
      <c r="AZ54" s="85"/>
      <c r="BA54" s="84">
        <f t="shared" si="17"/>
        <v>0</v>
      </c>
      <c r="BB54" s="86">
        <f t="shared" si="1"/>
        <v>12888.248847926272</v>
      </c>
      <c r="BC54" s="86">
        <f t="shared" si="9"/>
        <v>2856</v>
      </c>
      <c r="BD54" s="86">
        <f t="shared" si="10"/>
        <v>0</v>
      </c>
      <c r="BE54" s="87">
        <f t="shared" si="11"/>
        <v>15744.248847926272</v>
      </c>
    </row>
    <row r="55" spans="1:57" ht="22.5" customHeight="1">
      <c r="A55" s="3">
        <v>52</v>
      </c>
      <c r="B55" s="21" t="s">
        <v>25</v>
      </c>
      <c r="C55" s="2" t="s">
        <v>230</v>
      </c>
      <c r="D55" s="22">
        <v>42578</v>
      </c>
      <c r="E55" s="17">
        <v>6000</v>
      </c>
      <c r="F55" s="82">
        <v>4282.26</v>
      </c>
      <c r="G55" s="82">
        <v>3808</v>
      </c>
      <c r="H55" s="82"/>
      <c r="I55" s="83">
        <f t="shared" si="4"/>
        <v>8090.26</v>
      </c>
      <c r="J55" s="82">
        <v>4467.8571428571404</v>
      </c>
      <c r="K55" s="82"/>
      <c r="L55" s="82"/>
      <c r="M55" s="83">
        <f t="shared" si="5"/>
        <v>4467.8571428571404</v>
      </c>
      <c r="N55" s="82">
        <v>5951.6129032258104</v>
      </c>
      <c r="O55" s="82"/>
      <c r="P55" s="82"/>
      <c r="Q55" s="83">
        <f t="shared" si="12"/>
        <v>5951.6129032258104</v>
      </c>
      <c r="R55" s="82">
        <v>4950</v>
      </c>
      <c r="S55" s="82">
        <f>2376</f>
        <v>2376</v>
      </c>
      <c r="T55" s="82"/>
      <c r="U55" s="83">
        <f t="shared" si="6"/>
        <v>7326</v>
      </c>
      <c r="V55" s="82">
        <v>5686.45</v>
      </c>
      <c r="W55" s="82"/>
      <c r="X55" s="82"/>
      <c r="Y55" s="83">
        <f t="shared" si="7"/>
        <v>5686.45</v>
      </c>
      <c r="Z55" s="82">
        <v>6000</v>
      </c>
      <c r="AA55" s="82">
        <f>VLOOKUP(C55,'[1]2018.06中力提成汇总'!$B:$N,13,0)</f>
        <v>400</v>
      </c>
      <c r="AB55" s="82"/>
      <c r="AC55" s="83">
        <f t="shared" si="8"/>
        <v>6400</v>
      </c>
      <c r="AD55" s="219">
        <f>IFERROR(VLOOKUP(C55,'[2]7月集团工资汇总表'!C:AD,28,0),0)</f>
        <v>5903.23</v>
      </c>
      <c r="AE55" s="219"/>
      <c r="AF55" s="219"/>
      <c r="AG55" s="246">
        <f t="shared" si="0"/>
        <v>5903.23</v>
      </c>
      <c r="AH55" s="219">
        <f>IFERROR(VLOOKUP(C55,知识科技工资!C:M,11,0),0)</f>
        <v>9316.1299999999992</v>
      </c>
      <c r="AI55" s="82"/>
      <c r="AJ55" s="82"/>
      <c r="AK55" s="246">
        <f t="shared" si="13"/>
        <v>9316.1299999999992</v>
      </c>
      <c r="AL55" s="82"/>
      <c r="AM55" s="82"/>
      <c r="AN55" s="82"/>
      <c r="AO55" s="83">
        <f t="shared" si="14"/>
        <v>0</v>
      </c>
      <c r="AP55" s="82"/>
      <c r="AQ55" s="82"/>
      <c r="AR55" s="82"/>
      <c r="AS55" s="83">
        <f t="shared" si="15"/>
        <v>0</v>
      </c>
      <c r="AT55" s="82"/>
      <c r="AU55" s="82"/>
      <c r="AV55" s="82"/>
      <c r="AW55" s="84">
        <f t="shared" si="16"/>
        <v>0</v>
      </c>
      <c r="AX55" s="85"/>
      <c r="AY55" s="85"/>
      <c r="AZ55" s="85"/>
      <c r="BA55" s="84">
        <f t="shared" si="17"/>
        <v>0</v>
      </c>
      <c r="BB55" s="86">
        <f t="shared" si="1"/>
        <v>46557.540046082948</v>
      </c>
      <c r="BC55" s="86">
        <f t="shared" si="9"/>
        <v>6584</v>
      </c>
      <c r="BD55" s="86">
        <f t="shared" si="10"/>
        <v>0</v>
      </c>
      <c r="BE55" s="87">
        <f t="shared" si="11"/>
        <v>53141.540046082948</v>
      </c>
    </row>
    <row r="56" spans="1:57" ht="22.5" customHeight="1">
      <c r="A56" s="3">
        <v>53</v>
      </c>
      <c r="B56" s="21" t="s">
        <v>25</v>
      </c>
      <c r="C56" s="25" t="s">
        <v>298</v>
      </c>
      <c r="D56" s="22">
        <v>42810</v>
      </c>
      <c r="E56" s="17">
        <v>0</v>
      </c>
      <c r="F56" s="82">
        <v>6774.19</v>
      </c>
      <c r="G56" s="82"/>
      <c r="H56" s="82"/>
      <c r="I56" s="83">
        <f t="shared" si="4"/>
        <v>6774.19</v>
      </c>
      <c r="J56" s="82">
        <v>7000</v>
      </c>
      <c r="K56" s="82"/>
      <c r="L56" s="82"/>
      <c r="M56" s="83">
        <f t="shared" si="5"/>
        <v>7000</v>
      </c>
      <c r="N56" s="82">
        <v>7338.7096774193597</v>
      </c>
      <c r="O56" s="82"/>
      <c r="P56" s="82"/>
      <c r="Q56" s="83">
        <f t="shared" si="12"/>
        <v>7338.7096774193597</v>
      </c>
      <c r="R56" s="82"/>
      <c r="S56" s="82"/>
      <c r="T56" s="82"/>
      <c r="U56" s="83">
        <f t="shared" si="6"/>
        <v>0</v>
      </c>
      <c r="V56" s="82"/>
      <c r="W56" s="82"/>
      <c r="X56" s="82"/>
      <c r="Y56" s="83">
        <f t="shared" si="7"/>
        <v>0</v>
      </c>
      <c r="Z56" s="82"/>
      <c r="AA56" s="82">
        <f>VLOOKUP(C56,'[1]2018.06中力提成汇总'!$B:$N,13,0)</f>
        <v>0</v>
      </c>
      <c r="AB56" s="82"/>
      <c r="AC56" s="83">
        <f t="shared" si="8"/>
        <v>0</v>
      </c>
      <c r="AD56" s="219">
        <f>IFERROR(VLOOKUP(C56,'[2]7月集团工资汇总表'!C:AD,28,0),0)</f>
        <v>0</v>
      </c>
      <c r="AE56" s="219"/>
      <c r="AF56" s="219"/>
      <c r="AG56" s="246">
        <f t="shared" si="0"/>
        <v>0</v>
      </c>
      <c r="AH56" s="219">
        <f>IFERROR(VLOOKUP(C56,知识科技工资!C:M,11,0),0)</f>
        <v>0</v>
      </c>
      <c r="AI56" s="82"/>
      <c r="AJ56" s="82"/>
      <c r="AK56" s="246">
        <f t="shared" si="13"/>
        <v>0</v>
      </c>
      <c r="AL56" s="82"/>
      <c r="AM56" s="82"/>
      <c r="AN56" s="82"/>
      <c r="AO56" s="83">
        <f t="shared" si="14"/>
        <v>0</v>
      </c>
      <c r="AP56" s="82"/>
      <c r="AQ56" s="82"/>
      <c r="AR56" s="82"/>
      <c r="AS56" s="83">
        <f t="shared" si="15"/>
        <v>0</v>
      </c>
      <c r="AT56" s="82"/>
      <c r="AU56" s="82"/>
      <c r="AV56" s="82"/>
      <c r="AW56" s="84">
        <f t="shared" si="16"/>
        <v>0</v>
      </c>
      <c r="AX56" s="85"/>
      <c r="AY56" s="85"/>
      <c r="AZ56" s="85"/>
      <c r="BA56" s="84">
        <f t="shared" si="17"/>
        <v>0</v>
      </c>
      <c r="BB56" s="86">
        <f t="shared" si="1"/>
        <v>21112.899677419358</v>
      </c>
      <c r="BC56" s="86">
        <f t="shared" si="9"/>
        <v>0</v>
      </c>
      <c r="BD56" s="86">
        <f t="shared" si="10"/>
        <v>0</v>
      </c>
      <c r="BE56" s="87">
        <f t="shared" si="11"/>
        <v>21112.899677419358</v>
      </c>
    </row>
    <row r="57" spans="1:57" ht="22.5" customHeight="1">
      <c r="A57" s="3">
        <v>54</v>
      </c>
      <c r="B57" s="21" t="s">
        <v>25</v>
      </c>
      <c r="C57" s="26" t="s">
        <v>185</v>
      </c>
      <c r="D57" s="22">
        <v>43059</v>
      </c>
      <c r="E57" s="17">
        <v>15000</v>
      </c>
      <c r="F57" s="82">
        <v>11612.9</v>
      </c>
      <c r="G57" s="82"/>
      <c r="H57" s="82"/>
      <c r="I57" s="83">
        <f t="shared" si="4"/>
        <v>11612.9</v>
      </c>
      <c r="J57" s="82">
        <v>11142.857142857099</v>
      </c>
      <c r="K57" s="82"/>
      <c r="L57" s="82"/>
      <c r="M57" s="83">
        <f t="shared" si="5"/>
        <v>11142.857142857099</v>
      </c>
      <c r="N57" s="82">
        <v>15000</v>
      </c>
      <c r="O57" s="82"/>
      <c r="P57" s="82"/>
      <c r="Q57" s="83">
        <f t="shared" si="12"/>
        <v>15000</v>
      </c>
      <c r="R57" s="82">
        <v>15000</v>
      </c>
      <c r="S57" s="82"/>
      <c r="T57" s="82"/>
      <c r="U57" s="83">
        <f t="shared" si="6"/>
        <v>15000</v>
      </c>
      <c r="V57" s="82">
        <v>14661.29</v>
      </c>
      <c r="W57" s="82"/>
      <c r="X57" s="82"/>
      <c r="Y57" s="83">
        <f t="shared" si="7"/>
        <v>14661.29</v>
      </c>
      <c r="Z57" s="82">
        <v>15000</v>
      </c>
      <c r="AA57" s="82">
        <f>VLOOKUP(C57,'[1]2018.06中力提成汇总'!$B:$N,13,0)</f>
        <v>0</v>
      </c>
      <c r="AB57" s="82"/>
      <c r="AC57" s="83">
        <f t="shared" si="8"/>
        <v>15000</v>
      </c>
      <c r="AD57" s="219">
        <f>IFERROR(VLOOKUP(C57,'[2]7月集团工资汇总表'!C:AD,28,0),0)</f>
        <v>14516.13</v>
      </c>
      <c r="AE57" s="219"/>
      <c r="AF57" s="219"/>
      <c r="AG57" s="246">
        <f t="shared" si="0"/>
        <v>14516.13</v>
      </c>
      <c r="AH57" s="219">
        <f>IFERROR(VLOOKUP(C57,知识科技工资!C:M,11,0),0)</f>
        <v>10000</v>
      </c>
      <c r="AI57" s="82"/>
      <c r="AJ57" s="82"/>
      <c r="AK57" s="246">
        <f t="shared" si="13"/>
        <v>10000</v>
      </c>
      <c r="AL57" s="82"/>
      <c r="AM57" s="82"/>
      <c r="AN57" s="82"/>
      <c r="AO57" s="83">
        <f t="shared" si="14"/>
        <v>0</v>
      </c>
      <c r="AP57" s="82"/>
      <c r="AQ57" s="82"/>
      <c r="AR57" s="82"/>
      <c r="AS57" s="83">
        <f t="shared" si="15"/>
        <v>0</v>
      </c>
      <c r="AT57" s="82"/>
      <c r="AU57" s="82"/>
      <c r="AV57" s="82"/>
      <c r="AW57" s="84">
        <f t="shared" si="16"/>
        <v>0</v>
      </c>
      <c r="AX57" s="85"/>
      <c r="AY57" s="85"/>
      <c r="AZ57" s="85"/>
      <c r="BA57" s="84">
        <f t="shared" si="17"/>
        <v>0</v>
      </c>
      <c r="BB57" s="86">
        <f t="shared" si="1"/>
        <v>106933.17714285711</v>
      </c>
      <c r="BC57" s="86">
        <f t="shared" si="9"/>
        <v>0</v>
      </c>
      <c r="BD57" s="86">
        <f t="shared" si="10"/>
        <v>0</v>
      </c>
      <c r="BE57" s="87">
        <f t="shared" si="11"/>
        <v>106933.17714285711</v>
      </c>
    </row>
    <row r="58" spans="1:57" ht="22.5" customHeight="1">
      <c r="A58" s="3">
        <v>55</v>
      </c>
      <c r="B58" s="21" t="s">
        <v>25</v>
      </c>
      <c r="C58" s="3" t="s">
        <v>175</v>
      </c>
      <c r="D58" s="22">
        <v>42132</v>
      </c>
      <c r="E58" s="17">
        <v>16000</v>
      </c>
      <c r="F58" s="82">
        <v>12530.32</v>
      </c>
      <c r="G58" s="82"/>
      <c r="H58" s="82"/>
      <c r="I58" s="83">
        <f t="shared" si="4"/>
        <v>12530.32</v>
      </c>
      <c r="J58" s="82">
        <v>12535.714285714301</v>
      </c>
      <c r="K58" s="82"/>
      <c r="L58" s="82"/>
      <c r="M58" s="83">
        <f t="shared" si="5"/>
        <v>12535.714285714301</v>
      </c>
      <c r="N58" s="82">
        <v>16000</v>
      </c>
      <c r="O58" s="82"/>
      <c r="P58" s="82"/>
      <c r="Q58" s="83">
        <f t="shared" si="12"/>
        <v>16000</v>
      </c>
      <c r="R58" s="82">
        <v>15922.67</v>
      </c>
      <c r="S58" s="82"/>
      <c r="T58" s="82"/>
      <c r="U58" s="83">
        <f t="shared" si="6"/>
        <v>15922.67</v>
      </c>
      <c r="V58" s="82">
        <v>16000</v>
      </c>
      <c r="W58" s="82"/>
      <c r="X58" s="82"/>
      <c r="Y58" s="83">
        <f t="shared" si="7"/>
        <v>16000</v>
      </c>
      <c r="Z58" s="82">
        <v>16000</v>
      </c>
      <c r="AA58" s="82">
        <f>VLOOKUP(C58,'[1]2018.06中力提成汇总'!$B:$N,13,0)</f>
        <v>0</v>
      </c>
      <c r="AB58" s="82"/>
      <c r="AC58" s="83">
        <f t="shared" si="8"/>
        <v>16000</v>
      </c>
      <c r="AD58" s="219">
        <f>IFERROR(VLOOKUP(C58,'[2]7月集团工资汇总表'!C:AD,28,0),0)</f>
        <v>15938.06</v>
      </c>
      <c r="AE58" s="219"/>
      <c r="AF58" s="219"/>
      <c r="AG58" s="246">
        <f t="shared" si="0"/>
        <v>15938.06</v>
      </c>
      <c r="AH58" s="219">
        <f>IFERROR(VLOOKUP(C58,知识科技工资!C:M,11,0),0)</f>
        <v>9961.2900000000009</v>
      </c>
      <c r="AI58" s="82"/>
      <c r="AJ58" s="82"/>
      <c r="AK58" s="246">
        <f t="shared" si="13"/>
        <v>9961.2900000000009</v>
      </c>
      <c r="AL58" s="82"/>
      <c r="AM58" s="82"/>
      <c r="AN58" s="82"/>
      <c r="AO58" s="83">
        <f t="shared" si="14"/>
        <v>0</v>
      </c>
      <c r="AP58" s="82"/>
      <c r="AQ58" s="82"/>
      <c r="AR58" s="82"/>
      <c r="AS58" s="83">
        <f t="shared" si="15"/>
        <v>0</v>
      </c>
      <c r="AT58" s="82"/>
      <c r="AU58" s="82"/>
      <c r="AV58" s="82"/>
      <c r="AW58" s="84">
        <f t="shared" si="16"/>
        <v>0</v>
      </c>
      <c r="AX58" s="85"/>
      <c r="AY58" s="85"/>
      <c r="AZ58" s="85"/>
      <c r="BA58" s="84">
        <f t="shared" si="17"/>
        <v>0</v>
      </c>
      <c r="BB58" s="86">
        <f t="shared" si="1"/>
        <v>114888.05428571429</v>
      </c>
      <c r="BC58" s="86">
        <f t="shared" si="9"/>
        <v>0</v>
      </c>
      <c r="BD58" s="86">
        <f t="shared" si="10"/>
        <v>0</v>
      </c>
      <c r="BE58" s="87">
        <f t="shared" si="11"/>
        <v>114888.05428571429</v>
      </c>
    </row>
    <row r="59" spans="1:57" ht="22.5" customHeight="1">
      <c r="A59" s="3">
        <v>56</v>
      </c>
      <c r="B59" s="21" t="s">
        <v>25</v>
      </c>
      <c r="C59" s="24" t="s">
        <v>177</v>
      </c>
      <c r="D59" s="22">
        <v>42484</v>
      </c>
      <c r="E59" s="17">
        <v>10000</v>
      </c>
      <c r="F59" s="82">
        <v>8500</v>
      </c>
      <c r="G59" s="82">
        <v>500</v>
      </c>
      <c r="H59" s="82"/>
      <c r="I59" s="83">
        <f t="shared" si="4"/>
        <v>9000</v>
      </c>
      <c r="J59" s="82">
        <v>8500</v>
      </c>
      <c r="K59" s="82"/>
      <c r="L59" s="82"/>
      <c r="M59" s="83">
        <f t="shared" si="5"/>
        <v>8500</v>
      </c>
      <c r="N59" s="82">
        <v>10000</v>
      </c>
      <c r="O59" s="82">
        <f>1250</f>
        <v>1250</v>
      </c>
      <c r="P59" s="82"/>
      <c r="Q59" s="83">
        <f t="shared" si="12"/>
        <v>11250</v>
      </c>
      <c r="R59" s="82">
        <v>10000</v>
      </c>
      <c r="S59" s="82">
        <v>500</v>
      </c>
      <c r="T59" s="82"/>
      <c r="U59" s="83">
        <f t="shared" si="6"/>
        <v>10500</v>
      </c>
      <c r="V59" s="82">
        <v>10000</v>
      </c>
      <c r="W59" s="82">
        <v>1250</v>
      </c>
      <c r="X59" s="82"/>
      <c r="Y59" s="83">
        <f t="shared" si="7"/>
        <v>11250</v>
      </c>
      <c r="Z59" s="82">
        <v>10000</v>
      </c>
      <c r="AA59" s="82">
        <f>VLOOKUP(C59,'[1]2018.06中力提成汇总'!$B:$N,13,0)</f>
        <v>1000</v>
      </c>
      <c r="AB59" s="82"/>
      <c r="AC59" s="83">
        <f t="shared" si="8"/>
        <v>11000</v>
      </c>
      <c r="AD59" s="219">
        <f>IFERROR(VLOOKUP(C59,'[2]7月集团工资汇总表'!C:AD,28,0),0)</f>
        <v>4838.71</v>
      </c>
      <c r="AE59" s="219">
        <v>1200</v>
      </c>
      <c r="AF59" s="219"/>
      <c r="AG59" s="246">
        <f t="shared" si="0"/>
        <v>6038.71</v>
      </c>
      <c r="AH59" s="219">
        <f>IFERROR(VLOOKUP(C59,知识科技工资!C:M,11,0),0)</f>
        <v>0</v>
      </c>
      <c r="AI59" s="82"/>
      <c r="AJ59" s="82"/>
      <c r="AK59" s="246">
        <f t="shared" si="13"/>
        <v>0</v>
      </c>
      <c r="AL59" s="82"/>
      <c r="AM59" s="82"/>
      <c r="AN59" s="82"/>
      <c r="AO59" s="83">
        <f t="shared" si="14"/>
        <v>0</v>
      </c>
      <c r="AP59" s="82"/>
      <c r="AQ59" s="82"/>
      <c r="AR59" s="82"/>
      <c r="AS59" s="83">
        <f t="shared" si="15"/>
        <v>0</v>
      </c>
      <c r="AT59" s="82"/>
      <c r="AU59" s="82"/>
      <c r="AV59" s="82"/>
      <c r="AW59" s="84">
        <f t="shared" si="16"/>
        <v>0</v>
      </c>
      <c r="AX59" s="85"/>
      <c r="AY59" s="85"/>
      <c r="AZ59" s="85"/>
      <c r="BA59" s="84">
        <f t="shared" si="17"/>
        <v>0</v>
      </c>
      <c r="BB59" s="86">
        <f t="shared" si="1"/>
        <v>61838.71</v>
      </c>
      <c r="BC59" s="86">
        <f t="shared" si="9"/>
        <v>5700</v>
      </c>
      <c r="BD59" s="86">
        <f t="shared" si="10"/>
        <v>0</v>
      </c>
      <c r="BE59" s="87">
        <f t="shared" si="11"/>
        <v>67538.709999999992</v>
      </c>
    </row>
    <row r="60" spans="1:57" ht="22.5" customHeight="1">
      <c r="A60" s="3">
        <v>57</v>
      </c>
      <c r="B60" s="21" t="s">
        <v>25</v>
      </c>
      <c r="C60" s="26" t="s">
        <v>179</v>
      </c>
      <c r="D60" s="22">
        <v>42858</v>
      </c>
      <c r="E60" s="17">
        <v>5500</v>
      </c>
      <c r="F60" s="82">
        <v>4441.9399999999996</v>
      </c>
      <c r="G60" s="82">
        <v>300</v>
      </c>
      <c r="H60" s="82"/>
      <c r="I60" s="83">
        <f t="shared" si="4"/>
        <v>4741.9399999999996</v>
      </c>
      <c r="J60" s="82">
        <v>4500</v>
      </c>
      <c r="K60" s="82"/>
      <c r="L60" s="82"/>
      <c r="M60" s="83">
        <f t="shared" si="5"/>
        <v>4500</v>
      </c>
      <c r="N60" s="82">
        <v>5500</v>
      </c>
      <c r="O60" s="82">
        <v>800</v>
      </c>
      <c r="P60" s="82"/>
      <c r="Q60" s="83">
        <f t="shared" si="12"/>
        <v>6300</v>
      </c>
      <c r="R60" s="82">
        <v>5500</v>
      </c>
      <c r="S60" s="82">
        <f>400</f>
        <v>400</v>
      </c>
      <c r="T60" s="82"/>
      <c r="U60" s="83">
        <f t="shared" si="6"/>
        <v>5900</v>
      </c>
      <c r="V60" s="82">
        <v>5500</v>
      </c>
      <c r="W60" s="82"/>
      <c r="X60" s="82"/>
      <c r="Y60" s="83">
        <f t="shared" si="7"/>
        <v>5500</v>
      </c>
      <c r="Z60" s="82">
        <v>5500</v>
      </c>
      <c r="AA60" s="82">
        <f>VLOOKUP(C60,'[1]2018.06中力提成汇总'!$B:$N,13,0)</f>
        <v>400</v>
      </c>
      <c r="AB60" s="82"/>
      <c r="AC60" s="83">
        <f t="shared" si="8"/>
        <v>5900</v>
      </c>
      <c r="AD60" s="219">
        <f>IFERROR(VLOOKUP(C60,'[2]7月集团工资汇总表'!C:AD,28,0),0)</f>
        <v>5500</v>
      </c>
      <c r="AE60" s="219">
        <f>400</f>
        <v>400</v>
      </c>
      <c r="AF60" s="219"/>
      <c r="AG60" s="246">
        <f t="shared" si="0"/>
        <v>5900</v>
      </c>
      <c r="AH60" s="219">
        <f>IFERROR(VLOOKUP(C60,知识科技工资!C:M,11,0),0)</f>
        <v>10000</v>
      </c>
      <c r="AI60" s="82"/>
      <c r="AJ60" s="82"/>
      <c r="AK60" s="246">
        <f t="shared" si="13"/>
        <v>10000</v>
      </c>
      <c r="AL60" s="82"/>
      <c r="AM60" s="82"/>
      <c r="AN60" s="82"/>
      <c r="AO60" s="83">
        <f t="shared" si="14"/>
        <v>0</v>
      </c>
      <c r="AP60" s="82"/>
      <c r="AQ60" s="82"/>
      <c r="AR60" s="82"/>
      <c r="AS60" s="83">
        <f t="shared" si="15"/>
        <v>0</v>
      </c>
      <c r="AT60" s="82"/>
      <c r="AU60" s="82"/>
      <c r="AV60" s="82"/>
      <c r="AW60" s="84">
        <f t="shared" si="16"/>
        <v>0</v>
      </c>
      <c r="AX60" s="85"/>
      <c r="AY60" s="85"/>
      <c r="AZ60" s="85"/>
      <c r="BA60" s="84">
        <f t="shared" si="17"/>
        <v>0</v>
      </c>
      <c r="BB60" s="86">
        <f t="shared" si="1"/>
        <v>46441.94</v>
      </c>
      <c r="BC60" s="86">
        <f t="shared" si="9"/>
        <v>2300</v>
      </c>
      <c r="BD60" s="86">
        <f t="shared" si="10"/>
        <v>0</v>
      </c>
      <c r="BE60" s="87">
        <f t="shared" si="11"/>
        <v>48741.94</v>
      </c>
    </row>
    <row r="61" spans="1:57" ht="22.5" customHeight="1">
      <c r="A61" s="3">
        <v>58</v>
      </c>
      <c r="B61" s="21" t="s">
        <v>25</v>
      </c>
      <c r="C61" s="26" t="s">
        <v>252</v>
      </c>
      <c r="D61" s="22">
        <v>43181</v>
      </c>
      <c r="E61" s="17">
        <v>11000</v>
      </c>
      <c r="F61" s="82"/>
      <c r="G61" s="82"/>
      <c r="H61" s="82"/>
      <c r="I61" s="83"/>
      <c r="J61" s="82"/>
      <c r="K61" s="82"/>
      <c r="L61" s="82"/>
      <c r="M61" s="83"/>
      <c r="N61" s="82">
        <v>3225.8064516129002</v>
      </c>
      <c r="O61" s="82"/>
      <c r="P61" s="82"/>
      <c r="Q61" s="83">
        <f t="shared" si="12"/>
        <v>3225.8064516129002</v>
      </c>
      <c r="R61" s="82">
        <v>9916.67</v>
      </c>
      <c r="S61" s="82"/>
      <c r="T61" s="82"/>
      <c r="U61" s="83">
        <f t="shared" si="6"/>
        <v>9916.67</v>
      </c>
      <c r="V61" s="82">
        <v>9596.77</v>
      </c>
      <c r="W61" s="82"/>
      <c r="X61" s="82"/>
      <c r="Y61" s="83">
        <f t="shared" si="7"/>
        <v>9596.77</v>
      </c>
      <c r="Z61" s="82">
        <v>10333.33</v>
      </c>
      <c r="AA61" s="82">
        <f>VLOOKUP(C61,'[1]2018.06中力提成汇总'!$B:$N,13,0)</f>
        <v>0</v>
      </c>
      <c r="AB61" s="82"/>
      <c r="AC61" s="83">
        <f t="shared" si="8"/>
        <v>10333.33</v>
      </c>
      <c r="AD61" s="219">
        <f>IFERROR(VLOOKUP(C61,'[2]7月集团工资汇总表'!C:AD,28,0),0)</f>
        <v>11000</v>
      </c>
      <c r="AE61" s="219"/>
      <c r="AF61" s="219"/>
      <c r="AG61" s="246">
        <f t="shared" si="0"/>
        <v>11000</v>
      </c>
      <c r="AH61" s="219">
        <f>IFERROR(VLOOKUP(C61,知识科技工资!C:M,11,0),0)</f>
        <v>9838.7099999999991</v>
      </c>
      <c r="AI61" s="82"/>
      <c r="AJ61" s="82"/>
      <c r="AK61" s="246">
        <f t="shared" si="13"/>
        <v>9838.7099999999991</v>
      </c>
      <c r="AL61" s="82"/>
      <c r="AM61" s="82"/>
      <c r="AN61" s="82"/>
      <c r="AO61" s="83">
        <f t="shared" si="14"/>
        <v>0</v>
      </c>
      <c r="AP61" s="82"/>
      <c r="AQ61" s="82"/>
      <c r="AR61" s="82"/>
      <c r="AS61" s="83">
        <f t="shared" si="15"/>
        <v>0</v>
      </c>
      <c r="AT61" s="82"/>
      <c r="AU61" s="82"/>
      <c r="AV61" s="82"/>
      <c r="AW61" s="84">
        <f t="shared" si="16"/>
        <v>0</v>
      </c>
      <c r="AX61" s="85"/>
      <c r="AY61" s="85"/>
      <c r="AZ61" s="85"/>
      <c r="BA61" s="84">
        <f t="shared" si="17"/>
        <v>0</v>
      </c>
      <c r="BB61" s="86">
        <f t="shared" si="1"/>
        <v>53911.286451612898</v>
      </c>
      <c r="BC61" s="86">
        <f t="shared" si="9"/>
        <v>0</v>
      </c>
      <c r="BD61" s="86">
        <f t="shared" si="10"/>
        <v>0</v>
      </c>
      <c r="BE61" s="87">
        <f t="shared" si="11"/>
        <v>53911.286451612898</v>
      </c>
    </row>
    <row r="62" spans="1:57" ht="22.5" customHeight="1">
      <c r="A62" s="3">
        <v>59</v>
      </c>
      <c r="B62" s="21" t="s">
        <v>25</v>
      </c>
      <c r="C62" s="26" t="s">
        <v>254</v>
      </c>
      <c r="D62" s="22">
        <v>43192</v>
      </c>
      <c r="E62" s="17">
        <v>15000</v>
      </c>
      <c r="F62" s="82"/>
      <c r="G62" s="82"/>
      <c r="H62" s="82"/>
      <c r="I62" s="83"/>
      <c r="J62" s="82"/>
      <c r="K62" s="82"/>
      <c r="L62" s="82"/>
      <c r="M62" s="83"/>
      <c r="N62" s="82"/>
      <c r="O62" s="82"/>
      <c r="P62" s="82"/>
      <c r="Q62" s="83"/>
      <c r="R62" s="82">
        <v>14500</v>
      </c>
      <c r="S62" s="82"/>
      <c r="T62" s="82"/>
      <c r="U62" s="83">
        <f t="shared" si="6"/>
        <v>14500</v>
      </c>
      <c r="V62" s="82">
        <v>14337.1</v>
      </c>
      <c r="W62" s="82"/>
      <c r="X62" s="82"/>
      <c r="Y62" s="83">
        <f t="shared" si="7"/>
        <v>14337.1</v>
      </c>
      <c r="Z62" s="82">
        <v>15000</v>
      </c>
      <c r="AA62" s="82">
        <f>VLOOKUP(C62,'[1]2018.06中力提成汇总'!$B:$N,13,0)</f>
        <v>0</v>
      </c>
      <c r="AB62" s="82"/>
      <c r="AC62" s="83">
        <f t="shared" si="8"/>
        <v>15000</v>
      </c>
      <c r="AD62" s="219">
        <f>IFERROR(VLOOKUP(C62,'[2]7月集团工资汇总表'!C:AD,28,0),0)</f>
        <v>14516.13</v>
      </c>
      <c r="AE62" s="219"/>
      <c r="AF62" s="219"/>
      <c r="AG62" s="246">
        <f t="shared" si="0"/>
        <v>14516.13</v>
      </c>
      <c r="AH62" s="219">
        <f>IFERROR(VLOOKUP(C62,知识科技工资!C:M,11,0),0)</f>
        <v>10000</v>
      </c>
      <c r="AI62" s="82"/>
      <c r="AJ62" s="82"/>
      <c r="AK62" s="246">
        <f t="shared" si="13"/>
        <v>10000</v>
      </c>
      <c r="AL62" s="82"/>
      <c r="AM62" s="82"/>
      <c r="AN62" s="82"/>
      <c r="AO62" s="83"/>
      <c r="AP62" s="82"/>
      <c r="AQ62" s="82"/>
      <c r="AR62" s="82"/>
      <c r="AS62" s="83"/>
      <c r="AT62" s="82"/>
      <c r="AU62" s="82"/>
      <c r="AV62" s="82"/>
      <c r="AW62" s="84"/>
      <c r="AX62" s="85"/>
      <c r="AY62" s="85"/>
      <c r="AZ62" s="85"/>
      <c r="BA62" s="84"/>
      <c r="BB62" s="86">
        <f t="shared" si="1"/>
        <v>68353.23</v>
      </c>
      <c r="BC62" s="86">
        <f t="shared" si="9"/>
        <v>0</v>
      </c>
      <c r="BD62" s="86">
        <f t="shared" si="10"/>
        <v>0</v>
      </c>
      <c r="BE62" s="87">
        <f t="shared" si="11"/>
        <v>68353.23</v>
      </c>
    </row>
    <row r="63" spans="1:57" ht="22.5" customHeight="1">
      <c r="A63" s="3">
        <v>60</v>
      </c>
      <c r="B63" s="21" t="s">
        <v>25</v>
      </c>
      <c r="C63" s="26" t="s">
        <v>250</v>
      </c>
      <c r="D63" s="22">
        <v>43250</v>
      </c>
      <c r="E63" s="17">
        <v>14000</v>
      </c>
      <c r="F63" s="82"/>
      <c r="G63" s="82"/>
      <c r="H63" s="82"/>
      <c r="I63" s="83"/>
      <c r="J63" s="82"/>
      <c r="K63" s="82"/>
      <c r="L63" s="82"/>
      <c r="M63" s="83"/>
      <c r="N63" s="82"/>
      <c r="O63" s="82"/>
      <c r="P63" s="82"/>
      <c r="Q63" s="83"/>
      <c r="R63" s="82"/>
      <c r="S63" s="82"/>
      <c r="T63" s="82"/>
      <c r="U63" s="83"/>
      <c r="V63" s="82">
        <v>903.23</v>
      </c>
      <c r="W63" s="82"/>
      <c r="X63" s="82"/>
      <c r="Y63" s="83">
        <f t="shared" si="7"/>
        <v>903.23</v>
      </c>
      <c r="Z63" s="82">
        <v>14000</v>
      </c>
      <c r="AA63" s="82">
        <f>VLOOKUP(C63,'[1]2018.06中力提成汇总'!$B:$N,13,0)</f>
        <v>0</v>
      </c>
      <c r="AB63" s="82"/>
      <c r="AC63" s="83">
        <f t="shared" si="8"/>
        <v>14000</v>
      </c>
      <c r="AD63" s="219">
        <f>IFERROR(VLOOKUP(C63,'[2]7月集团工资汇总表'!C:AD,28,0),0)</f>
        <v>13548.39</v>
      </c>
      <c r="AE63" s="219"/>
      <c r="AF63" s="219"/>
      <c r="AG63" s="246">
        <f t="shared" si="0"/>
        <v>13548.39</v>
      </c>
      <c r="AH63" s="219">
        <f>IFERROR(VLOOKUP(C63,知识科技工资!C:M,11,0),0)</f>
        <v>10000</v>
      </c>
      <c r="AI63" s="82"/>
      <c r="AJ63" s="82"/>
      <c r="AK63" s="246">
        <f t="shared" si="13"/>
        <v>10000</v>
      </c>
      <c r="AL63" s="82"/>
      <c r="AM63" s="82"/>
      <c r="AN63" s="82"/>
      <c r="AO63" s="83"/>
      <c r="AP63" s="82"/>
      <c r="AQ63" s="82"/>
      <c r="AR63" s="82"/>
      <c r="AS63" s="83"/>
      <c r="AT63" s="82"/>
      <c r="AU63" s="82"/>
      <c r="AV63" s="82"/>
      <c r="AW63" s="84"/>
      <c r="AX63" s="85"/>
      <c r="AY63" s="85"/>
      <c r="AZ63" s="85"/>
      <c r="BA63" s="84"/>
      <c r="BB63" s="86">
        <f t="shared" si="1"/>
        <v>38451.619999999995</v>
      </c>
      <c r="BC63" s="86">
        <f t="shared" si="9"/>
        <v>0</v>
      </c>
      <c r="BD63" s="86">
        <f t="shared" si="10"/>
        <v>0</v>
      </c>
      <c r="BE63" s="87">
        <f t="shared" si="11"/>
        <v>38451.619999999995</v>
      </c>
    </row>
    <row r="64" spans="1:57" ht="22.5" customHeight="1">
      <c r="A64" s="3">
        <v>61</v>
      </c>
      <c r="B64" s="21" t="s">
        <v>25</v>
      </c>
      <c r="C64" s="26" t="s">
        <v>256</v>
      </c>
      <c r="D64" s="22">
        <v>43193</v>
      </c>
      <c r="E64" s="17">
        <v>15000</v>
      </c>
      <c r="F64" s="82"/>
      <c r="G64" s="82"/>
      <c r="H64" s="82"/>
      <c r="I64" s="83"/>
      <c r="J64" s="82"/>
      <c r="K64" s="82"/>
      <c r="L64" s="82"/>
      <c r="M64" s="83"/>
      <c r="N64" s="82"/>
      <c r="O64" s="82"/>
      <c r="P64" s="82"/>
      <c r="Q64" s="83"/>
      <c r="R64" s="82">
        <v>8250</v>
      </c>
      <c r="S64" s="82"/>
      <c r="T64" s="82"/>
      <c r="U64" s="83">
        <f t="shared" si="6"/>
        <v>8250</v>
      </c>
      <c r="V64" s="82">
        <v>15258.06</v>
      </c>
      <c r="W64" s="82"/>
      <c r="X64" s="82"/>
      <c r="Y64" s="83">
        <f t="shared" si="7"/>
        <v>15258.06</v>
      </c>
      <c r="Z64" s="82">
        <v>15000</v>
      </c>
      <c r="AA64" s="82">
        <f>VLOOKUP(C64,'[1]2018.06中力提成汇总'!$B:$N,13,0)</f>
        <v>0</v>
      </c>
      <c r="AB64" s="82"/>
      <c r="AC64" s="83">
        <f t="shared" si="8"/>
        <v>15000</v>
      </c>
      <c r="AD64" s="219">
        <f>IFERROR(VLOOKUP(C64,'[2]7月集团工资汇总表'!C:AD,28,0),0)</f>
        <v>14700</v>
      </c>
      <c r="AE64" s="219"/>
      <c r="AF64" s="219"/>
      <c r="AG64" s="246">
        <f t="shared" si="0"/>
        <v>14700</v>
      </c>
      <c r="AH64" s="219">
        <f>IFERROR(VLOOKUP(C64,知识科技工资!C:M,11,0),0)</f>
        <v>10000</v>
      </c>
      <c r="AI64" s="82"/>
      <c r="AJ64" s="82"/>
      <c r="AK64" s="246">
        <f t="shared" si="13"/>
        <v>10000</v>
      </c>
      <c r="AL64" s="82"/>
      <c r="AM64" s="82"/>
      <c r="AN64" s="82"/>
      <c r="AO64" s="83"/>
      <c r="AP64" s="82"/>
      <c r="AQ64" s="82"/>
      <c r="AR64" s="82"/>
      <c r="AS64" s="83"/>
      <c r="AT64" s="82"/>
      <c r="AU64" s="82"/>
      <c r="AV64" s="82"/>
      <c r="AW64" s="84"/>
      <c r="AX64" s="85"/>
      <c r="AY64" s="85"/>
      <c r="AZ64" s="85"/>
      <c r="BA64" s="84"/>
      <c r="BB64" s="86">
        <f t="shared" si="1"/>
        <v>63208.06</v>
      </c>
      <c r="BC64" s="86">
        <f t="shared" si="9"/>
        <v>0</v>
      </c>
      <c r="BD64" s="86">
        <f t="shared" si="10"/>
        <v>0</v>
      </c>
      <c r="BE64" s="87">
        <f t="shared" si="11"/>
        <v>63208.06</v>
      </c>
    </row>
    <row r="65" spans="1:57" ht="22.5" customHeight="1">
      <c r="A65" s="3">
        <v>62</v>
      </c>
      <c r="B65" s="21" t="s">
        <v>25</v>
      </c>
      <c r="C65" s="25" t="s">
        <v>299</v>
      </c>
      <c r="D65" s="22">
        <v>43200</v>
      </c>
      <c r="E65" s="17">
        <v>0</v>
      </c>
      <c r="F65" s="82"/>
      <c r="G65" s="82"/>
      <c r="H65" s="82"/>
      <c r="I65" s="83"/>
      <c r="J65" s="82"/>
      <c r="K65" s="82"/>
      <c r="L65" s="82"/>
      <c r="M65" s="83"/>
      <c r="N65" s="82"/>
      <c r="O65" s="82"/>
      <c r="P65" s="82"/>
      <c r="Q65" s="83"/>
      <c r="R65" s="82">
        <v>4200</v>
      </c>
      <c r="S65" s="82"/>
      <c r="T65" s="82"/>
      <c r="U65" s="83">
        <f t="shared" si="6"/>
        <v>4200</v>
      </c>
      <c r="V65" s="82">
        <v>5612.9</v>
      </c>
      <c r="W65" s="82"/>
      <c r="X65" s="82"/>
      <c r="Y65" s="83">
        <f t="shared" si="7"/>
        <v>5612.9</v>
      </c>
      <c r="Z65" s="82"/>
      <c r="AA65" s="82">
        <f>VLOOKUP(C65,'[1]2018.06中力提成汇总'!$B:$N,13,0)</f>
        <v>0</v>
      </c>
      <c r="AB65" s="82"/>
      <c r="AC65" s="83">
        <f t="shared" si="8"/>
        <v>0</v>
      </c>
      <c r="AD65" s="219">
        <f>IFERROR(VLOOKUP(C65,'[2]7月集团工资汇总表'!C:AD,28,0),0)</f>
        <v>0</v>
      </c>
      <c r="AE65" s="219"/>
      <c r="AF65" s="219"/>
      <c r="AG65" s="246">
        <f t="shared" si="0"/>
        <v>0</v>
      </c>
      <c r="AH65" s="219">
        <f>IFERROR(VLOOKUP(C65,知识科技工资!C:M,11,0),0)</f>
        <v>0</v>
      </c>
      <c r="AI65" s="82"/>
      <c r="AJ65" s="82"/>
      <c r="AK65" s="246">
        <f t="shared" si="13"/>
        <v>0</v>
      </c>
      <c r="AL65" s="82"/>
      <c r="AM65" s="82"/>
      <c r="AN65" s="82"/>
      <c r="AO65" s="83"/>
      <c r="AP65" s="82"/>
      <c r="AQ65" s="82"/>
      <c r="AR65" s="82"/>
      <c r="AS65" s="83"/>
      <c r="AT65" s="82"/>
      <c r="AU65" s="82"/>
      <c r="AV65" s="82"/>
      <c r="AW65" s="84"/>
      <c r="AX65" s="85"/>
      <c r="AY65" s="85"/>
      <c r="AZ65" s="85"/>
      <c r="BA65" s="84"/>
      <c r="BB65" s="86">
        <f t="shared" si="1"/>
        <v>9812.9</v>
      </c>
      <c r="BC65" s="86">
        <f t="shared" si="9"/>
        <v>0</v>
      </c>
      <c r="BD65" s="86">
        <f t="shared" si="10"/>
        <v>0</v>
      </c>
      <c r="BE65" s="87">
        <f t="shared" si="11"/>
        <v>9812.9</v>
      </c>
    </row>
    <row r="66" spans="1:57" ht="22.5" customHeight="1">
      <c r="A66" s="3">
        <v>63</v>
      </c>
      <c r="B66" s="21" t="s">
        <v>25</v>
      </c>
      <c r="C66" s="25" t="s">
        <v>300</v>
      </c>
      <c r="D66" s="22">
        <v>43206</v>
      </c>
      <c r="E66" s="17">
        <v>0</v>
      </c>
      <c r="F66" s="82"/>
      <c r="G66" s="82"/>
      <c r="H66" s="82"/>
      <c r="I66" s="83"/>
      <c r="J66" s="82"/>
      <c r="K66" s="82"/>
      <c r="L66" s="82"/>
      <c r="M66" s="83"/>
      <c r="N66" s="82"/>
      <c r="O66" s="82"/>
      <c r="P66" s="82"/>
      <c r="Q66" s="83"/>
      <c r="R66" s="82">
        <v>3500</v>
      </c>
      <c r="S66" s="82"/>
      <c r="T66" s="82"/>
      <c r="U66" s="83">
        <f t="shared" si="6"/>
        <v>3500</v>
      </c>
      <c r="V66" s="82">
        <v>7000</v>
      </c>
      <c r="W66" s="82">
        <v>500</v>
      </c>
      <c r="X66" s="82"/>
      <c r="Y66" s="83">
        <f t="shared" si="7"/>
        <v>7500</v>
      </c>
      <c r="Z66" s="82">
        <v>7677.42</v>
      </c>
      <c r="AA66" s="82">
        <f>VLOOKUP(C66,'[1]2018.06中力提成汇总'!$B:$N,13,0)</f>
        <v>400</v>
      </c>
      <c r="AB66" s="82"/>
      <c r="AC66" s="83">
        <f t="shared" si="8"/>
        <v>8077.42</v>
      </c>
      <c r="AD66" s="219">
        <f>IFERROR(VLOOKUP(C66,'[2]7月集团工资汇总表'!C:AD,28,0),0)</f>
        <v>0</v>
      </c>
      <c r="AE66" s="219"/>
      <c r="AF66" s="219"/>
      <c r="AG66" s="246">
        <f t="shared" si="0"/>
        <v>0</v>
      </c>
      <c r="AH66" s="219">
        <f>IFERROR(VLOOKUP(C66,知识科技工资!C:M,11,0),0)</f>
        <v>0</v>
      </c>
      <c r="AI66" s="82"/>
      <c r="AJ66" s="82"/>
      <c r="AK66" s="246">
        <f t="shared" si="13"/>
        <v>0</v>
      </c>
      <c r="AL66" s="82"/>
      <c r="AM66" s="82"/>
      <c r="AN66" s="82"/>
      <c r="AO66" s="83"/>
      <c r="AP66" s="82"/>
      <c r="AQ66" s="82"/>
      <c r="AR66" s="82"/>
      <c r="AS66" s="83"/>
      <c r="AT66" s="82"/>
      <c r="AU66" s="82"/>
      <c r="AV66" s="82"/>
      <c r="AW66" s="84"/>
      <c r="AX66" s="85"/>
      <c r="AY66" s="85"/>
      <c r="AZ66" s="85"/>
      <c r="BA66" s="84"/>
      <c r="BB66" s="86">
        <f t="shared" si="1"/>
        <v>18177.419999999998</v>
      </c>
      <c r="BC66" s="86">
        <f t="shared" si="9"/>
        <v>900</v>
      </c>
      <c r="BD66" s="86">
        <f t="shared" si="10"/>
        <v>0</v>
      </c>
      <c r="BE66" s="87">
        <f t="shared" si="11"/>
        <v>19077.419999999998</v>
      </c>
    </row>
    <row r="67" spans="1:57" s="124" customFormat="1" ht="22.5" customHeight="1">
      <c r="A67" s="3">
        <v>64</v>
      </c>
      <c r="B67" s="126" t="s">
        <v>25</v>
      </c>
      <c r="C67" s="127" t="s">
        <v>58</v>
      </c>
      <c r="D67" s="128">
        <v>43207</v>
      </c>
      <c r="E67" s="119">
        <v>11000</v>
      </c>
      <c r="F67" s="120"/>
      <c r="G67" s="120"/>
      <c r="H67" s="120"/>
      <c r="I67" s="121"/>
      <c r="J67" s="120"/>
      <c r="K67" s="120"/>
      <c r="L67" s="120"/>
      <c r="M67" s="121"/>
      <c r="N67" s="120"/>
      <c r="O67" s="120"/>
      <c r="P67" s="120"/>
      <c r="Q67" s="121"/>
      <c r="R67" s="120">
        <v>4666.67</v>
      </c>
      <c r="S67" s="120"/>
      <c r="T67" s="120"/>
      <c r="U67" s="121">
        <f t="shared" si="6"/>
        <v>4666.67</v>
      </c>
      <c r="V67" s="120">
        <v>10000</v>
      </c>
      <c r="W67" s="120"/>
      <c r="X67" s="120"/>
      <c r="Y67" s="121">
        <f t="shared" si="7"/>
        <v>10000</v>
      </c>
      <c r="Z67" s="120">
        <v>10000</v>
      </c>
      <c r="AA67" s="120">
        <f>VLOOKUP(C67,'[1]2018.06中力提成汇总'!$B:$N,13,0)</f>
        <v>0</v>
      </c>
      <c r="AB67" s="120"/>
      <c r="AC67" s="121">
        <f t="shared" si="8"/>
        <v>10000</v>
      </c>
      <c r="AD67" s="219">
        <f>IFERROR(VLOOKUP(C67,'[2]7月集团工资汇总表'!C:AD,28,0),0)</f>
        <v>10516.130000000001</v>
      </c>
      <c r="AE67" s="251"/>
      <c r="AF67" s="251"/>
      <c r="AG67" s="246">
        <f t="shared" si="0"/>
        <v>10516.130000000001</v>
      </c>
      <c r="AH67" s="219">
        <f>IFERROR(VLOOKUP(C67,知识科技工资!C:M,11,0),0)</f>
        <v>5483.87</v>
      </c>
      <c r="AI67" s="120"/>
      <c r="AJ67" s="120"/>
      <c r="AK67" s="246">
        <f t="shared" si="13"/>
        <v>5483.87</v>
      </c>
      <c r="AL67" s="120"/>
      <c r="AM67" s="120"/>
      <c r="AN67" s="120"/>
      <c r="AO67" s="121"/>
      <c r="AP67" s="120"/>
      <c r="AQ67" s="120"/>
      <c r="AR67" s="120"/>
      <c r="AS67" s="121"/>
      <c r="AT67" s="120"/>
      <c r="AU67" s="120"/>
      <c r="AV67" s="120"/>
      <c r="AW67" s="122"/>
      <c r="AX67" s="123"/>
      <c r="AY67" s="123"/>
      <c r="AZ67" s="123"/>
      <c r="BA67" s="122"/>
      <c r="BB67" s="86">
        <f t="shared" si="1"/>
        <v>40666.670000000006</v>
      </c>
      <c r="BC67" s="86">
        <f t="shared" si="9"/>
        <v>0</v>
      </c>
      <c r="BD67" s="86">
        <f t="shared" si="10"/>
        <v>0</v>
      </c>
      <c r="BE67" s="87">
        <f t="shared" si="11"/>
        <v>40666.670000000006</v>
      </c>
    </row>
    <row r="68" spans="1:57" ht="22.5" customHeight="1">
      <c r="A68" s="3">
        <v>65</v>
      </c>
      <c r="B68" s="21" t="s">
        <v>25</v>
      </c>
      <c r="C68" s="25" t="s">
        <v>301</v>
      </c>
      <c r="D68" s="22">
        <v>43216</v>
      </c>
      <c r="E68" s="17">
        <v>0</v>
      </c>
      <c r="F68" s="82"/>
      <c r="G68" s="82"/>
      <c r="H68" s="82"/>
      <c r="I68" s="83"/>
      <c r="J68" s="82"/>
      <c r="K68" s="82"/>
      <c r="L68" s="82"/>
      <c r="M68" s="83"/>
      <c r="N68" s="82"/>
      <c r="O68" s="82"/>
      <c r="P68" s="82"/>
      <c r="Q68" s="83"/>
      <c r="R68" s="82">
        <v>1666.67</v>
      </c>
      <c r="S68" s="82"/>
      <c r="T68" s="82"/>
      <c r="U68" s="83">
        <f t="shared" si="6"/>
        <v>1666.67</v>
      </c>
      <c r="V68" s="82"/>
      <c r="W68" s="82"/>
      <c r="X68" s="82"/>
      <c r="Y68" s="83">
        <f t="shared" si="7"/>
        <v>0</v>
      </c>
      <c r="Z68" s="82"/>
      <c r="AA68" s="82">
        <f>VLOOKUP(C68,'[1]2018.06中力提成汇总'!$B:$N,13,0)</f>
        <v>0</v>
      </c>
      <c r="AB68" s="82"/>
      <c r="AC68" s="83">
        <f t="shared" si="8"/>
        <v>0</v>
      </c>
      <c r="AD68" s="219">
        <f>IFERROR(VLOOKUP(C68,'[2]7月集团工资汇总表'!C:AD,28,0),0)</f>
        <v>0</v>
      </c>
      <c r="AE68" s="219"/>
      <c r="AF68" s="219"/>
      <c r="AG68" s="246">
        <f t="shared" si="0"/>
        <v>0</v>
      </c>
      <c r="AH68" s="219">
        <f>IFERROR(VLOOKUP(C68,知识科技工资!C:M,11,0),0)</f>
        <v>0</v>
      </c>
      <c r="AI68" s="82"/>
      <c r="AJ68" s="82"/>
      <c r="AK68" s="246">
        <f t="shared" si="13"/>
        <v>0</v>
      </c>
      <c r="AL68" s="82"/>
      <c r="AM68" s="82"/>
      <c r="AN68" s="82"/>
      <c r="AO68" s="83"/>
      <c r="AP68" s="82"/>
      <c r="AQ68" s="82"/>
      <c r="AR68" s="82"/>
      <c r="AS68" s="83"/>
      <c r="AT68" s="82"/>
      <c r="AU68" s="82"/>
      <c r="AV68" s="82"/>
      <c r="AW68" s="84"/>
      <c r="AX68" s="85"/>
      <c r="AY68" s="85"/>
      <c r="AZ68" s="85"/>
      <c r="BA68" s="84"/>
      <c r="BB68" s="86">
        <f t="shared" si="1"/>
        <v>1666.67</v>
      </c>
      <c r="BC68" s="86">
        <f t="shared" si="9"/>
        <v>0</v>
      </c>
      <c r="BD68" s="86">
        <f t="shared" si="10"/>
        <v>0</v>
      </c>
      <c r="BE68" s="87">
        <f t="shared" si="11"/>
        <v>1666.67</v>
      </c>
    </row>
    <row r="69" spans="1:57" ht="22.5" customHeight="1">
      <c r="A69" s="3">
        <v>66</v>
      </c>
      <c r="B69" s="21" t="s">
        <v>25</v>
      </c>
      <c r="C69" s="3" t="s">
        <v>18</v>
      </c>
      <c r="D69" s="18">
        <v>43287</v>
      </c>
      <c r="E69" s="17">
        <v>10000</v>
      </c>
      <c r="F69" s="82"/>
      <c r="G69" s="82"/>
      <c r="H69" s="82"/>
      <c r="I69" s="83"/>
      <c r="J69" s="82"/>
      <c r="K69" s="82"/>
      <c r="L69" s="82"/>
      <c r="M69" s="83"/>
      <c r="N69" s="82"/>
      <c r="O69" s="82"/>
      <c r="P69" s="82"/>
      <c r="Q69" s="83"/>
      <c r="R69" s="82"/>
      <c r="S69" s="82"/>
      <c r="T69" s="82"/>
      <c r="U69" s="83"/>
      <c r="V69" s="82"/>
      <c r="W69" s="82"/>
      <c r="X69" s="82"/>
      <c r="Y69" s="83"/>
      <c r="Z69" s="82"/>
      <c r="AA69" s="82">
        <v>0</v>
      </c>
      <c r="AB69" s="82"/>
      <c r="AC69" s="83"/>
      <c r="AD69" s="219">
        <f>IFERROR(VLOOKUP(C69,'[2]7月集团工资汇总表'!C:AD,28,0),0)</f>
        <v>8387.1</v>
      </c>
      <c r="AE69" s="219">
        <f>1000</f>
        <v>1000</v>
      </c>
      <c r="AF69" s="219"/>
      <c r="AG69" s="246">
        <f t="shared" si="0"/>
        <v>9387.1</v>
      </c>
      <c r="AH69" s="219">
        <f>IFERROR(VLOOKUP(C69,知识科技工资!C:M,11,0),0)</f>
        <v>10000</v>
      </c>
      <c r="AI69" s="82"/>
      <c r="AJ69" s="82"/>
      <c r="AK69" s="246">
        <f t="shared" si="13"/>
        <v>10000</v>
      </c>
      <c r="AL69" s="82"/>
      <c r="AM69" s="82"/>
      <c r="AN69" s="82"/>
      <c r="AO69" s="83"/>
      <c r="AP69" s="82"/>
      <c r="AQ69" s="82"/>
      <c r="AR69" s="82"/>
      <c r="AS69" s="83"/>
      <c r="AT69" s="82"/>
      <c r="AU69" s="82"/>
      <c r="AV69" s="82"/>
      <c r="AW69" s="84"/>
      <c r="AX69" s="85"/>
      <c r="AY69" s="85"/>
      <c r="AZ69" s="85"/>
      <c r="BA69" s="84"/>
      <c r="BB69" s="86">
        <f t="shared" si="1"/>
        <v>18387.099999999999</v>
      </c>
      <c r="BC69" s="86">
        <f t="shared" si="9"/>
        <v>1000</v>
      </c>
      <c r="BD69" s="86">
        <f t="shared" si="10"/>
        <v>0</v>
      </c>
      <c r="BE69" s="87">
        <f t="shared" si="11"/>
        <v>19387.099999999999</v>
      </c>
    </row>
    <row r="70" spans="1:57" ht="22.5" customHeight="1">
      <c r="A70" s="3">
        <v>67</v>
      </c>
      <c r="B70" s="21" t="s">
        <v>25</v>
      </c>
      <c r="C70" s="3" t="s">
        <v>24</v>
      </c>
      <c r="D70" s="18">
        <v>43297</v>
      </c>
      <c r="E70" s="17">
        <v>5500</v>
      </c>
      <c r="F70" s="82"/>
      <c r="G70" s="82"/>
      <c r="H70" s="82"/>
      <c r="I70" s="83"/>
      <c r="J70" s="82"/>
      <c r="K70" s="82"/>
      <c r="L70" s="82"/>
      <c r="M70" s="83"/>
      <c r="N70" s="82"/>
      <c r="O70" s="82"/>
      <c r="P70" s="82"/>
      <c r="Q70" s="83"/>
      <c r="R70" s="82"/>
      <c r="S70" s="82"/>
      <c r="T70" s="82"/>
      <c r="U70" s="83"/>
      <c r="V70" s="82"/>
      <c r="W70" s="82"/>
      <c r="X70" s="82"/>
      <c r="Y70" s="83"/>
      <c r="Z70" s="82"/>
      <c r="AA70" s="82">
        <v>0</v>
      </c>
      <c r="AB70" s="82"/>
      <c r="AC70" s="83"/>
      <c r="AD70" s="219">
        <f>IFERROR(VLOOKUP(C70,'[2]7月集团工资汇总表'!C:AD,28,0),0)</f>
        <v>2838.71</v>
      </c>
      <c r="AE70" s="219"/>
      <c r="AF70" s="219"/>
      <c r="AG70" s="246">
        <f t="shared" si="0"/>
        <v>2838.71</v>
      </c>
      <c r="AH70" s="219">
        <f>IFERROR(VLOOKUP(C70,知识科技工资!C:M,11,0),0)</f>
        <v>10000</v>
      </c>
      <c r="AI70" s="82"/>
      <c r="AJ70" s="82"/>
      <c r="AK70" s="246">
        <f t="shared" si="13"/>
        <v>10000</v>
      </c>
      <c r="AL70" s="82"/>
      <c r="AM70" s="82"/>
      <c r="AN70" s="82"/>
      <c r="AO70" s="83"/>
      <c r="AP70" s="82"/>
      <c r="AQ70" s="82"/>
      <c r="AR70" s="82"/>
      <c r="AS70" s="83"/>
      <c r="AT70" s="82"/>
      <c r="AU70" s="82"/>
      <c r="AV70" s="82"/>
      <c r="AW70" s="84"/>
      <c r="AX70" s="85"/>
      <c r="AY70" s="85"/>
      <c r="AZ70" s="85"/>
      <c r="BA70" s="84"/>
      <c r="BB70" s="86">
        <f t="shared" si="1"/>
        <v>12838.71</v>
      </c>
      <c r="BC70" s="86">
        <f t="shared" si="9"/>
        <v>0</v>
      </c>
      <c r="BD70" s="86">
        <f t="shared" si="10"/>
        <v>0</v>
      </c>
      <c r="BE70" s="87">
        <f t="shared" si="11"/>
        <v>12838.71</v>
      </c>
    </row>
    <row r="71" spans="1:57" ht="22.5" customHeight="1">
      <c r="A71" s="3">
        <v>68</v>
      </c>
      <c r="B71" s="21" t="s">
        <v>25</v>
      </c>
      <c r="C71" s="3" t="s">
        <v>33</v>
      </c>
      <c r="D71" s="18">
        <v>43301</v>
      </c>
      <c r="E71" s="17">
        <v>5500</v>
      </c>
      <c r="F71" s="82"/>
      <c r="G71" s="82"/>
      <c r="H71" s="82"/>
      <c r="I71" s="83"/>
      <c r="J71" s="82"/>
      <c r="K71" s="82"/>
      <c r="L71" s="82"/>
      <c r="M71" s="83"/>
      <c r="N71" s="82"/>
      <c r="O71" s="82"/>
      <c r="P71" s="82"/>
      <c r="Q71" s="83"/>
      <c r="R71" s="82"/>
      <c r="S71" s="82"/>
      <c r="T71" s="82"/>
      <c r="U71" s="83"/>
      <c r="V71" s="82"/>
      <c r="W71" s="82"/>
      <c r="X71" s="82"/>
      <c r="Y71" s="83"/>
      <c r="Z71" s="82"/>
      <c r="AA71" s="82">
        <v>0</v>
      </c>
      <c r="AB71" s="82"/>
      <c r="AC71" s="83"/>
      <c r="AD71" s="219">
        <f>IFERROR(VLOOKUP(C71,'[2]7月集团工资汇总表'!C:AD,28,0),0)</f>
        <v>2129.0300000000002</v>
      </c>
      <c r="AE71" s="219"/>
      <c r="AF71" s="219"/>
      <c r="AG71" s="246">
        <f t="shared" si="0"/>
        <v>2129.0300000000002</v>
      </c>
      <c r="AH71" s="219">
        <f>IFERROR(VLOOKUP(C71,知识科技工资!C:M,11,0),0)</f>
        <v>10000</v>
      </c>
      <c r="AI71" s="82"/>
      <c r="AJ71" s="82"/>
      <c r="AK71" s="246">
        <f t="shared" si="13"/>
        <v>10000</v>
      </c>
      <c r="AL71" s="82"/>
      <c r="AM71" s="82"/>
      <c r="AN71" s="82"/>
      <c r="AO71" s="83"/>
      <c r="AP71" s="82"/>
      <c r="AQ71" s="82"/>
      <c r="AR71" s="82"/>
      <c r="AS71" s="83"/>
      <c r="AT71" s="82"/>
      <c r="AU71" s="82"/>
      <c r="AV71" s="82"/>
      <c r="AW71" s="84"/>
      <c r="AX71" s="85"/>
      <c r="AY71" s="85"/>
      <c r="AZ71" s="85"/>
      <c r="BA71" s="84"/>
      <c r="BB71" s="86">
        <f t="shared" si="1"/>
        <v>12129.03</v>
      </c>
      <c r="BC71" s="86">
        <f t="shared" si="9"/>
        <v>0</v>
      </c>
      <c r="BD71" s="86">
        <f t="shared" si="10"/>
        <v>0</v>
      </c>
      <c r="BE71" s="87">
        <f t="shared" si="11"/>
        <v>12129.03</v>
      </c>
    </row>
    <row r="72" spans="1:57" ht="22.5" customHeight="1">
      <c r="A72" s="3">
        <v>69</v>
      </c>
      <c r="B72" s="21" t="s">
        <v>25</v>
      </c>
      <c r="C72" s="202" t="s">
        <v>1004</v>
      </c>
      <c r="D72" s="203">
        <v>43333</v>
      </c>
      <c r="E72" s="204">
        <v>7000</v>
      </c>
      <c r="F72" s="205"/>
      <c r="G72" s="205"/>
      <c r="H72" s="205"/>
      <c r="I72" s="206"/>
      <c r="J72" s="205"/>
      <c r="K72" s="205"/>
      <c r="L72" s="205"/>
      <c r="M72" s="206"/>
      <c r="N72" s="205"/>
      <c r="O72" s="205"/>
      <c r="P72" s="205"/>
      <c r="Q72" s="206"/>
      <c r="R72" s="205"/>
      <c r="S72" s="205"/>
      <c r="T72" s="205"/>
      <c r="U72" s="206"/>
      <c r="V72" s="205"/>
      <c r="W72" s="205"/>
      <c r="X72" s="205"/>
      <c r="Y72" s="206"/>
      <c r="Z72" s="205"/>
      <c r="AA72" s="205"/>
      <c r="AB72" s="211"/>
      <c r="AC72" s="206"/>
      <c r="AD72" s="219">
        <f>IFERROR(VLOOKUP(C72,'[2]7月集团工资汇总表'!C:AD,28,0),0)</f>
        <v>0</v>
      </c>
      <c r="AE72" s="221"/>
      <c r="AF72" s="221"/>
      <c r="AG72" s="250"/>
      <c r="AH72" s="219">
        <f>IFERROR(VLOOKUP(C72,知识科技工资!C:M,11,0),0)</f>
        <v>3467.74</v>
      </c>
      <c r="AI72" s="205"/>
      <c r="AJ72" s="205"/>
      <c r="AK72" s="246">
        <f t="shared" si="13"/>
        <v>3467.74</v>
      </c>
      <c r="AL72" s="205"/>
      <c r="AM72" s="205"/>
      <c r="AN72" s="205"/>
      <c r="AO72" s="206"/>
      <c r="AP72" s="205"/>
      <c r="AQ72" s="205"/>
      <c r="AR72" s="205"/>
      <c r="AS72" s="206"/>
      <c r="AT72" s="205"/>
      <c r="AU72" s="205"/>
      <c r="AV72" s="205"/>
      <c r="AW72" s="207"/>
      <c r="AX72" s="208"/>
      <c r="AY72" s="208"/>
      <c r="AZ72" s="208"/>
      <c r="BA72" s="207"/>
      <c r="BB72" s="86">
        <f t="shared" si="1"/>
        <v>3467.74</v>
      </c>
      <c r="BC72" s="209"/>
      <c r="BD72" s="209"/>
      <c r="BE72" s="210"/>
    </row>
    <row r="73" spans="1:57" ht="22.5" customHeight="1">
      <c r="A73" s="3">
        <v>70</v>
      </c>
      <c r="B73" s="15" t="s">
        <v>12</v>
      </c>
      <c r="C73" s="3" t="s">
        <v>140</v>
      </c>
      <c r="D73" s="22">
        <v>41883</v>
      </c>
      <c r="E73" s="17">
        <v>9000</v>
      </c>
      <c r="F73" s="82">
        <v>8000</v>
      </c>
      <c r="G73" s="82">
        <f>4341+2000+1250</f>
        <v>7591</v>
      </c>
      <c r="H73" s="82"/>
      <c r="I73" s="83">
        <f t="shared" si="4"/>
        <v>15591</v>
      </c>
      <c r="J73" s="82">
        <v>8000</v>
      </c>
      <c r="K73" s="82">
        <f>250+900+1500+326</f>
        <v>2976</v>
      </c>
      <c r="L73" s="82"/>
      <c r="M73" s="83">
        <f t="shared" si="5"/>
        <v>10976</v>
      </c>
      <c r="N73" s="82">
        <v>9000</v>
      </c>
      <c r="O73" s="82">
        <f>800+5052+250+980+2500</f>
        <v>9582</v>
      </c>
      <c r="P73" s="82"/>
      <c r="Q73" s="83">
        <f t="shared" si="12"/>
        <v>18582</v>
      </c>
      <c r="R73" s="82">
        <v>9000</v>
      </c>
      <c r="S73" s="82">
        <f>6590</f>
        <v>6590</v>
      </c>
      <c r="T73" s="82"/>
      <c r="U73" s="83">
        <f t="shared" si="6"/>
        <v>15590</v>
      </c>
      <c r="V73" s="82">
        <v>9000</v>
      </c>
      <c r="W73" s="82">
        <v>5960</v>
      </c>
      <c r="X73" s="82"/>
      <c r="Y73" s="83">
        <f t="shared" si="7"/>
        <v>14960</v>
      </c>
      <c r="Z73" s="82">
        <v>9000</v>
      </c>
      <c r="AA73" s="82">
        <f>VLOOKUP(C73,'[1]2018.06中力提成汇总'!$B:$N,13,0)</f>
        <v>22014.400000000001</v>
      </c>
      <c r="AB73" s="93"/>
      <c r="AC73" s="83">
        <f>SUM(Z73:AA73)</f>
        <v>31014.400000000001</v>
      </c>
      <c r="AD73" s="219">
        <f>IFERROR(VLOOKUP(C73,'[2]7月集团工资汇总表'!C:AD,28,0),0)</f>
        <v>15937.4</v>
      </c>
      <c r="AE73" s="219">
        <f>600+2450+3024+600</f>
        <v>6674</v>
      </c>
      <c r="AF73" s="219"/>
      <c r="AG73" s="246">
        <f t="shared" ref="AG73:AG138" si="18">SUM(AD73:AF73)</f>
        <v>22611.4</v>
      </c>
      <c r="AH73" s="219">
        <f>IFERROR(VLOOKUP(C73,知识科技工资!C:M,11,0),0)</f>
        <v>16674</v>
      </c>
      <c r="AI73" s="82"/>
      <c r="AJ73" s="82"/>
      <c r="AK73" s="246">
        <f t="shared" si="13"/>
        <v>16674</v>
      </c>
      <c r="AL73" s="82"/>
      <c r="AM73" s="82"/>
      <c r="AN73" s="82"/>
      <c r="AO73" s="83">
        <f t="shared" si="14"/>
        <v>0</v>
      </c>
      <c r="AP73" s="82"/>
      <c r="AQ73" s="82"/>
      <c r="AR73" s="82"/>
      <c r="AS73" s="83">
        <f t="shared" si="15"/>
        <v>0</v>
      </c>
      <c r="AT73" s="82"/>
      <c r="AU73" s="82"/>
      <c r="AV73" s="82"/>
      <c r="AW73" s="84">
        <f t="shared" si="16"/>
        <v>0</v>
      </c>
      <c r="AX73" s="85"/>
      <c r="AY73" s="85"/>
      <c r="AZ73" s="85"/>
      <c r="BA73" s="84">
        <f t="shared" si="17"/>
        <v>0</v>
      </c>
      <c r="BB73" s="86">
        <f t="shared" ref="BB73:BB138" si="19">F73+J73+N73+R73+V73+Z73+AD73+AH73+AL73+AT73+AX73</f>
        <v>84611.4</v>
      </c>
      <c r="BC73" s="86">
        <f t="shared" si="9"/>
        <v>61387.4</v>
      </c>
      <c r="BD73" s="86">
        <f t="shared" si="10"/>
        <v>0</v>
      </c>
      <c r="BE73" s="87">
        <f t="shared" si="11"/>
        <v>145998.79999999999</v>
      </c>
    </row>
    <row r="74" spans="1:57" ht="22.5" customHeight="1">
      <c r="A74" s="3">
        <v>71</v>
      </c>
      <c r="B74" s="15" t="s">
        <v>12</v>
      </c>
      <c r="C74" s="3" t="s">
        <v>142</v>
      </c>
      <c r="D74" s="22">
        <v>41988</v>
      </c>
      <c r="E74" s="17">
        <v>8000</v>
      </c>
      <c r="F74" s="82">
        <v>6500</v>
      </c>
      <c r="G74" s="82">
        <v>4622.5</v>
      </c>
      <c r="H74" s="82"/>
      <c r="I74" s="83">
        <f t="shared" si="4"/>
        <v>11122.5</v>
      </c>
      <c r="J74" s="82">
        <v>6500</v>
      </c>
      <c r="K74" s="82">
        <f>1500+330+1200</f>
        <v>3030</v>
      </c>
      <c r="L74" s="82"/>
      <c r="M74" s="83">
        <f t="shared" si="5"/>
        <v>9530</v>
      </c>
      <c r="N74" s="82">
        <v>8000</v>
      </c>
      <c r="O74" s="82">
        <f>400+1300</f>
        <v>1700</v>
      </c>
      <c r="P74" s="82"/>
      <c r="Q74" s="83">
        <f t="shared" si="12"/>
        <v>9700</v>
      </c>
      <c r="R74" s="82">
        <v>8000</v>
      </c>
      <c r="S74" s="82">
        <f>1239.2</f>
        <v>1239.2</v>
      </c>
      <c r="T74" s="82"/>
      <c r="U74" s="83">
        <f t="shared" si="6"/>
        <v>9239.2000000000007</v>
      </c>
      <c r="V74" s="82">
        <v>8000</v>
      </c>
      <c r="W74" s="82">
        <v>3040</v>
      </c>
      <c r="X74" s="82"/>
      <c r="Y74" s="83">
        <f t="shared" si="7"/>
        <v>11040</v>
      </c>
      <c r="Z74" s="82">
        <v>7466.67</v>
      </c>
      <c r="AA74" s="82">
        <f>VLOOKUP(C74,'[1]2018.06中力提成汇总'!$B:$N,13,0)</f>
        <v>4798</v>
      </c>
      <c r="AB74" s="82"/>
      <c r="AC74" s="83">
        <f t="shared" si="8"/>
        <v>12264.67</v>
      </c>
      <c r="AD74" s="219">
        <f>IFERROR(VLOOKUP(C74,'[2]7月集团工资汇总表'!C:AD,28,0),0)</f>
        <v>8516.1299999999992</v>
      </c>
      <c r="AE74" s="219">
        <f>19272</f>
        <v>19272</v>
      </c>
      <c r="AF74" s="219"/>
      <c r="AG74" s="246">
        <f t="shared" si="18"/>
        <v>27788.129999999997</v>
      </c>
      <c r="AH74" s="219">
        <f>IFERROR(VLOOKUP(C74,知识科技工资!C:M,11,0),0)</f>
        <v>10000</v>
      </c>
      <c r="AI74" s="82"/>
      <c r="AJ74" s="82"/>
      <c r="AK74" s="246">
        <f t="shared" si="13"/>
        <v>10000</v>
      </c>
      <c r="AL74" s="82"/>
      <c r="AM74" s="82"/>
      <c r="AN74" s="82"/>
      <c r="AO74" s="83">
        <f t="shared" si="14"/>
        <v>0</v>
      </c>
      <c r="AP74" s="82"/>
      <c r="AQ74" s="82"/>
      <c r="AR74" s="82"/>
      <c r="AS74" s="83">
        <f t="shared" si="15"/>
        <v>0</v>
      </c>
      <c r="AT74" s="82"/>
      <c r="AU74" s="82"/>
      <c r="AV74" s="82"/>
      <c r="AW74" s="84">
        <f t="shared" si="16"/>
        <v>0</v>
      </c>
      <c r="AX74" s="85"/>
      <c r="AY74" s="85"/>
      <c r="AZ74" s="85"/>
      <c r="BA74" s="84">
        <f t="shared" si="17"/>
        <v>0</v>
      </c>
      <c r="BB74" s="86">
        <f t="shared" si="19"/>
        <v>62982.799999999996</v>
      </c>
      <c r="BC74" s="86">
        <f t="shared" ref="BC74:BC139" si="20">G74+K74+O74+S74+W74+AA74+AE74+AI74+AM74+AQ74+AU74+AY74</f>
        <v>37701.699999999997</v>
      </c>
      <c r="BD74" s="86">
        <f t="shared" ref="BD74:BD139" si="21">H74+L74+P74+T74+X74+AB74+AF74+AJ74+AN74+AR74+AV74+AZ74</f>
        <v>0</v>
      </c>
      <c r="BE74" s="87">
        <f t="shared" ref="BE74:BE139" si="22">SUM(BB74:BD74)</f>
        <v>100684.5</v>
      </c>
    </row>
    <row r="75" spans="1:57" ht="22.5" customHeight="1">
      <c r="A75" s="3">
        <v>72</v>
      </c>
      <c r="B75" s="15" t="s">
        <v>12</v>
      </c>
      <c r="C75" s="3" t="s">
        <v>144</v>
      </c>
      <c r="D75" s="22">
        <v>42039</v>
      </c>
      <c r="E75" s="17">
        <v>8000</v>
      </c>
      <c r="F75" s="82">
        <v>6500</v>
      </c>
      <c r="G75" s="82">
        <f>12553+2500</f>
        <v>15053</v>
      </c>
      <c r="H75" s="82"/>
      <c r="I75" s="83">
        <f t="shared" si="4"/>
        <v>21553</v>
      </c>
      <c r="J75" s="82">
        <v>6500</v>
      </c>
      <c r="K75" s="82">
        <f>600+1768+1200</f>
        <v>3568</v>
      </c>
      <c r="L75" s="82"/>
      <c r="M75" s="83">
        <f t="shared" si="5"/>
        <v>10068</v>
      </c>
      <c r="N75" s="82">
        <v>8000</v>
      </c>
      <c r="O75" s="82">
        <f>400+392+300</f>
        <v>1092</v>
      </c>
      <c r="P75" s="82"/>
      <c r="Q75" s="83">
        <f t="shared" si="12"/>
        <v>9092</v>
      </c>
      <c r="R75" s="82">
        <v>7933.33</v>
      </c>
      <c r="S75" s="82">
        <f>2766</f>
        <v>2766</v>
      </c>
      <c r="T75" s="82"/>
      <c r="U75" s="83">
        <f t="shared" si="6"/>
        <v>10699.33</v>
      </c>
      <c r="V75" s="82">
        <v>7969.03</v>
      </c>
      <c r="W75" s="82"/>
      <c r="X75" s="82"/>
      <c r="Y75" s="83">
        <f t="shared" si="7"/>
        <v>7969.03</v>
      </c>
      <c r="Z75" s="82">
        <v>7866.67</v>
      </c>
      <c r="AA75" s="82">
        <f>VLOOKUP(C75,'[1]2018.06中力提成汇总'!$B:$N,13,0)</f>
        <v>13552</v>
      </c>
      <c r="AB75" s="93"/>
      <c r="AC75" s="83">
        <f>SUM(Z75:AA75)</f>
        <v>21418.67</v>
      </c>
      <c r="AD75" s="219">
        <f>IFERROR(VLOOKUP(C75,'[2]7月集团工资汇总表'!C:AD,28,0),0)</f>
        <v>8000</v>
      </c>
      <c r="AE75" s="219">
        <f>1960</f>
        <v>1960</v>
      </c>
      <c r="AF75" s="219"/>
      <c r="AG75" s="246">
        <f t="shared" si="18"/>
        <v>9960</v>
      </c>
      <c r="AH75" s="219">
        <f>IFERROR(VLOOKUP(C75,知识科技工资!C:M,11,0),0)</f>
        <v>10000</v>
      </c>
      <c r="AI75" s="82"/>
      <c r="AJ75" s="82"/>
      <c r="AK75" s="246">
        <f t="shared" si="13"/>
        <v>10000</v>
      </c>
      <c r="AL75" s="82"/>
      <c r="AM75" s="82"/>
      <c r="AN75" s="82"/>
      <c r="AO75" s="83">
        <f t="shared" si="14"/>
        <v>0</v>
      </c>
      <c r="AP75" s="82"/>
      <c r="AQ75" s="82"/>
      <c r="AR75" s="82"/>
      <c r="AS75" s="83">
        <f t="shared" si="15"/>
        <v>0</v>
      </c>
      <c r="AT75" s="82"/>
      <c r="AU75" s="82"/>
      <c r="AV75" s="82"/>
      <c r="AW75" s="84">
        <f t="shared" si="16"/>
        <v>0</v>
      </c>
      <c r="AX75" s="85"/>
      <c r="AY75" s="85"/>
      <c r="AZ75" s="85"/>
      <c r="BA75" s="84">
        <f t="shared" si="17"/>
        <v>0</v>
      </c>
      <c r="BB75" s="86">
        <f t="shared" si="19"/>
        <v>62769.03</v>
      </c>
      <c r="BC75" s="86">
        <f t="shared" si="20"/>
        <v>37991</v>
      </c>
      <c r="BD75" s="86">
        <f t="shared" si="21"/>
        <v>0</v>
      </c>
      <c r="BE75" s="87">
        <f t="shared" si="22"/>
        <v>100760.03</v>
      </c>
    </row>
    <row r="76" spans="1:57" ht="22.5" customHeight="1">
      <c r="A76" s="3">
        <v>73</v>
      </c>
      <c r="B76" s="15" t="s">
        <v>12</v>
      </c>
      <c r="C76" s="20" t="s">
        <v>849</v>
      </c>
      <c r="D76" s="22">
        <v>42182</v>
      </c>
      <c r="E76" s="17">
        <v>0</v>
      </c>
      <c r="F76" s="82">
        <v>6000</v>
      </c>
      <c r="G76" s="82">
        <f>455</f>
        <v>455</v>
      </c>
      <c r="H76" s="82"/>
      <c r="I76" s="83">
        <f t="shared" si="4"/>
        <v>6455</v>
      </c>
      <c r="J76" s="82">
        <v>6000</v>
      </c>
      <c r="K76" s="82">
        <f>250+300+1500</f>
        <v>2050</v>
      </c>
      <c r="L76" s="82"/>
      <c r="M76" s="83">
        <f t="shared" si="5"/>
        <v>8050</v>
      </c>
      <c r="N76" s="82">
        <v>5419.3548387096798</v>
      </c>
      <c r="O76" s="82">
        <f>400</f>
        <v>400</v>
      </c>
      <c r="P76" s="82"/>
      <c r="Q76" s="83">
        <f t="shared" si="12"/>
        <v>5819.3548387096798</v>
      </c>
      <c r="R76" s="82"/>
      <c r="S76" s="82"/>
      <c r="T76" s="82"/>
      <c r="U76" s="83">
        <f t="shared" si="6"/>
        <v>0</v>
      </c>
      <c r="V76" s="82"/>
      <c r="W76" s="82"/>
      <c r="X76" s="82"/>
      <c r="Y76" s="83">
        <f t="shared" si="7"/>
        <v>0</v>
      </c>
      <c r="Z76" s="82"/>
      <c r="AA76" s="82">
        <v>0</v>
      </c>
      <c r="AB76" s="82"/>
      <c r="AC76" s="83">
        <f t="shared" si="8"/>
        <v>0</v>
      </c>
      <c r="AD76" s="219">
        <f>IFERROR(VLOOKUP(C76,'[2]7月集团工资汇总表'!C:AD,28,0),0)</f>
        <v>0</v>
      </c>
      <c r="AE76" s="219"/>
      <c r="AF76" s="219"/>
      <c r="AG76" s="246">
        <f t="shared" si="18"/>
        <v>0</v>
      </c>
      <c r="AH76" s="219">
        <f>IFERROR(VLOOKUP(C76,知识科技工资!C:M,11,0),0)</f>
        <v>0</v>
      </c>
      <c r="AI76" s="82"/>
      <c r="AJ76" s="82"/>
      <c r="AK76" s="246">
        <f t="shared" si="13"/>
        <v>0</v>
      </c>
      <c r="AL76" s="82"/>
      <c r="AM76" s="82"/>
      <c r="AN76" s="82"/>
      <c r="AO76" s="83">
        <f t="shared" si="14"/>
        <v>0</v>
      </c>
      <c r="AP76" s="82"/>
      <c r="AQ76" s="82"/>
      <c r="AR76" s="82"/>
      <c r="AS76" s="83">
        <f t="shared" si="15"/>
        <v>0</v>
      </c>
      <c r="AT76" s="82"/>
      <c r="AU76" s="82"/>
      <c r="AV76" s="82"/>
      <c r="AW76" s="84">
        <f t="shared" si="16"/>
        <v>0</v>
      </c>
      <c r="AX76" s="85"/>
      <c r="AY76" s="85"/>
      <c r="AZ76" s="85"/>
      <c r="BA76" s="84">
        <f t="shared" si="17"/>
        <v>0</v>
      </c>
      <c r="BB76" s="86">
        <f t="shared" si="19"/>
        <v>17419.354838709682</v>
      </c>
      <c r="BC76" s="86">
        <f t="shared" si="20"/>
        <v>2905</v>
      </c>
      <c r="BD76" s="86">
        <f t="shared" si="21"/>
        <v>0</v>
      </c>
      <c r="BE76" s="87">
        <f t="shared" si="22"/>
        <v>20324.354838709682</v>
      </c>
    </row>
    <row r="77" spans="1:57" ht="22.5" customHeight="1">
      <c r="A77" s="3">
        <v>74</v>
      </c>
      <c r="B77" s="15" t="s">
        <v>12</v>
      </c>
      <c r="C77" s="20" t="s">
        <v>302</v>
      </c>
      <c r="D77" s="22">
        <v>42145</v>
      </c>
      <c r="E77" s="17">
        <v>0</v>
      </c>
      <c r="F77" s="82">
        <v>6000</v>
      </c>
      <c r="G77" s="82">
        <f>2000+1500</f>
        <v>3500</v>
      </c>
      <c r="H77" s="82"/>
      <c r="I77" s="83">
        <f t="shared" si="4"/>
        <v>9500</v>
      </c>
      <c r="J77" s="82">
        <v>6000</v>
      </c>
      <c r="K77" s="82"/>
      <c r="L77" s="82"/>
      <c r="M77" s="83">
        <f t="shared" si="5"/>
        <v>6000</v>
      </c>
      <c r="N77" s="82">
        <v>1161.2903225806499</v>
      </c>
      <c r="O77" s="82"/>
      <c r="P77" s="82"/>
      <c r="Q77" s="83">
        <f t="shared" si="12"/>
        <v>1161.2903225806499</v>
      </c>
      <c r="R77" s="82"/>
      <c r="S77" s="82"/>
      <c r="T77" s="82"/>
      <c r="U77" s="83">
        <f t="shared" si="6"/>
        <v>0</v>
      </c>
      <c r="V77" s="82"/>
      <c r="W77" s="82"/>
      <c r="X77" s="82"/>
      <c r="Y77" s="83">
        <f t="shared" si="7"/>
        <v>0</v>
      </c>
      <c r="Z77" s="82"/>
      <c r="AA77" s="82">
        <f>VLOOKUP(C77,'[1]2018.06中力提成汇总'!$B:$N,13,0)</f>
        <v>0</v>
      </c>
      <c r="AB77" s="82"/>
      <c r="AC77" s="83">
        <f t="shared" ref="AC77:AC156" si="23">SUM(Z77:AB77)</f>
        <v>0</v>
      </c>
      <c r="AD77" s="219">
        <f>IFERROR(VLOOKUP(C77,'[2]7月集团工资汇总表'!C:AD,28,0),0)</f>
        <v>0</v>
      </c>
      <c r="AE77" s="219"/>
      <c r="AF77" s="219"/>
      <c r="AG77" s="246">
        <f t="shared" si="18"/>
        <v>0</v>
      </c>
      <c r="AH77" s="219">
        <f>IFERROR(VLOOKUP(C77,知识科技工资!C:M,11,0),0)</f>
        <v>0</v>
      </c>
      <c r="AI77" s="82"/>
      <c r="AJ77" s="82"/>
      <c r="AK77" s="246">
        <f t="shared" si="13"/>
        <v>0</v>
      </c>
      <c r="AL77" s="82"/>
      <c r="AM77" s="82"/>
      <c r="AN77" s="82"/>
      <c r="AO77" s="83">
        <f t="shared" si="14"/>
        <v>0</v>
      </c>
      <c r="AP77" s="82"/>
      <c r="AQ77" s="82"/>
      <c r="AR77" s="82"/>
      <c r="AS77" s="83">
        <f t="shared" si="15"/>
        <v>0</v>
      </c>
      <c r="AT77" s="82"/>
      <c r="AU77" s="82"/>
      <c r="AV77" s="82"/>
      <c r="AW77" s="84">
        <f t="shared" si="16"/>
        <v>0</v>
      </c>
      <c r="AX77" s="85"/>
      <c r="AY77" s="85"/>
      <c r="AZ77" s="85"/>
      <c r="BA77" s="84">
        <f t="shared" si="17"/>
        <v>0</v>
      </c>
      <c r="BB77" s="86">
        <f t="shared" si="19"/>
        <v>13161.290322580649</v>
      </c>
      <c r="BC77" s="86">
        <f t="shared" si="20"/>
        <v>3500</v>
      </c>
      <c r="BD77" s="86">
        <f t="shared" si="21"/>
        <v>0</v>
      </c>
      <c r="BE77" s="87">
        <f t="shared" si="22"/>
        <v>16661.290322580651</v>
      </c>
    </row>
    <row r="78" spans="1:57" ht="22.5" customHeight="1">
      <c r="A78" s="3">
        <v>75</v>
      </c>
      <c r="B78" s="15" t="s">
        <v>12</v>
      </c>
      <c r="C78" s="2" t="s">
        <v>148</v>
      </c>
      <c r="D78" s="22">
        <v>42451</v>
      </c>
      <c r="E78" s="17">
        <v>6000</v>
      </c>
      <c r="F78" s="82">
        <v>5976.77</v>
      </c>
      <c r="G78" s="82">
        <f>1499</f>
        <v>1499</v>
      </c>
      <c r="H78" s="82"/>
      <c r="I78" s="83">
        <f t="shared" si="4"/>
        <v>7475.77</v>
      </c>
      <c r="J78" s="82">
        <v>6000</v>
      </c>
      <c r="K78" s="82">
        <v>326</v>
      </c>
      <c r="L78" s="82"/>
      <c r="M78" s="83">
        <f t="shared" si="5"/>
        <v>6326</v>
      </c>
      <c r="N78" s="82">
        <v>6000</v>
      </c>
      <c r="O78" s="82">
        <f>800+1384</f>
        <v>2184</v>
      </c>
      <c r="P78" s="82"/>
      <c r="Q78" s="83">
        <f t="shared" si="12"/>
        <v>8184</v>
      </c>
      <c r="R78" s="82">
        <v>6000</v>
      </c>
      <c r="S78" s="82">
        <f>1398.8</f>
        <v>1398.8</v>
      </c>
      <c r="T78" s="82"/>
      <c r="U78" s="83">
        <f t="shared" si="6"/>
        <v>7398.8</v>
      </c>
      <c r="V78" s="82">
        <v>6000</v>
      </c>
      <c r="W78" s="82">
        <v>858</v>
      </c>
      <c r="X78" s="82"/>
      <c r="Y78" s="83">
        <f t="shared" si="7"/>
        <v>6858</v>
      </c>
      <c r="Z78" s="82">
        <v>6000</v>
      </c>
      <c r="AA78" s="82">
        <f>VLOOKUP(C78,'[1]2018.06中力提成汇总'!$B:$N,13,0)</f>
        <v>2095.58</v>
      </c>
      <c r="AB78" s="82"/>
      <c r="AC78" s="83">
        <f t="shared" si="23"/>
        <v>8095.58</v>
      </c>
      <c r="AD78" s="219">
        <f>IFERROR(VLOOKUP(C78,'[2]7月集团工资汇总表'!C:AD,28,0),0)</f>
        <v>6000</v>
      </c>
      <c r="AE78" s="219">
        <f>710+400</f>
        <v>1110</v>
      </c>
      <c r="AF78" s="219"/>
      <c r="AG78" s="246">
        <f t="shared" si="18"/>
        <v>7110</v>
      </c>
      <c r="AH78" s="219">
        <f>IFERROR(VLOOKUP(C78,知识科技工资!C:M,11,0),0)</f>
        <v>10000</v>
      </c>
      <c r="AI78" s="82"/>
      <c r="AJ78" s="82"/>
      <c r="AK78" s="246">
        <f t="shared" si="13"/>
        <v>10000</v>
      </c>
      <c r="AL78" s="82"/>
      <c r="AM78" s="82"/>
      <c r="AN78" s="82"/>
      <c r="AO78" s="83">
        <f t="shared" si="14"/>
        <v>0</v>
      </c>
      <c r="AP78" s="82"/>
      <c r="AQ78" s="82"/>
      <c r="AR78" s="82"/>
      <c r="AS78" s="83">
        <f t="shared" si="15"/>
        <v>0</v>
      </c>
      <c r="AT78" s="82"/>
      <c r="AU78" s="82"/>
      <c r="AV78" s="82"/>
      <c r="AW78" s="84">
        <f t="shared" si="16"/>
        <v>0</v>
      </c>
      <c r="AX78" s="85"/>
      <c r="AY78" s="85"/>
      <c r="AZ78" s="85"/>
      <c r="BA78" s="84">
        <f t="shared" si="17"/>
        <v>0</v>
      </c>
      <c r="BB78" s="86">
        <f t="shared" si="19"/>
        <v>51976.770000000004</v>
      </c>
      <c r="BC78" s="86">
        <f t="shared" si="20"/>
        <v>9471.380000000001</v>
      </c>
      <c r="BD78" s="86">
        <f t="shared" si="21"/>
        <v>0</v>
      </c>
      <c r="BE78" s="87">
        <f t="shared" si="22"/>
        <v>61448.150000000009</v>
      </c>
    </row>
    <row r="79" spans="1:57" ht="22.5" customHeight="1">
      <c r="A79" s="3">
        <v>76</v>
      </c>
      <c r="B79" s="15" t="s">
        <v>12</v>
      </c>
      <c r="C79" s="2" t="s">
        <v>146</v>
      </c>
      <c r="D79" s="22">
        <v>42446</v>
      </c>
      <c r="E79" s="17">
        <v>7000</v>
      </c>
      <c r="F79" s="82">
        <v>5366.94</v>
      </c>
      <c r="G79" s="82"/>
      <c r="H79" s="82"/>
      <c r="I79" s="83">
        <f t="shared" si="4"/>
        <v>5366.94</v>
      </c>
      <c r="J79" s="82">
        <v>5500</v>
      </c>
      <c r="K79" s="82">
        <f>600+1500</f>
        <v>2100</v>
      </c>
      <c r="L79" s="82"/>
      <c r="M79" s="83">
        <f t="shared" si="5"/>
        <v>7600</v>
      </c>
      <c r="N79" s="82">
        <v>7000</v>
      </c>
      <c r="O79" s="82">
        <f>1200+1274+250+196</f>
        <v>2920</v>
      </c>
      <c r="P79" s="82"/>
      <c r="Q79" s="83">
        <f t="shared" si="12"/>
        <v>9920</v>
      </c>
      <c r="R79" s="82">
        <v>7000</v>
      </c>
      <c r="S79" s="82">
        <f>3162.8</f>
        <v>3162.8</v>
      </c>
      <c r="T79" s="82"/>
      <c r="U79" s="83">
        <f t="shared" si="6"/>
        <v>10162.799999999999</v>
      </c>
      <c r="V79" s="82">
        <v>6954.84</v>
      </c>
      <c r="W79" s="82"/>
      <c r="X79" s="82"/>
      <c r="Y79" s="83">
        <f t="shared" si="7"/>
        <v>6954.84</v>
      </c>
      <c r="Z79" s="82">
        <v>7000</v>
      </c>
      <c r="AA79" s="82">
        <f>VLOOKUP(C79,'[1]2018.06中力提成汇总'!$B:$N,13,0)</f>
        <v>4214</v>
      </c>
      <c r="AB79" s="82"/>
      <c r="AC79" s="83">
        <f t="shared" si="23"/>
        <v>11214</v>
      </c>
      <c r="AD79" s="219">
        <f>IFERROR(VLOOKUP(C79,'[2]7月集团工资汇总表'!C:AD,28,0),0)</f>
        <v>7000</v>
      </c>
      <c r="AE79" s="219">
        <f>686+200</f>
        <v>886</v>
      </c>
      <c r="AF79" s="219"/>
      <c r="AG79" s="246">
        <f t="shared" si="18"/>
        <v>7886</v>
      </c>
      <c r="AH79" s="219">
        <f>IFERROR(VLOOKUP(C79,知识科技工资!C:M,11,0),0)</f>
        <v>9838.7099999999991</v>
      </c>
      <c r="AI79" s="82"/>
      <c r="AJ79" s="82"/>
      <c r="AK79" s="246">
        <f t="shared" si="13"/>
        <v>9838.7099999999991</v>
      </c>
      <c r="AL79" s="82"/>
      <c r="AM79" s="82"/>
      <c r="AN79" s="82"/>
      <c r="AO79" s="83">
        <f t="shared" si="14"/>
        <v>0</v>
      </c>
      <c r="AP79" s="82"/>
      <c r="AQ79" s="82"/>
      <c r="AR79" s="82"/>
      <c r="AS79" s="83">
        <f t="shared" si="15"/>
        <v>0</v>
      </c>
      <c r="AT79" s="82"/>
      <c r="AU79" s="82"/>
      <c r="AV79" s="82"/>
      <c r="AW79" s="84">
        <f t="shared" si="16"/>
        <v>0</v>
      </c>
      <c r="AX79" s="85"/>
      <c r="AY79" s="85"/>
      <c r="AZ79" s="85"/>
      <c r="BA79" s="84">
        <f t="shared" si="17"/>
        <v>0</v>
      </c>
      <c r="BB79" s="86">
        <f t="shared" si="19"/>
        <v>55660.49</v>
      </c>
      <c r="BC79" s="86">
        <f t="shared" si="20"/>
        <v>13282.8</v>
      </c>
      <c r="BD79" s="86">
        <f t="shared" si="21"/>
        <v>0</v>
      </c>
      <c r="BE79" s="87">
        <f t="shared" si="22"/>
        <v>68943.289999999994</v>
      </c>
    </row>
    <row r="80" spans="1:57" ht="22.5" customHeight="1">
      <c r="A80" s="3">
        <v>77</v>
      </c>
      <c r="B80" s="15" t="s">
        <v>12</v>
      </c>
      <c r="C80" s="2" t="s">
        <v>150</v>
      </c>
      <c r="D80" s="22">
        <v>42650</v>
      </c>
      <c r="E80" s="17">
        <v>10000</v>
      </c>
      <c r="F80" s="82">
        <v>5500</v>
      </c>
      <c r="G80" s="82">
        <f>1274</f>
        <v>1274</v>
      </c>
      <c r="H80" s="82"/>
      <c r="I80" s="83">
        <f t="shared" si="4"/>
        <v>6774</v>
      </c>
      <c r="J80" s="82">
        <v>5500</v>
      </c>
      <c r="K80" s="82">
        <f>1800+600</f>
        <v>2400</v>
      </c>
      <c r="L80" s="82"/>
      <c r="M80" s="83">
        <f t="shared" si="5"/>
        <v>7900</v>
      </c>
      <c r="N80" s="82">
        <v>7500</v>
      </c>
      <c r="O80" s="82">
        <f>1000+300+7018</f>
        <v>8318</v>
      </c>
      <c r="P80" s="82"/>
      <c r="Q80" s="83">
        <f t="shared" si="12"/>
        <v>15818</v>
      </c>
      <c r="R80" s="82">
        <v>12460</v>
      </c>
      <c r="S80" s="82">
        <f>3225.8</f>
        <v>3225.8</v>
      </c>
      <c r="T80" s="82"/>
      <c r="U80" s="83">
        <f t="shared" si="6"/>
        <v>15685.8</v>
      </c>
      <c r="V80" s="82">
        <v>10000</v>
      </c>
      <c r="W80" s="82">
        <v>600</v>
      </c>
      <c r="X80" s="82"/>
      <c r="Y80" s="83">
        <f t="shared" si="7"/>
        <v>10600</v>
      </c>
      <c r="Z80" s="82">
        <v>9666.67</v>
      </c>
      <c r="AA80" s="82">
        <f>VLOOKUP(C80,'[1]2018.06中力提成汇总'!$B:$N,13,0)</f>
        <v>10718</v>
      </c>
      <c r="AB80" s="82"/>
      <c r="AC80" s="83">
        <f t="shared" si="23"/>
        <v>20384.669999999998</v>
      </c>
      <c r="AD80" s="219">
        <f>IFERROR(VLOOKUP(C80,'[2]7月集团工资汇总表'!C:AD,28,0),0)</f>
        <v>10322.58</v>
      </c>
      <c r="AE80" s="219">
        <v>970</v>
      </c>
      <c r="AF80" s="219"/>
      <c r="AG80" s="246">
        <f t="shared" si="18"/>
        <v>11292.58</v>
      </c>
      <c r="AH80" s="219">
        <f>IFERROR(VLOOKUP(C80,知识科技工资!C:M,11,0),0)</f>
        <v>10000</v>
      </c>
      <c r="AI80" s="82"/>
      <c r="AJ80" s="82"/>
      <c r="AK80" s="246">
        <f t="shared" si="13"/>
        <v>10000</v>
      </c>
      <c r="AL80" s="82"/>
      <c r="AM80" s="82"/>
      <c r="AN80" s="82"/>
      <c r="AO80" s="83">
        <f t="shared" si="14"/>
        <v>0</v>
      </c>
      <c r="AP80" s="82"/>
      <c r="AQ80" s="82"/>
      <c r="AR80" s="82"/>
      <c r="AS80" s="83">
        <f t="shared" si="15"/>
        <v>0</v>
      </c>
      <c r="AT80" s="82"/>
      <c r="AU80" s="82"/>
      <c r="AV80" s="82"/>
      <c r="AW80" s="84">
        <f t="shared" si="16"/>
        <v>0</v>
      </c>
      <c r="AX80" s="85"/>
      <c r="AY80" s="85"/>
      <c r="AZ80" s="85"/>
      <c r="BA80" s="84">
        <f t="shared" si="17"/>
        <v>0</v>
      </c>
      <c r="BB80" s="86">
        <f t="shared" si="19"/>
        <v>70949.25</v>
      </c>
      <c r="BC80" s="86">
        <f t="shared" si="20"/>
        <v>27505.8</v>
      </c>
      <c r="BD80" s="86">
        <f t="shared" si="21"/>
        <v>0</v>
      </c>
      <c r="BE80" s="87">
        <f t="shared" si="22"/>
        <v>98455.05</v>
      </c>
    </row>
    <row r="81" spans="1:57" ht="22.5" customHeight="1">
      <c r="A81" s="3">
        <v>78</v>
      </c>
      <c r="B81" s="15" t="s">
        <v>12</v>
      </c>
      <c r="C81" s="2" t="s">
        <v>152</v>
      </c>
      <c r="D81" s="22">
        <v>42823</v>
      </c>
      <c r="E81" s="17">
        <v>5500</v>
      </c>
      <c r="F81" s="82">
        <v>5500</v>
      </c>
      <c r="G81" s="82">
        <v>2000</v>
      </c>
      <c r="H81" s="82"/>
      <c r="I81" s="83">
        <f t="shared" si="4"/>
        <v>7500</v>
      </c>
      <c r="J81" s="82">
        <v>5500</v>
      </c>
      <c r="K81" s="82">
        <f>1200+1500</f>
        <v>2700</v>
      </c>
      <c r="L81" s="82"/>
      <c r="M81" s="83">
        <f t="shared" si="5"/>
        <v>8200</v>
      </c>
      <c r="N81" s="82">
        <v>5500</v>
      </c>
      <c r="O81" s="82">
        <f>400+2940+500+4250</f>
        <v>8090</v>
      </c>
      <c r="P81" s="82"/>
      <c r="Q81" s="83">
        <f t="shared" si="12"/>
        <v>13590</v>
      </c>
      <c r="R81" s="82">
        <v>5500</v>
      </c>
      <c r="S81" s="82">
        <f>800</f>
        <v>800</v>
      </c>
      <c r="T81" s="82"/>
      <c r="U81" s="83">
        <f t="shared" si="6"/>
        <v>6300</v>
      </c>
      <c r="V81" s="82">
        <v>5500</v>
      </c>
      <c r="W81" s="82">
        <v>200</v>
      </c>
      <c r="X81" s="82"/>
      <c r="Y81" s="83">
        <f t="shared" ref="Y81:Y170" si="24">SUM(V81:X81)</f>
        <v>5700</v>
      </c>
      <c r="Z81" s="82">
        <v>5316.67</v>
      </c>
      <c r="AA81" s="82">
        <f>VLOOKUP(C81,'[1]2018.06中力提成汇总'!$B:$N,13,0)</f>
        <v>0</v>
      </c>
      <c r="AB81" s="82"/>
      <c r="AC81" s="83">
        <f t="shared" si="23"/>
        <v>5316.67</v>
      </c>
      <c r="AD81" s="219">
        <f>IFERROR(VLOOKUP(C81,'[2]7月集团工资汇总表'!C:AD,28,0),0)</f>
        <v>5322.58</v>
      </c>
      <c r="AE81" s="219">
        <f>200+400</f>
        <v>600</v>
      </c>
      <c r="AF81" s="219"/>
      <c r="AG81" s="246">
        <f t="shared" si="18"/>
        <v>5922.58</v>
      </c>
      <c r="AH81" s="219">
        <f>IFERROR(VLOOKUP(C81,知识科技工资!C:M,11,0),0)</f>
        <v>9919.35</v>
      </c>
      <c r="AI81" s="82"/>
      <c r="AJ81" s="82"/>
      <c r="AK81" s="246">
        <f t="shared" si="13"/>
        <v>9919.35</v>
      </c>
      <c r="AL81" s="82"/>
      <c r="AM81" s="82"/>
      <c r="AN81" s="82"/>
      <c r="AO81" s="83">
        <f t="shared" si="14"/>
        <v>0</v>
      </c>
      <c r="AP81" s="82"/>
      <c r="AQ81" s="82"/>
      <c r="AR81" s="82"/>
      <c r="AS81" s="83">
        <f t="shared" si="15"/>
        <v>0</v>
      </c>
      <c r="AT81" s="82"/>
      <c r="AU81" s="82"/>
      <c r="AV81" s="82"/>
      <c r="AW81" s="84">
        <f t="shared" si="16"/>
        <v>0</v>
      </c>
      <c r="AX81" s="85"/>
      <c r="AY81" s="85"/>
      <c r="AZ81" s="85"/>
      <c r="BA81" s="84">
        <f t="shared" si="17"/>
        <v>0</v>
      </c>
      <c r="BB81" s="86">
        <f t="shared" si="19"/>
        <v>48058.6</v>
      </c>
      <c r="BC81" s="86">
        <f t="shared" si="20"/>
        <v>14390</v>
      </c>
      <c r="BD81" s="86">
        <f t="shared" si="21"/>
        <v>0</v>
      </c>
      <c r="BE81" s="87">
        <f t="shared" si="22"/>
        <v>62448.6</v>
      </c>
    </row>
    <row r="82" spans="1:57" ht="22.5" customHeight="1">
      <c r="A82" s="3">
        <v>79</v>
      </c>
      <c r="B82" s="15" t="s">
        <v>12</v>
      </c>
      <c r="C82" s="20" t="s">
        <v>303</v>
      </c>
      <c r="D82" s="18">
        <v>42521</v>
      </c>
      <c r="E82" s="17">
        <v>0</v>
      </c>
      <c r="F82" s="82">
        <v>5500</v>
      </c>
      <c r="G82" s="82"/>
      <c r="H82" s="82"/>
      <c r="I82" s="83">
        <f t="shared" si="4"/>
        <v>5500</v>
      </c>
      <c r="J82" s="82">
        <v>5500</v>
      </c>
      <c r="K82" s="82">
        <f>600+900</f>
        <v>1500</v>
      </c>
      <c r="L82" s="82"/>
      <c r="M82" s="83">
        <f t="shared" si="5"/>
        <v>7000</v>
      </c>
      <c r="N82" s="82">
        <v>5500</v>
      </c>
      <c r="O82" s="82">
        <v>400</v>
      </c>
      <c r="P82" s="82"/>
      <c r="Q82" s="83">
        <f t="shared" si="12"/>
        <v>5900</v>
      </c>
      <c r="R82" s="82">
        <v>733.33</v>
      </c>
      <c r="S82" s="82"/>
      <c r="T82" s="82"/>
      <c r="U82" s="83">
        <f t="shared" si="6"/>
        <v>733.33</v>
      </c>
      <c r="V82" s="82"/>
      <c r="W82" s="82"/>
      <c r="X82" s="82"/>
      <c r="Y82" s="83">
        <f t="shared" si="24"/>
        <v>0</v>
      </c>
      <c r="Z82" s="82"/>
      <c r="AA82" s="82">
        <f>VLOOKUP(C82,'[1]2018.06中力提成汇总'!$B:$N,13,0)</f>
        <v>0</v>
      </c>
      <c r="AB82" s="82"/>
      <c r="AC82" s="83">
        <f t="shared" si="23"/>
        <v>0</v>
      </c>
      <c r="AD82" s="219">
        <f>IFERROR(VLOOKUP(C82,'[2]7月集团工资汇总表'!C:AD,28,0),0)</f>
        <v>0</v>
      </c>
      <c r="AE82" s="219"/>
      <c r="AF82" s="219"/>
      <c r="AG82" s="246">
        <f t="shared" si="18"/>
        <v>0</v>
      </c>
      <c r="AH82" s="219">
        <f>IFERROR(VLOOKUP(C82,知识科技工资!C:M,11,0),0)</f>
        <v>0</v>
      </c>
      <c r="AI82" s="82"/>
      <c r="AJ82" s="82"/>
      <c r="AK82" s="246">
        <f t="shared" si="13"/>
        <v>0</v>
      </c>
      <c r="AL82" s="82"/>
      <c r="AM82" s="82"/>
      <c r="AN82" s="82"/>
      <c r="AO82" s="83">
        <f t="shared" si="14"/>
        <v>0</v>
      </c>
      <c r="AP82" s="82"/>
      <c r="AQ82" s="82"/>
      <c r="AR82" s="82"/>
      <c r="AS82" s="83">
        <f t="shared" si="15"/>
        <v>0</v>
      </c>
      <c r="AT82" s="82"/>
      <c r="AU82" s="82"/>
      <c r="AV82" s="82"/>
      <c r="AW82" s="84">
        <f t="shared" si="16"/>
        <v>0</v>
      </c>
      <c r="AX82" s="85"/>
      <c r="AY82" s="85"/>
      <c r="AZ82" s="85"/>
      <c r="BA82" s="84">
        <f t="shared" si="17"/>
        <v>0</v>
      </c>
      <c r="BB82" s="86">
        <f t="shared" si="19"/>
        <v>17233.330000000002</v>
      </c>
      <c r="BC82" s="86">
        <f t="shared" si="20"/>
        <v>1900</v>
      </c>
      <c r="BD82" s="86">
        <f t="shared" si="21"/>
        <v>0</v>
      </c>
      <c r="BE82" s="87">
        <f t="shared" si="22"/>
        <v>19133.330000000002</v>
      </c>
    </row>
    <row r="83" spans="1:57" ht="22.5" customHeight="1">
      <c r="A83" s="3">
        <v>80</v>
      </c>
      <c r="B83" s="15" t="s">
        <v>12</v>
      </c>
      <c r="C83" s="3" t="s">
        <v>138</v>
      </c>
      <c r="D83" s="18">
        <v>43178</v>
      </c>
      <c r="E83" s="17">
        <v>9000</v>
      </c>
      <c r="F83" s="82"/>
      <c r="G83" s="82"/>
      <c r="H83" s="82"/>
      <c r="I83" s="83"/>
      <c r="J83" s="82"/>
      <c r="K83" s="82"/>
      <c r="L83" s="82"/>
      <c r="M83" s="83"/>
      <c r="N83" s="82">
        <v>3354.83870967742</v>
      </c>
      <c r="O83" s="82"/>
      <c r="P83" s="82"/>
      <c r="Q83" s="83">
        <f t="shared" si="12"/>
        <v>3354.83870967742</v>
      </c>
      <c r="R83" s="82">
        <v>7200</v>
      </c>
      <c r="S83" s="82"/>
      <c r="T83" s="82"/>
      <c r="U83" s="83">
        <f t="shared" ref="U83:U167" si="25">SUM(R83:T83)</f>
        <v>7200</v>
      </c>
      <c r="V83" s="82">
        <v>8000</v>
      </c>
      <c r="W83" s="82">
        <v>400</v>
      </c>
      <c r="X83" s="82"/>
      <c r="Y83" s="83">
        <f t="shared" si="24"/>
        <v>8400</v>
      </c>
      <c r="Z83" s="82">
        <v>8433.33</v>
      </c>
      <c r="AA83" s="82">
        <f>VLOOKUP(C83,'[1]2018.06中力提成汇总'!$B:$N,13,0)</f>
        <v>0</v>
      </c>
      <c r="AB83" s="82"/>
      <c r="AC83" s="83">
        <f t="shared" si="23"/>
        <v>8433.33</v>
      </c>
      <c r="AD83" s="219">
        <f>IFERROR(VLOOKUP(C83,'[2]7月集团工资汇总表'!C:AD,28,0),0)</f>
        <v>9000</v>
      </c>
      <c r="AE83" s="219"/>
      <c r="AF83" s="219"/>
      <c r="AG83" s="246">
        <f t="shared" si="18"/>
        <v>9000</v>
      </c>
      <c r="AH83" s="219">
        <f>IFERROR(VLOOKUP(C83,知识科技工资!C:M,11,0),0)</f>
        <v>10000</v>
      </c>
      <c r="AI83" s="82"/>
      <c r="AJ83" s="82"/>
      <c r="AK83" s="246">
        <f t="shared" si="13"/>
        <v>10000</v>
      </c>
      <c r="AL83" s="82"/>
      <c r="AM83" s="82"/>
      <c r="AN83" s="82"/>
      <c r="AO83" s="83">
        <f t="shared" si="14"/>
        <v>0</v>
      </c>
      <c r="AP83" s="82"/>
      <c r="AQ83" s="82"/>
      <c r="AR83" s="82"/>
      <c r="AS83" s="83">
        <f t="shared" si="15"/>
        <v>0</v>
      </c>
      <c r="AT83" s="82"/>
      <c r="AU83" s="82"/>
      <c r="AV83" s="82"/>
      <c r="AW83" s="84">
        <f t="shared" si="16"/>
        <v>0</v>
      </c>
      <c r="AX83" s="85"/>
      <c r="AY83" s="85"/>
      <c r="AZ83" s="85"/>
      <c r="BA83" s="84">
        <f t="shared" si="17"/>
        <v>0</v>
      </c>
      <c r="BB83" s="86">
        <f t="shared" si="19"/>
        <v>45988.168709677419</v>
      </c>
      <c r="BC83" s="86">
        <f t="shared" si="20"/>
        <v>400</v>
      </c>
      <c r="BD83" s="86">
        <f t="shared" si="21"/>
        <v>0</v>
      </c>
      <c r="BE83" s="87">
        <f t="shared" si="22"/>
        <v>46388.168709677419</v>
      </c>
    </row>
    <row r="84" spans="1:57" ht="22.5" customHeight="1">
      <c r="A84" s="3">
        <v>81</v>
      </c>
      <c r="B84" s="15" t="s">
        <v>12</v>
      </c>
      <c r="C84" s="20" t="s">
        <v>134</v>
      </c>
      <c r="D84" s="18">
        <v>43199</v>
      </c>
      <c r="E84" s="17">
        <v>5500</v>
      </c>
      <c r="F84" s="82"/>
      <c r="G84" s="82"/>
      <c r="H84" s="82"/>
      <c r="I84" s="83"/>
      <c r="J84" s="82"/>
      <c r="K84" s="82"/>
      <c r="L84" s="82"/>
      <c r="M84" s="83"/>
      <c r="N84" s="82"/>
      <c r="O84" s="82"/>
      <c r="P84" s="82"/>
      <c r="Q84" s="83"/>
      <c r="R84" s="82">
        <v>4033.33</v>
      </c>
      <c r="S84" s="82">
        <f>350</f>
        <v>350</v>
      </c>
      <c r="T84" s="82"/>
      <c r="U84" s="83">
        <f t="shared" si="25"/>
        <v>4383.33</v>
      </c>
      <c r="V84" s="82">
        <v>5154.9399999999996</v>
      </c>
      <c r="W84" s="82">
        <v>200</v>
      </c>
      <c r="X84" s="82"/>
      <c r="Y84" s="83">
        <f t="shared" si="24"/>
        <v>5354.94</v>
      </c>
      <c r="Z84" s="82">
        <v>5184.67</v>
      </c>
      <c r="AA84" s="82">
        <f>VLOOKUP(C84,'[1]2018.06中力提成汇总'!$B:$N,13,0)</f>
        <v>9240</v>
      </c>
      <c r="AB84" s="82"/>
      <c r="AC84" s="83">
        <f t="shared" si="23"/>
        <v>14424.67</v>
      </c>
      <c r="AD84" s="219">
        <f>IFERROR(VLOOKUP(C84,'[2]7月集团工资汇总表'!C:AD,28,0),0)</f>
        <v>2750</v>
      </c>
      <c r="AE84" s="219"/>
      <c r="AF84" s="219"/>
      <c r="AG84" s="246">
        <f t="shared" si="18"/>
        <v>2750</v>
      </c>
      <c r="AH84" s="219">
        <f>IFERROR(VLOOKUP(C84,知识科技工资!C:M,11,0),0)</f>
        <v>0</v>
      </c>
      <c r="AI84" s="82"/>
      <c r="AJ84" s="82"/>
      <c r="AK84" s="246">
        <f t="shared" si="13"/>
        <v>0</v>
      </c>
      <c r="AL84" s="82"/>
      <c r="AM84" s="82"/>
      <c r="AN84" s="82"/>
      <c r="AO84" s="83"/>
      <c r="AP84" s="82"/>
      <c r="AQ84" s="82"/>
      <c r="AR84" s="82"/>
      <c r="AS84" s="83"/>
      <c r="AT84" s="82"/>
      <c r="AU84" s="82"/>
      <c r="AV84" s="82"/>
      <c r="AW84" s="84"/>
      <c r="AX84" s="85"/>
      <c r="AY84" s="85"/>
      <c r="AZ84" s="85"/>
      <c r="BA84" s="84"/>
      <c r="BB84" s="86">
        <f t="shared" si="19"/>
        <v>17122.940000000002</v>
      </c>
      <c r="BC84" s="86">
        <f t="shared" si="20"/>
        <v>9790</v>
      </c>
      <c r="BD84" s="86">
        <f t="shared" si="21"/>
        <v>0</v>
      </c>
      <c r="BE84" s="87">
        <f t="shared" si="22"/>
        <v>26912.940000000002</v>
      </c>
    </row>
    <row r="85" spans="1:57" ht="22.5" customHeight="1">
      <c r="A85" s="3">
        <v>82</v>
      </c>
      <c r="B85" s="15" t="s">
        <v>12</v>
      </c>
      <c r="C85" s="20" t="s">
        <v>304</v>
      </c>
      <c r="D85" s="18">
        <v>43214</v>
      </c>
      <c r="E85" s="17">
        <v>0</v>
      </c>
      <c r="F85" s="82"/>
      <c r="G85" s="82"/>
      <c r="H85" s="82"/>
      <c r="I85" s="83"/>
      <c r="J85" s="82"/>
      <c r="K85" s="82"/>
      <c r="L85" s="82"/>
      <c r="M85" s="83"/>
      <c r="N85" s="82"/>
      <c r="O85" s="82"/>
      <c r="P85" s="82"/>
      <c r="Q85" s="83"/>
      <c r="R85" s="82">
        <v>1283.33</v>
      </c>
      <c r="S85" s="82"/>
      <c r="T85" s="82"/>
      <c r="U85" s="83">
        <f t="shared" si="25"/>
        <v>1283.33</v>
      </c>
      <c r="V85" s="82">
        <v>5322.58</v>
      </c>
      <c r="W85" s="82"/>
      <c r="X85" s="82"/>
      <c r="Y85" s="83">
        <f t="shared" si="24"/>
        <v>5322.58</v>
      </c>
      <c r="Z85" s="82">
        <v>1650</v>
      </c>
      <c r="AA85" s="82">
        <f>VLOOKUP(C85,'[1]2018.06中力提成汇总'!$B:$N,13,0)</f>
        <v>0</v>
      </c>
      <c r="AB85" s="82"/>
      <c r="AC85" s="83">
        <f t="shared" si="23"/>
        <v>1650</v>
      </c>
      <c r="AD85" s="219">
        <f>IFERROR(VLOOKUP(C85,'[2]7月集团工资汇总表'!C:AD,28,0),0)</f>
        <v>0</v>
      </c>
      <c r="AE85" s="219"/>
      <c r="AF85" s="219"/>
      <c r="AG85" s="246">
        <f t="shared" si="18"/>
        <v>0</v>
      </c>
      <c r="AH85" s="219">
        <f>IFERROR(VLOOKUP(C85,知识科技工资!C:M,11,0),0)</f>
        <v>0</v>
      </c>
      <c r="AI85" s="82"/>
      <c r="AJ85" s="82"/>
      <c r="AK85" s="246">
        <f t="shared" si="13"/>
        <v>0</v>
      </c>
      <c r="AL85" s="82"/>
      <c r="AM85" s="82"/>
      <c r="AN85" s="82"/>
      <c r="AO85" s="83"/>
      <c r="AP85" s="82"/>
      <c r="AQ85" s="82"/>
      <c r="AR85" s="82"/>
      <c r="AS85" s="83"/>
      <c r="AT85" s="82"/>
      <c r="AU85" s="82"/>
      <c r="AV85" s="82"/>
      <c r="AW85" s="84"/>
      <c r="AX85" s="85"/>
      <c r="AY85" s="85"/>
      <c r="AZ85" s="85"/>
      <c r="BA85" s="84"/>
      <c r="BB85" s="86">
        <f t="shared" si="19"/>
        <v>8255.91</v>
      </c>
      <c r="BC85" s="86">
        <f t="shared" si="20"/>
        <v>0</v>
      </c>
      <c r="BD85" s="86">
        <f t="shared" si="21"/>
        <v>0</v>
      </c>
      <c r="BE85" s="87">
        <f t="shared" si="22"/>
        <v>8255.91</v>
      </c>
    </row>
    <row r="86" spans="1:57" ht="22.5" customHeight="1">
      <c r="A86" s="3">
        <v>83</v>
      </c>
      <c r="B86" s="15" t="s">
        <v>12</v>
      </c>
      <c r="C86" s="3" t="s">
        <v>136</v>
      </c>
      <c r="D86" s="18">
        <v>43279</v>
      </c>
      <c r="E86" s="17">
        <v>6000</v>
      </c>
      <c r="F86" s="82"/>
      <c r="G86" s="82"/>
      <c r="H86" s="82"/>
      <c r="I86" s="83"/>
      <c r="J86" s="82"/>
      <c r="K86" s="82"/>
      <c r="L86" s="82"/>
      <c r="M86" s="83"/>
      <c r="N86" s="82"/>
      <c r="O86" s="82"/>
      <c r="P86" s="82"/>
      <c r="Q86" s="83"/>
      <c r="R86" s="82"/>
      <c r="S86" s="82"/>
      <c r="T86" s="82"/>
      <c r="U86" s="83"/>
      <c r="V86" s="82"/>
      <c r="W86" s="82"/>
      <c r="X86" s="82"/>
      <c r="Y86" s="83"/>
      <c r="Z86" s="82">
        <v>600</v>
      </c>
      <c r="AA86" s="82">
        <f>VLOOKUP(C86,'[1]2018.06中力提成汇总'!$B:$N,13,0)</f>
        <v>0</v>
      </c>
      <c r="AB86" s="82"/>
      <c r="AC86" s="83">
        <f t="shared" si="23"/>
        <v>600</v>
      </c>
      <c r="AD86" s="219">
        <f>IFERROR(VLOOKUP(C86,'[2]7月集团工资汇总表'!C:AD,28,0),0)</f>
        <v>5903.23</v>
      </c>
      <c r="AE86" s="219"/>
      <c r="AF86" s="219"/>
      <c r="AG86" s="246">
        <f t="shared" si="18"/>
        <v>5903.23</v>
      </c>
      <c r="AH86" s="219">
        <f>IFERROR(VLOOKUP(C86,知识科技工资!C:M,11,0),0)</f>
        <v>10000</v>
      </c>
      <c r="AI86" s="82"/>
      <c r="AJ86" s="82"/>
      <c r="AK86" s="246">
        <f t="shared" si="13"/>
        <v>10000</v>
      </c>
      <c r="AL86" s="82"/>
      <c r="AM86" s="82"/>
      <c r="AN86" s="82"/>
      <c r="AO86" s="83"/>
      <c r="AP86" s="82"/>
      <c r="AQ86" s="82"/>
      <c r="AR86" s="82"/>
      <c r="AS86" s="83"/>
      <c r="AT86" s="82"/>
      <c r="AU86" s="82"/>
      <c r="AV86" s="82"/>
      <c r="AW86" s="84"/>
      <c r="AX86" s="85"/>
      <c r="AY86" s="85"/>
      <c r="AZ86" s="85"/>
      <c r="BA86" s="84"/>
      <c r="BB86" s="86">
        <f t="shared" si="19"/>
        <v>16503.23</v>
      </c>
      <c r="BC86" s="86">
        <f t="shared" si="20"/>
        <v>0</v>
      </c>
      <c r="BD86" s="86">
        <f t="shared" si="21"/>
        <v>0</v>
      </c>
      <c r="BE86" s="87">
        <f t="shared" si="22"/>
        <v>16503.23</v>
      </c>
    </row>
    <row r="87" spans="1:57" ht="22.5" customHeight="1">
      <c r="A87" s="3">
        <v>84</v>
      </c>
      <c r="B87" s="15" t="s">
        <v>12</v>
      </c>
      <c r="C87" s="20" t="s">
        <v>305</v>
      </c>
      <c r="D87" s="18">
        <v>43273</v>
      </c>
      <c r="E87" s="17">
        <v>0</v>
      </c>
      <c r="F87" s="82"/>
      <c r="G87" s="82"/>
      <c r="H87" s="82"/>
      <c r="I87" s="83"/>
      <c r="J87" s="82"/>
      <c r="K87" s="82"/>
      <c r="L87" s="82"/>
      <c r="M87" s="83"/>
      <c r="N87" s="82"/>
      <c r="O87" s="82"/>
      <c r="P87" s="82"/>
      <c r="Q87" s="83"/>
      <c r="R87" s="82"/>
      <c r="S87" s="82"/>
      <c r="T87" s="82"/>
      <c r="U87" s="83"/>
      <c r="V87" s="82"/>
      <c r="W87" s="82"/>
      <c r="X87" s="82"/>
      <c r="Y87" s="83"/>
      <c r="Z87" s="82">
        <v>833.33</v>
      </c>
      <c r="AA87" s="82">
        <f>VLOOKUP(C87,'[1]2018.06中力提成汇总'!$B:$N,13,0)</f>
        <v>0</v>
      </c>
      <c r="AB87" s="82"/>
      <c r="AC87" s="83">
        <f t="shared" si="23"/>
        <v>833.33</v>
      </c>
      <c r="AD87" s="219">
        <f>IFERROR(VLOOKUP(C87,'[2]7月集团工资汇总表'!C:AD,28,0),0)</f>
        <v>0</v>
      </c>
      <c r="AE87" s="219"/>
      <c r="AF87" s="219"/>
      <c r="AG87" s="246">
        <f t="shared" si="18"/>
        <v>0</v>
      </c>
      <c r="AH87" s="219">
        <f>IFERROR(VLOOKUP(C87,知识科技工资!C:M,11,0),0)</f>
        <v>0</v>
      </c>
      <c r="AI87" s="82"/>
      <c r="AJ87" s="82"/>
      <c r="AK87" s="246">
        <f t="shared" si="13"/>
        <v>0</v>
      </c>
      <c r="AL87" s="82"/>
      <c r="AM87" s="82"/>
      <c r="AN87" s="82"/>
      <c r="AO87" s="83"/>
      <c r="AP87" s="82"/>
      <c r="AQ87" s="82"/>
      <c r="AR87" s="82"/>
      <c r="AS87" s="83"/>
      <c r="AT87" s="82"/>
      <c r="AU87" s="82"/>
      <c r="AV87" s="82"/>
      <c r="AW87" s="84"/>
      <c r="AX87" s="85"/>
      <c r="AY87" s="85"/>
      <c r="AZ87" s="85"/>
      <c r="BA87" s="84"/>
      <c r="BB87" s="86">
        <f t="shared" si="19"/>
        <v>833.33</v>
      </c>
      <c r="BC87" s="86">
        <f t="shared" si="20"/>
        <v>0</v>
      </c>
      <c r="BD87" s="86">
        <f t="shared" si="21"/>
        <v>0</v>
      </c>
      <c r="BE87" s="87">
        <f t="shared" si="22"/>
        <v>833.33</v>
      </c>
    </row>
    <row r="88" spans="1:57" ht="22.5" customHeight="1">
      <c r="A88" s="3">
        <v>85</v>
      </c>
      <c r="B88" s="15" t="s">
        <v>12</v>
      </c>
      <c r="C88" s="20" t="s">
        <v>306</v>
      </c>
      <c r="D88" s="18">
        <v>43255</v>
      </c>
      <c r="E88" s="17">
        <v>0</v>
      </c>
      <c r="F88" s="82"/>
      <c r="G88" s="82"/>
      <c r="H88" s="82"/>
      <c r="I88" s="83"/>
      <c r="J88" s="82"/>
      <c r="K88" s="82"/>
      <c r="L88" s="82"/>
      <c r="M88" s="83"/>
      <c r="N88" s="82"/>
      <c r="O88" s="82"/>
      <c r="P88" s="82"/>
      <c r="Q88" s="83"/>
      <c r="R88" s="82"/>
      <c r="S88" s="82"/>
      <c r="T88" s="82"/>
      <c r="U88" s="83"/>
      <c r="V88" s="82"/>
      <c r="W88" s="82"/>
      <c r="X88" s="82"/>
      <c r="Y88" s="83"/>
      <c r="Z88" s="82">
        <v>3666.67</v>
      </c>
      <c r="AA88" s="82">
        <f>VLOOKUP(C88,'[1]2018.06中力提成汇总'!$B:$N,13,0)</f>
        <v>0</v>
      </c>
      <c r="AB88" s="82"/>
      <c r="AC88" s="83">
        <f t="shared" si="23"/>
        <v>3666.67</v>
      </c>
      <c r="AD88" s="219">
        <f>IFERROR(VLOOKUP(C88,'[2]7月集团工资汇总表'!C:AD,28,0),0)</f>
        <v>0</v>
      </c>
      <c r="AE88" s="219"/>
      <c r="AF88" s="219"/>
      <c r="AG88" s="246">
        <f t="shared" si="18"/>
        <v>0</v>
      </c>
      <c r="AH88" s="219">
        <f>IFERROR(VLOOKUP(C88,知识科技工资!C:M,11,0),0)</f>
        <v>0</v>
      </c>
      <c r="AI88" s="82"/>
      <c r="AJ88" s="82"/>
      <c r="AK88" s="246">
        <f t="shared" si="13"/>
        <v>0</v>
      </c>
      <c r="AL88" s="82"/>
      <c r="AM88" s="82"/>
      <c r="AN88" s="82"/>
      <c r="AO88" s="83"/>
      <c r="AP88" s="82"/>
      <c r="AQ88" s="82"/>
      <c r="AR88" s="82"/>
      <c r="AS88" s="83"/>
      <c r="AT88" s="82"/>
      <c r="AU88" s="82"/>
      <c r="AV88" s="82"/>
      <c r="AW88" s="84"/>
      <c r="AX88" s="85"/>
      <c r="AY88" s="85"/>
      <c r="AZ88" s="85"/>
      <c r="BA88" s="84"/>
      <c r="BB88" s="86">
        <f t="shared" si="19"/>
        <v>3666.67</v>
      </c>
      <c r="BC88" s="86">
        <f t="shared" si="20"/>
        <v>0</v>
      </c>
      <c r="BD88" s="86">
        <f t="shared" si="21"/>
        <v>0</v>
      </c>
      <c r="BE88" s="87">
        <f t="shared" si="22"/>
        <v>3666.67</v>
      </c>
    </row>
    <row r="89" spans="1:57" ht="22.5" customHeight="1">
      <c r="A89" s="3">
        <v>86</v>
      </c>
      <c r="B89" s="15" t="s">
        <v>12</v>
      </c>
      <c r="C89" s="20" t="s">
        <v>307</v>
      </c>
      <c r="D89" s="18">
        <v>43207</v>
      </c>
      <c r="E89" s="17">
        <v>0</v>
      </c>
      <c r="F89" s="82"/>
      <c r="G89" s="82"/>
      <c r="H89" s="82"/>
      <c r="I89" s="83"/>
      <c r="J89" s="82"/>
      <c r="K89" s="82"/>
      <c r="L89" s="82"/>
      <c r="M89" s="83"/>
      <c r="N89" s="82"/>
      <c r="O89" s="82"/>
      <c r="P89" s="82"/>
      <c r="Q89" s="83"/>
      <c r="R89" s="82">
        <v>1833.33</v>
      </c>
      <c r="S89" s="82"/>
      <c r="T89" s="82"/>
      <c r="U89" s="83">
        <f t="shared" si="25"/>
        <v>1833.33</v>
      </c>
      <c r="V89" s="82"/>
      <c r="W89" s="82"/>
      <c r="X89" s="82"/>
      <c r="Y89" s="83">
        <f t="shared" si="24"/>
        <v>0</v>
      </c>
      <c r="Z89" s="82"/>
      <c r="AA89" s="82">
        <f>VLOOKUP(C89,'[1]2018.06中力提成汇总'!$B:$N,13,0)</f>
        <v>0</v>
      </c>
      <c r="AB89" s="82"/>
      <c r="AC89" s="83">
        <f t="shared" si="23"/>
        <v>0</v>
      </c>
      <c r="AD89" s="219">
        <f>IFERROR(VLOOKUP(C89,'[2]7月集团工资汇总表'!C:AD,28,0),0)</f>
        <v>0</v>
      </c>
      <c r="AE89" s="219"/>
      <c r="AF89" s="219"/>
      <c r="AG89" s="246">
        <f t="shared" si="18"/>
        <v>0</v>
      </c>
      <c r="AH89" s="219">
        <f>IFERROR(VLOOKUP(C89,知识科技工资!C:M,11,0),0)</f>
        <v>0</v>
      </c>
      <c r="AI89" s="82"/>
      <c r="AJ89" s="82"/>
      <c r="AK89" s="246">
        <f t="shared" si="13"/>
        <v>0</v>
      </c>
      <c r="AL89" s="82"/>
      <c r="AM89" s="82"/>
      <c r="AN89" s="82"/>
      <c r="AO89" s="83"/>
      <c r="AP89" s="82"/>
      <c r="AQ89" s="82"/>
      <c r="AR89" s="82"/>
      <c r="AS89" s="83"/>
      <c r="AT89" s="82"/>
      <c r="AU89" s="82"/>
      <c r="AV89" s="82"/>
      <c r="AW89" s="84"/>
      <c r="AX89" s="85"/>
      <c r="AY89" s="85"/>
      <c r="AZ89" s="85"/>
      <c r="BA89" s="84"/>
      <c r="BB89" s="86">
        <f t="shared" si="19"/>
        <v>1833.33</v>
      </c>
      <c r="BC89" s="86">
        <f t="shared" si="20"/>
        <v>0</v>
      </c>
      <c r="BD89" s="86">
        <f t="shared" si="21"/>
        <v>0</v>
      </c>
      <c r="BE89" s="87">
        <f t="shared" si="22"/>
        <v>1833.33</v>
      </c>
    </row>
    <row r="90" spans="1:57" ht="22.5" customHeight="1">
      <c r="A90" s="3">
        <v>87</v>
      </c>
      <c r="B90" s="34" t="s">
        <v>12</v>
      </c>
      <c r="C90" s="20" t="s">
        <v>11</v>
      </c>
      <c r="D90" s="18">
        <v>43283</v>
      </c>
      <c r="E90" s="17">
        <v>5500</v>
      </c>
      <c r="F90" s="82"/>
      <c r="G90" s="82"/>
      <c r="H90" s="82"/>
      <c r="I90" s="83"/>
      <c r="J90" s="82"/>
      <c r="K90" s="82"/>
      <c r="L90" s="82"/>
      <c r="M90" s="83"/>
      <c r="N90" s="82"/>
      <c r="O90" s="82"/>
      <c r="P90" s="82"/>
      <c r="Q90" s="83"/>
      <c r="R90" s="82"/>
      <c r="S90" s="82"/>
      <c r="T90" s="82"/>
      <c r="U90" s="83"/>
      <c r="V90" s="82"/>
      <c r="W90" s="82"/>
      <c r="X90" s="82"/>
      <c r="Y90" s="83"/>
      <c r="Z90" s="82"/>
      <c r="AA90" s="82">
        <v>0</v>
      </c>
      <c r="AB90" s="82"/>
      <c r="AC90" s="83"/>
      <c r="AD90" s="219">
        <f>IFERROR(VLOOKUP(C90,'[2]7月集团工资汇总表'!C:AD,28,0),0)</f>
        <v>1596.77</v>
      </c>
      <c r="AE90" s="219"/>
      <c r="AF90" s="219"/>
      <c r="AG90" s="246">
        <f t="shared" si="18"/>
        <v>1596.77</v>
      </c>
      <c r="AH90" s="219">
        <f>IFERROR(VLOOKUP(C90,知识科技工资!C:M,11,0),0)</f>
        <v>0</v>
      </c>
      <c r="AI90" s="82"/>
      <c r="AJ90" s="82"/>
      <c r="AK90" s="246">
        <f t="shared" si="13"/>
        <v>0</v>
      </c>
      <c r="AL90" s="82"/>
      <c r="AM90" s="82"/>
      <c r="AN90" s="82"/>
      <c r="AO90" s="83"/>
      <c r="AP90" s="82"/>
      <c r="AQ90" s="82"/>
      <c r="AR90" s="82"/>
      <c r="AS90" s="83"/>
      <c r="AT90" s="82"/>
      <c r="AU90" s="82"/>
      <c r="AV90" s="82"/>
      <c r="AW90" s="84"/>
      <c r="AX90" s="85"/>
      <c r="AY90" s="85"/>
      <c r="AZ90" s="85"/>
      <c r="BA90" s="84"/>
      <c r="BB90" s="86">
        <f t="shared" si="19"/>
        <v>1596.77</v>
      </c>
      <c r="BC90" s="86">
        <f t="shared" si="20"/>
        <v>0</v>
      </c>
      <c r="BD90" s="86">
        <f t="shared" si="21"/>
        <v>0</v>
      </c>
      <c r="BE90" s="87">
        <f t="shared" si="22"/>
        <v>1596.77</v>
      </c>
    </row>
    <row r="91" spans="1:57" ht="22.5" customHeight="1">
      <c r="A91" s="3">
        <v>88</v>
      </c>
      <c r="B91" s="34" t="s">
        <v>12</v>
      </c>
      <c r="C91" s="20" t="s">
        <v>14</v>
      </c>
      <c r="D91" s="18">
        <v>43283</v>
      </c>
      <c r="E91" s="17">
        <v>7000</v>
      </c>
      <c r="F91" s="82"/>
      <c r="G91" s="82"/>
      <c r="H91" s="82"/>
      <c r="I91" s="83"/>
      <c r="J91" s="82"/>
      <c r="K91" s="82"/>
      <c r="L91" s="82"/>
      <c r="M91" s="83"/>
      <c r="N91" s="82"/>
      <c r="O91" s="82"/>
      <c r="P91" s="82"/>
      <c r="Q91" s="83"/>
      <c r="R91" s="82"/>
      <c r="S91" s="82"/>
      <c r="T91" s="82"/>
      <c r="U91" s="83"/>
      <c r="V91" s="82"/>
      <c r="W91" s="82"/>
      <c r="X91" s="82"/>
      <c r="Y91" s="83"/>
      <c r="Z91" s="82"/>
      <c r="AA91" s="82">
        <v>0</v>
      </c>
      <c r="AB91" s="82"/>
      <c r="AC91" s="83"/>
      <c r="AD91" s="219">
        <f>IFERROR(VLOOKUP(C91,'[2]7月集团工资汇总表'!C:AD,28,0),0)</f>
        <v>903.23</v>
      </c>
      <c r="AE91" s="219"/>
      <c r="AF91" s="219"/>
      <c r="AG91" s="246">
        <f t="shared" si="18"/>
        <v>903.23</v>
      </c>
      <c r="AH91" s="219">
        <f>IFERROR(VLOOKUP(C91,知识科技工资!C:M,11,0),0)</f>
        <v>0</v>
      </c>
      <c r="AI91" s="82"/>
      <c r="AJ91" s="82"/>
      <c r="AK91" s="246">
        <f t="shared" si="13"/>
        <v>0</v>
      </c>
      <c r="AL91" s="82"/>
      <c r="AM91" s="82"/>
      <c r="AN91" s="82"/>
      <c r="AO91" s="83"/>
      <c r="AP91" s="82"/>
      <c r="AQ91" s="82"/>
      <c r="AR91" s="82"/>
      <c r="AS91" s="83"/>
      <c r="AT91" s="82"/>
      <c r="AU91" s="82"/>
      <c r="AV91" s="82"/>
      <c r="AW91" s="84"/>
      <c r="AX91" s="85"/>
      <c r="AY91" s="85"/>
      <c r="AZ91" s="85"/>
      <c r="BA91" s="84"/>
      <c r="BB91" s="86">
        <f t="shared" si="19"/>
        <v>903.23</v>
      </c>
      <c r="BC91" s="86">
        <f t="shared" si="20"/>
        <v>0</v>
      </c>
      <c r="BD91" s="86">
        <f t="shared" si="21"/>
        <v>0</v>
      </c>
      <c r="BE91" s="87">
        <f t="shared" si="22"/>
        <v>903.23</v>
      </c>
    </row>
    <row r="92" spans="1:57" ht="22.5" customHeight="1">
      <c r="A92" s="3">
        <v>89</v>
      </c>
      <c r="B92" s="34" t="s">
        <v>12</v>
      </c>
      <c r="C92" s="3" t="s">
        <v>30</v>
      </c>
      <c r="D92" s="18">
        <v>43300</v>
      </c>
      <c r="E92" s="17">
        <v>5000</v>
      </c>
      <c r="F92" s="82"/>
      <c r="G92" s="82"/>
      <c r="H92" s="82"/>
      <c r="I92" s="83"/>
      <c r="J92" s="82"/>
      <c r="K92" s="82"/>
      <c r="L92" s="82"/>
      <c r="M92" s="83"/>
      <c r="N92" s="82"/>
      <c r="O92" s="82"/>
      <c r="P92" s="82"/>
      <c r="Q92" s="83"/>
      <c r="R92" s="82"/>
      <c r="S92" s="82"/>
      <c r="T92" s="82"/>
      <c r="U92" s="83"/>
      <c r="V92" s="82"/>
      <c r="W92" s="82"/>
      <c r="X92" s="82"/>
      <c r="Y92" s="83"/>
      <c r="Z92" s="82"/>
      <c r="AA92" s="82">
        <v>0</v>
      </c>
      <c r="AB92" s="82"/>
      <c r="AC92" s="83"/>
      <c r="AD92" s="219">
        <f>IFERROR(VLOOKUP(C92,'[2]7月集团工资汇总表'!C:AD,28,0),0)</f>
        <v>2096.77</v>
      </c>
      <c r="AE92" s="219"/>
      <c r="AF92" s="219"/>
      <c r="AG92" s="246">
        <f t="shared" si="18"/>
        <v>2096.77</v>
      </c>
      <c r="AH92" s="219">
        <f>IFERROR(VLOOKUP(C92,知识科技工资!C:M,11,0),0)</f>
        <v>9838.7099999999991</v>
      </c>
      <c r="AI92" s="82"/>
      <c r="AJ92" s="82"/>
      <c r="AK92" s="246">
        <f t="shared" si="13"/>
        <v>9838.7099999999991</v>
      </c>
      <c r="AL92" s="82"/>
      <c r="AM92" s="82"/>
      <c r="AN92" s="82"/>
      <c r="AO92" s="83"/>
      <c r="AP92" s="82"/>
      <c r="AQ92" s="82"/>
      <c r="AR92" s="82"/>
      <c r="AS92" s="83"/>
      <c r="AT92" s="82"/>
      <c r="AU92" s="82"/>
      <c r="AV92" s="82"/>
      <c r="AW92" s="84"/>
      <c r="AX92" s="85"/>
      <c r="AY92" s="85"/>
      <c r="AZ92" s="85"/>
      <c r="BA92" s="84"/>
      <c r="BB92" s="86">
        <f t="shared" si="19"/>
        <v>11935.48</v>
      </c>
      <c r="BC92" s="86">
        <f t="shared" si="20"/>
        <v>0</v>
      </c>
      <c r="BD92" s="86">
        <f t="shared" si="21"/>
        <v>0</v>
      </c>
      <c r="BE92" s="87">
        <f t="shared" si="22"/>
        <v>11935.48</v>
      </c>
    </row>
    <row r="93" spans="1:57" ht="22.5" customHeight="1">
      <c r="A93" s="3">
        <v>90</v>
      </c>
      <c r="B93" s="34" t="s">
        <v>12</v>
      </c>
      <c r="C93" s="3" t="s">
        <v>31</v>
      </c>
      <c r="D93" s="18">
        <v>43300</v>
      </c>
      <c r="E93" s="17">
        <v>5000</v>
      </c>
      <c r="F93" s="82"/>
      <c r="G93" s="82"/>
      <c r="H93" s="82"/>
      <c r="I93" s="83"/>
      <c r="J93" s="82"/>
      <c r="K93" s="82"/>
      <c r="L93" s="82"/>
      <c r="M93" s="83"/>
      <c r="N93" s="82"/>
      <c r="O93" s="82"/>
      <c r="P93" s="82"/>
      <c r="Q93" s="83"/>
      <c r="R93" s="82"/>
      <c r="S93" s="82"/>
      <c r="T93" s="82"/>
      <c r="U93" s="83"/>
      <c r="V93" s="82"/>
      <c r="W93" s="82"/>
      <c r="X93" s="82"/>
      <c r="Y93" s="83"/>
      <c r="Z93" s="82"/>
      <c r="AA93" s="82">
        <v>0</v>
      </c>
      <c r="AB93" s="82"/>
      <c r="AC93" s="83"/>
      <c r="AD93" s="219">
        <f>IFERROR(VLOOKUP(C93,'[2]7月集团工资汇总表'!C:AD,28,0),0)</f>
        <v>2096.77</v>
      </c>
      <c r="AE93" s="219"/>
      <c r="AF93" s="219"/>
      <c r="AG93" s="246">
        <f t="shared" si="18"/>
        <v>2096.77</v>
      </c>
      <c r="AH93" s="219">
        <f>IFERROR(VLOOKUP(C93,知识科技工资!C:M,11,0),0)</f>
        <v>10000</v>
      </c>
      <c r="AI93" s="82"/>
      <c r="AJ93" s="82"/>
      <c r="AK93" s="246">
        <f t="shared" si="13"/>
        <v>10000</v>
      </c>
      <c r="AL93" s="82"/>
      <c r="AM93" s="82"/>
      <c r="AN93" s="82"/>
      <c r="AO93" s="83"/>
      <c r="AP93" s="82"/>
      <c r="AQ93" s="82"/>
      <c r="AR93" s="82"/>
      <c r="AS93" s="83"/>
      <c r="AT93" s="82"/>
      <c r="AU93" s="82"/>
      <c r="AV93" s="82"/>
      <c r="AW93" s="84"/>
      <c r="AX93" s="85"/>
      <c r="AY93" s="85"/>
      <c r="AZ93" s="85"/>
      <c r="BA93" s="84"/>
      <c r="BB93" s="86">
        <f t="shared" si="19"/>
        <v>12096.77</v>
      </c>
      <c r="BC93" s="86">
        <f t="shared" si="20"/>
        <v>0</v>
      </c>
      <c r="BD93" s="86">
        <f t="shared" si="21"/>
        <v>0</v>
      </c>
      <c r="BE93" s="87">
        <f t="shared" si="22"/>
        <v>12096.77</v>
      </c>
    </row>
    <row r="94" spans="1:57" ht="22.5" customHeight="1">
      <c r="A94" s="3">
        <v>91</v>
      </c>
      <c r="B94" s="34" t="s">
        <v>12</v>
      </c>
      <c r="C94" s="3" t="s">
        <v>32</v>
      </c>
      <c r="D94" s="18">
        <v>43300</v>
      </c>
      <c r="E94" s="17">
        <v>5000</v>
      </c>
      <c r="F94" s="82"/>
      <c r="G94" s="82"/>
      <c r="H94" s="82"/>
      <c r="I94" s="83"/>
      <c r="J94" s="82"/>
      <c r="K94" s="82"/>
      <c r="L94" s="82"/>
      <c r="M94" s="83"/>
      <c r="N94" s="82"/>
      <c r="O94" s="82"/>
      <c r="P94" s="82"/>
      <c r="Q94" s="83"/>
      <c r="R94" s="82"/>
      <c r="S94" s="82"/>
      <c r="T94" s="82"/>
      <c r="U94" s="83"/>
      <c r="V94" s="82"/>
      <c r="W94" s="82"/>
      <c r="X94" s="82"/>
      <c r="Y94" s="83"/>
      <c r="Z94" s="82"/>
      <c r="AA94" s="82">
        <v>0</v>
      </c>
      <c r="AB94" s="82"/>
      <c r="AC94" s="83"/>
      <c r="AD94" s="219">
        <f>IFERROR(VLOOKUP(C94,'[2]7月集团工资汇总表'!C:AD,28,0),0)</f>
        <v>2096.77</v>
      </c>
      <c r="AE94" s="219"/>
      <c r="AF94" s="219"/>
      <c r="AG94" s="246">
        <f t="shared" si="18"/>
        <v>2096.77</v>
      </c>
      <c r="AH94" s="219">
        <f>IFERROR(VLOOKUP(C94,知识科技工资!C:M,11,0),0)</f>
        <v>9677.42</v>
      </c>
      <c r="AI94" s="82"/>
      <c r="AJ94" s="82"/>
      <c r="AK94" s="246">
        <f t="shared" si="13"/>
        <v>9677.42</v>
      </c>
      <c r="AL94" s="82"/>
      <c r="AM94" s="82"/>
      <c r="AN94" s="82"/>
      <c r="AO94" s="83"/>
      <c r="AP94" s="82"/>
      <c r="AQ94" s="82"/>
      <c r="AR94" s="82"/>
      <c r="AS94" s="83"/>
      <c r="AT94" s="82"/>
      <c r="AU94" s="82"/>
      <c r="AV94" s="82"/>
      <c r="AW94" s="84"/>
      <c r="AX94" s="85"/>
      <c r="AY94" s="85"/>
      <c r="AZ94" s="85"/>
      <c r="BA94" s="84"/>
      <c r="BB94" s="86">
        <f t="shared" si="19"/>
        <v>11774.19</v>
      </c>
      <c r="BC94" s="86">
        <f t="shared" si="20"/>
        <v>0</v>
      </c>
      <c r="BD94" s="86">
        <f t="shared" si="21"/>
        <v>0</v>
      </c>
      <c r="BE94" s="87">
        <f t="shared" si="22"/>
        <v>11774.19</v>
      </c>
    </row>
    <row r="95" spans="1:57" ht="22.5" customHeight="1">
      <c r="A95" s="3">
        <v>92</v>
      </c>
      <c r="B95" s="34" t="s">
        <v>12</v>
      </c>
      <c r="C95" s="3" t="s">
        <v>35</v>
      </c>
      <c r="D95" s="18">
        <v>43308</v>
      </c>
      <c r="E95" s="17">
        <v>5000</v>
      </c>
      <c r="F95" s="82"/>
      <c r="G95" s="82"/>
      <c r="H95" s="82"/>
      <c r="I95" s="83"/>
      <c r="J95" s="82"/>
      <c r="K95" s="82"/>
      <c r="L95" s="82"/>
      <c r="M95" s="83"/>
      <c r="N95" s="82"/>
      <c r="O95" s="82"/>
      <c r="P95" s="82"/>
      <c r="Q95" s="83"/>
      <c r="R95" s="82"/>
      <c r="S95" s="82"/>
      <c r="T95" s="82"/>
      <c r="U95" s="83"/>
      <c r="V95" s="82"/>
      <c r="W95" s="82"/>
      <c r="X95" s="82"/>
      <c r="Y95" s="83"/>
      <c r="Z95" s="82"/>
      <c r="AA95" s="82">
        <v>0</v>
      </c>
      <c r="AB95" s="82"/>
      <c r="AC95" s="83"/>
      <c r="AD95" s="219">
        <f>IFERROR(VLOOKUP(C95,'[2]7月集团工资汇总表'!C:AD,28,0),0)</f>
        <v>806.45</v>
      </c>
      <c r="AE95" s="219"/>
      <c r="AF95" s="219"/>
      <c r="AG95" s="246">
        <f t="shared" si="18"/>
        <v>806.45</v>
      </c>
      <c r="AH95" s="219">
        <f>IFERROR(VLOOKUP(C95,知识科技工资!C:M,11,0),0)</f>
        <v>9590.32</v>
      </c>
      <c r="AI95" s="82"/>
      <c r="AJ95" s="82"/>
      <c r="AK95" s="246">
        <f t="shared" si="13"/>
        <v>9590.32</v>
      </c>
      <c r="AL95" s="82"/>
      <c r="AM95" s="82"/>
      <c r="AN95" s="82"/>
      <c r="AO95" s="83"/>
      <c r="AP95" s="82"/>
      <c r="AQ95" s="82"/>
      <c r="AR95" s="82"/>
      <c r="AS95" s="83"/>
      <c r="AT95" s="82"/>
      <c r="AU95" s="82"/>
      <c r="AV95" s="82"/>
      <c r="AW95" s="84"/>
      <c r="AX95" s="85"/>
      <c r="AY95" s="85"/>
      <c r="AZ95" s="85"/>
      <c r="BA95" s="84"/>
      <c r="BB95" s="86">
        <f t="shared" si="19"/>
        <v>10396.77</v>
      </c>
      <c r="BC95" s="86">
        <f t="shared" si="20"/>
        <v>0</v>
      </c>
      <c r="BD95" s="86">
        <f t="shared" si="21"/>
        <v>0</v>
      </c>
      <c r="BE95" s="87">
        <f t="shared" si="22"/>
        <v>10396.77</v>
      </c>
    </row>
    <row r="96" spans="1:57" ht="22.5" customHeight="1">
      <c r="A96" s="3">
        <v>93</v>
      </c>
      <c r="B96" s="34" t="s">
        <v>12</v>
      </c>
      <c r="C96" s="202" t="s">
        <v>1001</v>
      </c>
      <c r="D96" s="203">
        <v>43325</v>
      </c>
      <c r="E96" s="204">
        <v>5000</v>
      </c>
      <c r="F96" s="205"/>
      <c r="G96" s="205"/>
      <c r="H96" s="205"/>
      <c r="I96" s="206"/>
      <c r="J96" s="205"/>
      <c r="K96" s="205"/>
      <c r="L96" s="205"/>
      <c r="M96" s="206"/>
      <c r="N96" s="205"/>
      <c r="O96" s="205"/>
      <c r="P96" s="205"/>
      <c r="Q96" s="206"/>
      <c r="R96" s="205"/>
      <c r="S96" s="205"/>
      <c r="T96" s="205"/>
      <c r="U96" s="206"/>
      <c r="V96" s="205"/>
      <c r="W96" s="211"/>
      <c r="X96" s="205"/>
      <c r="Y96" s="206"/>
      <c r="Z96" s="205"/>
      <c r="AA96" s="205"/>
      <c r="AB96" s="205"/>
      <c r="AC96" s="206"/>
      <c r="AD96" s="219">
        <f>IFERROR(VLOOKUP(C96,'[2]7月集团工资汇总表'!C:AD,28,0),0)</f>
        <v>0</v>
      </c>
      <c r="AE96" s="221"/>
      <c r="AF96" s="221"/>
      <c r="AG96" s="250"/>
      <c r="AH96" s="219">
        <f>IFERROR(VLOOKUP(C96,知识科技工资!C:M,11,0),0)</f>
        <v>5806.45</v>
      </c>
      <c r="AI96" s="205"/>
      <c r="AJ96" s="205"/>
      <c r="AK96" s="246">
        <f t="shared" si="13"/>
        <v>5806.45</v>
      </c>
      <c r="AL96" s="205"/>
      <c r="AM96" s="205"/>
      <c r="AN96" s="205"/>
      <c r="AO96" s="206"/>
      <c r="AP96" s="205"/>
      <c r="AQ96" s="205"/>
      <c r="AR96" s="205"/>
      <c r="AS96" s="206"/>
      <c r="AT96" s="205"/>
      <c r="AU96" s="205"/>
      <c r="AV96" s="205"/>
      <c r="AW96" s="207"/>
      <c r="AX96" s="208"/>
      <c r="AY96" s="208"/>
      <c r="AZ96" s="208"/>
      <c r="BA96" s="207"/>
      <c r="BB96" s="86">
        <f t="shared" si="19"/>
        <v>5806.45</v>
      </c>
      <c r="BC96" s="209"/>
      <c r="BD96" s="209"/>
      <c r="BE96" s="210"/>
    </row>
    <row r="97" spans="1:57" ht="22.5" customHeight="1">
      <c r="A97" s="3">
        <v>94</v>
      </c>
      <c r="B97" s="34" t="s">
        <v>12</v>
      </c>
      <c r="C97" s="202" t="s">
        <v>1005</v>
      </c>
      <c r="D97" s="203">
        <v>43339</v>
      </c>
      <c r="E97" s="204">
        <v>10000</v>
      </c>
      <c r="F97" s="205"/>
      <c r="G97" s="205"/>
      <c r="H97" s="205"/>
      <c r="I97" s="206"/>
      <c r="J97" s="205"/>
      <c r="K97" s="205"/>
      <c r="L97" s="205"/>
      <c r="M97" s="206"/>
      <c r="N97" s="205"/>
      <c r="O97" s="205"/>
      <c r="P97" s="205"/>
      <c r="Q97" s="206"/>
      <c r="R97" s="205"/>
      <c r="S97" s="205"/>
      <c r="T97" s="205"/>
      <c r="U97" s="206"/>
      <c r="V97" s="205"/>
      <c r="W97" s="211"/>
      <c r="X97" s="205"/>
      <c r="Y97" s="206"/>
      <c r="Z97" s="205"/>
      <c r="AA97" s="205"/>
      <c r="AB97" s="205"/>
      <c r="AC97" s="206"/>
      <c r="AD97" s="219">
        <f>IFERROR(VLOOKUP(C97,'[2]7月集团工资汇总表'!C:AD,28,0),0)</f>
        <v>0</v>
      </c>
      <c r="AE97" s="221"/>
      <c r="AF97" s="221"/>
      <c r="AG97" s="250"/>
      <c r="AH97" s="219">
        <f>IFERROR(VLOOKUP(C97,知识科技工资!C:M,11,0),0)</f>
        <v>1612.9</v>
      </c>
      <c r="AI97" s="205"/>
      <c r="AJ97" s="205"/>
      <c r="AK97" s="246">
        <f t="shared" si="13"/>
        <v>1612.9</v>
      </c>
      <c r="AL97" s="205"/>
      <c r="AM97" s="205"/>
      <c r="AN97" s="205"/>
      <c r="AO97" s="206"/>
      <c r="AP97" s="205"/>
      <c r="AQ97" s="205"/>
      <c r="AR97" s="205"/>
      <c r="AS97" s="206"/>
      <c r="AT97" s="205"/>
      <c r="AU97" s="205"/>
      <c r="AV97" s="205"/>
      <c r="AW97" s="207"/>
      <c r="AX97" s="208"/>
      <c r="AY97" s="208"/>
      <c r="AZ97" s="208"/>
      <c r="BA97" s="207"/>
      <c r="BB97" s="86">
        <f t="shared" si="19"/>
        <v>1612.9</v>
      </c>
      <c r="BC97" s="209"/>
      <c r="BD97" s="209"/>
      <c r="BE97" s="210"/>
    </row>
    <row r="98" spans="1:57" ht="22.5" customHeight="1">
      <c r="A98" s="3">
        <v>95</v>
      </c>
      <c r="B98" s="15" t="s">
        <v>308</v>
      </c>
      <c r="C98" s="3" t="s">
        <v>72</v>
      </c>
      <c r="D98" s="18">
        <v>43218</v>
      </c>
      <c r="E98" s="17">
        <v>35000</v>
      </c>
      <c r="F98" s="82"/>
      <c r="G98" s="82"/>
      <c r="H98" s="82"/>
      <c r="I98" s="83"/>
      <c r="J98" s="82"/>
      <c r="K98" s="82"/>
      <c r="L98" s="82"/>
      <c r="M98" s="83"/>
      <c r="N98" s="82"/>
      <c r="O98" s="82"/>
      <c r="P98" s="82"/>
      <c r="Q98" s="83"/>
      <c r="R98" s="82">
        <v>3500</v>
      </c>
      <c r="S98" s="82"/>
      <c r="T98" s="82"/>
      <c r="U98" s="83">
        <f t="shared" si="25"/>
        <v>3500</v>
      </c>
      <c r="V98" s="82">
        <v>35000</v>
      </c>
      <c r="W98" s="93"/>
      <c r="X98" s="82"/>
      <c r="Y98" s="83">
        <f t="shared" si="24"/>
        <v>35000</v>
      </c>
      <c r="Z98" s="82">
        <v>35000</v>
      </c>
      <c r="AA98" s="82">
        <f>VLOOKUP(C98,'[1]2018.06中力提成汇总'!$B:$N,13,0)</f>
        <v>0</v>
      </c>
      <c r="AB98" s="82"/>
      <c r="AC98" s="83">
        <f t="shared" si="23"/>
        <v>35000</v>
      </c>
      <c r="AD98" s="219">
        <f>IFERROR(VLOOKUP(C98,'[2]7月集团工资汇总表'!C:AD,28,0),0)</f>
        <v>19000</v>
      </c>
      <c r="AE98" s="219"/>
      <c r="AF98" s="219"/>
      <c r="AG98" s="246">
        <f t="shared" si="18"/>
        <v>19000</v>
      </c>
      <c r="AH98" s="219">
        <f>IFERROR(VLOOKUP(C98,知识科技工资!C:M,11,0),0)</f>
        <v>10000</v>
      </c>
      <c r="AI98" s="82"/>
      <c r="AJ98" s="82"/>
      <c r="AK98" s="246">
        <f t="shared" si="13"/>
        <v>10000</v>
      </c>
      <c r="AL98" s="82"/>
      <c r="AM98" s="82"/>
      <c r="AN98" s="82"/>
      <c r="AO98" s="83"/>
      <c r="AP98" s="82"/>
      <c r="AQ98" s="82"/>
      <c r="AR98" s="82"/>
      <c r="AS98" s="83"/>
      <c r="AT98" s="82"/>
      <c r="AU98" s="82"/>
      <c r="AV98" s="82"/>
      <c r="AW98" s="84"/>
      <c r="AX98" s="85"/>
      <c r="AY98" s="85"/>
      <c r="AZ98" s="85"/>
      <c r="BA98" s="84"/>
      <c r="BB98" s="86">
        <f t="shared" si="19"/>
        <v>102500</v>
      </c>
      <c r="BC98" s="86">
        <f t="shared" si="20"/>
        <v>0</v>
      </c>
      <c r="BD98" s="86">
        <f t="shared" si="21"/>
        <v>0</v>
      </c>
      <c r="BE98" s="87">
        <f t="shared" si="22"/>
        <v>102500</v>
      </c>
    </row>
    <row r="99" spans="1:57" s="65" customFormat="1" ht="22.5" customHeight="1">
      <c r="A99" s="3">
        <v>96</v>
      </c>
      <c r="B99" s="66" t="s">
        <v>308</v>
      </c>
      <c r="C99" s="24" t="s">
        <v>309</v>
      </c>
      <c r="D99" s="67">
        <v>42430</v>
      </c>
      <c r="E99" s="64">
        <v>20000</v>
      </c>
      <c r="F99" s="94">
        <v>20000</v>
      </c>
      <c r="G99" s="94">
        <v>480.9</v>
      </c>
      <c r="H99" s="94"/>
      <c r="I99" s="95">
        <f t="shared" si="4"/>
        <v>20480.900000000001</v>
      </c>
      <c r="J99" s="94">
        <v>20000</v>
      </c>
      <c r="K99" s="94">
        <v>97.8</v>
      </c>
      <c r="L99" s="94"/>
      <c r="M99" s="95">
        <f t="shared" si="5"/>
        <v>20097.8</v>
      </c>
      <c r="N99" s="94">
        <v>20000</v>
      </c>
      <c r="O99" s="94">
        <v>148.80000000000001</v>
      </c>
      <c r="P99" s="94"/>
      <c r="Q99" s="95">
        <f t="shared" si="12"/>
        <v>20148.8</v>
      </c>
      <c r="R99" s="94">
        <v>20000</v>
      </c>
      <c r="S99" s="94">
        <f>270.54</f>
        <v>270.54000000000002</v>
      </c>
      <c r="T99" s="94"/>
      <c r="U99" s="95">
        <f t="shared" si="25"/>
        <v>20270.54</v>
      </c>
      <c r="V99" s="94">
        <v>20000</v>
      </c>
      <c r="W99" s="94">
        <v>137.4</v>
      </c>
      <c r="X99" s="94"/>
      <c r="Y99" s="95">
        <f t="shared" si="24"/>
        <v>20137.400000000001</v>
      </c>
      <c r="Z99" s="94">
        <v>21279</v>
      </c>
      <c r="AA99" s="94">
        <f>VLOOKUP(C99,'[1]2018.06中力提成汇总'!$B:$N,13,0)</f>
        <v>504</v>
      </c>
      <c r="AB99" s="94"/>
      <c r="AC99" s="95">
        <f t="shared" si="23"/>
        <v>21783</v>
      </c>
      <c r="AD99" s="219">
        <f>IFERROR(VLOOKUP(C99,'[2]7月集团工资汇总表'!C:AD,28,0),0)</f>
        <v>20000</v>
      </c>
      <c r="AE99" s="226"/>
      <c r="AF99" s="226"/>
      <c r="AG99" s="246">
        <f t="shared" si="18"/>
        <v>20000</v>
      </c>
      <c r="AH99" s="219">
        <f>IFERROR(VLOOKUP(C99,知识科技工资!C:M,11,0),0)</f>
        <v>0</v>
      </c>
      <c r="AI99" s="94"/>
      <c r="AJ99" s="94"/>
      <c r="AK99" s="246">
        <f t="shared" si="13"/>
        <v>0</v>
      </c>
      <c r="AL99" s="94"/>
      <c r="AM99" s="94"/>
      <c r="AN99" s="94"/>
      <c r="AO99" s="95">
        <f t="shared" si="14"/>
        <v>0</v>
      </c>
      <c r="AP99" s="94"/>
      <c r="AQ99" s="94"/>
      <c r="AR99" s="94"/>
      <c r="AS99" s="95">
        <f t="shared" si="15"/>
        <v>0</v>
      </c>
      <c r="AT99" s="94"/>
      <c r="AU99" s="94"/>
      <c r="AV99" s="94"/>
      <c r="AW99" s="96">
        <f t="shared" si="16"/>
        <v>0</v>
      </c>
      <c r="AX99" s="97"/>
      <c r="AY99" s="97"/>
      <c r="AZ99" s="97"/>
      <c r="BA99" s="96">
        <f t="shared" si="17"/>
        <v>0</v>
      </c>
      <c r="BB99" s="86">
        <f t="shared" si="19"/>
        <v>141279</v>
      </c>
      <c r="BC99" s="86">
        <f t="shared" si="20"/>
        <v>1639.44</v>
      </c>
      <c r="BD99" s="86">
        <f t="shared" si="21"/>
        <v>0</v>
      </c>
      <c r="BE99" s="87">
        <f t="shared" si="22"/>
        <v>142918.44</v>
      </c>
    </row>
    <row r="100" spans="1:57" ht="22.5" customHeight="1">
      <c r="A100" s="3">
        <v>97</v>
      </c>
      <c r="B100" s="15" t="s">
        <v>308</v>
      </c>
      <c r="C100" s="2" t="s">
        <v>74</v>
      </c>
      <c r="D100" s="22">
        <v>43272</v>
      </c>
      <c r="E100" s="17">
        <v>17000</v>
      </c>
      <c r="F100" s="82"/>
      <c r="G100" s="82"/>
      <c r="H100" s="82"/>
      <c r="I100" s="83"/>
      <c r="J100" s="82"/>
      <c r="K100" s="82"/>
      <c r="L100" s="82"/>
      <c r="M100" s="83"/>
      <c r="N100" s="82"/>
      <c r="O100" s="82"/>
      <c r="P100" s="82"/>
      <c r="Q100" s="83"/>
      <c r="R100" s="82"/>
      <c r="S100" s="82"/>
      <c r="T100" s="82"/>
      <c r="U100" s="83"/>
      <c r="V100" s="82"/>
      <c r="W100" s="82"/>
      <c r="X100" s="82"/>
      <c r="Y100" s="83"/>
      <c r="Z100" s="82">
        <v>5666.67</v>
      </c>
      <c r="AA100" s="82">
        <f>VLOOKUP(C100,'[1]2018.06中力提成汇总'!$B:$N,13,0)</f>
        <v>0</v>
      </c>
      <c r="AB100" s="82"/>
      <c r="AC100" s="83">
        <f t="shared" si="23"/>
        <v>5666.67</v>
      </c>
      <c r="AD100" s="219">
        <f>IFERROR(VLOOKUP(C100,'[2]7月集团工资汇总表'!C:AD,28,0),0)</f>
        <v>15000</v>
      </c>
      <c r="AE100" s="219"/>
      <c r="AF100" s="219"/>
      <c r="AG100" s="246">
        <f t="shared" si="18"/>
        <v>15000</v>
      </c>
      <c r="AH100" s="219">
        <f>IFERROR(VLOOKUP(C100,知识科技工资!C:M,11,0),0)</f>
        <v>9677.42</v>
      </c>
      <c r="AI100" s="82"/>
      <c r="AJ100" s="82"/>
      <c r="AK100" s="246">
        <f t="shared" si="13"/>
        <v>9677.42</v>
      </c>
      <c r="AL100" s="82"/>
      <c r="AM100" s="82"/>
      <c r="AN100" s="82"/>
      <c r="AO100" s="83"/>
      <c r="AP100" s="82"/>
      <c r="AQ100" s="82"/>
      <c r="AR100" s="82"/>
      <c r="AS100" s="83"/>
      <c r="AT100" s="82"/>
      <c r="AU100" s="82"/>
      <c r="AV100" s="82"/>
      <c r="AW100" s="84"/>
      <c r="AX100" s="85"/>
      <c r="AY100" s="85"/>
      <c r="AZ100" s="85"/>
      <c r="BA100" s="84"/>
      <c r="BB100" s="86">
        <f t="shared" si="19"/>
        <v>30344.089999999997</v>
      </c>
      <c r="BC100" s="86">
        <f t="shared" si="20"/>
        <v>0</v>
      </c>
      <c r="BD100" s="86">
        <f t="shared" si="21"/>
        <v>0</v>
      </c>
      <c r="BE100" s="87">
        <f t="shared" si="22"/>
        <v>30344.089999999997</v>
      </c>
    </row>
    <row r="101" spans="1:57" s="65" customFormat="1" ht="22.5" customHeight="1">
      <c r="A101" s="3">
        <v>98</v>
      </c>
      <c r="B101" s="66" t="s">
        <v>308</v>
      </c>
      <c r="C101" s="20" t="s">
        <v>64</v>
      </c>
      <c r="D101" s="67">
        <v>41975</v>
      </c>
      <c r="E101" s="64">
        <v>8000</v>
      </c>
      <c r="F101" s="94">
        <v>8500</v>
      </c>
      <c r="G101" s="94">
        <v>480.9</v>
      </c>
      <c r="H101" s="94"/>
      <c r="I101" s="95">
        <f t="shared" si="4"/>
        <v>8980.9</v>
      </c>
      <c r="J101" s="94">
        <v>8500</v>
      </c>
      <c r="K101" s="94">
        <v>97.8</v>
      </c>
      <c r="L101" s="94"/>
      <c r="M101" s="95">
        <f t="shared" si="5"/>
        <v>8597.7999999999993</v>
      </c>
      <c r="N101" s="94">
        <v>8500</v>
      </c>
      <c r="O101" s="94">
        <f>400+148.8</f>
        <v>548.79999999999995</v>
      </c>
      <c r="P101" s="94"/>
      <c r="Q101" s="95">
        <f t="shared" si="12"/>
        <v>9048.7999999999993</v>
      </c>
      <c r="R101" s="94">
        <v>8416</v>
      </c>
      <c r="S101" s="94">
        <v>270.54000000000002</v>
      </c>
      <c r="T101" s="94"/>
      <c r="U101" s="95">
        <f t="shared" si="25"/>
        <v>8686.5400000000009</v>
      </c>
      <c r="V101" s="94">
        <v>8000</v>
      </c>
      <c r="W101" s="94">
        <v>137.4</v>
      </c>
      <c r="X101" s="94"/>
      <c r="Y101" s="95">
        <f t="shared" si="24"/>
        <v>8137.4</v>
      </c>
      <c r="Z101" s="94">
        <v>8000</v>
      </c>
      <c r="AA101" s="94">
        <f>VLOOKUP(C101,'[1]2018.06中力提成汇总'!$B:$N,13,0)</f>
        <v>504</v>
      </c>
      <c r="AB101" s="94"/>
      <c r="AC101" s="95">
        <f t="shared" si="23"/>
        <v>8504</v>
      </c>
      <c r="AD101" s="219">
        <f>IFERROR(VLOOKUP(C101,'[2]7月集团工资汇总表'!C:AD,28,0),0)</f>
        <v>8000</v>
      </c>
      <c r="AE101" s="226">
        <v>186</v>
      </c>
      <c r="AF101" s="226"/>
      <c r="AG101" s="246">
        <f t="shared" si="18"/>
        <v>8186</v>
      </c>
      <c r="AH101" s="219">
        <f>IFERROR(VLOOKUP(C101,知识科技工资!C:M,11,0),0)</f>
        <v>0</v>
      </c>
      <c r="AI101" s="94"/>
      <c r="AJ101" s="94"/>
      <c r="AK101" s="246">
        <f t="shared" si="13"/>
        <v>0</v>
      </c>
      <c r="AL101" s="94"/>
      <c r="AM101" s="94"/>
      <c r="AN101" s="94"/>
      <c r="AO101" s="95">
        <f t="shared" si="14"/>
        <v>0</v>
      </c>
      <c r="AP101" s="94"/>
      <c r="AQ101" s="94"/>
      <c r="AR101" s="94"/>
      <c r="AS101" s="95">
        <f t="shared" si="15"/>
        <v>0</v>
      </c>
      <c r="AT101" s="94"/>
      <c r="AU101" s="94"/>
      <c r="AV101" s="94"/>
      <c r="AW101" s="96">
        <f t="shared" si="16"/>
        <v>0</v>
      </c>
      <c r="AX101" s="97"/>
      <c r="AY101" s="97"/>
      <c r="AZ101" s="97"/>
      <c r="BA101" s="96">
        <f t="shared" si="17"/>
        <v>0</v>
      </c>
      <c r="BB101" s="86">
        <f t="shared" si="19"/>
        <v>57916</v>
      </c>
      <c r="BC101" s="86">
        <f t="shared" si="20"/>
        <v>2225.44</v>
      </c>
      <c r="BD101" s="86">
        <f t="shared" si="21"/>
        <v>0</v>
      </c>
      <c r="BE101" s="87">
        <f t="shared" si="22"/>
        <v>60141.440000000002</v>
      </c>
    </row>
    <row r="102" spans="1:57" s="124" customFormat="1" ht="22.5" customHeight="1">
      <c r="A102" s="3">
        <v>99</v>
      </c>
      <c r="B102" s="117" t="s">
        <v>308</v>
      </c>
      <c r="C102" s="116" t="s">
        <v>52</v>
      </c>
      <c r="D102" s="128">
        <v>42178</v>
      </c>
      <c r="E102" s="119">
        <v>10000</v>
      </c>
      <c r="F102" s="120">
        <v>7000</v>
      </c>
      <c r="G102" s="120"/>
      <c r="H102" s="120"/>
      <c r="I102" s="121">
        <f t="shared" si="4"/>
        <v>7000</v>
      </c>
      <c r="J102" s="120">
        <v>7000</v>
      </c>
      <c r="K102" s="120"/>
      <c r="L102" s="120"/>
      <c r="M102" s="121">
        <f t="shared" si="5"/>
        <v>7000</v>
      </c>
      <c r="N102" s="120">
        <v>7000</v>
      </c>
      <c r="O102" s="120"/>
      <c r="P102" s="120"/>
      <c r="Q102" s="121">
        <f t="shared" si="12"/>
        <v>7000</v>
      </c>
      <c r="R102" s="120">
        <v>7100</v>
      </c>
      <c r="S102" s="120">
        <v>270.54000000000002</v>
      </c>
      <c r="T102" s="120"/>
      <c r="U102" s="121">
        <f t="shared" si="25"/>
        <v>7370.54</v>
      </c>
      <c r="V102" s="120">
        <v>8000</v>
      </c>
      <c r="W102" s="120">
        <v>137.4</v>
      </c>
      <c r="X102" s="120"/>
      <c r="Y102" s="121">
        <f t="shared" si="24"/>
        <v>8137.4</v>
      </c>
      <c r="Z102" s="120">
        <v>8000</v>
      </c>
      <c r="AA102" s="120">
        <f>VLOOKUP(C102,'[1]2018.06中力提成汇总'!$B:$N,13,0)</f>
        <v>504</v>
      </c>
      <c r="AB102" s="120"/>
      <c r="AC102" s="121">
        <f t="shared" si="23"/>
        <v>8504</v>
      </c>
      <c r="AD102" s="219">
        <f>IFERROR(VLOOKUP(C102,'[2]7月集团工资汇总表'!C:AD,28,0),0)</f>
        <v>9961.2800000000007</v>
      </c>
      <c r="AE102" s="251">
        <v>186</v>
      </c>
      <c r="AF102" s="251"/>
      <c r="AG102" s="246">
        <f t="shared" si="18"/>
        <v>10147.280000000001</v>
      </c>
      <c r="AH102" s="219">
        <v>10000</v>
      </c>
      <c r="AI102" s="120"/>
      <c r="AJ102" s="120"/>
      <c r="AK102" s="246">
        <f t="shared" si="13"/>
        <v>10000</v>
      </c>
      <c r="AL102" s="120"/>
      <c r="AM102" s="120"/>
      <c r="AN102" s="120"/>
      <c r="AO102" s="121">
        <f t="shared" si="14"/>
        <v>0</v>
      </c>
      <c r="AP102" s="120"/>
      <c r="AQ102" s="120"/>
      <c r="AR102" s="120"/>
      <c r="AS102" s="121">
        <f t="shared" si="15"/>
        <v>0</v>
      </c>
      <c r="AT102" s="120"/>
      <c r="AU102" s="120"/>
      <c r="AV102" s="120"/>
      <c r="AW102" s="122">
        <f t="shared" si="16"/>
        <v>0</v>
      </c>
      <c r="AX102" s="123"/>
      <c r="AY102" s="123"/>
      <c r="AZ102" s="123"/>
      <c r="BA102" s="122">
        <f t="shared" si="17"/>
        <v>0</v>
      </c>
      <c r="BB102" s="86">
        <f t="shared" si="19"/>
        <v>64061.279999999999</v>
      </c>
      <c r="BC102" s="86">
        <f t="shared" si="20"/>
        <v>1097.94</v>
      </c>
      <c r="BD102" s="86">
        <f t="shared" si="21"/>
        <v>0</v>
      </c>
      <c r="BE102" s="87">
        <f t="shared" si="22"/>
        <v>65159.22</v>
      </c>
    </row>
    <row r="103" spans="1:57" s="65" customFormat="1" ht="22.5" customHeight="1">
      <c r="A103" s="3">
        <v>100</v>
      </c>
      <c r="B103" s="66" t="s">
        <v>308</v>
      </c>
      <c r="C103" s="20" t="s">
        <v>853</v>
      </c>
      <c r="D103" s="67">
        <v>42712</v>
      </c>
      <c r="E103" s="64">
        <v>6000</v>
      </c>
      <c r="F103" s="94">
        <v>6500</v>
      </c>
      <c r="G103" s="94">
        <f>300+480.9</f>
        <v>780.9</v>
      </c>
      <c r="H103" s="94"/>
      <c r="I103" s="95">
        <f t="shared" si="4"/>
        <v>7280.9</v>
      </c>
      <c r="J103" s="94">
        <v>6500</v>
      </c>
      <c r="K103" s="94">
        <v>97.8</v>
      </c>
      <c r="L103" s="94"/>
      <c r="M103" s="95">
        <f t="shared" si="5"/>
        <v>6597.8</v>
      </c>
      <c r="N103" s="94">
        <v>6500</v>
      </c>
      <c r="O103" s="94">
        <v>148.80000000000001</v>
      </c>
      <c r="P103" s="94"/>
      <c r="Q103" s="95">
        <f t="shared" si="12"/>
        <v>6648.8</v>
      </c>
      <c r="R103" s="94">
        <v>6450</v>
      </c>
      <c r="S103" s="94">
        <v>670.54</v>
      </c>
      <c r="T103" s="94"/>
      <c r="U103" s="95">
        <f t="shared" si="25"/>
        <v>7120.54</v>
      </c>
      <c r="V103" s="94">
        <v>6000</v>
      </c>
      <c r="W103" s="94">
        <v>137.4</v>
      </c>
      <c r="X103" s="94"/>
      <c r="Y103" s="95">
        <f t="shared" si="24"/>
        <v>6137.4</v>
      </c>
      <c r="Z103" s="94">
        <v>6000</v>
      </c>
      <c r="AA103" s="94">
        <f>VLOOKUP(C103,'[1]2018.06中力提成汇总'!$B:$N,13,0)</f>
        <v>504</v>
      </c>
      <c r="AB103" s="94"/>
      <c r="AC103" s="95">
        <f t="shared" si="23"/>
        <v>6504</v>
      </c>
      <c r="AD103" s="219">
        <f>IFERROR(VLOOKUP(C103,'[2]7月集团工资汇总表'!C:AD,28,0),0)</f>
        <v>3870.97</v>
      </c>
      <c r="AE103" s="226"/>
      <c r="AF103" s="226"/>
      <c r="AG103" s="246">
        <f t="shared" si="18"/>
        <v>3870.97</v>
      </c>
      <c r="AH103" s="219">
        <f>IFERROR(VLOOKUP(C103,知识科技工资!C:M,11,0),0)</f>
        <v>0</v>
      </c>
      <c r="AI103" s="94"/>
      <c r="AJ103" s="94"/>
      <c r="AK103" s="246">
        <f t="shared" si="13"/>
        <v>0</v>
      </c>
      <c r="AL103" s="94"/>
      <c r="AM103" s="94"/>
      <c r="AN103" s="94"/>
      <c r="AO103" s="95">
        <f t="shared" si="14"/>
        <v>0</v>
      </c>
      <c r="AP103" s="94"/>
      <c r="AQ103" s="94"/>
      <c r="AR103" s="94"/>
      <c r="AS103" s="95">
        <f t="shared" si="15"/>
        <v>0</v>
      </c>
      <c r="AT103" s="94"/>
      <c r="AU103" s="94"/>
      <c r="AV103" s="94"/>
      <c r="AW103" s="96">
        <f t="shared" si="16"/>
        <v>0</v>
      </c>
      <c r="AX103" s="97"/>
      <c r="AY103" s="97"/>
      <c r="AZ103" s="97"/>
      <c r="BA103" s="96">
        <f t="shared" si="17"/>
        <v>0</v>
      </c>
      <c r="BB103" s="86">
        <f t="shared" si="19"/>
        <v>41820.97</v>
      </c>
      <c r="BC103" s="86">
        <f t="shared" si="20"/>
        <v>2339.44</v>
      </c>
      <c r="BD103" s="86">
        <f t="shared" si="21"/>
        <v>0</v>
      </c>
      <c r="BE103" s="87">
        <f t="shared" si="22"/>
        <v>44160.41</v>
      </c>
    </row>
    <row r="104" spans="1:57" ht="22.5" customHeight="1">
      <c r="A104" s="3">
        <v>101</v>
      </c>
      <c r="B104" s="66" t="s">
        <v>308</v>
      </c>
      <c r="C104" s="3" t="s">
        <v>16</v>
      </c>
      <c r="D104" s="18">
        <v>43286</v>
      </c>
      <c r="E104" s="17">
        <v>6000</v>
      </c>
      <c r="F104" s="82"/>
      <c r="G104" s="82"/>
      <c r="H104" s="82"/>
      <c r="I104" s="83"/>
      <c r="J104" s="82"/>
      <c r="K104" s="82"/>
      <c r="L104" s="82"/>
      <c r="M104" s="83"/>
      <c r="N104" s="82"/>
      <c r="O104" s="82"/>
      <c r="P104" s="82"/>
      <c r="Q104" s="83"/>
      <c r="R104" s="82"/>
      <c r="S104" s="82"/>
      <c r="T104" s="82"/>
      <c r="U104" s="83"/>
      <c r="V104" s="82"/>
      <c r="W104" s="82"/>
      <c r="X104" s="82"/>
      <c r="Y104" s="83"/>
      <c r="Z104" s="82"/>
      <c r="AA104" s="82">
        <v>0</v>
      </c>
      <c r="AB104" s="82"/>
      <c r="AC104" s="83"/>
      <c r="AD104" s="219">
        <f>IFERROR(VLOOKUP(C104,'[2]7月集团工资汇总表'!C:AD,28,0),0)</f>
        <v>5225.8100000000004</v>
      </c>
      <c r="AE104" s="219"/>
      <c r="AF104" s="219"/>
      <c r="AG104" s="246">
        <f t="shared" si="18"/>
        <v>5225.8100000000004</v>
      </c>
      <c r="AH104" s="219">
        <f>IFERROR(VLOOKUP(C104,知识科技工资!C:M,11,0),0)</f>
        <v>10000</v>
      </c>
      <c r="AI104" s="82"/>
      <c r="AJ104" s="82"/>
      <c r="AK104" s="246">
        <f t="shared" si="13"/>
        <v>10000</v>
      </c>
      <c r="AL104" s="82"/>
      <c r="AM104" s="82"/>
      <c r="AN104" s="82"/>
      <c r="AO104" s="83"/>
      <c r="AP104" s="82"/>
      <c r="AQ104" s="82"/>
      <c r="AR104" s="82"/>
      <c r="AS104" s="83"/>
      <c r="AT104" s="82"/>
      <c r="AU104" s="82"/>
      <c r="AV104" s="82"/>
      <c r="AW104" s="84"/>
      <c r="AX104" s="85"/>
      <c r="AY104" s="85"/>
      <c r="AZ104" s="85"/>
      <c r="BA104" s="84"/>
      <c r="BB104" s="86">
        <f t="shared" si="19"/>
        <v>15225.810000000001</v>
      </c>
      <c r="BC104" s="86">
        <f t="shared" si="20"/>
        <v>0</v>
      </c>
      <c r="BD104" s="86">
        <f t="shared" si="21"/>
        <v>0</v>
      </c>
      <c r="BE104" s="87">
        <f t="shared" si="22"/>
        <v>15225.810000000001</v>
      </c>
    </row>
    <row r="105" spans="1:57" ht="22.5" customHeight="1">
      <c r="A105" s="3">
        <v>102</v>
      </c>
      <c r="B105" s="66" t="s">
        <v>308</v>
      </c>
      <c r="C105" s="3" t="s">
        <v>22</v>
      </c>
      <c r="D105" s="18">
        <v>43291</v>
      </c>
      <c r="E105" s="17">
        <v>5500</v>
      </c>
      <c r="F105" s="82"/>
      <c r="G105" s="82"/>
      <c r="H105" s="82"/>
      <c r="I105" s="83"/>
      <c r="J105" s="82"/>
      <c r="K105" s="82"/>
      <c r="L105" s="82"/>
      <c r="M105" s="83"/>
      <c r="N105" s="82"/>
      <c r="O105" s="82"/>
      <c r="P105" s="82"/>
      <c r="Q105" s="83"/>
      <c r="R105" s="82"/>
      <c r="S105" s="82"/>
      <c r="T105" s="82"/>
      <c r="U105" s="83"/>
      <c r="V105" s="82"/>
      <c r="W105" s="82"/>
      <c r="X105" s="82"/>
      <c r="Y105" s="83"/>
      <c r="Z105" s="82"/>
      <c r="AA105" s="82">
        <v>0</v>
      </c>
      <c r="AB105" s="82"/>
      <c r="AC105" s="83"/>
      <c r="AD105" s="219">
        <f>IFERROR(VLOOKUP(C105,'[2]7月集团工资汇总表'!C:AD,28,0),0)</f>
        <v>3725.81</v>
      </c>
      <c r="AE105" s="219"/>
      <c r="AF105" s="219"/>
      <c r="AG105" s="246">
        <f t="shared" si="18"/>
        <v>3725.81</v>
      </c>
      <c r="AH105" s="219">
        <f>IFERROR(VLOOKUP(C105,知识科技工资!C:M,11,0),0)</f>
        <v>10000</v>
      </c>
      <c r="AI105" s="82"/>
      <c r="AJ105" s="82"/>
      <c r="AK105" s="246">
        <f t="shared" si="13"/>
        <v>10000</v>
      </c>
      <c r="AL105" s="82"/>
      <c r="AM105" s="82"/>
      <c r="AN105" s="82"/>
      <c r="AO105" s="83"/>
      <c r="AP105" s="82"/>
      <c r="AQ105" s="82"/>
      <c r="AR105" s="82"/>
      <c r="AS105" s="83"/>
      <c r="AT105" s="82"/>
      <c r="AU105" s="82"/>
      <c r="AV105" s="82"/>
      <c r="AW105" s="84"/>
      <c r="AX105" s="85"/>
      <c r="AY105" s="85"/>
      <c r="AZ105" s="85"/>
      <c r="BA105" s="84"/>
      <c r="BB105" s="86">
        <f t="shared" si="19"/>
        <v>13725.81</v>
      </c>
      <c r="BC105" s="86">
        <f t="shared" si="20"/>
        <v>0</v>
      </c>
      <c r="BD105" s="86">
        <f t="shared" si="21"/>
        <v>0</v>
      </c>
      <c r="BE105" s="87">
        <f t="shared" si="22"/>
        <v>13725.81</v>
      </c>
    </row>
    <row r="106" spans="1:57" ht="22.5" customHeight="1">
      <c r="A106" s="3">
        <v>103</v>
      </c>
      <c r="B106" s="15" t="s">
        <v>154</v>
      </c>
      <c r="C106" s="3" t="s">
        <v>155</v>
      </c>
      <c r="D106" s="22">
        <v>41923</v>
      </c>
      <c r="E106" s="17">
        <v>8000</v>
      </c>
      <c r="F106" s="82">
        <v>7500</v>
      </c>
      <c r="G106" s="82">
        <v>1603</v>
      </c>
      <c r="H106" s="82"/>
      <c r="I106" s="83">
        <f t="shared" si="4"/>
        <v>9103</v>
      </c>
      <c r="J106" s="82">
        <v>7500</v>
      </c>
      <c r="K106" s="82">
        <v>326</v>
      </c>
      <c r="L106" s="82"/>
      <c r="M106" s="83">
        <f t="shared" si="5"/>
        <v>7826</v>
      </c>
      <c r="N106" s="82">
        <v>8000</v>
      </c>
      <c r="O106" s="82">
        <v>1496</v>
      </c>
      <c r="P106" s="82"/>
      <c r="Q106" s="83">
        <f t="shared" si="12"/>
        <v>9496</v>
      </c>
      <c r="R106" s="82">
        <v>8000</v>
      </c>
      <c r="S106" s="82">
        <f>1301.8</f>
        <v>1301.8</v>
      </c>
      <c r="T106" s="82"/>
      <c r="U106" s="83">
        <f t="shared" si="25"/>
        <v>9301.7999999999993</v>
      </c>
      <c r="V106" s="82">
        <v>8000</v>
      </c>
      <c r="W106" s="82">
        <v>858</v>
      </c>
      <c r="X106" s="82"/>
      <c r="Y106" s="83">
        <f t="shared" si="24"/>
        <v>8858</v>
      </c>
      <c r="Z106" s="82">
        <v>8000</v>
      </c>
      <c r="AA106" s="82">
        <f>VLOOKUP(C106,'[1]2018.06中力提成汇总'!$B:$N,13,0)</f>
        <v>1680</v>
      </c>
      <c r="AB106" s="93"/>
      <c r="AC106" s="83">
        <f>SUM(Z106:AA106)</f>
        <v>9680</v>
      </c>
      <c r="AD106" s="219">
        <f>IFERROR(VLOOKUP(C106,'[2]7月集团工资汇总表'!C:AD,28,0),0)</f>
        <v>8000</v>
      </c>
      <c r="AE106" s="219">
        <f>620+400</f>
        <v>1020</v>
      </c>
      <c r="AF106" s="219"/>
      <c r="AG106" s="246">
        <f t="shared" si="18"/>
        <v>9020</v>
      </c>
      <c r="AH106" s="219">
        <f>IFERROR(VLOOKUP(C106,知识科技工资!C:M,11,0),0)</f>
        <v>9677.42</v>
      </c>
      <c r="AI106" s="82"/>
      <c r="AJ106" s="82"/>
      <c r="AK106" s="246">
        <f t="shared" si="13"/>
        <v>9677.42</v>
      </c>
      <c r="AL106" s="82"/>
      <c r="AM106" s="82"/>
      <c r="AN106" s="82"/>
      <c r="AO106" s="83">
        <f t="shared" si="14"/>
        <v>0</v>
      </c>
      <c r="AP106" s="82"/>
      <c r="AQ106" s="82"/>
      <c r="AR106" s="82"/>
      <c r="AS106" s="83">
        <f t="shared" si="15"/>
        <v>0</v>
      </c>
      <c r="AT106" s="82"/>
      <c r="AU106" s="82"/>
      <c r="AV106" s="82"/>
      <c r="AW106" s="84">
        <f t="shared" si="16"/>
        <v>0</v>
      </c>
      <c r="AX106" s="85"/>
      <c r="AY106" s="85"/>
      <c r="AZ106" s="85"/>
      <c r="BA106" s="84">
        <f t="shared" si="17"/>
        <v>0</v>
      </c>
      <c r="BB106" s="86">
        <f t="shared" si="19"/>
        <v>64677.42</v>
      </c>
      <c r="BC106" s="86">
        <f t="shared" si="20"/>
        <v>8284.7999999999993</v>
      </c>
      <c r="BD106" s="86">
        <f t="shared" si="21"/>
        <v>0</v>
      </c>
      <c r="BE106" s="87">
        <f t="shared" si="22"/>
        <v>72962.22</v>
      </c>
    </row>
    <row r="107" spans="1:57" ht="22.5" customHeight="1">
      <c r="A107" s="3">
        <v>104</v>
      </c>
      <c r="B107" s="15" t="s">
        <v>154</v>
      </c>
      <c r="C107" s="3" t="s">
        <v>157</v>
      </c>
      <c r="D107" s="22">
        <v>42004</v>
      </c>
      <c r="E107" s="17">
        <v>10000</v>
      </c>
      <c r="F107" s="82">
        <v>8000</v>
      </c>
      <c r="G107" s="82">
        <v>1923.6</v>
      </c>
      <c r="H107" s="82"/>
      <c r="I107" s="83">
        <f t="shared" si="4"/>
        <v>9923.6</v>
      </c>
      <c r="J107" s="82">
        <v>8000</v>
      </c>
      <c r="K107" s="82">
        <v>391.2</v>
      </c>
      <c r="L107" s="82"/>
      <c r="M107" s="83">
        <f t="shared" si="5"/>
        <v>8391.2000000000007</v>
      </c>
      <c r="N107" s="82">
        <v>10000</v>
      </c>
      <c r="O107" s="82">
        <f>595.2+800</f>
        <v>1395.2</v>
      </c>
      <c r="P107" s="82"/>
      <c r="Q107" s="83">
        <f t="shared" si="12"/>
        <v>11395.2</v>
      </c>
      <c r="R107" s="82">
        <v>10000</v>
      </c>
      <c r="S107" s="82">
        <v>1482.16</v>
      </c>
      <c r="T107" s="82"/>
      <c r="U107" s="83">
        <f t="shared" si="25"/>
        <v>11482.16</v>
      </c>
      <c r="V107" s="82">
        <v>10000</v>
      </c>
      <c r="W107" s="82">
        <v>549.6</v>
      </c>
      <c r="X107" s="82"/>
      <c r="Y107" s="83">
        <f t="shared" si="24"/>
        <v>10549.6</v>
      </c>
      <c r="Z107" s="82">
        <v>10000</v>
      </c>
      <c r="AA107" s="82">
        <f>VLOOKUP(C107,'[1]2018.06中力提成汇总'!$B:$N,13,0)</f>
        <v>2416</v>
      </c>
      <c r="AB107" s="93"/>
      <c r="AC107" s="83">
        <f>SUM(Z107:AA107)</f>
        <v>12416</v>
      </c>
      <c r="AD107" s="219">
        <f>IFERROR(VLOOKUP(C107,'[2]7月集团工资汇总表'!C:AD,28,0),0)</f>
        <v>10000</v>
      </c>
      <c r="AE107" s="219">
        <f>744+400</f>
        <v>1144</v>
      </c>
      <c r="AF107" s="219"/>
      <c r="AG107" s="246">
        <f t="shared" si="18"/>
        <v>11144</v>
      </c>
      <c r="AH107" s="219">
        <f>IFERROR(VLOOKUP(C107,知识科技工资!C:M,11,0),0)</f>
        <v>10000</v>
      </c>
      <c r="AI107" s="82"/>
      <c r="AJ107" s="82"/>
      <c r="AK107" s="246">
        <f t="shared" si="13"/>
        <v>10000</v>
      </c>
      <c r="AL107" s="82"/>
      <c r="AM107" s="82"/>
      <c r="AN107" s="82"/>
      <c r="AO107" s="83">
        <f t="shared" si="14"/>
        <v>0</v>
      </c>
      <c r="AP107" s="82"/>
      <c r="AQ107" s="82"/>
      <c r="AR107" s="82"/>
      <c r="AS107" s="83">
        <f t="shared" si="15"/>
        <v>0</v>
      </c>
      <c r="AT107" s="82"/>
      <c r="AU107" s="82"/>
      <c r="AV107" s="82"/>
      <c r="AW107" s="84">
        <f t="shared" si="16"/>
        <v>0</v>
      </c>
      <c r="AX107" s="85"/>
      <c r="AY107" s="85"/>
      <c r="AZ107" s="85"/>
      <c r="BA107" s="84">
        <f t="shared" si="17"/>
        <v>0</v>
      </c>
      <c r="BB107" s="86">
        <f t="shared" si="19"/>
        <v>76000</v>
      </c>
      <c r="BC107" s="86">
        <f t="shared" si="20"/>
        <v>9301.76</v>
      </c>
      <c r="BD107" s="86">
        <f t="shared" si="21"/>
        <v>0</v>
      </c>
      <c r="BE107" s="87">
        <f t="shared" si="22"/>
        <v>85301.759999999995</v>
      </c>
    </row>
    <row r="108" spans="1:57" ht="22.5" customHeight="1">
      <c r="A108" s="3">
        <v>105</v>
      </c>
      <c r="B108" s="15" t="s">
        <v>154</v>
      </c>
      <c r="C108" s="3" t="s">
        <v>159</v>
      </c>
      <c r="D108" s="22">
        <v>42562</v>
      </c>
      <c r="E108" s="17">
        <v>7000</v>
      </c>
      <c r="F108" s="82">
        <v>6000</v>
      </c>
      <c r="G108" s="82">
        <v>800</v>
      </c>
      <c r="H108" s="82"/>
      <c r="I108" s="83">
        <f t="shared" si="4"/>
        <v>6800</v>
      </c>
      <c r="J108" s="82">
        <v>6000</v>
      </c>
      <c r="K108" s="82"/>
      <c r="L108" s="82"/>
      <c r="M108" s="83">
        <f t="shared" si="5"/>
        <v>6000</v>
      </c>
      <c r="N108" s="82">
        <v>7000</v>
      </c>
      <c r="O108" s="82">
        <v>800</v>
      </c>
      <c r="P108" s="82"/>
      <c r="Q108" s="83">
        <f t="shared" si="12"/>
        <v>7800</v>
      </c>
      <c r="R108" s="82">
        <v>7000</v>
      </c>
      <c r="S108" s="82">
        <v>800</v>
      </c>
      <c r="T108" s="82"/>
      <c r="U108" s="83">
        <f t="shared" si="25"/>
        <v>7800</v>
      </c>
      <c r="V108" s="82">
        <v>6774.19</v>
      </c>
      <c r="W108" s="82"/>
      <c r="X108" s="82"/>
      <c r="Y108" s="83">
        <f t="shared" si="24"/>
        <v>6774.19</v>
      </c>
      <c r="Z108" s="82">
        <v>7000</v>
      </c>
      <c r="AA108" s="82">
        <f>VLOOKUP(C108,'[1]2018.06中力提成汇总'!$B:$N,13,0)</f>
        <v>0</v>
      </c>
      <c r="AB108" s="82"/>
      <c r="AC108" s="83">
        <f t="shared" si="23"/>
        <v>7000</v>
      </c>
      <c r="AD108" s="219">
        <f>IFERROR(VLOOKUP(C108,'[2]7月集团工资汇总表'!C:AD,28,0),0)</f>
        <v>6977.42</v>
      </c>
      <c r="AE108" s="219">
        <f>400</f>
        <v>400</v>
      </c>
      <c r="AF108" s="219"/>
      <c r="AG108" s="246">
        <f t="shared" si="18"/>
        <v>7377.42</v>
      </c>
      <c r="AH108" s="219">
        <f>IFERROR(VLOOKUP(C108,知识科技工资!C:M,11,0),0)</f>
        <v>10000</v>
      </c>
      <c r="AI108" s="82"/>
      <c r="AJ108" s="82"/>
      <c r="AK108" s="246">
        <f t="shared" si="13"/>
        <v>10000</v>
      </c>
      <c r="AL108" s="82"/>
      <c r="AM108" s="82"/>
      <c r="AN108" s="82"/>
      <c r="AO108" s="83">
        <f t="shared" si="14"/>
        <v>0</v>
      </c>
      <c r="AP108" s="82"/>
      <c r="AQ108" s="82"/>
      <c r="AR108" s="82"/>
      <c r="AS108" s="83">
        <f t="shared" si="15"/>
        <v>0</v>
      </c>
      <c r="AT108" s="82"/>
      <c r="AU108" s="82"/>
      <c r="AV108" s="82"/>
      <c r="AW108" s="84">
        <f t="shared" si="16"/>
        <v>0</v>
      </c>
      <c r="AX108" s="85"/>
      <c r="AY108" s="85"/>
      <c r="AZ108" s="85"/>
      <c r="BA108" s="84">
        <f t="shared" si="17"/>
        <v>0</v>
      </c>
      <c r="BB108" s="86">
        <f t="shared" si="19"/>
        <v>56751.61</v>
      </c>
      <c r="BC108" s="86">
        <f t="shared" si="20"/>
        <v>2800</v>
      </c>
      <c r="BD108" s="86">
        <f t="shared" si="21"/>
        <v>0</v>
      </c>
      <c r="BE108" s="87">
        <f t="shared" si="22"/>
        <v>59551.61</v>
      </c>
    </row>
    <row r="109" spans="1:57" ht="22.5" customHeight="1">
      <c r="A109" s="3">
        <v>106</v>
      </c>
      <c r="B109" s="15" t="s">
        <v>154</v>
      </c>
      <c r="C109" s="3" t="s">
        <v>161</v>
      </c>
      <c r="D109" s="22">
        <v>42772</v>
      </c>
      <c r="E109" s="17">
        <v>6500</v>
      </c>
      <c r="F109" s="82">
        <v>6000</v>
      </c>
      <c r="G109" s="82">
        <v>300</v>
      </c>
      <c r="H109" s="82"/>
      <c r="I109" s="83">
        <f t="shared" si="4"/>
        <v>6300</v>
      </c>
      <c r="J109" s="82">
        <v>6000</v>
      </c>
      <c r="K109" s="82"/>
      <c r="L109" s="82"/>
      <c r="M109" s="83">
        <f t="shared" si="5"/>
        <v>6000</v>
      </c>
      <c r="N109" s="82">
        <v>6000</v>
      </c>
      <c r="O109" s="82">
        <v>800</v>
      </c>
      <c r="P109" s="82"/>
      <c r="Q109" s="83">
        <f t="shared" si="12"/>
        <v>6800</v>
      </c>
      <c r="R109" s="82">
        <v>6000</v>
      </c>
      <c r="S109" s="82">
        <v>400</v>
      </c>
      <c r="T109" s="82"/>
      <c r="U109" s="83">
        <f t="shared" si="25"/>
        <v>6400</v>
      </c>
      <c r="V109" s="82">
        <v>6000</v>
      </c>
      <c r="W109" s="82"/>
      <c r="X109" s="82"/>
      <c r="Y109" s="83">
        <f t="shared" si="24"/>
        <v>6000</v>
      </c>
      <c r="Z109" s="82">
        <v>6000</v>
      </c>
      <c r="AA109" s="82">
        <f>VLOOKUP(C109,'[1]2018.06中力提成汇总'!$B:$N,13,0)</f>
        <v>800</v>
      </c>
      <c r="AB109" s="93"/>
      <c r="AC109" s="83">
        <f>SUM(Z109:AA109)</f>
        <v>6800</v>
      </c>
      <c r="AD109" s="219">
        <f>IFERROR(VLOOKUP(C109,'[2]7月集团工资汇总表'!C:AD,28,0),0)</f>
        <v>6000</v>
      </c>
      <c r="AE109" s="219">
        <f>800</f>
        <v>800</v>
      </c>
      <c r="AF109" s="219"/>
      <c r="AG109" s="246">
        <f t="shared" si="18"/>
        <v>6800</v>
      </c>
      <c r="AH109" s="219">
        <f>IFERROR(VLOOKUP(C109,知识科技工资!C:M,11,0),0)</f>
        <v>10000</v>
      </c>
      <c r="AI109" s="82"/>
      <c r="AJ109" s="82"/>
      <c r="AK109" s="246">
        <f t="shared" ref="AK109:AK172" si="26">SUM(AH109:AJ109)</f>
        <v>10000</v>
      </c>
      <c r="AL109" s="82"/>
      <c r="AM109" s="82"/>
      <c r="AN109" s="82"/>
      <c r="AO109" s="83">
        <f t="shared" si="14"/>
        <v>0</v>
      </c>
      <c r="AP109" s="82"/>
      <c r="AQ109" s="82"/>
      <c r="AR109" s="82"/>
      <c r="AS109" s="83">
        <f t="shared" si="15"/>
        <v>0</v>
      </c>
      <c r="AT109" s="82"/>
      <c r="AU109" s="82"/>
      <c r="AV109" s="82"/>
      <c r="AW109" s="84">
        <f t="shared" si="16"/>
        <v>0</v>
      </c>
      <c r="AX109" s="85"/>
      <c r="AY109" s="85"/>
      <c r="AZ109" s="85"/>
      <c r="BA109" s="84">
        <f t="shared" si="17"/>
        <v>0</v>
      </c>
      <c r="BB109" s="86">
        <f t="shared" si="19"/>
        <v>52000</v>
      </c>
      <c r="BC109" s="86">
        <f t="shared" si="20"/>
        <v>3100</v>
      </c>
      <c r="BD109" s="86">
        <f t="shared" si="21"/>
        <v>0</v>
      </c>
      <c r="BE109" s="87">
        <f t="shared" si="22"/>
        <v>55100</v>
      </c>
    </row>
    <row r="110" spans="1:57" s="140" customFormat="1" ht="22.5" customHeight="1">
      <c r="A110" s="3">
        <v>107</v>
      </c>
      <c r="B110" s="133" t="s">
        <v>9</v>
      </c>
      <c r="C110" s="132" t="s">
        <v>90</v>
      </c>
      <c r="D110" s="134">
        <v>42129</v>
      </c>
      <c r="E110" s="135">
        <v>25000</v>
      </c>
      <c r="F110" s="136">
        <v>20000</v>
      </c>
      <c r="G110" s="136">
        <f>7106+25200+2000+3000</f>
        <v>37306</v>
      </c>
      <c r="H110" s="136"/>
      <c r="I110" s="137">
        <f t="shared" si="4"/>
        <v>57306</v>
      </c>
      <c r="J110" s="136">
        <v>20000</v>
      </c>
      <c r="K110" s="136">
        <f>2778</f>
        <v>2778</v>
      </c>
      <c r="L110" s="136"/>
      <c r="M110" s="137">
        <f t="shared" si="5"/>
        <v>22778</v>
      </c>
      <c r="N110" s="136">
        <v>20000</v>
      </c>
      <c r="O110" s="136">
        <f>1000+2500+3702</f>
        <v>7202</v>
      </c>
      <c r="P110" s="136"/>
      <c r="Q110" s="137">
        <f t="shared" si="12"/>
        <v>27202</v>
      </c>
      <c r="R110" s="136">
        <v>20000</v>
      </c>
      <c r="S110" s="136">
        <f>3000+3194.4</f>
        <v>6194.4</v>
      </c>
      <c r="T110" s="136"/>
      <c r="U110" s="137">
        <f t="shared" si="25"/>
        <v>26194.400000000001</v>
      </c>
      <c r="V110" s="136">
        <v>20000</v>
      </c>
      <c r="W110" s="136"/>
      <c r="X110" s="136"/>
      <c r="Y110" s="137">
        <f t="shared" si="24"/>
        <v>20000</v>
      </c>
      <c r="Z110" s="136">
        <v>20029</v>
      </c>
      <c r="AA110" s="136">
        <f>VLOOKUP(C110,'[1]2018.06中力提成汇总'!$B:$N,13,0)</f>
        <v>52083.4</v>
      </c>
      <c r="AB110" s="136"/>
      <c r="AC110" s="137">
        <f t="shared" si="23"/>
        <v>72112.399999999994</v>
      </c>
      <c r="AD110" s="219">
        <f>IFERROR(VLOOKUP(C110,'[2]7月集团工资汇总表'!C:AD,28,0),0)</f>
        <v>20000</v>
      </c>
      <c r="AE110" s="247">
        <f>1000</f>
        <v>1000</v>
      </c>
      <c r="AF110" s="247"/>
      <c r="AG110" s="246">
        <f t="shared" si="18"/>
        <v>21000</v>
      </c>
      <c r="AH110" s="219" t="e">
        <f>IFERROR(VLOOKUP(C110,知识科技工资!C:M,11,0),0)+#REF!</f>
        <v>#REF!</v>
      </c>
      <c r="AI110" s="136"/>
      <c r="AJ110" s="136"/>
      <c r="AK110" s="246" t="e">
        <f t="shared" si="26"/>
        <v>#REF!</v>
      </c>
      <c r="AL110" s="136"/>
      <c r="AM110" s="136"/>
      <c r="AN110" s="136"/>
      <c r="AO110" s="137">
        <f t="shared" ref="AO110:AO156" si="27">SUM(AL110:AN110)</f>
        <v>0</v>
      </c>
      <c r="AP110" s="136"/>
      <c r="AQ110" s="136"/>
      <c r="AR110" s="136"/>
      <c r="AS110" s="137">
        <f t="shared" ref="AS110:AS156" si="28">SUM(AP110:AR110)</f>
        <v>0</v>
      </c>
      <c r="AT110" s="136"/>
      <c r="AU110" s="136"/>
      <c r="AV110" s="136"/>
      <c r="AW110" s="138">
        <f t="shared" ref="AW110:AW156" si="29">SUM(AT110:AV110)</f>
        <v>0</v>
      </c>
      <c r="AX110" s="139"/>
      <c r="AY110" s="139"/>
      <c r="AZ110" s="139"/>
      <c r="BA110" s="138">
        <f t="shared" ref="BA110:BA156" si="30">SUM(AX110:AZ110)</f>
        <v>0</v>
      </c>
      <c r="BB110" s="86" t="e">
        <f t="shared" si="19"/>
        <v>#REF!</v>
      </c>
      <c r="BC110" s="86">
        <f t="shared" si="20"/>
        <v>106563.8</v>
      </c>
      <c r="BD110" s="86">
        <f t="shared" si="21"/>
        <v>0</v>
      </c>
      <c r="BE110" s="87" t="e">
        <f t="shared" si="22"/>
        <v>#REF!</v>
      </c>
    </row>
    <row r="111" spans="1:57" ht="22.5" customHeight="1">
      <c r="A111" s="3">
        <v>108</v>
      </c>
      <c r="B111" s="15" t="s">
        <v>9</v>
      </c>
      <c r="C111" s="3" t="s">
        <v>55</v>
      </c>
      <c r="D111" s="22">
        <v>42801</v>
      </c>
      <c r="E111" s="17">
        <v>10000</v>
      </c>
      <c r="F111" s="82">
        <v>7000</v>
      </c>
      <c r="G111" s="82"/>
      <c r="H111" s="82"/>
      <c r="I111" s="83">
        <f t="shared" si="4"/>
        <v>7000</v>
      </c>
      <c r="J111" s="82">
        <v>7000</v>
      </c>
      <c r="K111" s="82"/>
      <c r="L111" s="82"/>
      <c r="M111" s="83">
        <f t="shared" si="5"/>
        <v>7000</v>
      </c>
      <c r="N111" s="82">
        <v>10000</v>
      </c>
      <c r="O111" s="82"/>
      <c r="P111" s="82">
        <v>900</v>
      </c>
      <c r="Q111" s="83">
        <f t="shared" si="12"/>
        <v>10900</v>
      </c>
      <c r="R111" s="82">
        <v>10000</v>
      </c>
      <c r="S111" s="82"/>
      <c r="T111" s="82"/>
      <c r="U111" s="83">
        <f t="shared" si="25"/>
        <v>10000</v>
      </c>
      <c r="V111" s="82">
        <v>11650</v>
      </c>
      <c r="W111" s="82"/>
      <c r="X111" s="82"/>
      <c r="Y111" s="83">
        <f t="shared" si="24"/>
        <v>11650</v>
      </c>
      <c r="Z111" s="82">
        <v>11500</v>
      </c>
      <c r="AA111" s="82">
        <f>VLOOKUP(C111,'[1]2018.06中力提成汇总'!$B:$N,13,0)</f>
        <v>0</v>
      </c>
      <c r="AB111" s="82"/>
      <c r="AC111" s="83">
        <f t="shared" si="23"/>
        <v>11500</v>
      </c>
      <c r="AD111" s="219">
        <f>IFERROR(VLOOKUP(C111,'[2]7月集团工资汇总表'!C:AD,28,0),0)</f>
        <v>12327.42</v>
      </c>
      <c r="AE111" s="219"/>
      <c r="AF111" s="219"/>
      <c r="AG111" s="246">
        <f t="shared" si="18"/>
        <v>12327.42</v>
      </c>
      <c r="AH111" s="219">
        <f>IFERROR(VLOOKUP(C111,知识科技工资!C:M,11,0),0)</f>
        <v>11650</v>
      </c>
      <c r="AI111" s="82"/>
      <c r="AJ111" s="82"/>
      <c r="AK111" s="246">
        <f t="shared" si="26"/>
        <v>11650</v>
      </c>
      <c r="AL111" s="82"/>
      <c r="AM111" s="82"/>
      <c r="AN111" s="82"/>
      <c r="AO111" s="83">
        <f t="shared" si="27"/>
        <v>0</v>
      </c>
      <c r="AP111" s="82"/>
      <c r="AQ111" s="82"/>
      <c r="AR111" s="82"/>
      <c r="AS111" s="83">
        <f t="shared" si="28"/>
        <v>0</v>
      </c>
      <c r="AT111" s="82"/>
      <c r="AU111" s="82"/>
      <c r="AV111" s="82"/>
      <c r="AW111" s="84">
        <f t="shared" si="29"/>
        <v>0</v>
      </c>
      <c r="AX111" s="85"/>
      <c r="AY111" s="85"/>
      <c r="AZ111" s="85"/>
      <c r="BA111" s="84">
        <f t="shared" si="30"/>
        <v>0</v>
      </c>
      <c r="BB111" s="86">
        <f t="shared" si="19"/>
        <v>81127.42</v>
      </c>
      <c r="BC111" s="86">
        <f t="shared" si="20"/>
        <v>0</v>
      </c>
      <c r="BD111" s="86">
        <f t="shared" si="21"/>
        <v>900</v>
      </c>
      <c r="BE111" s="87">
        <f t="shared" si="22"/>
        <v>82027.42</v>
      </c>
    </row>
    <row r="112" spans="1:57" ht="22.5" customHeight="1">
      <c r="A112" s="3">
        <v>109</v>
      </c>
      <c r="B112" s="15" t="s">
        <v>9</v>
      </c>
      <c r="C112" s="3" t="s">
        <v>57</v>
      </c>
      <c r="D112" s="22">
        <v>42815</v>
      </c>
      <c r="E112" s="17">
        <v>8000</v>
      </c>
      <c r="F112" s="82">
        <v>5500</v>
      </c>
      <c r="G112" s="82"/>
      <c r="H112" s="82"/>
      <c r="I112" s="83">
        <f t="shared" si="4"/>
        <v>5500</v>
      </c>
      <c r="J112" s="82">
        <v>5500</v>
      </c>
      <c r="K112" s="82"/>
      <c r="L112" s="82"/>
      <c r="M112" s="83">
        <f t="shared" si="5"/>
        <v>5500</v>
      </c>
      <c r="N112" s="82">
        <v>7969.0322580645197</v>
      </c>
      <c r="O112" s="82"/>
      <c r="P112" s="82">
        <v>900</v>
      </c>
      <c r="Q112" s="83">
        <f t="shared" si="12"/>
        <v>8869.0322580645188</v>
      </c>
      <c r="R112" s="82">
        <v>8000</v>
      </c>
      <c r="S112" s="82"/>
      <c r="T112" s="82"/>
      <c r="U112" s="83">
        <f t="shared" si="25"/>
        <v>8000</v>
      </c>
      <c r="V112" s="82">
        <v>9650</v>
      </c>
      <c r="W112" s="82"/>
      <c r="X112" s="82"/>
      <c r="Y112" s="83">
        <f t="shared" si="24"/>
        <v>9650</v>
      </c>
      <c r="Z112" s="82">
        <v>9500</v>
      </c>
      <c r="AA112" s="82">
        <f>VLOOKUP(C112,'[1]2018.06中力提成汇总'!$B:$N,13,0)</f>
        <v>0</v>
      </c>
      <c r="AB112" s="82"/>
      <c r="AC112" s="83">
        <f t="shared" si="23"/>
        <v>9500</v>
      </c>
      <c r="AD112" s="219">
        <f>IFERROR(VLOOKUP(C112,'[2]7月集团工资汇总表'!C:AD,28,0),0)</f>
        <v>10650</v>
      </c>
      <c r="AE112" s="219"/>
      <c r="AF112" s="219"/>
      <c r="AG112" s="246">
        <f t="shared" si="18"/>
        <v>10650</v>
      </c>
      <c r="AH112" s="219">
        <f>IFERROR(VLOOKUP(C112,知识科技工资!C:M,11,0),0)</f>
        <v>11611.29</v>
      </c>
      <c r="AI112" s="82"/>
      <c r="AJ112" s="82"/>
      <c r="AK112" s="246">
        <f t="shared" si="26"/>
        <v>11611.29</v>
      </c>
      <c r="AL112" s="82"/>
      <c r="AM112" s="82"/>
      <c r="AN112" s="82"/>
      <c r="AO112" s="83">
        <f t="shared" si="27"/>
        <v>0</v>
      </c>
      <c r="AP112" s="82"/>
      <c r="AQ112" s="82"/>
      <c r="AR112" s="82"/>
      <c r="AS112" s="83">
        <f t="shared" si="28"/>
        <v>0</v>
      </c>
      <c r="AT112" s="82"/>
      <c r="AU112" s="82"/>
      <c r="AV112" s="82"/>
      <c r="AW112" s="84">
        <f t="shared" si="29"/>
        <v>0</v>
      </c>
      <c r="AX112" s="85"/>
      <c r="AY112" s="85"/>
      <c r="AZ112" s="85"/>
      <c r="BA112" s="84">
        <f t="shared" si="30"/>
        <v>0</v>
      </c>
      <c r="BB112" s="86">
        <f t="shared" si="19"/>
        <v>68380.322258064523</v>
      </c>
      <c r="BC112" s="86">
        <f t="shared" si="20"/>
        <v>0</v>
      </c>
      <c r="BD112" s="86">
        <f t="shared" si="21"/>
        <v>900</v>
      </c>
      <c r="BE112" s="87">
        <f t="shared" si="22"/>
        <v>69280.322258064523</v>
      </c>
    </row>
    <row r="113" spans="1:57" ht="22.5" customHeight="1">
      <c r="A113" s="3">
        <v>110</v>
      </c>
      <c r="B113" s="34" t="s">
        <v>9</v>
      </c>
      <c r="C113" s="20" t="s">
        <v>8</v>
      </c>
      <c r="D113" s="18">
        <v>43283</v>
      </c>
      <c r="E113" s="17">
        <v>5500</v>
      </c>
      <c r="F113" s="82"/>
      <c r="G113" s="82"/>
      <c r="H113" s="82"/>
      <c r="I113" s="83"/>
      <c r="J113" s="82"/>
      <c r="K113" s="82"/>
      <c r="L113" s="82"/>
      <c r="M113" s="83"/>
      <c r="N113" s="82"/>
      <c r="O113" s="82"/>
      <c r="P113" s="82"/>
      <c r="Q113" s="83"/>
      <c r="R113" s="82"/>
      <c r="S113" s="82"/>
      <c r="T113" s="82"/>
      <c r="U113" s="83"/>
      <c r="V113" s="82"/>
      <c r="W113" s="82"/>
      <c r="X113" s="82"/>
      <c r="Y113" s="83"/>
      <c r="Z113" s="82"/>
      <c r="AA113" s="82">
        <v>0</v>
      </c>
      <c r="AB113" s="82"/>
      <c r="AC113" s="83"/>
      <c r="AD113" s="219">
        <f>IFERROR(VLOOKUP(C113,'[2]7月集团工资汇总表'!C:AD,28,0),0)</f>
        <v>887.1</v>
      </c>
      <c r="AE113" s="219"/>
      <c r="AF113" s="219"/>
      <c r="AG113" s="246">
        <f t="shared" si="18"/>
        <v>887.1</v>
      </c>
      <c r="AH113" s="219">
        <f>IFERROR(VLOOKUP(C113,知识科技工资!C:M,11,0),0)</f>
        <v>0</v>
      </c>
      <c r="AI113" s="82"/>
      <c r="AJ113" s="82"/>
      <c r="AK113" s="246">
        <f t="shared" si="26"/>
        <v>0</v>
      </c>
      <c r="AL113" s="82"/>
      <c r="AM113" s="82"/>
      <c r="AN113" s="82"/>
      <c r="AO113" s="83"/>
      <c r="AP113" s="82"/>
      <c r="AQ113" s="82"/>
      <c r="AR113" s="82"/>
      <c r="AS113" s="83"/>
      <c r="AT113" s="82"/>
      <c r="AU113" s="82"/>
      <c r="AV113" s="82"/>
      <c r="AW113" s="84"/>
      <c r="AX113" s="85"/>
      <c r="AY113" s="85"/>
      <c r="AZ113" s="85"/>
      <c r="BA113" s="84"/>
      <c r="BB113" s="86">
        <f t="shared" si="19"/>
        <v>887.1</v>
      </c>
      <c r="BC113" s="86">
        <f t="shared" si="20"/>
        <v>0</v>
      </c>
      <c r="BD113" s="86">
        <f t="shared" si="21"/>
        <v>0</v>
      </c>
      <c r="BE113" s="87">
        <f t="shared" si="22"/>
        <v>887.1</v>
      </c>
    </row>
    <row r="114" spans="1:57" ht="22.5" customHeight="1">
      <c r="A114" s="3">
        <v>111</v>
      </c>
      <c r="B114" s="34" t="s">
        <v>9</v>
      </c>
      <c r="C114" s="3" t="s">
        <v>23</v>
      </c>
      <c r="D114" s="18">
        <v>43292</v>
      </c>
      <c r="E114" s="17">
        <v>6000</v>
      </c>
      <c r="F114" s="82"/>
      <c r="G114" s="82"/>
      <c r="H114" s="82"/>
      <c r="I114" s="83"/>
      <c r="J114" s="82"/>
      <c r="K114" s="82"/>
      <c r="L114" s="82"/>
      <c r="M114" s="83"/>
      <c r="N114" s="82"/>
      <c r="O114" s="82"/>
      <c r="P114" s="82"/>
      <c r="Q114" s="83"/>
      <c r="R114" s="82"/>
      <c r="S114" s="82"/>
      <c r="T114" s="82"/>
      <c r="U114" s="83"/>
      <c r="V114" s="82"/>
      <c r="W114" s="82"/>
      <c r="X114" s="82"/>
      <c r="Y114" s="83"/>
      <c r="Z114" s="82"/>
      <c r="AA114" s="82">
        <v>0</v>
      </c>
      <c r="AB114" s="82"/>
      <c r="AC114" s="83"/>
      <c r="AD114" s="219">
        <f>IFERROR(VLOOKUP(C114,'[2]7月集团工资汇总表'!C:AD,28,0),0)</f>
        <v>3967.74</v>
      </c>
      <c r="AE114" s="219"/>
      <c r="AF114" s="219"/>
      <c r="AG114" s="246">
        <f t="shared" si="18"/>
        <v>3967.74</v>
      </c>
      <c r="AH114" s="219">
        <f>IFERROR(VLOOKUP(C114,知识科技工资!C:M,11,0),0)</f>
        <v>9838.7099999999991</v>
      </c>
      <c r="AI114" s="82"/>
      <c r="AJ114" s="82"/>
      <c r="AK114" s="246">
        <f t="shared" si="26"/>
        <v>9838.7099999999991</v>
      </c>
      <c r="AL114" s="82"/>
      <c r="AM114" s="82"/>
      <c r="AN114" s="82"/>
      <c r="AO114" s="83"/>
      <c r="AP114" s="82"/>
      <c r="AQ114" s="82"/>
      <c r="AR114" s="82"/>
      <c r="AS114" s="83"/>
      <c r="AT114" s="82"/>
      <c r="AU114" s="82"/>
      <c r="AV114" s="82"/>
      <c r="AW114" s="84"/>
      <c r="AX114" s="85"/>
      <c r="AY114" s="85"/>
      <c r="AZ114" s="85"/>
      <c r="BA114" s="84"/>
      <c r="BB114" s="86">
        <f t="shared" si="19"/>
        <v>13806.449999999999</v>
      </c>
      <c r="BC114" s="86">
        <f t="shared" si="20"/>
        <v>0</v>
      </c>
      <c r="BD114" s="86">
        <f t="shared" si="21"/>
        <v>0</v>
      </c>
      <c r="BE114" s="87">
        <f t="shared" si="22"/>
        <v>13806.449999999999</v>
      </c>
    </row>
    <row r="115" spans="1:57" ht="22.5" customHeight="1">
      <c r="A115" s="3">
        <v>112</v>
      </c>
      <c r="B115" s="34" t="s">
        <v>310</v>
      </c>
      <c r="C115" s="3" t="s">
        <v>181</v>
      </c>
      <c r="D115" s="18">
        <v>42417</v>
      </c>
      <c r="E115" s="17">
        <v>23000</v>
      </c>
      <c r="F115" s="82">
        <v>22000</v>
      </c>
      <c r="G115" s="82"/>
      <c r="H115" s="82"/>
      <c r="I115" s="83">
        <f t="shared" si="4"/>
        <v>22000</v>
      </c>
      <c r="J115" s="82">
        <v>22000</v>
      </c>
      <c r="K115" s="82"/>
      <c r="L115" s="82"/>
      <c r="M115" s="83">
        <f t="shared" si="5"/>
        <v>22000</v>
      </c>
      <c r="N115" s="82">
        <v>23000</v>
      </c>
      <c r="O115" s="82"/>
      <c r="P115" s="82"/>
      <c r="Q115" s="83">
        <f t="shared" si="12"/>
        <v>23000</v>
      </c>
      <c r="R115" s="82">
        <v>23000</v>
      </c>
      <c r="S115" s="82"/>
      <c r="T115" s="82"/>
      <c r="U115" s="83">
        <f t="shared" si="25"/>
        <v>23000</v>
      </c>
      <c r="V115" s="82">
        <v>23000</v>
      </c>
      <c r="W115" s="82"/>
      <c r="X115" s="82"/>
      <c r="Y115" s="83">
        <f t="shared" si="24"/>
        <v>23000</v>
      </c>
      <c r="Z115" s="82">
        <v>23000</v>
      </c>
      <c r="AA115" s="82">
        <f>VLOOKUP(C115,'[1]2018.06中力提成汇总'!$B:$N,13,0)</f>
        <v>0</v>
      </c>
      <c r="AB115" s="82"/>
      <c r="AC115" s="83">
        <f t="shared" si="23"/>
        <v>23000</v>
      </c>
      <c r="AD115" s="219">
        <f>IFERROR(VLOOKUP(C115,'[2]7月集团工资汇总表'!C:AD,28,0),0)</f>
        <v>13000</v>
      </c>
      <c r="AE115" s="219"/>
      <c r="AF115" s="219"/>
      <c r="AG115" s="246">
        <f t="shared" si="18"/>
        <v>13000</v>
      </c>
      <c r="AH115" s="219">
        <f>IFERROR(VLOOKUP(C115,知识科技工资!C:M,11,0),0)</f>
        <v>10000</v>
      </c>
      <c r="AI115" s="82"/>
      <c r="AJ115" s="82"/>
      <c r="AK115" s="246">
        <f t="shared" si="26"/>
        <v>10000</v>
      </c>
      <c r="AL115" s="82"/>
      <c r="AM115" s="82"/>
      <c r="AN115" s="82"/>
      <c r="AO115" s="83">
        <f t="shared" si="27"/>
        <v>0</v>
      </c>
      <c r="AP115" s="82"/>
      <c r="AQ115" s="82"/>
      <c r="AR115" s="82"/>
      <c r="AS115" s="83">
        <f t="shared" si="28"/>
        <v>0</v>
      </c>
      <c r="AT115" s="82"/>
      <c r="AU115" s="82"/>
      <c r="AV115" s="82"/>
      <c r="AW115" s="84">
        <f t="shared" si="29"/>
        <v>0</v>
      </c>
      <c r="AX115" s="85"/>
      <c r="AY115" s="85"/>
      <c r="AZ115" s="85"/>
      <c r="BA115" s="84">
        <f t="shared" si="30"/>
        <v>0</v>
      </c>
      <c r="BB115" s="86">
        <f t="shared" si="19"/>
        <v>159000</v>
      </c>
      <c r="BC115" s="86">
        <f t="shared" si="20"/>
        <v>0</v>
      </c>
      <c r="BD115" s="86">
        <f t="shared" si="21"/>
        <v>0</v>
      </c>
      <c r="BE115" s="87">
        <f t="shared" si="22"/>
        <v>159000</v>
      </c>
    </row>
    <row r="116" spans="1:57" ht="22.5" customHeight="1">
      <c r="A116" s="3">
        <v>113</v>
      </c>
      <c r="B116" s="34" t="s">
        <v>310</v>
      </c>
      <c r="C116" s="3" t="s">
        <v>183</v>
      </c>
      <c r="D116" s="18">
        <v>42417</v>
      </c>
      <c r="E116" s="17">
        <v>19000</v>
      </c>
      <c r="F116" s="82">
        <v>16862.900000000001</v>
      </c>
      <c r="G116" s="82"/>
      <c r="H116" s="82"/>
      <c r="I116" s="83">
        <f t="shared" si="4"/>
        <v>16862.900000000001</v>
      </c>
      <c r="J116" s="82">
        <v>17000</v>
      </c>
      <c r="K116" s="82"/>
      <c r="L116" s="82"/>
      <c r="M116" s="83">
        <f t="shared" ref="M116:M156" si="31">SUM(J116:L116)</f>
        <v>17000</v>
      </c>
      <c r="N116" s="82">
        <v>19000</v>
      </c>
      <c r="O116" s="82"/>
      <c r="P116" s="82"/>
      <c r="Q116" s="83">
        <f t="shared" si="12"/>
        <v>19000</v>
      </c>
      <c r="R116" s="82">
        <v>19000</v>
      </c>
      <c r="S116" s="82"/>
      <c r="T116" s="82"/>
      <c r="U116" s="83">
        <f t="shared" si="25"/>
        <v>19000</v>
      </c>
      <c r="V116" s="82">
        <v>19000</v>
      </c>
      <c r="W116" s="82"/>
      <c r="X116" s="82"/>
      <c r="Y116" s="83">
        <f t="shared" si="24"/>
        <v>19000</v>
      </c>
      <c r="Z116" s="82">
        <v>19000</v>
      </c>
      <c r="AA116" s="82">
        <f>VLOOKUP(C116,'[1]2018.06中力提成汇总'!$B:$N,13,0)</f>
        <v>0</v>
      </c>
      <c r="AB116" s="82"/>
      <c r="AC116" s="83">
        <f t="shared" si="23"/>
        <v>19000</v>
      </c>
      <c r="AD116" s="219">
        <f>IFERROR(VLOOKUP(C116,'[2]7月集团工资汇总表'!C:AD,28,0),0)</f>
        <v>14000</v>
      </c>
      <c r="AE116" s="219"/>
      <c r="AF116" s="219"/>
      <c r="AG116" s="246">
        <f t="shared" si="18"/>
        <v>14000</v>
      </c>
      <c r="AH116" s="219">
        <f>IFERROR(VLOOKUP(C116,知识科技工资!C:M,11,0),0)</f>
        <v>9961.2900000000009</v>
      </c>
      <c r="AI116" s="82"/>
      <c r="AJ116" s="82"/>
      <c r="AK116" s="246">
        <f t="shared" si="26"/>
        <v>9961.2900000000009</v>
      </c>
      <c r="AL116" s="82"/>
      <c r="AM116" s="82"/>
      <c r="AN116" s="82"/>
      <c r="AO116" s="83">
        <f t="shared" si="27"/>
        <v>0</v>
      </c>
      <c r="AP116" s="82"/>
      <c r="AQ116" s="82"/>
      <c r="AR116" s="82"/>
      <c r="AS116" s="83">
        <f t="shared" si="28"/>
        <v>0</v>
      </c>
      <c r="AT116" s="82"/>
      <c r="AU116" s="82"/>
      <c r="AV116" s="82"/>
      <c r="AW116" s="84">
        <f t="shared" si="29"/>
        <v>0</v>
      </c>
      <c r="AX116" s="85"/>
      <c r="AY116" s="85"/>
      <c r="AZ116" s="85"/>
      <c r="BA116" s="84">
        <f t="shared" si="30"/>
        <v>0</v>
      </c>
      <c r="BB116" s="86">
        <f t="shared" si="19"/>
        <v>133824.19</v>
      </c>
      <c r="BC116" s="86">
        <f t="shared" si="20"/>
        <v>0</v>
      </c>
      <c r="BD116" s="86">
        <f t="shared" si="21"/>
        <v>0</v>
      </c>
      <c r="BE116" s="87">
        <f t="shared" si="22"/>
        <v>133824.19</v>
      </c>
    </row>
    <row r="117" spans="1:57" ht="22.5" customHeight="1">
      <c r="A117" s="3">
        <v>114</v>
      </c>
      <c r="B117" s="34" t="s">
        <v>310</v>
      </c>
      <c r="C117" s="20" t="s">
        <v>311</v>
      </c>
      <c r="D117" s="18">
        <v>42446</v>
      </c>
      <c r="E117" s="17">
        <v>0</v>
      </c>
      <c r="F117" s="82">
        <v>10000</v>
      </c>
      <c r="G117" s="82"/>
      <c r="H117" s="82"/>
      <c r="I117" s="83">
        <f t="shared" si="4"/>
        <v>10000</v>
      </c>
      <c r="J117" s="82">
        <v>10000</v>
      </c>
      <c r="K117" s="82"/>
      <c r="L117" s="82"/>
      <c r="M117" s="83">
        <f t="shared" si="31"/>
        <v>10000</v>
      </c>
      <c r="N117" s="82">
        <v>2903.22580645161</v>
      </c>
      <c r="O117" s="82"/>
      <c r="P117" s="82"/>
      <c r="Q117" s="83">
        <f t="shared" si="12"/>
        <v>2903.22580645161</v>
      </c>
      <c r="R117" s="82"/>
      <c r="S117" s="82"/>
      <c r="T117" s="82"/>
      <c r="U117" s="83">
        <f t="shared" si="25"/>
        <v>0</v>
      </c>
      <c r="V117" s="82"/>
      <c r="W117" s="82"/>
      <c r="X117" s="82"/>
      <c r="Y117" s="83">
        <f t="shared" si="24"/>
        <v>0</v>
      </c>
      <c r="Z117" s="82"/>
      <c r="AA117" s="82">
        <f>VLOOKUP(C117,'[1]2018.06中力提成汇总'!$B:$N,13,0)</f>
        <v>0</v>
      </c>
      <c r="AB117" s="82"/>
      <c r="AC117" s="83">
        <f t="shared" si="23"/>
        <v>0</v>
      </c>
      <c r="AD117" s="219">
        <f>IFERROR(VLOOKUP(C117,'[2]7月集团工资汇总表'!C:AD,28,0),0)</f>
        <v>0</v>
      </c>
      <c r="AE117" s="219"/>
      <c r="AF117" s="219"/>
      <c r="AG117" s="246">
        <f t="shared" si="18"/>
        <v>0</v>
      </c>
      <c r="AH117" s="219">
        <f>IFERROR(VLOOKUP(C117,知识科技工资!C:M,11,0),0)</f>
        <v>0</v>
      </c>
      <c r="AI117" s="82"/>
      <c r="AJ117" s="82"/>
      <c r="AK117" s="246">
        <f t="shared" si="26"/>
        <v>0</v>
      </c>
      <c r="AL117" s="82"/>
      <c r="AM117" s="82"/>
      <c r="AN117" s="82"/>
      <c r="AO117" s="83">
        <f t="shared" si="27"/>
        <v>0</v>
      </c>
      <c r="AP117" s="82"/>
      <c r="AQ117" s="82"/>
      <c r="AR117" s="82"/>
      <c r="AS117" s="83">
        <f t="shared" si="28"/>
        <v>0</v>
      </c>
      <c r="AT117" s="82"/>
      <c r="AU117" s="82"/>
      <c r="AV117" s="82"/>
      <c r="AW117" s="84">
        <f t="shared" si="29"/>
        <v>0</v>
      </c>
      <c r="AX117" s="85"/>
      <c r="AY117" s="85"/>
      <c r="AZ117" s="85"/>
      <c r="BA117" s="84">
        <f t="shared" si="30"/>
        <v>0</v>
      </c>
      <c r="BB117" s="86">
        <f t="shared" si="19"/>
        <v>22903.22580645161</v>
      </c>
      <c r="BC117" s="86">
        <f t="shared" si="20"/>
        <v>0</v>
      </c>
      <c r="BD117" s="86">
        <f t="shared" si="21"/>
        <v>0</v>
      </c>
      <c r="BE117" s="87">
        <f t="shared" si="22"/>
        <v>22903.22580645161</v>
      </c>
    </row>
    <row r="118" spans="1:57" ht="22.5" customHeight="1">
      <c r="A118" s="3">
        <v>115</v>
      </c>
      <c r="B118" s="34" t="s">
        <v>310</v>
      </c>
      <c r="C118" s="20" t="s">
        <v>312</v>
      </c>
      <c r="D118" s="18">
        <v>42565</v>
      </c>
      <c r="E118" s="17">
        <v>0</v>
      </c>
      <c r="F118" s="82">
        <v>14820.97</v>
      </c>
      <c r="G118" s="82"/>
      <c r="H118" s="82"/>
      <c r="I118" s="83">
        <f t="shared" si="4"/>
        <v>14820.97</v>
      </c>
      <c r="J118" s="82">
        <v>15000</v>
      </c>
      <c r="K118" s="82"/>
      <c r="L118" s="82"/>
      <c r="M118" s="83">
        <f t="shared" si="31"/>
        <v>15000</v>
      </c>
      <c r="N118" s="82">
        <v>14516.129032258101</v>
      </c>
      <c r="O118" s="82"/>
      <c r="P118" s="82"/>
      <c r="Q118" s="83">
        <f t="shared" si="12"/>
        <v>14516.129032258101</v>
      </c>
      <c r="R118" s="82"/>
      <c r="S118" s="82"/>
      <c r="T118" s="82"/>
      <c r="U118" s="83">
        <f t="shared" si="25"/>
        <v>0</v>
      </c>
      <c r="V118" s="82"/>
      <c r="W118" s="82"/>
      <c r="X118" s="82"/>
      <c r="Y118" s="83">
        <f t="shared" si="24"/>
        <v>0</v>
      </c>
      <c r="Z118" s="82"/>
      <c r="AA118" s="82">
        <f>VLOOKUP(C118,'[1]2018.06中力提成汇总'!$B:$N,13,0)</f>
        <v>0</v>
      </c>
      <c r="AB118" s="82"/>
      <c r="AC118" s="83">
        <f t="shared" si="23"/>
        <v>0</v>
      </c>
      <c r="AD118" s="219">
        <f>IFERROR(VLOOKUP(C118,'[2]7月集团工资汇总表'!C:AD,28,0),0)</f>
        <v>0</v>
      </c>
      <c r="AE118" s="219"/>
      <c r="AF118" s="219"/>
      <c r="AG118" s="246">
        <f t="shared" si="18"/>
        <v>0</v>
      </c>
      <c r="AH118" s="219">
        <f>IFERROR(VLOOKUP(C118,知识科技工资!C:M,11,0),0)</f>
        <v>0</v>
      </c>
      <c r="AI118" s="82"/>
      <c r="AJ118" s="82"/>
      <c r="AK118" s="246">
        <f t="shared" si="26"/>
        <v>0</v>
      </c>
      <c r="AL118" s="82"/>
      <c r="AM118" s="82"/>
      <c r="AN118" s="82"/>
      <c r="AO118" s="83">
        <f t="shared" si="27"/>
        <v>0</v>
      </c>
      <c r="AP118" s="82"/>
      <c r="AQ118" s="82"/>
      <c r="AR118" s="82"/>
      <c r="AS118" s="83">
        <f t="shared" si="28"/>
        <v>0</v>
      </c>
      <c r="AT118" s="82"/>
      <c r="AU118" s="82"/>
      <c r="AV118" s="82"/>
      <c r="AW118" s="84">
        <f t="shared" si="29"/>
        <v>0</v>
      </c>
      <c r="AX118" s="85"/>
      <c r="AY118" s="85"/>
      <c r="AZ118" s="85"/>
      <c r="BA118" s="84">
        <f t="shared" si="30"/>
        <v>0</v>
      </c>
      <c r="BB118" s="86">
        <f t="shared" si="19"/>
        <v>44337.099032258106</v>
      </c>
      <c r="BC118" s="86">
        <f t="shared" si="20"/>
        <v>0</v>
      </c>
      <c r="BD118" s="86">
        <f t="shared" si="21"/>
        <v>0</v>
      </c>
      <c r="BE118" s="87">
        <f t="shared" si="22"/>
        <v>44337.099032258106</v>
      </c>
    </row>
    <row r="119" spans="1:57" s="65" customFormat="1" ht="22.5" customHeight="1">
      <c r="A119" s="3">
        <v>116</v>
      </c>
      <c r="B119" s="62" t="s">
        <v>310</v>
      </c>
      <c r="C119" s="20" t="s">
        <v>313</v>
      </c>
      <c r="D119" s="63">
        <v>42650</v>
      </c>
      <c r="E119" s="64">
        <v>0</v>
      </c>
      <c r="F119" s="94">
        <v>12727.42</v>
      </c>
      <c r="G119" s="94"/>
      <c r="H119" s="94"/>
      <c r="I119" s="95">
        <f t="shared" ref="I119:I155" si="32">SUM(F119:H119)</f>
        <v>12727.42</v>
      </c>
      <c r="J119" s="94">
        <v>12303.5714285714</v>
      </c>
      <c r="K119" s="94"/>
      <c r="L119" s="94"/>
      <c r="M119" s="95">
        <f t="shared" si="31"/>
        <v>12303.5714285714</v>
      </c>
      <c r="N119" s="94">
        <v>13464.285714285699</v>
      </c>
      <c r="O119" s="94"/>
      <c r="P119" s="94"/>
      <c r="Q119" s="95">
        <f t="shared" ref="Q119:Q156" si="33">SUM(N119:P119)</f>
        <v>13464.285714285699</v>
      </c>
      <c r="R119" s="94">
        <v>13000</v>
      </c>
      <c r="S119" s="94"/>
      <c r="T119" s="94"/>
      <c r="U119" s="95">
        <f t="shared" si="25"/>
        <v>13000</v>
      </c>
      <c r="V119" s="94">
        <v>11062.58</v>
      </c>
      <c r="W119" s="94"/>
      <c r="X119" s="94"/>
      <c r="Y119" s="95">
        <f t="shared" si="24"/>
        <v>11062.58</v>
      </c>
      <c r="Z119" s="94">
        <v>3033.33</v>
      </c>
      <c r="AA119" s="94">
        <f>VLOOKUP(C119,'[1]2018.06中力提成汇总'!$B:$N,13,0)</f>
        <v>0</v>
      </c>
      <c r="AB119" s="94"/>
      <c r="AC119" s="95">
        <f t="shared" si="23"/>
        <v>3033.33</v>
      </c>
      <c r="AD119" s="219">
        <f>IFERROR(VLOOKUP(C119,'[2]7月集团工资汇总表'!C:AD,28,0),0)</f>
        <v>0</v>
      </c>
      <c r="AE119" s="226"/>
      <c r="AF119" s="226"/>
      <c r="AG119" s="246">
        <f t="shared" si="18"/>
        <v>0</v>
      </c>
      <c r="AH119" s="219">
        <f>IFERROR(VLOOKUP(C119,知识科技工资!C:M,11,0),0)</f>
        <v>0</v>
      </c>
      <c r="AI119" s="94"/>
      <c r="AJ119" s="94"/>
      <c r="AK119" s="246">
        <f t="shared" si="26"/>
        <v>0</v>
      </c>
      <c r="AL119" s="94"/>
      <c r="AM119" s="94"/>
      <c r="AN119" s="94"/>
      <c r="AO119" s="95">
        <f t="shared" si="27"/>
        <v>0</v>
      </c>
      <c r="AP119" s="94"/>
      <c r="AQ119" s="94"/>
      <c r="AR119" s="94"/>
      <c r="AS119" s="95">
        <f t="shared" si="28"/>
        <v>0</v>
      </c>
      <c r="AT119" s="94"/>
      <c r="AU119" s="94"/>
      <c r="AV119" s="94"/>
      <c r="AW119" s="96">
        <f t="shared" si="29"/>
        <v>0</v>
      </c>
      <c r="AX119" s="97"/>
      <c r="AY119" s="97"/>
      <c r="AZ119" s="97"/>
      <c r="BA119" s="96">
        <f t="shared" si="30"/>
        <v>0</v>
      </c>
      <c r="BB119" s="86">
        <f t="shared" si="19"/>
        <v>65591.187142857103</v>
      </c>
      <c r="BC119" s="86">
        <f t="shared" si="20"/>
        <v>0</v>
      </c>
      <c r="BD119" s="86">
        <f t="shared" si="21"/>
        <v>0</v>
      </c>
      <c r="BE119" s="87">
        <f t="shared" si="22"/>
        <v>65591.187142857103</v>
      </c>
    </row>
    <row r="120" spans="1:57" ht="22.5" customHeight="1">
      <c r="A120" s="3">
        <v>117</v>
      </c>
      <c r="B120" s="34" t="s">
        <v>310</v>
      </c>
      <c r="C120" s="20" t="s">
        <v>314</v>
      </c>
      <c r="D120" s="18">
        <v>42691</v>
      </c>
      <c r="E120" s="17">
        <v>0</v>
      </c>
      <c r="F120" s="82">
        <v>8500</v>
      </c>
      <c r="G120" s="82"/>
      <c r="H120" s="82"/>
      <c r="I120" s="83">
        <f t="shared" si="32"/>
        <v>8500</v>
      </c>
      <c r="J120" s="82">
        <v>8500</v>
      </c>
      <c r="K120" s="82"/>
      <c r="L120" s="82"/>
      <c r="M120" s="83">
        <f t="shared" si="31"/>
        <v>8500</v>
      </c>
      <c r="N120" s="82">
        <v>4387.0967741935501</v>
      </c>
      <c r="O120" s="82"/>
      <c r="P120" s="82"/>
      <c r="Q120" s="83">
        <f t="shared" si="33"/>
        <v>4387.0967741935501</v>
      </c>
      <c r="R120" s="82"/>
      <c r="S120" s="82"/>
      <c r="T120" s="82"/>
      <c r="U120" s="83">
        <f t="shared" si="25"/>
        <v>0</v>
      </c>
      <c r="V120" s="82"/>
      <c r="W120" s="82"/>
      <c r="X120" s="82"/>
      <c r="Y120" s="83">
        <f t="shared" si="24"/>
        <v>0</v>
      </c>
      <c r="Z120" s="82"/>
      <c r="AA120" s="82">
        <f>VLOOKUP(C120,'[1]2018.06中力提成汇总'!$B:$N,13,0)</f>
        <v>0</v>
      </c>
      <c r="AB120" s="82"/>
      <c r="AC120" s="83">
        <f t="shared" si="23"/>
        <v>0</v>
      </c>
      <c r="AD120" s="219">
        <f>IFERROR(VLOOKUP(C120,'[2]7月集团工资汇总表'!C:AD,28,0),0)</f>
        <v>0</v>
      </c>
      <c r="AE120" s="219"/>
      <c r="AF120" s="219"/>
      <c r="AG120" s="246">
        <f t="shared" si="18"/>
        <v>0</v>
      </c>
      <c r="AH120" s="219">
        <f>IFERROR(VLOOKUP(C120,知识科技工资!C:M,11,0),0)</f>
        <v>0</v>
      </c>
      <c r="AI120" s="82"/>
      <c r="AJ120" s="82"/>
      <c r="AK120" s="246">
        <f t="shared" si="26"/>
        <v>0</v>
      </c>
      <c r="AL120" s="82"/>
      <c r="AM120" s="82"/>
      <c r="AN120" s="82"/>
      <c r="AO120" s="83">
        <f t="shared" si="27"/>
        <v>0</v>
      </c>
      <c r="AP120" s="82"/>
      <c r="AQ120" s="82"/>
      <c r="AR120" s="82"/>
      <c r="AS120" s="83">
        <f t="shared" si="28"/>
        <v>0</v>
      </c>
      <c r="AT120" s="82"/>
      <c r="AU120" s="82"/>
      <c r="AV120" s="82"/>
      <c r="AW120" s="84">
        <f t="shared" si="29"/>
        <v>0</v>
      </c>
      <c r="AX120" s="85"/>
      <c r="AY120" s="85"/>
      <c r="AZ120" s="85"/>
      <c r="BA120" s="84">
        <f t="shared" si="30"/>
        <v>0</v>
      </c>
      <c r="BB120" s="86">
        <f t="shared" si="19"/>
        <v>21387.096774193549</v>
      </c>
      <c r="BC120" s="86">
        <f t="shared" si="20"/>
        <v>0</v>
      </c>
      <c r="BD120" s="86">
        <f t="shared" si="21"/>
        <v>0</v>
      </c>
      <c r="BE120" s="87">
        <f t="shared" si="22"/>
        <v>21387.096774193549</v>
      </c>
    </row>
    <row r="121" spans="1:57" ht="22.5" customHeight="1">
      <c r="A121" s="3">
        <v>118</v>
      </c>
      <c r="B121" s="34" t="s">
        <v>310</v>
      </c>
      <c r="C121" s="20" t="s">
        <v>315</v>
      </c>
      <c r="D121" s="18">
        <v>42770</v>
      </c>
      <c r="E121" s="17">
        <v>0</v>
      </c>
      <c r="F121" s="82">
        <v>15741.94</v>
      </c>
      <c r="G121" s="82"/>
      <c r="H121" s="82"/>
      <c r="I121" s="83">
        <f t="shared" si="32"/>
        <v>15741.94</v>
      </c>
      <c r="J121" s="82">
        <v>16000</v>
      </c>
      <c r="K121" s="82"/>
      <c r="L121" s="82"/>
      <c r="M121" s="83">
        <f t="shared" si="31"/>
        <v>16000</v>
      </c>
      <c r="N121" s="82">
        <v>16000</v>
      </c>
      <c r="O121" s="82"/>
      <c r="P121" s="82"/>
      <c r="Q121" s="83">
        <f t="shared" si="33"/>
        <v>16000</v>
      </c>
      <c r="R121" s="82">
        <v>5200</v>
      </c>
      <c r="S121" s="82"/>
      <c r="T121" s="82"/>
      <c r="U121" s="83">
        <f t="shared" si="25"/>
        <v>5200</v>
      </c>
      <c r="V121" s="82"/>
      <c r="W121" s="82"/>
      <c r="X121" s="82"/>
      <c r="Y121" s="83">
        <f t="shared" si="24"/>
        <v>0</v>
      </c>
      <c r="Z121" s="82"/>
      <c r="AA121" s="82">
        <f>VLOOKUP(C121,'[1]2018.06中力提成汇总'!$B:$N,13,0)</f>
        <v>0</v>
      </c>
      <c r="AB121" s="82"/>
      <c r="AC121" s="83">
        <f t="shared" si="23"/>
        <v>0</v>
      </c>
      <c r="AD121" s="219">
        <f>IFERROR(VLOOKUP(C121,'[2]7月集团工资汇总表'!C:AD,28,0),0)</f>
        <v>0</v>
      </c>
      <c r="AE121" s="219"/>
      <c r="AF121" s="219"/>
      <c r="AG121" s="246">
        <f t="shared" si="18"/>
        <v>0</v>
      </c>
      <c r="AH121" s="219">
        <f>IFERROR(VLOOKUP(C121,知识科技工资!C:M,11,0),0)</f>
        <v>0</v>
      </c>
      <c r="AI121" s="82"/>
      <c r="AJ121" s="82"/>
      <c r="AK121" s="246">
        <f t="shared" si="26"/>
        <v>0</v>
      </c>
      <c r="AL121" s="82"/>
      <c r="AM121" s="82"/>
      <c r="AN121" s="82"/>
      <c r="AO121" s="83">
        <f t="shared" si="27"/>
        <v>0</v>
      </c>
      <c r="AP121" s="82"/>
      <c r="AQ121" s="82"/>
      <c r="AR121" s="82"/>
      <c r="AS121" s="83">
        <f t="shared" si="28"/>
        <v>0</v>
      </c>
      <c r="AT121" s="82"/>
      <c r="AU121" s="82"/>
      <c r="AV121" s="82"/>
      <c r="AW121" s="84">
        <f t="shared" si="29"/>
        <v>0</v>
      </c>
      <c r="AX121" s="85"/>
      <c r="AY121" s="85"/>
      <c r="AZ121" s="85"/>
      <c r="BA121" s="84">
        <f t="shared" si="30"/>
        <v>0</v>
      </c>
      <c r="BB121" s="86">
        <f t="shared" si="19"/>
        <v>52941.94</v>
      </c>
      <c r="BC121" s="86">
        <f t="shared" si="20"/>
        <v>0</v>
      </c>
      <c r="BD121" s="86">
        <f t="shared" si="21"/>
        <v>0</v>
      </c>
      <c r="BE121" s="87">
        <f t="shared" si="22"/>
        <v>52941.94</v>
      </c>
    </row>
    <row r="122" spans="1:57" ht="22.5" customHeight="1">
      <c r="A122" s="3">
        <v>119</v>
      </c>
      <c r="B122" s="34" t="s">
        <v>310</v>
      </c>
      <c r="C122" s="20" t="s">
        <v>316</v>
      </c>
      <c r="D122" s="18">
        <v>42793</v>
      </c>
      <c r="E122" s="17">
        <v>0</v>
      </c>
      <c r="F122" s="82">
        <v>7741.94</v>
      </c>
      <c r="G122" s="82"/>
      <c r="H122" s="82"/>
      <c r="I122" s="83">
        <f t="shared" si="32"/>
        <v>7741.94</v>
      </c>
      <c r="J122" s="82">
        <v>7714.2857142857101</v>
      </c>
      <c r="K122" s="82"/>
      <c r="L122" s="82"/>
      <c r="M122" s="83">
        <f t="shared" si="31"/>
        <v>7714.2857142857101</v>
      </c>
      <c r="N122" s="82">
        <v>8774.1935483871002</v>
      </c>
      <c r="O122" s="82"/>
      <c r="P122" s="82"/>
      <c r="Q122" s="83">
        <f t="shared" si="33"/>
        <v>8774.1935483871002</v>
      </c>
      <c r="R122" s="82"/>
      <c r="S122" s="82"/>
      <c r="T122" s="82"/>
      <c r="U122" s="83">
        <f t="shared" si="25"/>
        <v>0</v>
      </c>
      <c r="V122" s="82"/>
      <c r="W122" s="82"/>
      <c r="X122" s="82"/>
      <c r="Y122" s="83">
        <f t="shared" si="24"/>
        <v>0</v>
      </c>
      <c r="Z122" s="82"/>
      <c r="AA122" s="82">
        <f>VLOOKUP(C122,'[1]2018.06中力提成汇总'!$B:$N,13,0)</f>
        <v>0</v>
      </c>
      <c r="AB122" s="82"/>
      <c r="AC122" s="83">
        <f t="shared" si="23"/>
        <v>0</v>
      </c>
      <c r="AD122" s="219">
        <f>IFERROR(VLOOKUP(C122,'[2]7月集团工资汇总表'!C:AD,28,0),0)</f>
        <v>0</v>
      </c>
      <c r="AE122" s="219"/>
      <c r="AF122" s="219"/>
      <c r="AG122" s="246">
        <f t="shared" si="18"/>
        <v>0</v>
      </c>
      <c r="AH122" s="219">
        <f>IFERROR(VLOOKUP(C122,知识科技工资!C:M,11,0),0)</f>
        <v>0</v>
      </c>
      <c r="AI122" s="82"/>
      <c r="AJ122" s="82"/>
      <c r="AK122" s="246">
        <f t="shared" si="26"/>
        <v>0</v>
      </c>
      <c r="AL122" s="82"/>
      <c r="AM122" s="82"/>
      <c r="AN122" s="82"/>
      <c r="AO122" s="83">
        <f t="shared" si="27"/>
        <v>0</v>
      </c>
      <c r="AP122" s="82"/>
      <c r="AQ122" s="82"/>
      <c r="AR122" s="82"/>
      <c r="AS122" s="83">
        <f t="shared" si="28"/>
        <v>0</v>
      </c>
      <c r="AT122" s="82"/>
      <c r="AU122" s="82"/>
      <c r="AV122" s="82"/>
      <c r="AW122" s="84">
        <f t="shared" si="29"/>
        <v>0</v>
      </c>
      <c r="AX122" s="85"/>
      <c r="AY122" s="85"/>
      <c r="AZ122" s="85"/>
      <c r="BA122" s="84">
        <f t="shared" si="30"/>
        <v>0</v>
      </c>
      <c r="BB122" s="86">
        <f t="shared" si="19"/>
        <v>24230.419262672811</v>
      </c>
      <c r="BC122" s="86">
        <f t="shared" si="20"/>
        <v>0</v>
      </c>
      <c r="BD122" s="86">
        <f t="shared" si="21"/>
        <v>0</v>
      </c>
      <c r="BE122" s="87">
        <f t="shared" si="22"/>
        <v>24230.419262672811</v>
      </c>
    </row>
    <row r="123" spans="1:57" ht="22.5" customHeight="1">
      <c r="A123" s="3">
        <v>120</v>
      </c>
      <c r="B123" s="34" t="s">
        <v>310</v>
      </c>
      <c r="C123" s="20" t="s">
        <v>317</v>
      </c>
      <c r="D123" s="18">
        <v>42793</v>
      </c>
      <c r="E123" s="17">
        <v>0</v>
      </c>
      <c r="F123" s="82">
        <v>12580.65</v>
      </c>
      <c r="G123" s="82"/>
      <c r="H123" s="82"/>
      <c r="I123" s="83">
        <f t="shared" si="32"/>
        <v>12580.65</v>
      </c>
      <c r="J123" s="82">
        <v>10678.5714285714</v>
      </c>
      <c r="K123" s="82"/>
      <c r="L123" s="82"/>
      <c r="M123" s="83">
        <f t="shared" si="31"/>
        <v>10678.5714285714</v>
      </c>
      <c r="N123" s="82">
        <v>14362.9032258065</v>
      </c>
      <c r="O123" s="82"/>
      <c r="P123" s="82"/>
      <c r="Q123" s="83">
        <f t="shared" si="33"/>
        <v>14362.9032258065</v>
      </c>
      <c r="R123" s="82"/>
      <c r="S123" s="82"/>
      <c r="T123" s="82"/>
      <c r="U123" s="83">
        <f t="shared" si="25"/>
        <v>0</v>
      </c>
      <c r="V123" s="82"/>
      <c r="W123" s="82"/>
      <c r="X123" s="82"/>
      <c r="Y123" s="83">
        <f t="shared" si="24"/>
        <v>0</v>
      </c>
      <c r="Z123" s="82"/>
      <c r="AA123" s="82">
        <f>VLOOKUP(C123,'[1]2018.06中力提成汇总'!$B:$N,13,0)</f>
        <v>0</v>
      </c>
      <c r="AB123" s="82"/>
      <c r="AC123" s="83">
        <f t="shared" si="23"/>
        <v>0</v>
      </c>
      <c r="AD123" s="219">
        <f>IFERROR(VLOOKUP(C123,'[2]7月集团工资汇总表'!C:AD,28,0),0)</f>
        <v>0</v>
      </c>
      <c r="AE123" s="219"/>
      <c r="AF123" s="219"/>
      <c r="AG123" s="246">
        <f t="shared" si="18"/>
        <v>0</v>
      </c>
      <c r="AH123" s="219">
        <f>IFERROR(VLOOKUP(C123,知识科技工资!C:M,11,0),0)</f>
        <v>0</v>
      </c>
      <c r="AI123" s="82"/>
      <c r="AJ123" s="82"/>
      <c r="AK123" s="246">
        <f t="shared" si="26"/>
        <v>0</v>
      </c>
      <c r="AL123" s="82"/>
      <c r="AM123" s="82"/>
      <c r="AN123" s="82"/>
      <c r="AO123" s="83">
        <f t="shared" si="27"/>
        <v>0</v>
      </c>
      <c r="AP123" s="82"/>
      <c r="AQ123" s="82"/>
      <c r="AR123" s="82"/>
      <c r="AS123" s="83">
        <f t="shared" si="28"/>
        <v>0</v>
      </c>
      <c r="AT123" s="82"/>
      <c r="AU123" s="82"/>
      <c r="AV123" s="82"/>
      <c r="AW123" s="84">
        <f t="shared" si="29"/>
        <v>0</v>
      </c>
      <c r="AX123" s="85"/>
      <c r="AY123" s="85"/>
      <c r="AZ123" s="85"/>
      <c r="BA123" s="84">
        <f t="shared" si="30"/>
        <v>0</v>
      </c>
      <c r="BB123" s="86">
        <f t="shared" si="19"/>
        <v>37622.124654377898</v>
      </c>
      <c r="BC123" s="86">
        <f t="shared" si="20"/>
        <v>0</v>
      </c>
      <c r="BD123" s="86">
        <f t="shared" si="21"/>
        <v>0</v>
      </c>
      <c r="BE123" s="87">
        <f t="shared" si="22"/>
        <v>37622.124654377898</v>
      </c>
    </row>
    <row r="124" spans="1:57" ht="22.5" customHeight="1">
      <c r="A124" s="3">
        <v>121</v>
      </c>
      <c r="B124" s="34" t="s">
        <v>310</v>
      </c>
      <c r="C124" s="35" t="s">
        <v>187</v>
      </c>
      <c r="D124" s="18">
        <v>43077</v>
      </c>
      <c r="E124" s="17">
        <v>12000</v>
      </c>
      <c r="F124" s="82">
        <v>9677.42</v>
      </c>
      <c r="G124" s="98"/>
      <c r="H124" s="98"/>
      <c r="I124" s="83">
        <f t="shared" si="32"/>
        <v>9677.42</v>
      </c>
      <c r="J124" s="82">
        <v>9285.7142857142899</v>
      </c>
      <c r="K124" s="98"/>
      <c r="L124" s="98"/>
      <c r="M124" s="83">
        <f t="shared" si="31"/>
        <v>9285.7142857142899</v>
      </c>
      <c r="N124" s="98">
        <v>11612.9</v>
      </c>
      <c r="O124" s="98"/>
      <c r="P124" s="98"/>
      <c r="Q124" s="83">
        <f t="shared" si="33"/>
        <v>11612.9</v>
      </c>
      <c r="R124" s="82">
        <v>11952</v>
      </c>
      <c r="S124" s="82"/>
      <c r="T124" s="82"/>
      <c r="U124" s="83">
        <f t="shared" si="25"/>
        <v>11952</v>
      </c>
      <c r="V124" s="82">
        <v>12000</v>
      </c>
      <c r="W124" s="82"/>
      <c r="X124" s="82"/>
      <c r="Y124" s="83">
        <f t="shared" si="24"/>
        <v>12000</v>
      </c>
      <c r="Z124" s="82">
        <v>12000</v>
      </c>
      <c r="AA124" s="82">
        <f>VLOOKUP(C124,'[1]2018.06中力提成汇总'!$B:$N,13,0)</f>
        <v>0</v>
      </c>
      <c r="AB124" s="82"/>
      <c r="AC124" s="83">
        <f t="shared" si="23"/>
        <v>12000</v>
      </c>
      <c r="AD124" s="219">
        <f>IFERROR(VLOOKUP(C124,'[2]7月集团工资汇总表'!C:AD,28,0),0)</f>
        <v>12000</v>
      </c>
      <c r="AE124" s="219"/>
      <c r="AF124" s="219"/>
      <c r="AG124" s="246">
        <f t="shared" si="18"/>
        <v>12000</v>
      </c>
      <c r="AH124" s="219">
        <f>IFERROR(VLOOKUP(C124,知识科技工资!C:M,11,0),0)</f>
        <v>10000</v>
      </c>
      <c r="AI124" s="82"/>
      <c r="AJ124" s="82"/>
      <c r="AK124" s="246">
        <f t="shared" si="26"/>
        <v>10000</v>
      </c>
      <c r="AL124" s="82"/>
      <c r="AM124" s="82"/>
      <c r="AN124" s="82"/>
      <c r="AO124" s="83">
        <f t="shared" si="27"/>
        <v>0</v>
      </c>
      <c r="AP124" s="82"/>
      <c r="AQ124" s="82"/>
      <c r="AR124" s="82"/>
      <c r="AS124" s="83">
        <f t="shared" si="28"/>
        <v>0</v>
      </c>
      <c r="AT124" s="82"/>
      <c r="AU124" s="82"/>
      <c r="AV124" s="82"/>
      <c r="AW124" s="84">
        <f t="shared" si="29"/>
        <v>0</v>
      </c>
      <c r="AX124" s="85"/>
      <c r="AY124" s="85"/>
      <c r="AZ124" s="85"/>
      <c r="BA124" s="84">
        <f t="shared" si="30"/>
        <v>0</v>
      </c>
      <c r="BB124" s="86">
        <f t="shared" si="19"/>
        <v>88528.034285714297</v>
      </c>
      <c r="BC124" s="86">
        <f t="shared" si="20"/>
        <v>0</v>
      </c>
      <c r="BD124" s="86">
        <f t="shared" si="21"/>
        <v>0</v>
      </c>
      <c r="BE124" s="87">
        <f t="shared" si="22"/>
        <v>88528.034285714297</v>
      </c>
    </row>
    <row r="125" spans="1:57" ht="22.5" customHeight="1">
      <c r="A125" s="3">
        <v>122</v>
      </c>
      <c r="B125" s="34" t="s">
        <v>310</v>
      </c>
      <c r="C125" s="36" t="s">
        <v>318</v>
      </c>
      <c r="D125" s="18">
        <v>43185</v>
      </c>
      <c r="E125" s="17">
        <v>0</v>
      </c>
      <c r="F125" s="82"/>
      <c r="G125" s="98"/>
      <c r="H125" s="98"/>
      <c r="I125" s="83"/>
      <c r="J125" s="82"/>
      <c r="K125" s="98"/>
      <c r="L125" s="98"/>
      <c r="M125" s="83"/>
      <c r="N125" s="98">
        <v>1935.4838709677399</v>
      </c>
      <c r="O125" s="98"/>
      <c r="P125" s="98"/>
      <c r="Q125" s="83">
        <f t="shared" si="33"/>
        <v>1935.4838709677399</v>
      </c>
      <c r="R125" s="82">
        <v>5500</v>
      </c>
      <c r="S125" s="82"/>
      <c r="T125" s="82"/>
      <c r="U125" s="83">
        <f t="shared" si="25"/>
        <v>5500</v>
      </c>
      <c r="V125" s="82"/>
      <c r="W125" s="82"/>
      <c r="X125" s="82"/>
      <c r="Y125" s="83">
        <f t="shared" si="24"/>
        <v>0</v>
      </c>
      <c r="Z125" s="82"/>
      <c r="AA125" s="82">
        <v>0</v>
      </c>
      <c r="AB125" s="82"/>
      <c r="AC125" s="83">
        <f t="shared" si="23"/>
        <v>0</v>
      </c>
      <c r="AD125" s="219">
        <f>IFERROR(VLOOKUP(C125,'[2]7月集团工资汇总表'!C:AD,28,0),0)</f>
        <v>0</v>
      </c>
      <c r="AE125" s="219"/>
      <c r="AF125" s="219"/>
      <c r="AG125" s="246">
        <f t="shared" si="18"/>
        <v>0</v>
      </c>
      <c r="AH125" s="219">
        <f>IFERROR(VLOOKUP(C125,知识科技工资!C:M,11,0),0)</f>
        <v>0</v>
      </c>
      <c r="AI125" s="82"/>
      <c r="AJ125" s="82"/>
      <c r="AK125" s="246">
        <f t="shared" si="26"/>
        <v>0</v>
      </c>
      <c r="AL125" s="82"/>
      <c r="AM125" s="82"/>
      <c r="AN125" s="82"/>
      <c r="AO125" s="83">
        <f t="shared" si="27"/>
        <v>0</v>
      </c>
      <c r="AP125" s="82"/>
      <c r="AQ125" s="82"/>
      <c r="AR125" s="82"/>
      <c r="AS125" s="83">
        <f t="shared" si="28"/>
        <v>0</v>
      </c>
      <c r="AT125" s="82"/>
      <c r="AU125" s="82"/>
      <c r="AV125" s="82"/>
      <c r="AW125" s="84">
        <f t="shared" si="29"/>
        <v>0</v>
      </c>
      <c r="AX125" s="85"/>
      <c r="AY125" s="85"/>
      <c r="AZ125" s="85"/>
      <c r="BA125" s="84">
        <f t="shared" si="30"/>
        <v>0</v>
      </c>
      <c r="BB125" s="86">
        <f t="shared" si="19"/>
        <v>7435.4838709677397</v>
      </c>
      <c r="BC125" s="86">
        <f t="shared" si="20"/>
        <v>0</v>
      </c>
      <c r="BD125" s="86">
        <f t="shared" si="21"/>
        <v>0</v>
      </c>
      <c r="BE125" s="87">
        <f t="shared" si="22"/>
        <v>7435.4838709677397</v>
      </c>
    </row>
    <row r="126" spans="1:57" s="124" customFormat="1" ht="22.5" customHeight="1">
      <c r="A126" s="3">
        <v>123</v>
      </c>
      <c r="B126" s="129" t="s">
        <v>310</v>
      </c>
      <c r="C126" s="130" t="s">
        <v>50</v>
      </c>
      <c r="D126" s="125">
        <v>43192</v>
      </c>
      <c r="E126" s="119">
        <v>12000</v>
      </c>
      <c r="F126" s="120"/>
      <c r="G126" s="131"/>
      <c r="H126" s="131"/>
      <c r="I126" s="121"/>
      <c r="J126" s="120"/>
      <c r="K126" s="131"/>
      <c r="L126" s="131"/>
      <c r="M126" s="121"/>
      <c r="N126" s="131"/>
      <c r="O126" s="131"/>
      <c r="P126" s="131"/>
      <c r="Q126" s="121"/>
      <c r="R126" s="120">
        <v>9666.67</v>
      </c>
      <c r="S126" s="120"/>
      <c r="T126" s="120"/>
      <c r="U126" s="121">
        <f t="shared" si="25"/>
        <v>9666.67</v>
      </c>
      <c r="V126" s="120">
        <v>10000</v>
      </c>
      <c r="W126" s="120"/>
      <c r="X126" s="120"/>
      <c r="Y126" s="121">
        <f t="shared" si="24"/>
        <v>10000</v>
      </c>
      <c r="Z126" s="120">
        <v>9666.67</v>
      </c>
      <c r="AA126" s="120">
        <f>VLOOKUP(C126,'[1]2018.06中力提成汇总'!$B:$N,13,0)</f>
        <v>0</v>
      </c>
      <c r="AB126" s="120"/>
      <c r="AC126" s="121">
        <f t="shared" si="23"/>
        <v>9666.67</v>
      </c>
      <c r="AD126" s="219">
        <f>IFERROR(VLOOKUP(C126,'[2]7月集团工资汇总表'!C:AD,28,0),0)</f>
        <v>12000</v>
      </c>
      <c r="AE126" s="251"/>
      <c r="AF126" s="251"/>
      <c r="AG126" s="246">
        <f t="shared" si="18"/>
        <v>12000</v>
      </c>
      <c r="AH126" s="219">
        <f>IFERROR(VLOOKUP(C126,知识科技工资!C:M,11,0),0)</f>
        <v>10000</v>
      </c>
      <c r="AI126" s="120"/>
      <c r="AJ126" s="120"/>
      <c r="AK126" s="246">
        <f t="shared" si="26"/>
        <v>10000</v>
      </c>
      <c r="AL126" s="120"/>
      <c r="AM126" s="120"/>
      <c r="AN126" s="120"/>
      <c r="AO126" s="121"/>
      <c r="AP126" s="120"/>
      <c r="AQ126" s="120"/>
      <c r="AR126" s="120"/>
      <c r="AS126" s="121"/>
      <c r="AT126" s="120"/>
      <c r="AU126" s="120"/>
      <c r="AV126" s="120"/>
      <c r="AW126" s="122"/>
      <c r="AX126" s="123"/>
      <c r="AY126" s="123"/>
      <c r="AZ126" s="123"/>
      <c r="BA126" s="122"/>
      <c r="BB126" s="86">
        <f t="shared" si="19"/>
        <v>51333.34</v>
      </c>
      <c r="BC126" s="86">
        <f t="shared" si="20"/>
        <v>0</v>
      </c>
      <c r="BD126" s="86">
        <f t="shared" si="21"/>
        <v>0</v>
      </c>
      <c r="BE126" s="87">
        <f t="shared" si="22"/>
        <v>51333.34</v>
      </c>
    </row>
    <row r="127" spans="1:57" ht="22.5" customHeight="1">
      <c r="A127" s="3">
        <v>124</v>
      </c>
      <c r="B127" s="34" t="s">
        <v>310</v>
      </c>
      <c r="C127" s="35" t="s">
        <v>190</v>
      </c>
      <c r="D127" s="18">
        <v>43209</v>
      </c>
      <c r="E127" s="17">
        <v>20000</v>
      </c>
      <c r="F127" s="82"/>
      <c r="G127" s="98"/>
      <c r="H127" s="98"/>
      <c r="I127" s="83"/>
      <c r="J127" s="82"/>
      <c r="K127" s="98"/>
      <c r="L127" s="98"/>
      <c r="M127" s="83"/>
      <c r="N127" s="98"/>
      <c r="O127" s="98"/>
      <c r="P127" s="98"/>
      <c r="Q127" s="83"/>
      <c r="R127" s="82">
        <v>8000</v>
      </c>
      <c r="S127" s="82"/>
      <c r="T127" s="82"/>
      <c r="U127" s="83">
        <f t="shared" si="25"/>
        <v>8000</v>
      </c>
      <c r="V127" s="82">
        <v>20000</v>
      </c>
      <c r="W127" s="82"/>
      <c r="X127" s="82"/>
      <c r="Y127" s="83">
        <f t="shared" si="24"/>
        <v>20000</v>
      </c>
      <c r="Z127" s="82">
        <v>20000</v>
      </c>
      <c r="AA127" s="82">
        <f>VLOOKUP(C127,'[1]2018.06中力提成汇总'!$B:$N,13,0)</f>
        <v>0</v>
      </c>
      <c r="AB127" s="82"/>
      <c r="AC127" s="83">
        <f t="shared" si="23"/>
        <v>20000</v>
      </c>
      <c r="AD127" s="219">
        <f>IFERROR(VLOOKUP(C127,'[2]7月集团工资汇总表'!C:AD,28,0),0)</f>
        <v>20000</v>
      </c>
      <c r="AE127" s="219"/>
      <c r="AF127" s="219"/>
      <c r="AG127" s="246">
        <f t="shared" si="18"/>
        <v>20000</v>
      </c>
      <c r="AH127" s="219">
        <f>IFERROR(VLOOKUP(C127,知识科技工资!C:M,11,0),0)</f>
        <v>9919.35</v>
      </c>
      <c r="AI127" s="82"/>
      <c r="AJ127" s="82"/>
      <c r="AK127" s="246">
        <f t="shared" si="26"/>
        <v>9919.35</v>
      </c>
      <c r="AL127" s="82"/>
      <c r="AM127" s="82"/>
      <c r="AN127" s="82"/>
      <c r="AO127" s="83"/>
      <c r="AP127" s="82"/>
      <c r="AQ127" s="82"/>
      <c r="AR127" s="82"/>
      <c r="AS127" s="83"/>
      <c r="AT127" s="82"/>
      <c r="AU127" s="82"/>
      <c r="AV127" s="82"/>
      <c r="AW127" s="84"/>
      <c r="AX127" s="85"/>
      <c r="AY127" s="85"/>
      <c r="AZ127" s="85"/>
      <c r="BA127" s="84"/>
      <c r="BB127" s="86">
        <f t="shared" si="19"/>
        <v>77919.350000000006</v>
      </c>
      <c r="BC127" s="86">
        <f t="shared" si="20"/>
        <v>0</v>
      </c>
      <c r="BD127" s="86">
        <f t="shared" si="21"/>
        <v>0</v>
      </c>
      <c r="BE127" s="87">
        <f t="shared" si="22"/>
        <v>77919.350000000006</v>
      </c>
    </row>
    <row r="128" spans="1:57" s="124" customFormat="1" ht="22.5" customHeight="1">
      <c r="A128" s="3">
        <v>125</v>
      </c>
      <c r="B128" s="129" t="s">
        <v>310</v>
      </c>
      <c r="C128" s="130" t="s">
        <v>53</v>
      </c>
      <c r="D128" s="125">
        <v>43210</v>
      </c>
      <c r="E128" s="119">
        <v>12000</v>
      </c>
      <c r="F128" s="120"/>
      <c r="G128" s="131"/>
      <c r="H128" s="131"/>
      <c r="I128" s="121"/>
      <c r="J128" s="120"/>
      <c r="K128" s="131"/>
      <c r="L128" s="131"/>
      <c r="M128" s="121"/>
      <c r="N128" s="131"/>
      <c r="O128" s="131"/>
      <c r="P128" s="131"/>
      <c r="Q128" s="121"/>
      <c r="R128" s="120">
        <v>4033.33</v>
      </c>
      <c r="S128" s="120"/>
      <c r="T128" s="120"/>
      <c r="U128" s="121">
        <f t="shared" si="25"/>
        <v>4033.33</v>
      </c>
      <c r="V128" s="120">
        <v>10822.58</v>
      </c>
      <c r="W128" s="120"/>
      <c r="X128" s="120"/>
      <c r="Y128" s="121">
        <f t="shared" si="24"/>
        <v>10822.58</v>
      </c>
      <c r="Z128" s="120">
        <v>11000</v>
      </c>
      <c r="AA128" s="120">
        <f>VLOOKUP(C128,'[1]2018.06中力提成汇总'!$B:$N,13,0)</f>
        <v>0</v>
      </c>
      <c r="AB128" s="120"/>
      <c r="AC128" s="121">
        <f t="shared" si="23"/>
        <v>11000</v>
      </c>
      <c r="AD128" s="219">
        <f>IFERROR(VLOOKUP(C128,'[2]7月集团工资汇总表'!C:AD,28,0),0)</f>
        <v>11419.36</v>
      </c>
      <c r="AE128" s="251"/>
      <c r="AF128" s="251"/>
      <c r="AG128" s="246">
        <f t="shared" si="18"/>
        <v>11419.36</v>
      </c>
      <c r="AH128" s="219">
        <f>IFERROR(VLOOKUP(C128,知识科技工资!C:M,11,0),0)</f>
        <v>10000</v>
      </c>
      <c r="AI128" s="120"/>
      <c r="AJ128" s="120"/>
      <c r="AK128" s="246">
        <f t="shared" si="26"/>
        <v>10000</v>
      </c>
      <c r="AL128" s="120"/>
      <c r="AM128" s="120"/>
      <c r="AN128" s="120"/>
      <c r="AO128" s="121"/>
      <c r="AP128" s="120"/>
      <c r="AQ128" s="120"/>
      <c r="AR128" s="120"/>
      <c r="AS128" s="121"/>
      <c r="AT128" s="120"/>
      <c r="AU128" s="120"/>
      <c r="AV128" s="120"/>
      <c r="AW128" s="122"/>
      <c r="AX128" s="123"/>
      <c r="AY128" s="123"/>
      <c r="AZ128" s="123"/>
      <c r="BA128" s="122"/>
      <c r="BB128" s="86">
        <f t="shared" si="19"/>
        <v>47275.270000000004</v>
      </c>
      <c r="BC128" s="86">
        <f t="shared" si="20"/>
        <v>0</v>
      </c>
      <c r="BD128" s="86">
        <f t="shared" si="21"/>
        <v>0</v>
      </c>
      <c r="BE128" s="87">
        <f t="shared" si="22"/>
        <v>47275.270000000004</v>
      </c>
    </row>
    <row r="129" spans="1:57" ht="22.5" customHeight="1">
      <c r="A129" s="3">
        <v>126</v>
      </c>
      <c r="B129" s="34" t="s">
        <v>310</v>
      </c>
      <c r="C129" s="35" t="s">
        <v>193</v>
      </c>
      <c r="D129" s="18">
        <v>43223</v>
      </c>
      <c r="E129" s="17">
        <v>14000</v>
      </c>
      <c r="F129" s="82"/>
      <c r="G129" s="98"/>
      <c r="H129" s="98"/>
      <c r="I129" s="83"/>
      <c r="J129" s="82"/>
      <c r="K129" s="98"/>
      <c r="L129" s="98"/>
      <c r="M129" s="83"/>
      <c r="N129" s="98"/>
      <c r="O129" s="98"/>
      <c r="P129" s="98"/>
      <c r="Q129" s="83"/>
      <c r="R129" s="82"/>
      <c r="S129" s="82"/>
      <c r="T129" s="82"/>
      <c r="U129" s="83"/>
      <c r="V129" s="82">
        <v>11032.26</v>
      </c>
      <c r="W129" s="82"/>
      <c r="X129" s="82"/>
      <c r="Y129" s="83">
        <f t="shared" si="24"/>
        <v>11032.26</v>
      </c>
      <c r="Z129" s="82">
        <v>11800</v>
      </c>
      <c r="AA129" s="82">
        <f>VLOOKUP(C129,'[1]2018.06中力提成汇总'!$B:$N,13,0)</f>
        <v>0</v>
      </c>
      <c r="AB129" s="82"/>
      <c r="AC129" s="83">
        <f t="shared" si="23"/>
        <v>11800</v>
      </c>
      <c r="AD129" s="219">
        <f>IFERROR(VLOOKUP(C129,'[2]7月集团工资汇总表'!C:AD,28,0),0)</f>
        <v>11953.55</v>
      </c>
      <c r="AE129" s="219"/>
      <c r="AF129" s="219"/>
      <c r="AG129" s="246">
        <f t="shared" si="18"/>
        <v>11953.55</v>
      </c>
      <c r="AH129" s="219">
        <f>IFERROR(VLOOKUP(C129,知识科技工资!C:M,11,0),0)</f>
        <v>13935.48</v>
      </c>
      <c r="AI129" s="82"/>
      <c r="AJ129" s="82"/>
      <c r="AK129" s="246">
        <f t="shared" si="26"/>
        <v>13935.48</v>
      </c>
      <c r="AL129" s="82"/>
      <c r="AM129" s="82"/>
      <c r="AN129" s="82"/>
      <c r="AO129" s="83"/>
      <c r="AP129" s="82"/>
      <c r="AQ129" s="82"/>
      <c r="AR129" s="82"/>
      <c r="AS129" s="83"/>
      <c r="AT129" s="82"/>
      <c r="AU129" s="82"/>
      <c r="AV129" s="82"/>
      <c r="AW129" s="84"/>
      <c r="AX129" s="85"/>
      <c r="AY129" s="85"/>
      <c r="AZ129" s="85"/>
      <c r="BA129" s="84"/>
      <c r="BB129" s="86">
        <f t="shared" si="19"/>
        <v>48721.289999999994</v>
      </c>
      <c r="BC129" s="86">
        <f t="shared" si="20"/>
        <v>0</v>
      </c>
      <c r="BD129" s="86">
        <f t="shared" si="21"/>
        <v>0</v>
      </c>
      <c r="BE129" s="87">
        <f t="shared" si="22"/>
        <v>48721.289999999994</v>
      </c>
    </row>
    <row r="130" spans="1:57" ht="22.5" customHeight="1">
      <c r="A130" s="3">
        <v>127</v>
      </c>
      <c r="B130" s="34" t="s">
        <v>310</v>
      </c>
      <c r="C130" s="35" t="s">
        <v>195</v>
      </c>
      <c r="D130" s="18">
        <v>43227</v>
      </c>
      <c r="E130" s="17">
        <v>14000</v>
      </c>
      <c r="F130" s="82"/>
      <c r="G130" s="98"/>
      <c r="H130" s="98"/>
      <c r="I130" s="83"/>
      <c r="J130" s="82"/>
      <c r="K130" s="98"/>
      <c r="L130" s="98"/>
      <c r="M130" s="83"/>
      <c r="N130" s="98"/>
      <c r="O130" s="98"/>
      <c r="P130" s="98"/>
      <c r="Q130" s="83"/>
      <c r="R130" s="82"/>
      <c r="S130" s="82"/>
      <c r="T130" s="82"/>
      <c r="U130" s="83"/>
      <c r="V130" s="82">
        <v>11290.32</v>
      </c>
      <c r="W130" s="82"/>
      <c r="X130" s="82"/>
      <c r="Y130" s="83">
        <f t="shared" si="24"/>
        <v>11290.32</v>
      </c>
      <c r="Z130" s="82">
        <v>14000</v>
      </c>
      <c r="AA130" s="82">
        <f>VLOOKUP(C130,'[1]2018.06中力提成汇总'!$B:$N,13,0)</f>
        <v>0</v>
      </c>
      <c r="AB130" s="82"/>
      <c r="AC130" s="83">
        <f t="shared" si="23"/>
        <v>14000</v>
      </c>
      <c r="AD130" s="219">
        <f>IFERROR(VLOOKUP(C130,'[2]7月集团工资汇总表'!C:AD,28,0),0)</f>
        <v>13096.77</v>
      </c>
      <c r="AE130" s="219"/>
      <c r="AF130" s="219"/>
      <c r="AG130" s="246">
        <f t="shared" si="18"/>
        <v>13096.77</v>
      </c>
      <c r="AH130" s="219">
        <f>IFERROR(VLOOKUP(C130,知识科技工资!C:M,11,0),0)</f>
        <v>9677.42</v>
      </c>
      <c r="AI130" s="82"/>
      <c r="AJ130" s="82"/>
      <c r="AK130" s="246">
        <f t="shared" si="26"/>
        <v>9677.42</v>
      </c>
      <c r="AL130" s="82"/>
      <c r="AM130" s="82"/>
      <c r="AN130" s="82"/>
      <c r="AO130" s="83"/>
      <c r="AP130" s="82"/>
      <c r="AQ130" s="82"/>
      <c r="AR130" s="82"/>
      <c r="AS130" s="83"/>
      <c r="AT130" s="82"/>
      <c r="AU130" s="82"/>
      <c r="AV130" s="82"/>
      <c r="AW130" s="84"/>
      <c r="AX130" s="85"/>
      <c r="AY130" s="85"/>
      <c r="AZ130" s="85"/>
      <c r="BA130" s="84"/>
      <c r="BB130" s="86">
        <f t="shared" si="19"/>
        <v>48064.509999999995</v>
      </c>
      <c r="BC130" s="86">
        <f t="shared" si="20"/>
        <v>0</v>
      </c>
      <c r="BD130" s="86">
        <f t="shared" si="21"/>
        <v>0</v>
      </c>
      <c r="BE130" s="87">
        <f t="shared" si="22"/>
        <v>48064.509999999995</v>
      </c>
    </row>
    <row r="131" spans="1:57" ht="22.5" customHeight="1">
      <c r="A131" s="3">
        <v>128</v>
      </c>
      <c r="B131" s="34" t="s">
        <v>310</v>
      </c>
      <c r="C131" s="35" t="s">
        <v>197</v>
      </c>
      <c r="D131" s="18">
        <v>43241</v>
      </c>
      <c r="E131" s="17">
        <v>14000</v>
      </c>
      <c r="F131" s="82"/>
      <c r="G131" s="98"/>
      <c r="H131" s="98"/>
      <c r="I131" s="83"/>
      <c r="J131" s="82"/>
      <c r="K131" s="98"/>
      <c r="L131" s="98"/>
      <c r="M131" s="83"/>
      <c r="N131" s="98"/>
      <c r="O131" s="98"/>
      <c r="P131" s="98"/>
      <c r="Q131" s="83"/>
      <c r="R131" s="82"/>
      <c r="S131" s="82"/>
      <c r="T131" s="82"/>
      <c r="U131" s="83"/>
      <c r="V131" s="82">
        <v>4612.8999999999996</v>
      </c>
      <c r="W131" s="82"/>
      <c r="X131" s="82"/>
      <c r="Y131" s="83">
        <f t="shared" si="24"/>
        <v>4612.8999999999996</v>
      </c>
      <c r="Z131" s="82">
        <v>13000</v>
      </c>
      <c r="AA131" s="82">
        <f>VLOOKUP(C131,'[1]2018.06中力提成汇总'!$B:$N,13,0)</f>
        <v>0</v>
      </c>
      <c r="AB131" s="82"/>
      <c r="AC131" s="83">
        <f t="shared" si="23"/>
        <v>13000</v>
      </c>
      <c r="AD131" s="219">
        <f>IFERROR(VLOOKUP(C131,'[2]7月集团工资汇总表'!C:AD,28,0),0)</f>
        <v>13000</v>
      </c>
      <c r="AE131" s="219"/>
      <c r="AF131" s="219"/>
      <c r="AG131" s="246">
        <f t="shared" si="18"/>
        <v>13000</v>
      </c>
      <c r="AH131" s="219">
        <f>IFERROR(VLOOKUP(C131,知识科技工资!C:M,11,0),0)</f>
        <v>13387.1</v>
      </c>
      <c r="AI131" s="82"/>
      <c r="AJ131" s="82"/>
      <c r="AK131" s="246">
        <f t="shared" si="26"/>
        <v>13387.1</v>
      </c>
      <c r="AL131" s="82"/>
      <c r="AM131" s="82"/>
      <c r="AN131" s="82"/>
      <c r="AO131" s="83"/>
      <c r="AP131" s="82"/>
      <c r="AQ131" s="82"/>
      <c r="AR131" s="82"/>
      <c r="AS131" s="83"/>
      <c r="AT131" s="82"/>
      <c r="AU131" s="82"/>
      <c r="AV131" s="82"/>
      <c r="AW131" s="84"/>
      <c r="AX131" s="85"/>
      <c r="AY131" s="85"/>
      <c r="AZ131" s="85"/>
      <c r="BA131" s="84"/>
      <c r="BB131" s="86">
        <f t="shared" si="19"/>
        <v>44000</v>
      </c>
      <c r="BC131" s="86">
        <f t="shared" si="20"/>
        <v>0</v>
      </c>
      <c r="BD131" s="86">
        <f t="shared" si="21"/>
        <v>0</v>
      </c>
      <c r="BE131" s="87">
        <f t="shared" si="22"/>
        <v>44000</v>
      </c>
    </row>
    <row r="132" spans="1:57" ht="22.5" customHeight="1">
      <c r="A132" s="3">
        <v>129</v>
      </c>
      <c r="B132" s="34" t="s">
        <v>310</v>
      </c>
      <c r="C132" s="35" t="s">
        <v>199</v>
      </c>
      <c r="D132" s="18">
        <v>43241</v>
      </c>
      <c r="E132" s="17">
        <v>15000</v>
      </c>
      <c r="F132" s="82"/>
      <c r="G132" s="98"/>
      <c r="H132" s="98"/>
      <c r="I132" s="83"/>
      <c r="J132" s="82"/>
      <c r="K132" s="98"/>
      <c r="L132" s="98"/>
      <c r="M132" s="83"/>
      <c r="N132" s="98"/>
      <c r="O132" s="98"/>
      <c r="P132" s="98"/>
      <c r="Q132" s="83"/>
      <c r="R132" s="82"/>
      <c r="S132" s="82"/>
      <c r="T132" s="82"/>
      <c r="U132" s="83"/>
      <c r="V132" s="82">
        <v>4967.74</v>
      </c>
      <c r="W132" s="82"/>
      <c r="X132" s="82"/>
      <c r="Y132" s="83">
        <f t="shared" si="24"/>
        <v>4967.74</v>
      </c>
      <c r="Z132" s="82">
        <v>14000</v>
      </c>
      <c r="AA132" s="82">
        <f>VLOOKUP(C132,'[1]2018.06中力提成汇总'!$B:$N,13,0)</f>
        <v>0</v>
      </c>
      <c r="AB132" s="82"/>
      <c r="AC132" s="83">
        <f t="shared" si="23"/>
        <v>14000</v>
      </c>
      <c r="AD132" s="219">
        <f>IFERROR(VLOOKUP(C132,'[2]7月集团工资汇总表'!C:AD,28,0),0)</f>
        <v>14000</v>
      </c>
      <c r="AE132" s="219"/>
      <c r="AF132" s="219"/>
      <c r="AG132" s="246">
        <f t="shared" si="18"/>
        <v>14000</v>
      </c>
      <c r="AH132" s="219">
        <f>IFERROR(VLOOKUP(C132,知识科技工资!C:M,11,0),0)</f>
        <v>14387.1</v>
      </c>
      <c r="AI132" s="82"/>
      <c r="AJ132" s="82"/>
      <c r="AK132" s="246">
        <f t="shared" si="26"/>
        <v>14387.1</v>
      </c>
      <c r="AL132" s="82"/>
      <c r="AM132" s="82"/>
      <c r="AN132" s="82"/>
      <c r="AO132" s="83"/>
      <c r="AP132" s="82"/>
      <c r="AQ132" s="82"/>
      <c r="AR132" s="82"/>
      <c r="AS132" s="83"/>
      <c r="AT132" s="82"/>
      <c r="AU132" s="82"/>
      <c r="AV132" s="82"/>
      <c r="AW132" s="84"/>
      <c r="AX132" s="85"/>
      <c r="AY132" s="85"/>
      <c r="AZ132" s="85"/>
      <c r="BA132" s="84"/>
      <c r="BB132" s="86">
        <f t="shared" si="19"/>
        <v>47354.84</v>
      </c>
      <c r="BC132" s="86">
        <f t="shared" si="20"/>
        <v>0</v>
      </c>
      <c r="BD132" s="86">
        <f t="shared" si="21"/>
        <v>0</v>
      </c>
      <c r="BE132" s="87">
        <f t="shared" si="22"/>
        <v>47354.84</v>
      </c>
    </row>
    <row r="133" spans="1:57" ht="22.5" customHeight="1">
      <c r="A133" s="3">
        <v>130</v>
      </c>
      <c r="B133" s="34" t="s">
        <v>310</v>
      </c>
      <c r="C133" s="68" t="s">
        <v>319</v>
      </c>
      <c r="D133" s="18">
        <v>43252</v>
      </c>
      <c r="E133" s="17">
        <v>0</v>
      </c>
      <c r="F133" s="82"/>
      <c r="G133" s="98"/>
      <c r="H133" s="98"/>
      <c r="I133" s="83"/>
      <c r="J133" s="82"/>
      <c r="K133" s="98"/>
      <c r="L133" s="98"/>
      <c r="M133" s="83"/>
      <c r="N133" s="98"/>
      <c r="O133" s="98"/>
      <c r="P133" s="98"/>
      <c r="Q133" s="83"/>
      <c r="R133" s="82"/>
      <c r="S133" s="82"/>
      <c r="T133" s="82"/>
      <c r="U133" s="83"/>
      <c r="V133" s="82"/>
      <c r="W133" s="82"/>
      <c r="X133" s="82"/>
      <c r="Y133" s="83"/>
      <c r="Z133" s="82">
        <v>20000</v>
      </c>
      <c r="AA133" s="82">
        <f>VLOOKUP(C133,'[1]2018.06中力提成汇总'!$B:$N,13,0)</f>
        <v>0</v>
      </c>
      <c r="AB133" s="82"/>
      <c r="AC133" s="83">
        <f t="shared" si="23"/>
        <v>20000</v>
      </c>
      <c r="AD133" s="219">
        <f>IFERROR(VLOOKUP(C133,'[2]7月集团工资汇总表'!C:AD,28,0),0)</f>
        <v>0</v>
      </c>
      <c r="AE133" s="219"/>
      <c r="AF133" s="219"/>
      <c r="AG133" s="246">
        <f t="shared" si="18"/>
        <v>0</v>
      </c>
      <c r="AH133" s="219">
        <f>IFERROR(VLOOKUP(C133,知识科技工资!C:M,11,0),0)</f>
        <v>0</v>
      </c>
      <c r="AI133" s="82"/>
      <c r="AJ133" s="82"/>
      <c r="AK133" s="246">
        <f t="shared" si="26"/>
        <v>0</v>
      </c>
      <c r="AL133" s="82"/>
      <c r="AM133" s="82"/>
      <c r="AN133" s="82"/>
      <c r="AO133" s="83"/>
      <c r="AP133" s="82"/>
      <c r="AQ133" s="82"/>
      <c r="AR133" s="82"/>
      <c r="AS133" s="83"/>
      <c r="AT133" s="82"/>
      <c r="AU133" s="82"/>
      <c r="AV133" s="82"/>
      <c r="AW133" s="84"/>
      <c r="AX133" s="85"/>
      <c r="AY133" s="85"/>
      <c r="AZ133" s="85"/>
      <c r="BA133" s="84"/>
      <c r="BB133" s="86">
        <f t="shared" si="19"/>
        <v>20000</v>
      </c>
      <c r="BC133" s="86">
        <f t="shared" si="20"/>
        <v>0</v>
      </c>
      <c r="BD133" s="86">
        <f t="shared" si="21"/>
        <v>0</v>
      </c>
      <c r="BE133" s="87">
        <f t="shared" si="22"/>
        <v>20000</v>
      </c>
    </row>
    <row r="134" spans="1:57" ht="22.5" customHeight="1">
      <c r="A134" s="3">
        <v>131</v>
      </c>
      <c r="B134" s="34" t="s">
        <v>310</v>
      </c>
      <c r="C134" s="35" t="s">
        <v>201</v>
      </c>
      <c r="D134" s="18">
        <v>43255</v>
      </c>
      <c r="E134" s="17">
        <v>5000</v>
      </c>
      <c r="F134" s="82"/>
      <c r="G134" s="98"/>
      <c r="H134" s="98"/>
      <c r="I134" s="83"/>
      <c r="J134" s="82"/>
      <c r="K134" s="98"/>
      <c r="L134" s="98"/>
      <c r="M134" s="83"/>
      <c r="N134" s="98"/>
      <c r="O134" s="98"/>
      <c r="P134" s="98"/>
      <c r="Q134" s="83"/>
      <c r="R134" s="82"/>
      <c r="S134" s="82"/>
      <c r="T134" s="82"/>
      <c r="U134" s="83"/>
      <c r="V134" s="82"/>
      <c r="W134" s="82"/>
      <c r="X134" s="82"/>
      <c r="Y134" s="83"/>
      <c r="Z134" s="82">
        <v>4500</v>
      </c>
      <c r="AA134" s="82">
        <f>VLOOKUP(C134,'[1]2018.06中力提成汇总'!$B:$N,13,0)</f>
        <v>0</v>
      </c>
      <c r="AB134" s="82"/>
      <c r="AC134" s="83">
        <f t="shared" si="23"/>
        <v>4500</v>
      </c>
      <c r="AD134" s="219">
        <f>IFERROR(VLOOKUP(C134,'[2]7月集团工资汇总表'!C:AD,28,0),0)</f>
        <v>5000</v>
      </c>
      <c r="AE134" s="219"/>
      <c r="AF134" s="219"/>
      <c r="AG134" s="246">
        <f t="shared" si="18"/>
        <v>5000</v>
      </c>
      <c r="AH134" s="219">
        <f>IFERROR(VLOOKUP(C134,知识科技工资!C:M,11,0),0)</f>
        <v>10000</v>
      </c>
      <c r="AI134" s="82"/>
      <c r="AJ134" s="82"/>
      <c r="AK134" s="246">
        <f t="shared" si="26"/>
        <v>10000</v>
      </c>
      <c r="AL134" s="82"/>
      <c r="AM134" s="82"/>
      <c r="AN134" s="82"/>
      <c r="AO134" s="83"/>
      <c r="AP134" s="82"/>
      <c r="AQ134" s="82"/>
      <c r="AR134" s="82"/>
      <c r="AS134" s="83"/>
      <c r="AT134" s="82"/>
      <c r="AU134" s="82"/>
      <c r="AV134" s="82"/>
      <c r="AW134" s="84"/>
      <c r="AX134" s="85"/>
      <c r="AY134" s="85"/>
      <c r="AZ134" s="85"/>
      <c r="BA134" s="84"/>
      <c r="BB134" s="86">
        <f t="shared" si="19"/>
        <v>19500</v>
      </c>
      <c r="BC134" s="86">
        <f t="shared" si="20"/>
        <v>0</v>
      </c>
      <c r="BD134" s="86">
        <f t="shared" si="21"/>
        <v>0</v>
      </c>
      <c r="BE134" s="87">
        <f t="shared" si="22"/>
        <v>19500</v>
      </c>
    </row>
    <row r="135" spans="1:57" ht="22.5" customHeight="1">
      <c r="A135" s="3">
        <v>132</v>
      </c>
      <c r="B135" s="34" t="s">
        <v>310</v>
      </c>
      <c r="C135" s="35" t="s">
        <v>211</v>
      </c>
      <c r="D135" s="18">
        <v>43263</v>
      </c>
      <c r="E135" s="17">
        <v>5000</v>
      </c>
      <c r="F135" s="82"/>
      <c r="G135" s="98"/>
      <c r="H135" s="98"/>
      <c r="I135" s="83"/>
      <c r="J135" s="82"/>
      <c r="K135" s="98"/>
      <c r="L135" s="98"/>
      <c r="M135" s="83"/>
      <c r="N135" s="98"/>
      <c r="O135" s="98"/>
      <c r="P135" s="98"/>
      <c r="Q135" s="83"/>
      <c r="R135" s="82"/>
      <c r="S135" s="82"/>
      <c r="T135" s="82"/>
      <c r="U135" s="83"/>
      <c r="V135" s="82"/>
      <c r="W135" s="82"/>
      <c r="X135" s="82"/>
      <c r="Y135" s="83"/>
      <c r="Z135" s="82">
        <v>3166.67</v>
      </c>
      <c r="AA135" s="82">
        <f>VLOOKUP(C135,'[1]2018.06中力提成汇总'!$B:$N,13,0)</f>
        <v>0</v>
      </c>
      <c r="AB135" s="82"/>
      <c r="AC135" s="83">
        <f t="shared" si="23"/>
        <v>3166.67</v>
      </c>
      <c r="AD135" s="219">
        <f>IFERROR(VLOOKUP(C135,'[2]7月集团工资汇总表'!C:AD,28,0),0)</f>
        <v>4935.4799999999996</v>
      </c>
      <c r="AE135" s="219"/>
      <c r="AF135" s="219"/>
      <c r="AG135" s="246">
        <f t="shared" si="18"/>
        <v>4935.4799999999996</v>
      </c>
      <c r="AH135" s="219">
        <f>IFERROR(VLOOKUP(C135,知识科技工资!C:M,11,0),0)</f>
        <v>9677.42</v>
      </c>
      <c r="AI135" s="82"/>
      <c r="AJ135" s="82"/>
      <c r="AK135" s="246">
        <f t="shared" si="26"/>
        <v>9677.42</v>
      </c>
      <c r="AL135" s="82"/>
      <c r="AM135" s="82"/>
      <c r="AN135" s="82"/>
      <c r="AO135" s="83"/>
      <c r="AP135" s="82"/>
      <c r="AQ135" s="82"/>
      <c r="AR135" s="82"/>
      <c r="AS135" s="83"/>
      <c r="AT135" s="82"/>
      <c r="AU135" s="82"/>
      <c r="AV135" s="82"/>
      <c r="AW135" s="84"/>
      <c r="AX135" s="85"/>
      <c r="AY135" s="85"/>
      <c r="AZ135" s="85"/>
      <c r="BA135" s="84"/>
      <c r="BB135" s="86">
        <f t="shared" si="19"/>
        <v>17779.57</v>
      </c>
      <c r="BC135" s="86">
        <f t="shared" si="20"/>
        <v>0</v>
      </c>
      <c r="BD135" s="86">
        <f t="shared" si="21"/>
        <v>0</v>
      </c>
      <c r="BE135" s="87">
        <f t="shared" si="22"/>
        <v>17779.57</v>
      </c>
    </row>
    <row r="136" spans="1:57" ht="22.5" customHeight="1">
      <c r="A136" s="3">
        <v>133</v>
      </c>
      <c r="B136" s="34" t="s">
        <v>310</v>
      </c>
      <c r="C136" s="35" t="s">
        <v>203</v>
      </c>
      <c r="D136" s="18">
        <v>43264</v>
      </c>
      <c r="E136" s="17">
        <v>10000</v>
      </c>
      <c r="F136" s="82"/>
      <c r="G136" s="98"/>
      <c r="H136" s="98"/>
      <c r="I136" s="83"/>
      <c r="J136" s="82"/>
      <c r="K136" s="98"/>
      <c r="L136" s="98"/>
      <c r="M136" s="83"/>
      <c r="N136" s="98"/>
      <c r="O136" s="98"/>
      <c r="P136" s="98"/>
      <c r="Q136" s="83"/>
      <c r="R136" s="82"/>
      <c r="S136" s="82"/>
      <c r="T136" s="82"/>
      <c r="U136" s="83"/>
      <c r="V136" s="82"/>
      <c r="W136" s="82"/>
      <c r="X136" s="82"/>
      <c r="Y136" s="83"/>
      <c r="Z136" s="82">
        <v>6000</v>
      </c>
      <c r="AA136" s="82">
        <f>VLOOKUP(C136,'[1]2018.06中力提成汇总'!$B:$N,13,0)</f>
        <v>0</v>
      </c>
      <c r="AB136" s="82"/>
      <c r="AC136" s="83">
        <f t="shared" si="23"/>
        <v>6000</v>
      </c>
      <c r="AD136" s="219">
        <f>IFERROR(VLOOKUP(C136,'[2]7月集团工资汇总表'!C:AD,28,0),0)</f>
        <v>10000</v>
      </c>
      <c r="AE136" s="219"/>
      <c r="AF136" s="219"/>
      <c r="AG136" s="246">
        <f t="shared" si="18"/>
        <v>10000</v>
      </c>
      <c r="AH136" s="219">
        <f>IFERROR(VLOOKUP(C136,知识科技工资!C:M,11,0),0)</f>
        <v>10000</v>
      </c>
      <c r="AI136" s="82"/>
      <c r="AJ136" s="82"/>
      <c r="AK136" s="246">
        <f t="shared" si="26"/>
        <v>10000</v>
      </c>
      <c r="AL136" s="82"/>
      <c r="AM136" s="82"/>
      <c r="AN136" s="82"/>
      <c r="AO136" s="83"/>
      <c r="AP136" s="82"/>
      <c r="AQ136" s="82"/>
      <c r="AR136" s="82"/>
      <c r="AS136" s="83"/>
      <c r="AT136" s="82"/>
      <c r="AU136" s="82"/>
      <c r="AV136" s="82"/>
      <c r="AW136" s="84"/>
      <c r="AX136" s="85"/>
      <c r="AY136" s="85"/>
      <c r="AZ136" s="85"/>
      <c r="BA136" s="84"/>
      <c r="BB136" s="86">
        <f t="shared" si="19"/>
        <v>26000</v>
      </c>
      <c r="BC136" s="86">
        <f t="shared" si="20"/>
        <v>0</v>
      </c>
      <c r="BD136" s="86">
        <f t="shared" si="21"/>
        <v>0</v>
      </c>
      <c r="BE136" s="87">
        <f t="shared" si="22"/>
        <v>26000</v>
      </c>
    </row>
    <row r="137" spans="1:57" ht="22.5" customHeight="1">
      <c r="A137" s="3">
        <v>134</v>
      </c>
      <c r="B137" s="34" t="s">
        <v>310</v>
      </c>
      <c r="C137" s="35" t="s">
        <v>205</v>
      </c>
      <c r="D137" s="18">
        <v>43270</v>
      </c>
      <c r="E137" s="17">
        <v>8000</v>
      </c>
      <c r="F137" s="82"/>
      <c r="G137" s="98"/>
      <c r="H137" s="98"/>
      <c r="I137" s="83"/>
      <c r="J137" s="82"/>
      <c r="K137" s="98"/>
      <c r="L137" s="98"/>
      <c r="M137" s="83"/>
      <c r="N137" s="98"/>
      <c r="O137" s="98"/>
      <c r="P137" s="98"/>
      <c r="Q137" s="83"/>
      <c r="R137" s="82"/>
      <c r="S137" s="82"/>
      <c r="T137" s="82"/>
      <c r="U137" s="83"/>
      <c r="V137" s="82"/>
      <c r="W137" s="82"/>
      <c r="X137" s="82"/>
      <c r="Y137" s="83"/>
      <c r="Z137" s="82">
        <v>3200</v>
      </c>
      <c r="AA137" s="82">
        <f>VLOOKUP(C137,'[1]2018.06中力提成汇总'!$B:$N,13,0)</f>
        <v>0</v>
      </c>
      <c r="AB137" s="82"/>
      <c r="AC137" s="83">
        <f t="shared" si="23"/>
        <v>3200</v>
      </c>
      <c r="AD137" s="219">
        <f>IFERROR(VLOOKUP(C137,'[2]7月集团工资汇总表'!C:AD,28,0),0)</f>
        <v>7741.94</v>
      </c>
      <c r="AE137" s="219"/>
      <c r="AF137" s="219"/>
      <c r="AG137" s="246">
        <f t="shared" si="18"/>
        <v>7741.94</v>
      </c>
      <c r="AH137" s="219">
        <f>IFERROR(VLOOKUP(C137,知识科技工资!C:M,11,0),0)</f>
        <v>9677.42</v>
      </c>
      <c r="AI137" s="82"/>
      <c r="AJ137" s="82"/>
      <c r="AK137" s="246">
        <f t="shared" si="26"/>
        <v>9677.42</v>
      </c>
      <c r="AL137" s="82"/>
      <c r="AM137" s="82"/>
      <c r="AN137" s="82"/>
      <c r="AO137" s="83"/>
      <c r="AP137" s="82"/>
      <c r="AQ137" s="82"/>
      <c r="AR137" s="82"/>
      <c r="AS137" s="83"/>
      <c r="AT137" s="82"/>
      <c r="AU137" s="82"/>
      <c r="AV137" s="82"/>
      <c r="AW137" s="84"/>
      <c r="AX137" s="85"/>
      <c r="AY137" s="85"/>
      <c r="AZ137" s="85"/>
      <c r="BA137" s="84"/>
      <c r="BB137" s="86">
        <f t="shared" si="19"/>
        <v>20619.36</v>
      </c>
      <c r="BC137" s="86">
        <f t="shared" si="20"/>
        <v>0</v>
      </c>
      <c r="BD137" s="86">
        <f t="shared" si="21"/>
        <v>0</v>
      </c>
      <c r="BE137" s="87">
        <f t="shared" si="22"/>
        <v>20619.36</v>
      </c>
    </row>
    <row r="138" spans="1:57" ht="22.5" customHeight="1">
      <c r="A138" s="3">
        <v>135</v>
      </c>
      <c r="B138" s="34" t="s">
        <v>310</v>
      </c>
      <c r="C138" s="35" t="s">
        <v>207</v>
      </c>
      <c r="D138" s="18">
        <v>43271</v>
      </c>
      <c r="E138" s="17">
        <v>7000</v>
      </c>
      <c r="F138" s="82"/>
      <c r="G138" s="98"/>
      <c r="H138" s="98"/>
      <c r="I138" s="83"/>
      <c r="J138" s="82"/>
      <c r="K138" s="98"/>
      <c r="L138" s="98"/>
      <c r="M138" s="83"/>
      <c r="N138" s="98"/>
      <c r="O138" s="98"/>
      <c r="P138" s="98"/>
      <c r="Q138" s="83"/>
      <c r="R138" s="82"/>
      <c r="S138" s="82"/>
      <c r="T138" s="82"/>
      <c r="U138" s="83"/>
      <c r="V138" s="82"/>
      <c r="W138" s="82"/>
      <c r="X138" s="82"/>
      <c r="Y138" s="83"/>
      <c r="Z138" s="82">
        <v>2566.66</v>
      </c>
      <c r="AA138" s="82">
        <f>VLOOKUP(C138,'[1]2018.06中力提成汇总'!$B:$N,13,0)</f>
        <v>0</v>
      </c>
      <c r="AB138" s="82"/>
      <c r="AC138" s="83">
        <f t="shared" si="23"/>
        <v>2566.66</v>
      </c>
      <c r="AD138" s="219">
        <f>IFERROR(VLOOKUP(C138,'[2]7月集团工资汇总表'!C:AD,28,0),0)</f>
        <v>7000</v>
      </c>
      <c r="AE138" s="219"/>
      <c r="AF138" s="219"/>
      <c r="AG138" s="246">
        <f t="shared" si="18"/>
        <v>7000</v>
      </c>
      <c r="AH138" s="219">
        <f>IFERROR(VLOOKUP(C138,知识科技工资!C:M,11,0),0)</f>
        <v>10000</v>
      </c>
      <c r="AI138" s="82"/>
      <c r="AJ138" s="82"/>
      <c r="AK138" s="246">
        <f t="shared" si="26"/>
        <v>10000</v>
      </c>
      <c r="AL138" s="82"/>
      <c r="AM138" s="82"/>
      <c r="AN138" s="82"/>
      <c r="AO138" s="83"/>
      <c r="AP138" s="82"/>
      <c r="AQ138" s="82"/>
      <c r="AR138" s="82"/>
      <c r="AS138" s="83"/>
      <c r="AT138" s="82"/>
      <c r="AU138" s="82"/>
      <c r="AV138" s="82"/>
      <c r="AW138" s="84"/>
      <c r="AX138" s="85"/>
      <c r="AY138" s="85"/>
      <c r="AZ138" s="85"/>
      <c r="BA138" s="84"/>
      <c r="BB138" s="86">
        <f t="shared" si="19"/>
        <v>19566.66</v>
      </c>
      <c r="BC138" s="86">
        <f t="shared" si="20"/>
        <v>0</v>
      </c>
      <c r="BD138" s="86">
        <f t="shared" si="21"/>
        <v>0</v>
      </c>
      <c r="BE138" s="87">
        <f t="shared" si="22"/>
        <v>19566.66</v>
      </c>
    </row>
    <row r="139" spans="1:57" ht="22.5" customHeight="1">
      <c r="A139" s="3">
        <v>136</v>
      </c>
      <c r="B139" s="34" t="s">
        <v>310</v>
      </c>
      <c r="C139" s="35" t="s">
        <v>214</v>
      </c>
      <c r="D139" s="18">
        <v>43277</v>
      </c>
      <c r="E139" s="17">
        <v>10000</v>
      </c>
      <c r="F139" s="82"/>
      <c r="G139" s="98"/>
      <c r="H139" s="98"/>
      <c r="I139" s="83"/>
      <c r="J139" s="82"/>
      <c r="K139" s="98"/>
      <c r="L139" s="98"/>
      <c r="M139" s="83"/>
      <c r="N139" s="98"/>
      <c r="O139" s="98"/>
      <c r="P139" s="98"/>
      <c r="Q139" s="83"/>
      <c r="R139" s="82"/>
      <c r="S139" s="82"/>
      <c r="T139" s="82"/>
      <c r="U139" s="83"/>
      <c r="V139" s="82"/>
      <c r="W139" s="82"/>
      <c r="X139" s="82"/>
      <c r="Y139" s="83"/>
      <c r="Z139" s="82">
        <v>1666.66</v>
      </c>
      <c r="AA139" s="82">
        <f>VLOOKUP(C139,'[1]2018.06中力提成汇总'!$B:$N,13,0)</f>
        <v>0</v>
      </c>
      <c r="AB139" s="82"/>
      <c r="AC139" s="83">
        <f t="shared" si="23"/>
        <v>1666.66</v>
      </c>
      <c r="AD139" s="219">
        <f>IFERROR(VLOOKUP(C139,'[2]7月集团工资汇总表'!C:AD,28,0),0)</f>
        <v>10000</v>
      </c>
      <c r="AE139" s="219"/>
      <c r="AF139" s="219"/>
      <c r="AG139" s="246">
        <f t="shared" ref="AG139:AG174" si="34">SUM(AD139:AF139)</f>
        <v>10000</v>
      </c>
      <c r="AH139" s="219">
        <f>IFERROR(VLOOKUP(C139,知识科技工资!C:M,11,0),0)</f>
        <v>9961.2900000000009</v>
      </c>
      <c r="AI139" s="82"/>
      <c r="AJ139" s="82"/>
      <c r="AK139" s="246">
        <f t="shared" si="26"/>
        <v>9961.2900000000009</v>
      </c>
      <c r="AL139" s="82"/>
      <c r="AM139" s="82"/>
      <c r="AN139" s="82"/>
      <c r="AO139" s="83"/>
      <c r="AP139" s="82"/>
      <c r="AQ139" s="82"/>
      <c r="AR139" s="82"/>
      <c r="AS139" s="83"/>
      <c r="AT139" s="82"/>
      <c r="AU139" s="82"/>
      <c r="AV139" s="82"/>
      <c r="AW139" s="84"/>
      <c r="AX139" s="85"/>
      <c r="AY139" s="85"/>
      <c r="AZ139" s="85"/>
      <c r="BA139" s="84"/>
      <c r="BB139" s="86">
        <f t="shared" ref="BB139:BB176" si="35">F139+J139+N139+R139+V139+Z139+AD139+AH139+AL139+AT139+AX139</f>
        <v>21627.95</v>
      </c>
      <c r="BC139" s="86">
        <f t="shared" si="20"/>
        <v>0</v>
      </c>
      <c r="BD139" s="86">
        <f t="shared" si="21"/>
        <v>0</v>
      </c>
      <c r="BE139" s="87">
        <f t="shared" si="22"/>
        <v>21627.95</v>
      </c>
    </row>
    <row r="140" spans="1:57" ht="22.5" customHeight="1">
      <c r="A140" s="3">
        <v>137</v>
      </c>
      <c r="B140" s="34" t="s">
        <v>310</v>
      </c>
      <c r="C140" s="3" t="s">
        <v>15</v>
      </c>
      <c r="D140" s="18">
        <v>43285</v>
      </c>
      <c r="E140" s="17">
        <v>12000</v>
      </c>
      <c r="F140" s="82"/>
      <c r="G140" s="82"/>
      <c r="H140" s="82"/>
      <c r="I140" s="83"/>
      <c r="J140" s="82"/>
      <c r="K140" s="82"/>
      <c r="L140" s="82"/>
      <c r="M140" s="83"/>
      <c r="N140" s="82"/>
      <c r="O140" s="82"/>
      <c r="P140" s="82"/>
      <c r="Q140" s="83"/>
      <c r="R140" s="82"/>
      <c r="S140" s="82"/>
      <c r="T140" s="82"/>
      <c r="U140" s="83"/>
      <c r="V140" s="82"/>
      <c r="W140" s="82"/>
      <c r="X140" s="82"/>
      <c r="Y140" s="83"/>
      <c r="Z140" s="82"/>
      <c r="AA140" s="82">
        <v>0</v>
      </c>
      <c r="AB140" s="82"/>
      <c r="AC140" s="83"/>
      <c r="AD140" s="219">
        <f>IFERROR(VLOOKUP(C140,'[2]7月集团工资汇总表'!C:AD,28,0),0)</f>
        <v>10792.26</v>
      </c>
      <c r="AE140" s="219"/>
      <c r="AF140" s="219"/>
      <c r="AG140" s="246">
        <f t="shared" si="34"/>
        <v>10792.26</v>
      </c>
      <c r="AH140" s="219">
        <f>IFERROR(VLOOKUP(C140,知识科技工资!C:M,11,0),0)</f>
        <v>10000</v>
      </c>
      <c r="AI140" s="82"/>
      <c r="AJ140" s="82"/>
      <c r="AK140" s="246">
        <f t="shared" si="26"/>
        <v>10000</v>
      </c>
      <c r="AL140" s="82"/>
      <c r="AM140" s="82"/>
      <c r="AN140" s="82"/>
      <c r="AO140" s="83"/>
      <c r="AP140" s="82"/>
      <c r="AQ140" s="82"/>
      <c r="AR140" s="82"/>
      <c r="AS140" s="83"/>
      <c r="AT140" s="82"/>
      <c r="AU140" s="82"/>
      <c r="AV140" s="82"/>
      <c r="AW140" s="84"/>
      <c r="AX140" s="85"/>
      <c r="AY140" s="85"/>
      <c r="AZ140" s="85"/>
      <c r="BA140" s="84"/>
      <c r="BB140" s="86">
        <f t="shared" si="35"/>
        <v>20792.260000000002</v>
      </c>
      <c r="BC140" s="86">
        <f t="shared" ref="BC140:BC174" si="36">G140+K140+O140+S140+W140+AA140+AE140+AI140+AM140+AQ140+AU140+AY140</f>
        <v>0</v>
      </c>
      <c r="BD140" s="86">
        <f t="shared" ref="BD140:BD174" si="37">H140+L140+P140+T140+X140+AB140+AF140+AJ140+AN140+AR140+AV140+AZ140</f>
        <v>0</v>
      </c>
      <c r="BE140" s="87">
        <f t="shared" ref="BE140:BE174" si="38">SUM(BB140:BD140)</f>
        <v>20792.260000000002</v>
      </c>
    </row>
    <row r="141" spans="1:57" ht="22.5" customHeight="1">
      <c r="A141" s="3">
        <v>138</v>
      </c>
      <c r="B141" s="34" t="s">
        <v>310</v>
      </c>
      <c r="C141" s="3" t="s">
        <v>19</v>
      </c>
      <c r="D141" s="18">
        <v>43290</v>
      </c>
      <c r="E141" s="17">
        <v>35000</v>
      </c>
      <c r="F141" s="82"/>
      <c r="G141" s="82"/>
      <c r="H141" s="82"/>
      <c r="I141" s="83"/>
      <c r="J141" s="82"/>
      <c r="K141" s="82"/>
      <c r="L141" s="82"/>
      <c r="M141" s="83"/>
      <c r="N141" s="82"/>
      <c r="O141" s="82"/>
      <c r="P141" s="82"/>
      <c r="Q141" s="83"/>
      <c r="R141" s="82"/>
      <c r="S141" s="82"/>
      <c r="T141" s="82"/>
      <c r="U141" s="83"/>
      <c r="V141" s="82"/>
      <c r="W141" s="82"/>
      <c r="X141" s="82"/>
      <c r="Y141" s="83"/>
      <c r="Z141" s="82"/>
      <c r="AA141" s="82">
        <v>0</v>
      </c>
      <c r="AB141" s="82"/>
      <c r="AC141" s="83"/>
      <c r="AD141" s="219">
        <f>IFERROR(VLOOKUP(C141,'[2]7月集团工资汇总表'!C:AD,28,0),0)</f>
        <v>25967.74</v>
      </c>
      <c r="AE141" s="219"/>
      <c r="AF141" s="219"/>
      <c r="AG141" s="246">
        <f t="shared" si="34"/>
        <v>25967.74</v>
      </c>
      <c r="AH141" s="219">
        <f>IFERROR(VLOOKUP(C141,知识科技工资!C:M,11,0),0)</f>
        <v>10000</v>
      </c>
      <c r="AI141" s="82"/>
      <c r="AJ141" s="82"/>
      <c r="AK141" s="246">
        <f t="shared" si="26"/>
        <v>10000</v>
      </c>
      <c r="AL141" s="82"/>
      <c r="AM141" s="82"/>
      <c r="AN141" s="82"/>
      <c r="AO141" s="83"/>
      <c r="AP141" s="82"/>
      <c r="AQ141" s="82"/>
      <c r="AR141" s="82"/>
      <c r="AS141" s="83"/>
      <c r="AT141" s="82"/>
      <c r="AU141" s="82"/>
      <c r="AV141" s="82"/>
      <c r="AW141" s="84"/>
      <c r="AX141" s="85"/>
      <c r="AY141" s="85"/>
      <c r="AZ141" s="85"/>
      <c r="BA141" s="84"/>
      <c r="BB141" s="86">
        <f t="shared" si="35"/>
        <v>35967.740000000005</v>
      </c>
      <c r="BC141" s="86">
        <f t="shared" si="36"/>
        <v>0</v>
      </c>
      <c r="BD141" s="86">
        <f t="shared" si="37"/>
        <v>0</v>
      </c>
      <c r="BE141" s="87">
        <f t="shared" si="38"/>
        <v>35967.740000000005</v>
      </c>
    </row>
    <row r="142" spans="1:57" ht="22.5" customHeight="1">
      <c r="A142" s="3">
        <v>139</v>
      </c>
      <c r="B142" s="34" t="s">
        <v>310</v>
      </c>
      <c r="C142" s="3" t="s">
        <v>29</v>
      </c>
      <c r="D142" s="18">
        <v>43297</v>
      </c>
      <c r="E142" s="17">
        <v>11000</v>
      </c>
      <c r="F142" s="82"/>
      <c r="G142" s="82"/>
      <c r="H142" s="82"/>
      <c r="I142" s="83"/>
      <c r="J142" s="82"/>
      <c r="K142" s="82"/>
      <c r="L142" s="82"/>
      <c r="M142" s="83"/>
      <c r="N142" s="82"/>
      <c r="O142" s="82"/>
      <c r="P142" s="82"/>
      <c r="Q142" s="83"/>
      <c r="R142" s="82"/>
      <c r="S142" s="82"/>
      <c r="T142" s="82"/>
      <c r="U142" s="83"/>
      <c r="V142" s="82"/>
      <c r="W142" s="82"/>
      <c r="X142" s="82"/>
      <c r="Y142" s="83"/>
      <c r="Z142" s="82"/>
      <c r="AA142" s="82">
        <v>0</v>
      </c>
      <c r="AB142" s="82"/>
      <c r="AC142" s="83"/>
      <c r="AD142" s="219">
        <f>IFERROR(VLOOKUP(C142,'[2]7月集团工资汇总表'!C:AD,28,0),0)</f>
        <v>5677.42</v>
      </c>
      <c r="AE142" s="219"/>
      <c r="AF142" s="219"/>
      <c r="AG142" s="246">
        <f t="shared" si="34"/>
        <v>5677.42</v>
      </c>
      <c r="AH142" s="219">
        <f>IFERROR(VLOOKUP(C142,知识科技工资!C:M,11,0),0)</f>
        <v>10000</v>
      </c>
      <c r="AI142" s="82"/>
      <c r="AJ142" s="82"/>
      <c r="AK142" s="246">
        <f t="shared" si="26"/>
        <v>10000</v>
      </c>
      <c r="AL142" s="82"/>
      <c r="AM142" s="82"/>
      <c r="AN142" s="82"/>
      <c r="AO142" s="83"/>
      <c r="AP142" s="82"/>
      <c r="AQ142" s="82"/>
      <c r="AR142" s="82"/>
      <c r="AS142" s="83"/>
      <c r="AT142" s="82"/>
      <c r="AU142" s="82"/>
      <c r="AV142" s="82"/>
      <c r="AW142" s="84"/>
      <c r="AX142" s="85"/>
      <c r="AY142" s="85"/>
      <c r="AZ142" s="85"/>
      <c r="BA142" s="84"/>
      <c r="BB142" s="86">
        <f t="shared" si="35"/>
        <v>15677.42</v>
      </c>
      <c r="BC142" s="86">
        <f t="shared" si="36"/>
        <v>0</v>
      </c>
      <c r="BD142" s="86">
        <f t="shared" si="37"/>
        <v>0</v>
      </c>
      <c r="BE142" s="87">
        <f t="shared" si="38"/>
        <v>15677.42</v>
      </c>
    </row>
    <row r="143" spans="1:57" ht="22.5" customHeight="1">
      <c r="A143" s="3">
        <v>140</v>
      </c>
      <c r="B143" s="34" t="s">
        <v>310</v>
      </c>
      <c r="C143" s="202" t="s">
        <v>998</v>
      </c>
      <c r="D143" s="203">
        <v>43321</v>
      </c>
      <c r="E143" s="204">
        <v>14000</v>
      </c>
      <c r="F143" s="205"/>
      <c r="G143" s="205"/>
      <c r="H143" s="205"/>
      <c r="I143" s="206"/>
      <c r="J143" s="205"/>
      <c r="K143" s="205"/>
      <c r="L143" s="205"/>
      <c r="M143" s="206"/>
      <c r="N143" s="205"/>
      <c r="O143" s="205"/>
      <c r="P143" s="205"/>
      <c r="Q143" s="206"/>
      <c r="R143" s="205"/>
      <c r="S143" s="205"/>
      <c r="T143" s="205"/>
      <c r="U143" s="206"/>
      <c r="V143" s="205"/>
      <c r="W143" s="205"/>
      <c r="X143" s="205"/>
      <c r="Y143" s="206"/>
      <c r="Z143" s="205"/>
      <c r="AA143" s="205"/>
      <c r="AB143" s="205"/>
      <c r="AC143" s="206"/>
      <c r="AD143" s="219">
        <f>IFERROR(VLOOKUP(C143,'[2]7月集团工资汇总表'!C:AD,28,0),0)</f>
        <v>0</v>
      </c>
      <c r="AE143" s="221"/>
      <c r="AF143" s="221"/>
      <c r="AG143" s="250"/>
      <c r="AH143" s="219">
        <f>IFERROR(VLOOKUP(C143,知识科技工资!C:M,11,0),0)</f>
        <v>7419.35</v>
      </c>
      <c r="AI143" s="205"/>
      <c r="AJ143" s="205"/>
      <c r="AK143" s="246">
        <f t="shared" si="26"/>
        <v>7419.35</v>
      </c>
      <c r="AL143" s="205"/>
      <c r="AM143" s="205"/>
      <c r="AN143" s="205"/>
      <c r="AO143" s="206"/>
      <c r="AP143" s="205"/>
      <c r="AQ143" s="205"/>
      <c r="AR143" s="205"/>
      <c r="AS143" s="206"/>
      <c r="AT143" s="205"/>
      <c r="AU143" s="205"/>
      <c r="AV143" s="205"/>
      <c r="AW143" s="207"/>
      <c r="AX143" s="208"/>
      <c r="AY143" s="208"/>
      <c r="AZ143" s="208"/>
      <c r="BA143" s="207"/>
      <c r="BB143" s="86">
        <f t="shared" si="35"/>
        <v>7419.35</v>
      </c>
      <c r="BC143" s="209"/>
      <c r="BD143" s="209"/>
      <c r="BE143" s="210"/>
    </row>
    <row r="144" spans="1:57" ht="22.5" customHeight="1">
      <c r="A144" s="3">
        <v>141</v>
      </c>
      <c r="B144" s="34" t="s">
        <v>310</v>
      </c>
      <c r="C144" s="202" t="s">
        <v>999</v>
      </c>
      <c r="D144" s="203">
        <v>43325</v>
      </c>
      <c r="E144" s="204">
        <v>14000</v>
      </c>
      <c r="F144" s="205"/>
      <c r="G144" s="205"/>
      <c r="H144" s="205"/>
      <c r="I144" s="206"/>
      <c r="J144" s="205"/>
      <c r="K144" s="205"/>
      <c r="L144" s="205"/>
      <c r="M144" s="206"/>
      <c r="N144" s="205"/>
      <c r="O144" s="205"/>
      <c r="P144" s="205"/>
      <c r="Q144" s="206"/>
      <c r="R144" s="205"/>
      <c r="S144" s="205"/>
      <c r="T144" s="205"/>
      <c r="U144" s="206"/>
      <c r="V144" s="205"/>
      <c r="W144" s="205"/>
      <c r="X144" s="205"/>
      <c r="Y144" s="206"/>
      <c r="Z144" s="205"/>
      <c r="AA144" s="205"/>
      <c r="AB144" s="205"/>
      <c r="AC144" s="206"/>
      <c r="AD144" s="219">
        <f>IFERROR(VLOOKUP(C144,'[2]7月集团工资汇总表'!C:AD,28,0),0)</f>
        <v>0</v>
      </c>
      <c r="AE144" s="221"/>
      <c r="AF144" s="221"/>
      <c r="AG144" s="250"/>
      <c r="AH144" s="219">
        <f>IFERROR(VLOOKUP(C144,知识科技工资!C:M,11,0),0)</f>
        <v>4516.13</v>
      </c>
      <c r="AI144" s="205"/>
      <c r="AJ144" s="205"/>
      <c r="AK144" s="246">
        <f t="shared" si="26"/>
        <v>4516.13</v>
      </c>
      <c r="AL144" s="205"/>
      <c r="AM144" s="205"/>
      <c r="AN144" s="205"/>
      <c r="AO144" s="206"/>
      <c r="AP144" s="205"/>
      <c r="AQ144" s="205"/>
      <c r="AR144" s="205"/>
      <c r="AS144" s="206"/>
      <c r="AT144" s="205"/>
      <c r="AU144" s="205"/>
      <c r="AV144" s="205"/>
      <c r="AW144" s="207"/>
      <c r="AX144" s="208"/>
      <c r="AY144" s="208"/>
      <c r="AZ144" s="208"/>
      <c r="BA144" s="207"/>
      <c r="BB144" s="86">
        <f t="shared" si="35"/>
        <v>4516.13</v>
      </c>
      <c r="BC144" s="209"/>
      <c r="BD144" s="209"/>
      <c r="BE144" s="210"/>
    </row>
    <row r="145" spans="1:57" ht="22.5" customHeight="1">
      <c r="A145" s="3">
        <v>142</v>
      </c>
      <c r="B145" s="34" t="s">
        <v>310</v>
      </c>
      <c r="C145" s="202" t="s">
        <v>1000</v>
      </c>
      <c r="D145" s="203">
        <v>43339</v>
      </c>
      <c r="E145" s="204">
        <v>18000</v>
      </c>
      <c r="F145" s="205"/>
      <c r="G145" s="205"/>
      <c r="H145" s="205"/>
      <c r="I145" s="206"/>
      <c r="J145" s="205"/>
      <c r="K145" s="205"/>
      <c r="L145" s="205"/>
      <c r="M145" s="206"/>
      <c r="N145" s="205"/>
      <c r="O145" s="205"/>
      <c r="P145" s="205"/>
      <c r="Q145" s="206"/>
      <c r="R145" s="205"/>
      <c r="S145" s="205"/>
      <c r="T145" s="205"/>
      <c r="U145" s="206"/>
      <c r="V145" s="205"/>
      <c r="W145" s="205"/>
      <c r="X145" s="205"/>
      <c r="Y145" s="206"/>
      <c r="Z145" s="205"/>
      <c r="AA145" s="205"/>
      <c r="AB145" s="205"/>
      <c r="AC145" s="206"/>
      <c r="AD145" s="219">
        <f>IFERROR(VLOOKUP(C145,'[2]7月集团工资汇总表'!C:AD,28,0),0)</f>
        <v>0</v>
      </c>
      <c r="AE145" s="221"/>
      <c r="AF145" s="221"/>
      <c r="AG145" s="250"/>
      <c r="AH145" s="219">
        <f>IFERROR(VLOOKUP(C145,知识科技工资!C:M,11,0),0)</f>
        <v>1612.9</v>
      </c>
      <c r="AI145" s="205"/>
      <c r="AJ145" s="205"/>
      <c r="AK145" s="246">
        <f t="shared" si="26"/>
        <v>1612.9</v>
      </c>
      <c r="AL145" s="205"/>
      <c r="AM145" s="205"/>
      <c r="AN145" s="205"/>
      <c r="AO145" s="206"/>
      <c r="AP145" s="205"/>
      <c r="AQ145" s="205"/>
      <c r="AR145" s="205"/>
      <c r="AS145" s="206"/>
      <c r="AT145" s="205"/>
      <c r="AU145" s="205"/>
      <c r="AV145" s="205"/>
      <c r="AW145" s="207"/>
      <c r="AX145" s="208"/>
      <c r="AY145" s="208"/>
      <c r="AZ145" s="208"/>
      <c r="BA145" s="207"/>
      <c r="BB145" s="86">
        <f t="shared" si="35"/>
        <v>1612.9</v>
      </c>
      <c r="BC145" s="209"/>
      <c r="BD145" s="209"/>
      <c r="BE145" s="210"/>
    </row>
    <row r="146" spans="1:57" ht="22.5" customHeight="1">
      <c r="A146" s="3">
        <v>143</v>
      </c>
      <c r="B146" s="15" t="s">
        <v>21</v>
      </c>
      <c r="C146" s="3" t="s">
        <v>120</v>
      </c>
      <c r="D146" s="18">
        <v>42242</v>
      </c>
      <c r="E146" s="17">
        <v>30000</v>
      </c>
      <c r="F146" s="82">
        <v>24000</v>
      </c>
      <c r="G146" s="82">
        <v>3126</v>
      </c>
      <c r="H146" s="82"/>
      <c r="I146" s="83">
        <f t="shared" si="32"/>
        <v>27126</v>
      </c>
      <c r="J146" s="82">
        <v>24000</v>
      </c>
      <c r="K146" s="82">
        <f>6260</f>
        <v>6260</v>
      </c>
      <c r="L146" s="82"/>
      <c r="M146" s="83">
        <f t="shared" si="31"/>
        <v>30260</v>
      </c>
      <c r="N146" s="82">
        <v>24000</v>
      </c>
      <c r="O146" s="82">
        <f>9340</f>
        <v>9340</v>
      </c>
      <c r="P146" s="82"/>
      <c r="Q146" s="83">
        <f t="shared" si="33"/>
        <v>33340</v>
      </c>
      <c r="R146" s="82">
        <f>24000</f>
        <v>24000</v>
      </c>
      <c r="S146" s="82">
        <v>8049</v>
      </c>
      <c r="T146" s="82"/>
      <c r="U146" s="83">
        <f t="shared" si="25"/>
        <v>32049</v>
      </c>
      <c r="V146" s="82">
        <v>24000</v>
      </c>
      <c r="W146" s="82"/>
      <c r="X146" s="82"/>
      <c r="Y146" s="83">
        <f t="shared" si="24"/>
        <v>24000</v>
      </c>
      <c r="Z146" s="82">
        <v>24000</v>
      </c>
      <c r="AA146" s="82">
        <f>VLOOKUP(C146,'[1]2018.06中力提成汇总'!$B:$N,13,0)</f>
        <v>25678</v>
      </c>
      <c r="AB146" s="82"/>
      <c r="AC146" s="83">
        <f t="shared" si="23"/>
        <v>49678</v>
      </c>
      <c r="AD146" s="219">
        <f>IFERROR(VLOOKUP(C146,'[2]7月集团工资汇总表'!C:AD,28,0),0)</f>
        <v>18000</v>
      </c>
      <c r="AE146" s="219"/>
      <c r="AF146" s="219"/>
      <c r="AG146" s="246">
        <f t="shared" si="34"/>
        <v>18000</v>
      </c>
      <c r="AH146" s="219">
        <f>IFERROR(VLOOKUP(C146,知识科技工资!C:M,11,0),0)</f>
        <v>10000</v>
      </c>
      <c r="AI146" s="82"/>
      <c r="AJ146" s="82"/>
      <c r="AK146" s="246">
        <f t="shared" si="26"/>
        <v>10000</v>
      </c>
      <c r="AL146" s="82"/>
      <c r="AM146" s="82"/>
      <c r="AN146" s="82"/>
      <c r="AO146" s="83">
        <f t="shared" si="27"/>
        <v>0</v>
      </c>
      <c r="AP146" s="82"/>
      <c r="AQ146" s="82"/>
      <c r="AR146" s="82"/>
      <c r="AS146" s="83">
        <f t="shared" si="28"/>
        <v>0</v>
      </c>
      <c r="AT146" s="82"/>
      <c r="AU146" s="82"/>
      <c r="AV146" s="82"/>
      <c r="AW146" s="84">
        <f t="shared" si="29"/>
        <v>0</v>
      </c>
      <c r="AX146" s="85"/>
      <c r="AY146" s="85"/>
      <c r="AZ146" s="85"/>
      <c r="BA146" s="84">
        <f t="shared" si="30"/>
        <v>0</v>
      </c>
      <c r="BB146" s="86">
        <f t="shared" si="35"/>
        <v>172000</v>
      </c>
      <c r="BC146" s="86">
        <f t="shared" si="36"/>
        <v>52453</v>
      </c>
      <c r="BD146" s="86">
        <f t="shared" si="37"/>
        <v>0</v>
      </c>
      <c r="BE146" s="87">
        <f t="shared" si="38"/>
        <v>224453</v>
      </c>
    </row>
    <row r="147" spans="1:57" ht="22.5" customHeight="1">
      <c r="A147" s="3">
        <v>144</v>
      </c>
      <c r="B147" s="15" t="s">
        <v>21</v>
      </c>
      <c r="C147" s="3" t="s">
        <v>112</v>
      </c>
      <c r="D147" s="18">
        <v>42069</v>
      </c>
      <c r="E147" s="17">
        <v>8000</v>
      </c>
      <c r="F147" s="82">
        <v>8000</v>
      </c>
      <c r="G147" s="82">
        <v>5160</v>
      </c>
      <c r="H147" s="82"/>
      <c r="I147" s="83">
        <f t="shared" si="32"/>
        <v>13160</v>
      </c>
      <c r="J147" s="82">
        <v>8000</v>
      </c>
      <c r="K147" s="82">
        <f>2000+2600</f>
        <v>4600</v>
      </c>
      <c r="L147" s="82"/>
      <c r="M147" s="83">
        <f t="shared" si="31"/>
        <v>12600</v>
      </c>
      <c r="N147" s="82">
        <v>8000</v>
      </c>
      <c r="O147" s="82">
        <v>12250</v>
      </c>
      <c r="P147" s="82"/>
      <c r="Q147" s="83">
        <f t="shared" si="33"/>
        <v>20250</v>
      </c>
      <c r="R147" s="82">
        <v>8000</v>
      </c>
      <c r="S147" s="82">
        <f>2500</f>
        <v>2500</v>
      </c>
      <c r="T147" s="82"/>
      <c r="U147" s="83">
        <f t="shared" si="25"/>
        <v>10500</v>
      </c>
      <c r="V147" s="82">
        <v>8000</v>
      </c>
      <c r="W147" s="82">
        <v>15590</v>
      </c>
      <c r="X147" s="82"/>
      <c r="Y147" s="83">
        <f t="shared" si="24"/>
        <v>23590</v>
      </c>
      <c r="Z147" s="82">
        <v>8000</v>
      </c>
      <c r="AA147" s="82">
        <f>VLOOKUP(C147,'[1]2018.06中力提成汇总'!$B:$N,13,0)</f>
        <v>8940</v>
      </c>
      <c r="AB147" s="82"/>
      <c r="AC147" s="83">
        <f t="shared" si="23"/>
        <v>16940</v>
      </c>
      <c r="AD147" s="219">
        <f>IFERROR(VLOOKUP(C147,'[2]7月集团工资汇总表'!C:AD,28,0),0)</f>
        <v>8000</v>
      </c>
      <c r="AE147" s="219">
        <f>1500</f>
        <v>1500</v>
      </c>
      <c r="AF147" s="219"/>
      <c r="AG147" s="246">
        <f t="shared" si="34"/>
        <v>9500</v>
      </c>
      <c r="AH147" s="219">
        <f>IFERROR(VLOOKUP(C147,知识科技工资!C:M,11,0),0)</f>
        <v>10000</v>
      </c>
      <c r="AI147" s="82"/>
      <c r="AJ147" s="82"/>
      <c r="AK147" s="246">
        <f t="shared" si="26"/>
        <v>10000</v>
      </c>
      <c r="AL147" s="82"/>
      <c r="AM147" s="82"/>
      <c r="AN147" s="82"/>
      <c r="AO147" s="83">
        <f t="shared" si="27"/>
        <v>0</v>
      </c>
      <c r="AP147" s="82"/>
      <c r="AQ147" s="82"/>
      <c r="AR147" s="82"/>
      <c r="AS147" s="83">
        <f t="shared" si="28"/>
        <v>0</v>
      </c>
      <c r="AT147" s="82"/>
      <c r="AU147" s="82"/>
      <c r="AV147" s="82"/>
      <c r="AW147" s="84">
        <f t="shared" si="29"/>
        <v>0</v>
      </c>
      <c r="AX147" s="85"/>
      <c r="AY147" s="85"/>
      <c r="AZ147" s="85"/>
      <c r="BA147" s="84">
        <f t="shared" si="30"/>
        <v>0</v>
      </c>
      <c r="BB147" s="86">
        <f t="shared" si="35"/>
        <v>66000</v>
      </c>
      <c r="BC147" s="86">
        <f t="shared" si="36"/>
        <v>50540</v>
      </c>
      <c r="BD147" s="86">
        <f t="shared" si="37"/>
        <v>0</v>
      </c>
      <c r="BE147" s="87">
        <f t="shared" si="38"/>
        <v>116540</v>
      </c>
    </row>
    <row r="148" spans="1:57" ht="22.5" customHeight="1">
      <c r="A148" s="3">
        <v>145</v>
      </c>
      <c r="B148" s="15" t="s">
        <v>21</v>
      </c>
      <c r="C148" s="20" t="s">
        <v>320</v>
      </c>
      <c r="D148" s="18">
        <v>41943</v>
      </c>
      <c r="E148" s="17">
        <v>0</v>
      </c>
      <c r="F148" s="82">
        <v>7741.9354838709696</v>
      </c>
      <c r="G148" s="82">
        <v>300</v>
      </c>
      <c r="H148" s="82"/>
      <c r="I148" s="83">
        <f t="shared" si="32"/>
        <v>8041.9354838709696</v>
      </c>
      <c r="J148" s="82">
        <v>7285.7142857142899</v>
      </c>
      <c r="K148" s="82"/>
      <c r="L148" s="82"/>
      <c r="M148" s="83">
        <f t="shared" si="31"/>
        <v>7285.7142857142899</v>
      </c>
      <c r="N148" s="82">
        <v>2580.6451612903202</v>
      </c>
      <c r="O148" s="82"/>
      <c r="P148" s="82"/>
      <c r="Q148" s="83">
        <f t="shared" si="33"/>
        <v>2580.6451612903202</v>
      </c>
      <c r="R148" s="82"/>
      <c r="S148" s="82"/>
      <c r="T148" s="82"/>
      <c r="U148" s="83">
        <f t="shared" si="25"/>
        <v>0</v>
      </c>
      <c r="V148" s="82"/>
      <c r="W148" s="82"/>
      <c r="X148" s="82"/>
      <c r="Y148" s="83">
        <f t="shared" si="24"/>
        <v>0</v>
      </c>
      <c r="Z148" s="82"/>
      <c r="AA148" s="82">
        <f>VLOOKUP(C148,'[1]2018.06中力提成汇总'!$B:$N,13,0)</f>
        <v>0</v>
      </c>
      <c r="AB148" s="82"/>
      <c r="AC148" s="83">
        <f t="shared" si="23"/>
        <v>0</v>
      </c>
      <c r="AD148" s="219">
        <f>IFERROR(VLOOKUP(C148,'[2]7月集团工资汇总表'!C:AD,28,0),0)</f>
        <v>0</v>
      </c>
      <c r="AE148" s="219"/>
      <c r="AF148" s="219"/>
      <c r="AG148" s="246">
        <f t="shared" si="34"/>
        <v>0</v>
      </c>
      <c r="AH148" s="219">
        <f>IFERROR(VLOOKUP(C148,知识科技工资!C:M,11,0),0)</f>
        <v>0</v>
      </c>
      <c r="AI148" s="82"/>
      <c r="AJ148" s="82"/>
      <c r="AK148" s="246">
        <f t="shared" si="26"/>
        <v>0</v>
      </c>
      <c r="AL148" s="82"/>
      <c r="AM148" s="82"/>
      <c r="AN148" s="82"/>
      <c r="AO148" s="83">
        <f t="shared" si="27"/>
        <v>0</v>
      </c>
      <c r="AP148" s="82"/>
      <c r="AQ148" s="82"/>
      <c r="AR148" s="82"/>
      <c r="AS148" s="83">
        <f t="shared" si="28"/>
        <v>0</v>
      </c>
      <c r="AT148" s="82"/>
      <c r="AU148" s="82"/>
      <c r="AV148" s="82"/>
      <c r="AW148" s="84">
        <f t="shared" si="29"/>
        <v>0</v>
      </c>
      <c r="AX148" s="85"/>
      <c r="AY148" s="85"/>
      <c r="AZ148" s="85"/>
      <c r="BA148" s="84">
        <f t="shared" si="30"/>
        <v>0</v>
      </c>
      <c r="BB148" s="86">
        <f t="shared" si="35"/>
        <v>17608.294930875578</v>
      </c>
      <c r="BC148" s="86">
        <f t="shared" si="36"/>
        <v>300</v>
      </c>
      <c r="BD148" s="86">
        <f t="shared" si="37"/>
        <v>0</v>
      </c>
      <c r="BE148" s="87">
        <f t="shared" si="38"/>
        <v>17908.294930875578</v>
      </c>
    </row>
    <row r="149" spans="1:57" ht="22.5" customHeight="1">
      <c r="A149" s="3">
        <v>146</v>
      </c>
      <c r="B149" s="34" t="s">
        <v>21</v>
      </c>
      <c r="C149" s="20" t="s">
        <v>114</v>
      </c>
      <c r="D149" s="18">
        <v>42850</v>
      </c>
      <c r="E149" s="17">
        <v>6000</v>
      </c>
      <c r="F149" s="82">
        <v>4516.1290322580599</v>
      </c>
      <c r="G149" s="82">
        <v>1050</v>
      </c>
      <c r="H149" s="82"/>
      <c r="I149" s="83">
        <f t="shared" si="32"/>
        <v>5566.1290322580599</v>
      </c>
      <c r="J149" s="82">
        <v>4642.8571428571404</v>
      </c>
      <c r="K149" s="82"/>
      <c r="L149" s="82"/>
      <c r="M149" s="83">
        <f t="shared" si="31"/>
        <v>4642.8571428571404</v>
      </c>
      <c r="N149" s="82">
        <v>5612.9032258064499</v>
      </c>
      <c r="O149" s="82"/>
      <c r="P149" s="82"/>
      <c r="Q149" s="83">
        <f t="shared" si="33"/>
        <v>5612.9032258064499</v>
      </c>
      <c r="R149" s="82">
        <v>5900</v>
      </c>
      <c r="S149" s="82"/>
      <c r="T149" s="82"/>
      <c r="U149" s="83">
        <f t="shared" si="25"/>
        <v>5900</v>
      </c>
      <c r="V149" s="82">
        <v>5612.9</v>
      </c>
      <c r="W149" s="82"/>
      <c r="X149" s="82"/>
      <c r="Y149" s="83">
        <f t="shared" si="24"/>
        <v>5612.9</v>
      </c>
      <c r="Z149" s="82">
        <v>6000</v>
      </c>
      <c r="AA149" s="82">
        <f>VLOOKUP(C149,'[1]2018.06中力提成汇总'!$B:$N,13,0)</f>
        <v>0</v>
      </c>
      <c r="AB149" s="82"/>
      <c r="AC149" s="83">
        <f t="shared" si="23"/>
        <v>6000</v>
      </c>
      <c r="AD149" s="219">
        <f>IFERROR(VLOOKUP(C149,'[2]7月集团工资汇总表'!C:AD,28,0),0)</f>
        <v>2322.58</v>
      </c>
      <c r="AE149" s="219">
        <v>300</v>
      </c>
      <c r="AF149" s="219"/>
      <c r="AG149" s="246">
        <f t="shared" si="34"/>
        <v>2622.58</v>
      </c>
      <c r="AH149" s="219">
        <f>IFERROR(VLOOKUP(C149,知识科技工资!C:M,11,0),0)</f>
        <v>0</v>
      </c>
      <c r="AI149" s="82"/>
      <c r="AJ149" s="82"/>
      <c r="AK149" s="246">
        <f t="shared" si="26"/>
        <v>0</v>
      </c>
      <c r="AL149" s="82"/>
      <c r="AM149" s="82"/>
      <c r="AN149" s="82"/>
      <c r="AO149" s="83">
        <f t="shared" si="27"/>
        <v>0</v>
      </c>
      <c r="AP149" s="82"/>
      <c r="AQ149" s="82"/>
      <c r="AR149" s="82"/>
      <c r="AS149" s="83">
        <f t="shared" si="28"/>
        <v>0</v>
      </c>
      <c r="AT149" s="82"/>
      <c r="AU149" s="82"/>
      <c r="AV149" s="82"/>
      <c r="AW149" s="84">
        <f t="shared" si="29"/>
        <v>0</v>
      </c>
      <c r="AX149" s="85"/>
      <c r="AY149" s="85"/>
      <c r="AZ149" s="85"/>
      <c r="BA149" s="84">
        <f t="shared" si="30"/>
        <v>0</v>
      </c>
      <c r="BB149" s="86">
        <f t="shared" si="35"/>
        <v>34607.369400921649</v>
      </c>
      <c r="BC149" s="86">
        <f t="shared" si="36"/>
        <v>1350</v>
      </c>
      <c r="BD149" s="86">
        <f t="shared" si="37"/>
        <v>0</v>
      </c>
      <c r="BE149" s="87">
        <f t="shared" si="38"/>
        <v>35957.369400921649</v>
      </c>
    </row>
    <row r="150" spans="1:57" ht="22.5" customHeight="1">
      <c r="A150" s="3">
        <v>147</v>
      </c>
      <c r="B150" s="34" t="s">
        <v>21</v>
      </c>
      <c r="C150" s="3" t="s">
        <v>54</v>
      </c>
      <c r="D150" s="18">
        <v>42983</v>
      </c>
      <c r="E150" s="17">
        <v>8000</v>
      </c>
      <c r="F150" s="82">
        <v>5500</v>
      </c>
      <c r="G150" s="82"/>
      <c r="H150" s="82"/>
      <c r="I150" s="83"/>
      <c r="J150" s="82">
        <v>5401.7857142857101</v>
      </c>
      <c r="K150" s="82">
        <v>900</v>
      </c>
      <c r="L150" s="82"/>
      <c r="M150" s="83">
        <f t="shared" si="31"/>
        <v>6301.7857142857101</v>
      </c>
      <c r="N150" s="82">
        <v>6774.1935483871002</v>
      </c>
      <c r="O150" s="82"/>
      <c r="P150" s="82"/>
      <c r="Q150" s="83">
        <f t="shared" si="33"/>
        <v>6774.1935483871002</v>
      </c>
      <c r="R150" s="82">
        <v>7233.33</v>
      </c>
      <c r="S150" s="82">
        <v>5800</v>
      </c>
      <c r="T150" s="82"/>
      <c r="U150" s="83">
        <f t="shared" si="25"/>
        <v>13033.33</v>
      </c>
      <c r="V150" s="82">
        <v>9000</v>
      </c>
      <c r="W150" s="82"/>
      <c r="X150" s="82"/>
      <c r="Y150" s="83">
        <f t="shared" si="24"/>
        <v>9000</v>
      </c>
      <c r="Z150" s="82">
        <v>7946.66</v>
      </c>
      <c r="AA150" s="82">
        <f>VLOOKUP(C150,'[1]2018.06中力提成汇总'!$B:$N,13,0)</f>
        <v>1900</v>
      </c>
      <c r="AB150" s="82"/>
      <c r="AC150" s="83">
        <f t="shared" si="23"/>
        <v>9846.66</v>
      </c>
      <c r="AD150" s="219">
        <f>IFERROR(VLOOKUP(C150,'[2]7月集团工资汇总表'!C:AD,28,0),0)</f>
        <v>9000</v>
      </c>
      <c r="AE150" s="219">
        <f>1600</f>
        <v>1600</v>
      </c>
      <c r="AF150" s="219"/>
      <c r="AG150" s="246">
        <f t="shared" si="34"/>
        <v>10600</v>
      </c>
      <c r="AH150" s="219">
        <f>IFERROR(VLOOKUP(C150,知识科技工资!C:M,11,0),0)</f>
        <v>10000</v>
      </c>
      <c r="AI150" s="82"/>
      <c r="AJ150" s="82"/>
      <c r="AK150" s="246">
        <f t="shared" si="26"/>
        <v>10000</v>
      </c>
      <c r="AL150" s="82"/>
      <c r="AM150" s="82"/>
      <c r="AN150" s="82"/>
      <c r="AO150" s="83">
        <f t="shared" si="27"/>
        <v>0</v>
      </c>
      <c r="AP150" s="82"/>
      <c r="AQ150" s="82"/>
      <c r="AR150" s="82"/>
      <c r="AS150" s="83">
        <f t="shared" si="28"/>
        <v>0</v>
      </c>
      <c r="AT150" s="82"/>
      <c r="AU150" s="82"/>
      <c r="AV150" s="82"/>
      <c r="AW150" s="84">
        <f t="shared" si="29"/>
        <v>0</v>
      </c>
      <c r="AX150" s="85"/>
      <c r="AY150" s="85"/>
      <c r="AZ150" s="85"/>
      <c r="BA150" s="84">
        <f t="shared" si="30"/>
        <v>0</v>
      </c>
      <c r="BB150" s="86">
        <f t="shared" si="35"/>
        <v>60855.969262672807</v>
      </c>
      <c r="BC150" s="86">
        <f t="shared" si="36"/>
        <v>10200</v>
      </c>
      <c r="BD150" s="86">
        <f t="shared" si="37"/>
        <v>0</v>
      </c>
      <c r="BE150" s="87">
        <f t="shared" si="38"/>
        <v>71055.969262672807</v>
      </c>
    </row>
    <row r="151" spans="1:57" ht="22.5" customHeight="1">
      <c r="A151" s="3">
        <v>148</v>
      </c>
      <c r="B151" s="34" t="s">
        <v>21</v>
      </c>
      <c r="C151" s="20" t="s">
        <v>321</v>
      </c>
      <c r="D151" s="18">
        <v>43043</v>
      </c>
      <c r="E151" s="17">
        <v>0</v>
      </c>
      <c r="F151" s="82">
        <v>4838.71</v>
      </c>
      <c r="G151" s="82"/>
      <c r="H151" s="82"/>
      <c r="I151" s="83">
        <f t="shared" si="32"/>
        <v>4838.71</v>
      </c>
      <c r="J151" s="82">
        <v>5000</v>
      </c>
      <c r="K151" s="82"/>
      <c r="L151" s="82"/>
      <c r="M151" s="83">
        <f t="shared" si="31"/>
        <v>5000</v>
      </c>
      <c r="N151" s="82">
        <v>5758.0645161290304</v>
      </c>
      <c r="O151" s="82">
        <v>300</v>
      </c>
      <c r="P151" s="82"/>
      <c r="Q151" s="83">
        <f t="shared" si="33"/>
        <v>6058.0645161290304</v>
      </c>
      <c r="R151" s="82">
        <v>6000</v>
      </c>
      <c r="S151" s="82">
        <f>2000</f>
        <v>2000</v>
      </c>
      <c r="T151" s="82"/>
      <c r="U151" s="83">
        <f t="shared" si="25"/>
        <v>8000</v>
      </c>
      <c r="V151" s="82">
        <v>6000</v>
      </c>
      <c r="W151" s="82">
        <v>1000</v>
      </c>
      <c r="X151" s="82"/>
      <c r="Y151" s="83">
        <f t="shared" si="24"/>
        <v>7000</v>
      </c>
      <c r="Z151" s="82">
        <v>3600</v>
      </c>
      <c r="AA151" s="82">
        <f>VLOOKUP(C151,'[1]2018.06中力提成汇总'!$B:$N,13,0)</f>
        <v>3400</v>
      </c>
      <c r="AB151" s="82"/>
      <c r="AC151" s="83">
        <f t="shared" si="23"/>
        <v>7000</v>
      </c>
      <c r="AD151" s="219">
        <f>IFERROR(VLOOKUP(C151,'[2]7月集团工资汇总表'!C:AD,28,0),0)</f>
        <v>0</v>
      </c>
      <c r="AE151" s="219"/>
      <c r="AF151" s="219"/>
      <c r="AG151" s="246">
        <f t="shared" si="34"/>
        <v>0</v>
      </c>
      <c r="AH151" s="219">
        <f>IFERROR(VLOOKUP(C151,知识科技工资!C:M,11,0),0)</f>
        <v>0</v>
      </c>
      <c r="AI151" s="82"/>
      <c r="AJ151" s="82"/>
      <c r="AK151" s="246">
        <f t="shared" si="26"/>
        <v>0</v>
      </c>
      <c r="AL151" s="82"/>
      <c r="AM151" s="82"/>
      <c r="AN151" s="82"/>
      <c r="AO151" s="83">
        <f t="shared" si="27"/>
        <v>0</v>
      </c>
      <c r="AP151" s="82"/>
      <c r="AQ151" s="82"/>
      <c r="AR151" s="82"/>
      <c r="AS151" s="83">
        <f t="shared" si="28"/>
        <v>0</v>
      </c>
      <c r="AT151" s="82"/>
      <c r="AU151" s="82"/>
      <c r="AV151" s="82"/>
      <c r="AW151" s="84">
        <f t="shared" si="29"/>
        <v>0</v>
      </c>
      <c r="AX151" s="85"/>
      <c r="AY151" s="85"/>
      <c r="AZ151" s="85"/>
      <c r="BA151" s="84">
        <f t="shared" si="30"/>
        <v>0</v>
      </c>
      <c r="BB151" s="86">
        <f t="shared" si="35"/>
        <v>31196.77451612903</v>
      </c>
      <c r="BC151" s="86">
        <f t="shared" si="36"/>
        <v>6700</v>
      </c>
      <c r="BD151" s="86">
        <f t="shared" si="37"/>
        <v>0</v>
      </c>
      <c r="BE151" s="87">
        <f t="shared" si="38"/>
        <v>37896.77451612903</v>
      </c>
    </row>
    <row r="152" spans="1:57" ht="22.5" customHeight="1">
      <c r="A152" s="3">
        <v>149</v>
      </c>
      <c r="B152" s="34" t="s">
        <v>21</v>
      </c>
      <c r="C152" s="3" t="s">
        <v>118</v>
      </c>
      <c r="D152" s="18">
        <v>43053</v>
      </c>
      <c r="E152" s="17">
        <v>10000</v>
      </c>
      <c r="F152" s="82">
        <v>9516.1299999999992</v>
      </c>
      <c r="G152" s="82"/>
      <c r="H152" s="82"/>
      <c r="I152" s="83">
        <f t="shared" si="32"/>
        <v>9516.1299999999992</v>
      </c>
      <c r="J152" s="82">
        <v>8750</v>
      </c>
      <c r="K152" s="82"/>
      <c r="L152" s="82"/>
      <c r="M152" s="83">
        <f t="shared" si="31"/>
        <v>8750</v>
      </c>
      <c r="N152" s="82">
        <v>10000</v>
      </c>
      <c r="O152" s="82">
        <v>600</v>
      </c>
      <c r="P152" s="82"/>
      <c r="Q152" s="83">
        <f t="shared" si="33"/>
        <v>10600</v>
      </c>
      <c r="R152" s="82">
        <v>9666.67</v>
      </c>
      <c r="S152" s="82"/>
      <c r="T152" s="82"/>
      <c r="U152" s="83">
        <f t="shared" si="25"/>
        <v>9666.67</v>
      </c>
      <c r="V152" s="82">
        <v>10000</v>
      </c>
      <c r="W152" s="82"/>
      <c r="X152" s="82"/>
      <c r="Y152" s="83">
        <f t="shared" si="24"/>
        <v>10000</v>
      </c>
      <c r="Z152" s="82">
        <v>10000</v>
      </c>
      <c r="AA152" s="82">
        <f>VLOOKUP(C152,'[1]2018.06中力提成汇总'!$B:$N,13,0)</f>
        <v>300</v>
      </c>
      <c r="AB152" s="82"/>
      <c r="AC152" s="83">
        <f t="shared" si="23"/>
        <v>10300</v>
      </c>
      <c r="AD152" s="219">
        <f>IFERROR(VLOOKUP(C152,'[2]7月集团工资汇总表'!C:AD,28,0),0)</f>
        <v>9935.48</v>
      </c>
      <c r="AE152" s="219">
        <f>400</f>
        <v>400</v>
      </c>
      <c r="AF152" s="219"/>
      <c r="AG152" s="246">
        <f t="shared" si="34"/>
        <v>10335.48</v>
      </c>
      <c r="AH152" s="219">
        <f>IFERROR(VLOOKUP(C152,知识科技工资!C:M,11,0),0)</f>
        <v>9032.26</v>
      </c>
      <c r="AI152" s="82"/>
      <c r="AJ152" s="82"/>
      <c r="AK152" s="246">
        <f t="shared" si="26"/>
        <v>9032.26</v>
      </c>
      <c r="AL152" s="82"/>
      <c r="AM152" s="82"/>
      <c r="AN152" s="82"/>
      <c r="AO152" s="83">
        <f t="shared" si="27"/>
        <v>0</v>
      </c>
      <c r="AP152" s="82"/>
      <c r="AQ152" s="82"/>
      <c r="AR152" s="82"/>
      <c r="AS152" s="83">
        <f t="shared" si="28"/>
        <v>0</v>
      </c>
      <c r="AT152" s="82"/>
      <c r="AU152" s="82"/>
      <c r="AV152" s="82"/>
      <c r="AW152" s="84">
        <f t="shared" si="29"/>
        <v>0</v>
      </c>
      <c r="AX152" s="85"/>
      <c r="AY152" s="85"/>
      <c r="AZ152" s="85"/>
      <c r="BA152" s="84">
        <f t="shared" si="30"/>
        <v>0</v>
      </c>
      <c r="BB152" s="86">
        <f t="shared" si="35"/>
        <v>76900.539999999994</v>
      </c>
      <c r="BC152" s="86">
        <f t="shared" si="36"/>
        <v>1300</v>
      </c>
      <c r="BD152" s="86">
        <f t="shared" si="37"/>
        <v>0</v>
      </c>
      <c r="BE152" s="87">
        <f t="shared" si="38"/>
        <v>78200.539999999994</v>
      </c>
    </row>
    <row r="153" spans="1:57" ht="22.5" customHeight="1">
      <c r="A153" s="3">
        <v>150</v>
      </c>
      <c r="B153" s="34" t="s">
        <v>21</v>
      </c>
      <c r="C153" s="3" t="s">
        <v>116</v>
      </c>
      <c r="D153" s="18">
        <v>43070</v>
      </c>
      <c r="E153" s="17">
        <v>7000</v>
      </c>
      <c r="F153" s="82">
        <v>5709.68</v>
      </c>
      <c r="G153" s="82"/>
      <c r="H153" s="82"/>
      <c r="I153" s="83">
        <f t="shared" si="32"/>
        <v>5709.68</v>
      </c>
      <c r="J153" s="82">
        <v>5571.4285714285697</v>
      </c>
      <c r="K153" s="82"/>
      <c r="L153" s="82"/>
      <c r="M153" s="83">
        <f t="shared" si="31"/>
        <v>5571.4285714285697</v>
      </c>
      <c r="N153" s="82">
        <v>6972.9032258064499</v>
      </c>
      <c r="O153" s="82"/>
      <c r="P153" s="82"/>
      <c r="Q153" s="83">
        <f t="shared" si="33"/>
        <v>6972.9032258064499</v>
      </c>
      <c r="R153" s="82">
        <v>7000</v>
      </c>
      <c r="S153" s="82">
        <f>300</f>
        <v>300</v>
      </c>
      <c r="T153" s="82"/>
      <c r="U153" s="83">
        <f t="shared" si="25"/>
        <v>7300</v>
      </c>
      <c r="V153" s="82">
        <v>6819.35</v>
      </c>
      <c r="W153" s="82">
        <v>2000</v>
      </c>
      <c r="X153" s="82"/>
      <c r="Y153" s="83">
        <f t="shared" si="24"/>
        <v>8819.35</v>
      </c>
      <c r="Z153" s="82">
        <v>7000</v>
      </c>
      <c r="AA153" s="82">
        <f>VLOOKUP(C153,'[1]2018.06中力提成汇总'!$B:$N,13,0)</f>
        <v>3200</v>
      </c>
      <c r="AB153" s="82"/>
      <c r="AC153" s="83">
        <f t="shared" si="23"/>
        <v>10200</v>
      </c>
      <c r="AD153" s="219">
        <f>IFERROR(VLOOKUP(C153,'[2]7月集团工资汇总表'!C:AD,28,0),0)</f>
        <v>7000</v>
      </c>
      <c r="AE153" s="219"/>
      <c r="AF153" s="219"/>
      <c r="AG153" s="246">
        <f t="shared" si="34"/>
        <v>7000</v>
      </c>
      <c r="AH153" s="219">
        <f>IFERROR(VLOOKUP(C153,知识科技工资!C:M,11,0),0)</f>
        <v>10000</v>
      </c>
      <c r="AI153" s="82"/>
      <c r="AJ153" s="82"/>
      <c r="AK153" s="246">
        <f t="shared" si="26"/>
        <v>10000</v>
      </c>
      <c r="AL153" s="82"/>
      <c r="AM153" s="82"/>
      <c r="AN153" s="82"/>
      <c r="AO153" s="83">
        <f t="shared" si="27"/>
        <v>0</v>
      </c>
      <c r="AP153" s="82"/>
      <c r="AQ153" s="82"/>
      <c r="AR153" s="82"/>
      <c r="AS153" s="83">
        <f t="shared" si="28"/>
        <v>0</v>
      </c>
      <c r="AT153" s="82"/>
      <c r="AU153" s="82"/>
      <c r="AV153" s="82"/>
      <c r="AW153" s="84">
        <f t="shared" si="29"/>
        <v>0</v>
      </c>
      <c r="AX153" s="85"/>
      <c r="AY153" s="85"/>
      <c r="AZ153" s="85"/>
      <c r="BA153" s="84">
        <f t="shared" si="30"/>
        <v>0</v>
      </c>
      <c r="BB153" s="86">
        <f t="shared" si="35"/>
        <v>56073.361797235018</v>
      </c>
      <c r="BC153" s="86">
        <f t="shared" si="36"/>
        <v>5500</v>
      </c>
      <c r="BD153" s="86">
        <f t="shared" si="37"/>
        <v>0</v>
      </c>
      <c r="BE153" s="87">
        <f t="shared" si="38"/>
        <v>61573.361797235018</v>
      </c>
    </row>
    <row r="154" spans="1:57" ht="22.5" customHeight="1">
      <c r="A154" s="3">
        <v>151</v>
      </c>
      <c r="B154" s="34" t="s">
        <v>21</v>
      </c>
      <c r="C154" s="20" t="s">
        <v>281</v>
      </c>
      <c r="D154" s="18">
        <v>43109</v>
      </c>
      <c r="E154" s="17">
        <v>0</v>
      </c>
      <c r="F154" s="82">
        <v>5935.48</v>
      </c>
      <c r="G154" s="82"/>
      <c r="H154" s="82"/>
      <c r="I154" s="83"/>
      <c r="J154" s="82">
        <v>7428.5714285714303</v>
      </c>
      <c r="K154" s="82"/>
      <c r="L154" s="82"/>
      <c r="M154" s="83">
        <f t="shared" si="31"/>
        <v>7428.5714285714303</v>
      </c>
      <c r="N154" s="82">
        <v>8000</v>
      </c>
      <c r="O154" s="82"/>
      <c r="P154" s="82"/>
      <c r="Q154" s="83">
        <f t="shared" si="33"/>
        <v>8000</v>
      </c>
      <c r="R154" s="82">
        <v>8000</v>
      </c>
      <c r="S154" s="82"/>
      <c r="T154" s="82"/>
      <c r="U154" s="83">
        <f t="shared" si="25"/>
        <v>8000</v>
      </c>
      <c r="V154" s="82">
        <v>8000</v>
      </c>
      <c r="W154" s="82"/>
      <c r="X154" s="82"/>
      <c r="Y154" s="83">
        <f t="shared" si="24"/>
        <v>8000</v>
      </c>
      <c r="Z154" s="82">
        <v>8516.1299999999992</v>
      </c>
      <c r="AA154" s="82">
        <f>VLOOKUP(C154,'[1]2018.06中力提成汇总'!$B:$N,13,0)</f>
        <v>400</v>
      </c>
      <c r="AB154" s="82"/>
      <c r="AC154" s="83">
        <f t="shared" si="23"/>
        <v>8916.1299999999992</v>
      </c>
      <c r="AD154" s="219">
        <f>IFERROR(VLOOKUP(C154,'[2]7月集团工资汇总表'!C:AD,28,0),0)</f>
        <v>0</v>
      </c>
      <c r="AE154" s="219"/>
      <c r="AF154" s="219"/>
      <c r="AG154" s="246">
        <f t="shared" si="34"/>
        <v>0</v>
      </c>
      <c r="AH154" s="219">
        <f>IFERROR(VLOOKUP(C154,知识科技工资!C:M,11,0),0)</f>
        <v>0</v>
      </c>
      <c r="AI154" s="82"/>
      <c r="AJ154" s="82"/>
      <c r="AK154" s="246">
        <f t="shared" si="26"/>
        <v>0</v>
      </c>
      <c r="AL154" s="82"/>
      <c r="AM154" s="82"/>
      <c r="AN154" s="82"/>
      <c r="AO154" s="83">
        <f t="shared" si="27"/>
        <v>0</v>
      </c>
      <c r="AP154" s="82"/>
      <c r="AQ154" s="82"/>
      <c r="AR154" s="82"/>
      <c r="AS154" s="83">
        <f t="shared" si="28"/>
        <v>0</v>
      </c>
      <c r="AT154" s="82"/>
      <c r="AU154" s="82"/>
      <c r="AV154" s="82"/>
      <c r="AW154" s="84">
        <f t="shared" si="29"/>
        <v>0</v>
      </c>
      <c r="AX154" s="85"/>
      <c r="AY154" s="85"/>
      <c r="AZ154" s="85"/>
      <c r="BA154" s="84">
        <f t="shared" si="30"/>
        <v>0</v>
      </c>
      <c r="BB154" s="86">
        <f t="shared" si="35"/>
        <v>45880.181428571428</v>
      </c>
      <c r="BC154" s="86">
        <f t="shared" si="36"/>
        <v>400</v>
      </c>
      <c r="BD154" s="86">
        <f t="shared" si="37"/>
        <v>0</v>
      </c>
      <c r="BE154" s="87">
        <f t="shared" si="38"/>
        <v>46280.181428571428</v>
      </c>
    </row>
    <row r="155" spans="1:57" ht="22.5" customHeight="1">
      <c r="A155" s="3">
        <v>152</v>
      </c>
      <c r="B155" s="34" t="s">
        <v>21</v>
      </c>
      <c r="C155" s="20" t="s">
        <v>322</v>
      </c>
      <c r="D155" s="18">
        <v>43080</v>
      </c>
      <c r="E155" s="17">
        <v>0</v>
      </c>
      <c r="F155" s="82">
        <v>5612.9</v>
      </c>
      <c r="G155" s="82"/>
      <c r="H155" s="82"/>
      <c r="I155" s="83">
        <f t="shared" si="32"/>
        <v>5612.9</v>
      </c>
      <c r="J155" s="82">
        <v>4928.57</v>
      </c>
      <c r="K155" s="82"/>
      <c r="L155" s="82"/>
      <c r="M155" s="83">
        <f t="shared" si="31"/>
        <v>4928.57</v>
      </c>
      <c r="N155" s="82">
        <v>2516.1290322580599</v>
      </c>
      <c r="O155" s="82"/>
      <c r="P155" s="82"/>
      <c r="Q155" s="83">
        <f t="shared" si="33"/>
        <v>2516.1290322580599</v>
      </c>
      <c r="R155" s="82"/>
      <c r="S155" s="82"/>
      <c r="T155" s="82"/>
      <c r="U155" s="83">
        <f t="shared" si="25"/>
        <v>0</v>
      </c>
      <c r="V155" s="82"/>
      <c r="W155" s="82"/>
      <c r="X155" s="82"/>
      <c r="Y155" s="83">
        <f t="shared" si="24"/>
        <v>0</v>
      </c>
      <c r="Z155" s="82"/>
      <c r="AA155" s="82">
        <f>VLOOKUP(C155,'[1]2018.06中力提成汇总'!$B:$N,13,0)</f>
        <v>0</v>
      </c>
      <c r="AB155" s="82"/>
      <c r="AC155" s="83">
        <f t="shared" si="23"/>
        <v>0</v>
      </c>
      <c r="AD155" s="219">
        <f>IFERROR(VLOOKUP(C155,'[2]7月集团工资汇总表'!C:AD,28,0),0)</f>
        <v>0</v>
      </c>
      <c r="AE155" s="219"/>
      <c r="AF155" s="219"/>
      <c r="AG155" s="246">
        <f t="shared" si="34"/>
        <v>0</v>
      </c>
      <c r="AH155" s="219">
        <f>IFERROR(VLOOKUP(C155,知识科技工资!C:M,11,0),0)</f>
        <v>0</v>
      </c>
      <c r="AI155" s="82"/>
      <c r="AJ155" s="82"/>
      <c r="AK155" s="246">
        <f t="shared" si="26"/>
        <v>0</v>
      </c>
      <c r="AL155" s="82"/>
      <c r="AM155" s="82"/>
      <c r="AN155" s="82"/>
      <c r="AO155" s="83">
        <f t="shared" si="27"/>
        <v>0</v>
      </c>
      <c r="AP155" s="82"/>
      <c r="AQ155" s="82"/>
      <c r="AR155" s="82"/>
      <c r="AS155" s="83">
        <f t="shared" si="28"/>
        <v>0</v>
      </c>
      <c r="AT155" s="82"/>
      <c r="AU155" s="82"/>
      <c r="AV155" s="82"/>
      <c r="AW155" s="84">
        <f t="shared" si="29"/>
        <v>0</v>
      </c>
      <c r="AX155" s="85"/>
      <c r="AY155" s="85"/>
      <c r="AZ155" s="85"/>
      <c r="BA155" s="84">
        <f t="shared" si="30"/>
        <v>0</v>
      </c>
      <c r="BB155" s="86">
        <f t="shared" si="35"/>
        <v>13057.599032258058</v>
      </c>
      <c r="BC155" s="86">
        <f t="shared" si="36"/>
        <v>0</v>
      </c>
      <c r="BD155" s="86">
        <f t="shared" si="37"/>
        <v>0</v>
      </c>
      <c r="BE155" s="87">
        <f t="shared" si="38"/>
        <v>13057.599032258058</v>
      </c>
    </row>
    <row r="156" spans="1:57" ht="22.5" customHeight="1">
      <c r="A156" s="3">
        <v>153</v>
      </c>
      <c r="B156" s="34" t="s">
        <v>21</v>
      </c>
      <c r="C156" s="20" t="s">
        <v>323</v>
      </c>
      <c r="D156" s="18">
        <v>42789</v>
      </c>
      <c r="E156" s="17">
        <v>0</v>
      </c>
      <c r="F156" s="82"/>
      <c r="G156" s="82"/>
      <c r="H156" s="82"/>
      <c r="I156" s="83"/>
      <c r="J156" s="82">
        <v>1571.42857142857</v>
      </c>
      <c r="K156" s="82"/>
      <c r="L156" s="82"/>
      <c r="M156" s="83">
        <f t="shared" si="31"/>
        <v>1571.42857142857</v>
      </c>
      <c r="N156" s="82">
        <v>7419.3548387096798</v>
      </c>
      <c r="O156" s="82"/>
      <c r="P156" s="82"/>
      <c r="Q156" s="83">
        <f t="shared" si="33"/>
        <v>7419.3548387096798</v>
      </c>
      <c r="R156" s="82">
        <v>7301.33</v>
      </c>
      <c r="S156" s="82">
        <f>600</f>
        <v>600</v>
      </c>
      <c r="T156" s="82"/>
      <c r="U156" s="83">
        <f t="shared" si="25"/>
        <v>7901.33</v>
      </c>
      <c r="V156" s="82"/>
      <c r="W156" s="82"/>
      <c r="X156" s="82"/>
      <c r="Y156" s="83">
        <f t="shared" si="24"/>
        <v>0</v>
      </c>
      <c r="Z156" s="82"/>
      <c r="AA156" s="82">
        <f>VLOOKUP(C156,'[1]2018.06中力提成汇总'!$B:$N,13,0)</f>
        <v>0</v>
      </c>
      <c r="AB156" s="82"/>
      <c r="AC156" s="83">
        <f t="shared" si="23"/>
        <v>0</v>
      </c>
      <c r="AD156" s="219">
        <f>IFERROR(VLOOKUP(C156,'[2]7月集团工资汇总表'!C:AD,28,0),0)</f>
        <v>0</v>
      </c>
      <c r="AE156" s="219"/>
      <c r="AF156" s="219"/>
      <c r="AG156" s="246">
        <f t="shared" si="34"/>
        <v>0</v>
      </c>
      <c r="AH156" s="219">
        <f>IFERROR(VLOOKUP(C156,知识科技工资!C:M,11,0),0)</f>
        <v>0</v>
      </c>
      <c r="AI156" s="82"/>
      <c r="AJ156" s="82"/>
      <c r="AK156" s="246">
        <f t="shared" si="26"/>
        <v>0</v>
      </c>
      <c r="AL156" s="82"/>
      <c r="AM156" s="82"/>
      <c r="AN156" s="82"/>
      <c r="AO156" s="83">
        <f t="shared" si="27"/>
        <v>0</v>
      </c>
      <c r="AP156" s="82"/>
      <c r="AQ156" s="82"/>
      <c r="AR156" s="82"/>
      <c r="AS156" s="83">
        <f t="shared" si="28"/>
        <v>0</v>
      </c>
      <c r="AT156" s="82"/>
      <c r="AU156" s="82"/>
      <c r="AV156" s="82"/>
      <c r="AW156" s="84">
        <f t="shared" si="29"/>
        <v>0</v>
      </c>
      <c r="AX156" s="85"/>
      <c r="AY156" s="85"/>
      <c r="AZ156" s="85"/>
      <c r="BA156" s="84">
        <f t="shared" si="30"/>
        <v>0</v>
      </c>
      <c r="BB156" s="86">
        <f t="shared" si="35"/>
        <v>16292.11341013825</v>
      </c>
      <c r="BC156" s="86">
        <f t="shared" si="36"/>
        <v>600</v>
      </c>
      <c r="BD156" s="86">
        <f t="shared" si="37"/>
        <v>0</v>
      </c>
      <c r="BE156" s="87">
        <f t="shared" si="38"/>
        <v>16892.113410138249</v>
      </c>
    </row>
    <row r="157" spans="1:57" ht="22.5" customHeight="1">
      <c r="A157" s="3">
        <v>154</v>
      </c>
      <c r="B157" s="34" t="s">
        <v>21</v>
      </c>
      <c r="C157" s="3" t="s">
        <v>123</v>
      </c>
      <c r="D157" s="18">
        <v>43192</v>
      </c>
      <c r="E157" s="17">
        <v>7000</v>
      </c>
      <c r="F157" s="82"/>
      <c r="G157" s="82"/>
      <c r="H157" s="82"/>
      <c r="I157" s="83"/>
      <c r="J157" s="82"/>
      <c r="K157" s="82"/>
      <c r="L157" s="82"/>
      <c r="M157" s="83"/>
      <c r="N157" s="82"/>
      <c r="O157" s="82"/>
      <c r="P157" s="82"/>
      <c r="Q157" s="83"/>
      <c r="R157" s="82">
        <v>6766.67</v>
      </c>
      <c r="S157" s="82"/>
      <c r="T157" s="82"/>
      <c r="U157" s="83">
        <f t="shared" si="25"/>
        <v>6766.67</v>
      </c>
      <c r="V157" s="82">
        <v>7000</v>
      </c>
      <c r="W157" s="82"/>
      <c r="X157" s="82"/>
      <c r="Y157" s="83">
        <f t="shared" si="24"/>
        <v>7000</v>
      </c>
      <c r="Z157" s="82">
        <v>7000</v>
      </c>
      <c r="AA157" s="82">
        <f>VLOOKUP(C157,'[1]2018.06中力提成汇总'!$B:$N,13,0)</f>
        <v>900</v>
      </c>
      <c r="AB157" s="82"/>
      <c r="AC157" s="83">
        <f t="shared" ref="AC157:AC172" si="39">SUM(Z157:AB157)</f>
        <v>7900</v>
      </c>
      <c r="AD157" s="219">
        <f>IFERROR(VLOOKUP(C157,'[2]7月集团工资汇总表'!C:AD,28,0),0)</f>
        <v>7000</v>
      </c>
      <c r="AE157" s="219"/>
      <c r="AF157" s="219"/>
      <c r="AG157" s="246">
        <f t="shared" si="34"/>
        <v>7000</v>
      </c>
      <c r="AH157" s="219">
        <f>IFERROR(VLOOKUP(C157,知识科技工资!C:M,11,0),0)</f>
        <v>10000</v>
      </c>
      <c r="AI157" s="82"/>
      <c r="AJ157" s="82"/>
      <c r="AK157" s="246">
        <f t="shared" si="26"/>
        <v>10000</v>
      </c>
      <c r="AL157" s="82"/>
      <c r="AM157" s="82"/>
      <c r="AN157" s="82"/>
      <c r="AO157" s="83"/>
      <c r="AP157" s="82"/>
      <c r="AQ157" s="82"/>
      <c r="AR157" s="82"/>
      <c r="AS157" s="83"/>
      <c r="AT157" s="82"/>
      <c r="AU157" s="82"/>
      <c r="AV157" s="82"/>
      <c r="AW157" s="84"/>
      <c r="AX157" s="85"/>
      <c r="AY157" s="85"/>
      <c r="AZ157" s="85"/>
      <c r="BA157" s="84"/>
      <c r="BB157" s="86">
        <f t="shared" si="35"/>
        <v>37766.67</v>
      </c>
      <c r="BC157" s="86">
        <f t="shared" si="36"/>
        <v>900</v>
      </c>
      <c r="BD157" s="86">
        <f t="shared" si="37"/>
        <v>0</v>
      </c>
      <c r="BE157" s="87">
        <f t="shared" si="38"/>
        <v>38666.67</v>
      </c>
    </row>
    <row r="158" spans="1:57" ht="22.5" customHeight="1">
      <c r="A158" s="3">
        <v>155</v>
      </c>
      <c r="B158" s="34" t="s">
        <v>21</v>
      </c>
      <c r="C158" s="20" t="s">
        <v>324</v>
      </c>
      <c r="D158" s="18">
        <v>43192</v>
      </c>
      <c r="E158" s="17">
        <v>0</v>
      </c>
      <c r="F158" s="82"/>
      <c r="G158" s="82"/>
      <c r="H158" s="82"/>
      <c r="I158" s="83"/>
      <c r="J158" s="82"/>
      <c r="K158" s="82"/>
      <c r="L158" s="82"/>
      <c r="M158" s="83"/>
      <c r="N158" s="82"/>
      <c r="O158" s="82"/>
      <c r="P158" s="82"/>
      <c r="Q158" s="83"/>
      <c r="R158" s="82">
        <v>5800</v>
      </c>
      <c r="S158" s="82"/>
      <c r="T158" s="82"/>
      <c r="U158" s="83">
        <f t="shared" si="25"/>
        <v>5800</v>
      </c>
      <c r="V158" s="82">
        <v>2709.68</v>
      </c>
      <c r="W158" s="82"/>
      <c r="X158" s="82"/>
      <c r="Y158" s="83">
        <f t="shared" si="24"/>
        <v>2709.68</v>
      </c>
      <c r="Z158" s="82"/>
      <c r="AA158" s="82">
        <f>VLOOKUP(C158,'[1]2018.06中力提成汇总'!$B:$N,13,0)</f>
        <v>0</v>
      </c>
      <c r="AB158" s="82"/>
      <c r="AC158" s="83">
        <f t="shared" si="39"/>
        <v>0</v>
      </c>
      <c r="AD158" s="219">
        <f>IFERROR(VLOOKUP(C158,'[2]7月集团工资汇总表'!C:AD,28,0),0)</f>
        <v>0</v>
      </c>
      <c r="AE158" s="219"/>
      <c r="AF158" s="219"/>
      <c r="AG158" s="246">
        <f t="shared" si="34"/>
        <v>0</v>
      </c>
      <c r="AH158" s="219">
        <f>IFERROR(VLOOKUP(C158,知识科技工资!C:M,11,0),0)</f>
        <v>0</v>
      </c>
      <c r="AI158" s="82"/>
      <c r="AJ158" s="82"/>
      <c r="AK158" s="246">
        <f t="shared" si="26"/>
        <v>0</v>
      </c>
      <c r="AL158" s="82"/>
      <c r="AM158" s="82"/>
      <c r="AN158" s="82"/>
      <c r="AO158" s="83"/>
      <c r="AP158" s="82"/>
      <c r="AQ158" s="82"/>
      <c r="AR158" s="82"/>
      <c r="AS158" s="83"/>
      <c r="AT158" s="82"/>
      <c r="AU158" s="82"/>
      <c r="AV158" s="82"/>
      <c r="AW158" s="84"/>
      <c r="AX158" s="85"/>
      <c r="AY158" s="85"/>
      <c r="AZ158" s="85"/>
      <c r="BA158" s="84"/>
      <c r="BB158" s="86">
        <f t="shared" si="35"/>
        <v>8509.68</v>
      </c>
      <c r="BC158" s="86">
        <f t="shared" si="36"/>
        <v>0</v>
      </c>
      <c r="BD158" s="86">
        <f t="shared" si="37"/>
        <v>0</v>
      </c>
      <c r="BE158" s="87">
        <f t="shared" si="38"/>
        <v>8509.68</v>
      </c>
    </row>
    <row r="159" spans="1:57" ht="22.5" customHeight="1">
      <c r="A159" s="3">
        <v>156</v>
      </c>
      <c r="B159" s="34" t="s">
        <v>21</v>
      </c>
      <c r="C159" s="3" t="s">
        <v>125</v>
      </c>
      <c r="D159" s="18">
        <v>43222</v>
      </c>
      <c r="E159" s="17">
        <v>7000</v>
      </c>
      <c r="F159" s="82"/>
      <c r="G159" s="82"/>
      <c r="H159" s="82"/>
      <c r="I159" s="83"/>
      <c r="J159" s="82"/>
      <c r="K159" s="82"/>
      <c r="L159" s="82"/>
      <c r="M159" s="83"/>
      <c r="N159" s="82"/>
      <c r="O159" s="82"/>
      <c r="P159" s="82"/>
      <c r="Q159" s="83"/>
      <c r="R159" s="82"/>
      <c r="S159" s="82"/>
      <c r="T159" s="82"/>
      <c r="U159" s="83"/>
      <c r="V159" s="82">
        <v>6322.58</v>
      </c>
      <c r="W159" s="82"/>
      <c r="X159" s="82"/>
      <c r="Y159" s="83">
        <f t="shared" si="24"/>
        <v>6322.58</v>
      </c>
      <c r="Z159" s="82">
        <v>7000</v>
      </c>
      <c r="AA159" s="82">
        <f>VLOOKUP(C159,'[1]2018.06中力提成汇总'!$B:$N,13,0)</f>
        <v>400</v>
      </c>
      <c r="AB159" s="82"/>
      <c r="AC159" s="83">
        <f t="shared" si="39"/>
        <v>7400</v>
      </c>
      <c r="AD159" s="219">
        <f>IFERROR(VLOOKUP(C159,'[2]7月集团工资汇总表'!C:AD,28,0),0)</f>
        <v>6774.19</v>
      </c>
      <c r="AE159" s="219">
        <f>800</f>
        <v>800</v>
      </c>
      <c r="AF159" s="219"/>
      <c r="AG159" s="246">
        <f t="shared" si="34"/>
        <v>7574.19</v>
      </c>
      <c r="AH159" s="219">
        <f>IFERROR(VLOOKUP(C159,知识科技工资!C:M,11,0),0)</f>
        <v>7193.55</v>
      </c>
      <c r="AI159" s="82"/>
      <c r="AJ159" s="82"/>
      <c r="AK159" s="246">
        <f t="shared" si="26"/>
        <v>7193.55</v>
      </c>
      <c r="AL159" s="82"/>
      <c r="AM159" s="82"/>
      <c r="AN159" s="82"/>
      <c r="AO159" s="83"/>
      <c r="AP159" s="82"/>
      <c r="AQ159" s="82"/>
      <c r="AR159" s="82"/>
      <c r="AS159" s="83"/>
      <c r="AT159" s="82"/>
      <c r="AU159" s="82"/>
      <c r="AV159" s="82"/>
      <c r="AW159" s="84"/>
      <c r="AX159" s="85"/>
      <c r="AY159" s="85"/>
      <c r="AZ159" s="85"/>
      <c r="BA159" s="84"/>
      <c r="BB159" s="86">
        <f t="shared" si="35"/>
        <v>27290.32</v>
      </c>
      <c r="BC159" s="86">
        <f t="shared" si="36"/>
        <v>1200</v>
      </c>
      <c r="BD159" s="86">
        <f t="shared" si="37"/>
        <v>0</v>
      </c>
      <c r="BE159" s="87">
        <f t="shared" si="38"/>
        <v>28490.32</v>
      </c>
    </row>
    <row r="160" spans="1:57" ht="22.5" customHeight="1">
      <c r="A160" s="3">
        <v>157</v>
      </c>
      <c r="B160" s="34" t="s">
        <v>21</v>
      </c>
      <c r="C160" s="3" t="s">
        <v>128</v>
      </c>
      <c r="D160" s="18">
        <v>43241</v>
      </c>
      <c r="E160" s="17">
        <v>8000</v>
      </c>
      <c r="F160" s="82"/>
      <c r="G160" s="82"/>
      <c r="H160" s="82"/>
      <c r="I160" s="83"/>
      <c r="J160" s="82"/>
      <c r="K160" s="82"/>
      <c r="L160" s="82"/>
      <c r="M160" s="83"/>
      <c r="N160" s="82"/>
      <c r="O160" s="82"/>
      <c r="P160" s="82"/>
      <c r="Q160" s="83"/>
      <c r="R160" s="82"/>
      <c r="S160" s="82"/>
      <c r="T160" s="82"/>
      <c r="U160" s="83"/>
      <c r="V160" s="82">
        <v>2483.87</v>
      </c>
      <c r="W160" s="82"/>
      <c r="X160" s="82"/>
      <c r="Y160" s="83">
        <f t="shared" si="24"/>
        <v>2483.87</v>
      </c>
      <c r="Z160" s="82">
        <v>7000</v>
      </c>
      <c r="AA160" s="82">
        <f>VLOOKUP(C160,'[1]2018.06中力提成汇总'!$B:$N,13,0)</f>
        <v>300</v>
      </c>
      <c r="AB160" s="82"/>
      <c r="AC160" s="83">
        <f t="shared" si="39"/>
        <v>7300</v>
      </c>
      <c r="AD160" s="219">
        <f>IFERROR(VLOOKUP(C160,'[2]7月集团工资汇总表'!C:AD,28,0),0)</f>
        <v>7000</v>
      </c>
      <c r="AE160" s="219">
        <f>400+600</f>
        <v>1000</v>
      </c>
      <c r="AF160" s="219"/>
      <c r="AG160" s="246">
        <f t="shared" si="34"/>
        <v>8000</v>
      </c>
      <c r="AH160" s="219">
        <f>IFERROR(VLOOKUP(C160,知识科技工资!C:M,11,0),0)</f>
        <v>7387.1</v>
      </c>
      <c r="AI160" s="82"/>
      <c r="AJ160" s="82"/>
      <c r="AK160" s="246">
        <f t="shared" si="26"/>
        <v>7387.1</v>
      </c>
      <c r="AL160" s="82"/>
      <c r="AM160" s="82"/>
      <c r="AN160" s="82"/>
      <c r="AO160" s="83"/>
      <c r="AP160" s="82"/>
      <c r="AQ160" s="82"/>
      <c r="AR160" s="82"/>
      <c r="AS160" s="83"/>
      <c r="AT160" s="82"/>
      <c r="AU160" s="82"/>
      <c r="AV160" s="82"/>
      <c r="AW160" s="84"/>
      <c r="AX160" s="85"/>
      <c r="AY160" s="85"/>
      <c r="AZ160" s="85"/>
      <c r="BA160" s="84"/>
      <c r="BB160" s="86">
        <f t="shared" si="35"/>
        <v>23870.97</v>
      </c>
      <c r="BC160" s="86">
        <f t="shared" si="36"/>
        <v>1300</v>
      </c>
      <c r="BD160" s="86">
        <f t="shared" si="37"/>
        <v>0</v>
      </c>
      <c r="BE160" s="87">
        <f t="shared" si="38"/>
        <v>25170.97</v>
      </c>
    </row>
    <row r="161" spans="1:57" ht="22.5" customHeight="1">
      <c r="A161" s="3">
        <v>158</v>
      </c>
      <c r="B161" s="34" t="s">
        <v>21</v>
      </c>
      <c r="C161" s="3" t="s">
        <v>20</v>
      </c>
      <c r="D161" s="18">
        <v>43290</v>
      </c>
      <c r="E161" s="17">
        <v>6000</v>
      </c>
      <c r="F161" s="82"/>
      <c r="G161" s="82"/>
      <c r="H161" s="82"/>
      <c r="I161" s="83"/>
      <c r="J161" s="82"/>
      <c r="K161" s="82"/>
      <c r="L161" s="82"/>
      <c r="M161" s="83"/>
      <c r="N161" s="82"/>
      <c r="O161" s="82"/>
      <c r="P161" s="82"/>
      <c r="Q161" s="83"/>
      <c r="R161" s="82"/>
      <c r="S161" s="82"/>
      <c r="T161" s="82"/>
      <c r="U161" s="83"/>
      <c r="V161" s="82"/>
      <c r="W161" s="82"/>
      <c r="X161" s="82"/>
      <c r="Y161" s="83"/>
      <c r="Z161" s="82"/>
      <c r="AA161" s="82">
        <v>0</v>
      </c>
      <c r="AB161" s="82"/>
      <c r="AC161" s="83"/>
      <c r="AD161" s="219">
        <f>IFERROR(VLOOKUP(C161,'[2]7月集团工资汇总表'!C:AD,28,0),0)</f>
        <v>4041.29</v>
      </c>
      <c r="AE161" s="219"/>
      <c r="AF161" s="219"/>
      <c r="AG161" s="246">
        <f t="shared" si="34"/>
        <v>4041.29</v>
      </c>
      <c r="AH161" s="219">
        <f>IFERROR(VLOOKUP(C161,知识科技工资!C:M,11,0),0)</f>
        <v>9354.84</v>
      </c>
      <c r="AI161" s="82"/>
      <c r="AJ161" s="82"/>
      <c r="AK161" s="246">
        <f t="shared" si="26"/>
        <v>9354.84</v>
      </c>
      <c r="AL161" s="82"/>
      <c r="AM161" s="82"/>
      <c r="AN161" s="82"/>
      <c r="AO161" s="83"/>
      <c r="AP161" s="82"/>
      <c r="AQ161" s="82"/>
      <c r="AR161" s="82"/>
      <c r="AS161" s="83"/>
      <c r="AT161" s="82"/>
      <c r="AU161" s="82"/>
      <c r="AV161" s="82"/>
      <c r="AW161" s="84"/>
      <c r="AX161" s="85"/>
      <c r="AY161" s="85"/>
      <c r="AZ161" s="85"/>
      <c r="BA161" s="84"/>
      <c r="BB161" s="86">
        <f t="shared" si="35"/>
        <v>13396.130000000001</v>
      </c>
      <c r="BC161" s="86">
        <f t="shared" si="36"/>
        <v>0</v>
      </c>
      <c r="BD161" s="86">
        <f t="shared" si="37"/>
        <v>0</v>
      </c>
      <c r="BE161" s="87">
        <f t="shared" si="38"/>
        <v>13396.130000000001</v>
      </c>
    </row>
    <row r="162" spans="1:57" ht="22.5" customHeight="1">
      <c r="A162" s="3">
        <v>159</v>
      </c>
      <c r="B162" s="34" t="s">
        <v>21</v>
      </c>
      <c r="C162" s="202" t="s">
        <v>1002</v>
      </c>
      <c r="D162" s="203">
        <v>43332</v>
      </c>
      <c r="E162" s="204">
        <v>7000</v>
      </c>
      <c r="F162" s="205"/>
      <c r="G162" s="205"/>
      <c r="H162" s="205"/>
      <c r="I162" s="206"/>
      <c r="J162" s="205"/>
      <c r="K162" s="205"/>
      <c r="L162" s="205"/>
      <c r="M162" s="206"/>
      <c r="N162" s="205"/>
      <c r="O162" s="205"/>
      <c r="P162" s="205"/>
      <c r="Q162" s="206"/>
      <c r="R162" s="205"/>
      <c r="S162" s="205"/>
      <c r="T162" s="205"/>
      <c r="U162" s="206"/>
      <c r="V162" s="205"/>
      <c r="W162" s="205"/>
      <c r="X162" s="205"/>
      <c r="Y162" s="206"/>
      <c r="Z162" s="205"/>
      <c r="AA162" s="205"/>
      <c r="AB162" s="205"/>
      <c r="AC162" s="206"/>
      <c r="AD162" s="219">
        <f>IFERROR(VLOOKUP(C162,'[2]7月集团工资汇总表'!C:AD,28,0),0)</f>
        <v>0</v>
      </c>
      <c r="AE162" s="221"/>
      <c r="AF162" s="221"/>
      <c r="AG162" s="250"/>
      <c r="AH162" s="219">
        <f>IFERROR(VLOOKUP(C162,知识科技工资!C:M,11,0),0)</f>
        <v>3870.97</v>
      </c>
      <c r="AI162" s="205"/>
      <c r="AJ162" s="205"/>
      <c r="AK162" s="246">
        <f t="shared" si="26"/>
        <v>3870.97</v>
      </c>
      <c r="AL162" s="205"/>
      <c r="AM162" s="205"/>
      <c r="AN162" s="205"/>
      <c r="AO162" s="206"/>
      <c r="AP162" s="205"/>
      <c r="AQ162" s="205"/>
      <c r="AR162" s="205"/>
      <c r="AS162" s="206"/>
      <c r="AT162" s="205"/>
      <c r="AU162" s="205"/>
      <c r="AV162" s="205"/>
      <c r="AW162" s="207"/>
      <c r="AX162" s="208"/>
      <c r="AY162" s="208"/>
      <c r="AZ162" s="208"/>
      <c r="BA162" s="207"/>
      <c r="BB162" s="86">
        <f t="shared" si="35"/>
        <v>3870.97</v>
      </c>
      <c r="BC162" s="209"/>
      <c r="BD162" s="209"/>
      <c r="BE162" s="210"/>
    </row>
    <row r="163" spans="1:57" ht="22.5" customHeight="1">
      <c r="A163" s="3">
        <v>160</v>
      </c>
      <c r="B163" s="34" t="s">
        <v>21</v>
      </c>
      <c r="C163" s="202" t="s">
        <v>1003</v>
      </c>
      <c r="D163" s="203">
        <v>43341</v>
      </c>
      <c r="E163" s="204">
        <v>6000</v>
      </c>
      <c r="F163" s="205"/>
      <c r="G163" s="205"/>
      <c r="H163" s="205"/>
      <c r="I163" s="206"/>
      <c r="J163" s="205"/>
      <c r="K163" s="205"/>
      <c r="L163" s="205"/>
      <c r="M163" s="206"/>
      <c r="N163" s="205"/>
      <c r="O163" s="205"/>
      <c r="P163" s="205"/>
      <c r="Q163" s="206"/>
      <c r="R163" s="205"/>
      <c r="S163" s="205"/>
      <c r="T163" s="205"/>
      <c r="U163" s="206"/>
      <c r="V163" s="205"/>
      <c r="W163" s="205"/>
      <c r="X163" s="205"/>
      <c r="Y163" s="206"/>
      <c r="Z163" s="205"/>
      <c r="AA163" s="205"/>
      <c r="AB163" s="205"/>
      <c r="AC163" s="206"/>
      <c r="AD163" s="219">
        <f>IFERROR(VLOOKUP(C163,'[2]7月集团工资汇总表'!C:AD,28,0),0)</f>
        <v>0</v>
      </c>
      <c r="AE163" s="221"/>
      <c r="AF163" s="221"/>
      <c r="AG163" s="250"/>
      <c r="AH163" s="219">
        <f>IFERROR(VLOOKUP(C163,知识科技工资!C:M,11,0),0)</f>
        <v>967.74</v>
      </c>
      <c r="AI163" s="205"/>
      <c r="AJ163" s="205"/>
      <c r="AK163" s="246">
        <f t="shared" si="26"/>
        <v>967.74</v>
      </c>
      <c r="AL163" s="205"/>
      <c r="AM163" s="205"/>
      <c r="AN163" s="205"/>
      <c r="AO163" s="206"/>
      <c r="AP163" s="205"/>
      <c r="AQ163" s="205"/>
      <c r="AR163" s="205"/>
      <c r="AS163" s="206"/>
      <c r="AT163" s="205"/>
      <c r="AU163" s="205"/>
      <c r="AV163" s="205"/>
      <c r="AW163" s="207"/>
      <c r="AX163" s="208"/>
      <c r="AY163" s="208"/>
      <c r="AZ163" s="208"/>
      <c r="BA163" s="207"/>
      <c r="BB163" s="86">
        <f t="shared" si="35"/>
        <v>967.74</v>
      </c>
      <c r="BC163" s="209"/>
      <c r="BD163" s="209"/>
      <c r="BE163" s="210"/>
    </row>
    <row r="164" spans="1:57" ht="22.5" customHeight="1">
      <c r="A164" s="3">
        <v>161</v>
      </c>
      <c r="B164" s="34" t="s">
        <v>325</v>
      </c>
      <c r="C164" s="3" t="s">
        <v>326</v>
      </c>
      <c r="D164" s="18">
        <v>43132</v>
      </c>
      <c r="E164" s="17">
        <v>18000</v>
      </c>
      <c r="F164" s="82"/>
      <c r="G164" s="82"/>
      <c r="H164" s="82"/>
      <c r="I164" s="83"/>
      <c r="J164" s="82"/>
      <c r="K164" s="82"/>
      <c r="L164" s="82"/>
      <c r="M164" s="83"/>
      <c r="N164" s="82"/>
      <c r="O164" s="82"/>
      <c r="P164" s="82"/>
      <c r="Q164" s="83"/>
      <c r="R164" s="82">
        <v>68000</v>
      </c>
      <c r="S164" s="82"/>
      <c r="T164" s="82"/>
      <c r="U164" s="83">
        <f t="shared" si="25"/>
        <v>68000</v>
      </c>
      <c r="V164" s="82">
        <v>18000</v>
      </c>
      <c r="W164" s="82"/>
      <c r="X164" s="82"/>
      <c r="Y164" s="83">
        <f t="shared" si="24"/>
        <v>18000</v>
      </c>
      <c r="Z164" s="82">
        <v>18000</v>
      </c>
      <c r="AA164" s="82">
        <f>VLOOKUP(C164,'[1]2018.06中力提成汇总'!$B:$N,13,0)</f>
        <v>0</v>
      </c>
      <c r="AB164" s="82"/>
      <c r="AC164" s="83">
        <f t="shared" si="39"/>
        <v>18000</v>
      </c>
      <c r="AD164" s="219">
        <f>IFERROR(VLOOKUP(C164,'[2]7月集团工资汇总表'!C:AD,28,0),0)</f>
        <v>18000</v>
      </c>
      <c r="AE164" s="219"/>
      <c r="AF164" s="219"/>
      <c r="AG164" s="246">
        <f t="shared" si="34"/>
        <v>18000</v>
      </c>
      <c r="AH164" s="219">
        <v>18000</v>
      </c>
      <c r="AI164" s="82"/>
      <c r="AJ164" s="82"/>
      <c r="AK164" s="246">
        <f t="shared" si="26"/>
        <v>18000</v>
      </c>
      <c r="AL164" s="82"/>
      <c r="AM164" s="82"/>
      <c r="AN164" s="82"/>
      <c r="AO164" s="83"/>
      <c r="AP164" s="82"/>
      <c r="AQ164" s="82"/>
      <c r="AR164" s="82"/>
      <c r="AS164" s="83"/>
      <c r="AT164" s="82"/>
      <c r="AU164" s="82"/>
      <c r="AV164" s="82"/>
      <c r="AW164" s="84"/>
      <c r="AX164" s="85"/>
      <c r="AY164" s="85"/>
      <c r="AZ164" s="85"/>
      <c r="BA164" s="84"/>
      <c r="BB164" s="86">
        <f t="shared" si="35"/>
        <v>140000</v>
      </c>
      <c r="BC164" s="86">
        <f t="shared" si="36"/>
        <v>0</v>
      </c>
      <c r="BD164" s="86">
        <f t="shared" si="37"/>
        <v>0</v>
      </c>
      <c r="BE164" s="87">
        <f t="shared" si="38"/>
        <v>140000</v>
      </c>
    </row>
    <row r="165" spans="1:57" ht="22.5" customHeight="1">
      <c r="A165" s="3">
        <v>162</v>
      </c>
      <c r="B165" s="34" t="s">
        <v>325</v>
      </c>
      <c r="C165" s="3" t="s">
        <v>327</v>
      </c>
      <c r="D165" s="18">
        <v>43185</v>
      </c>
      <c r="E165" s="17">
        <v>8000</v>
      </c>
      <c r="F165" s="82"/>
      <c r="G165" s="82"/>
      <c r="H165" s="82"/>
      <c r="I165" s="83"/>
      <c r="J165" s="82"/>
      <c r="K165" s="82"/>
      <c r="L165" s="82"/>
      <c r="M165" s="83"/>
      <c r="N165" s="82"/>
      <c r="O165" s="82"/>
      <c r="P165" s="82"/>
      <c r="Q165" s="83"/>
      <c r="R165" s="82">
        <v>9548.39</v>
      </c>
      <c r="S165" s="82"/>
      <c r="T165" s="82"/>
      <c r="U165" s="83">
        <f t="shared" si="25"/>
        <v>9548.39</v>
      </c>
      <c r="V165" s="82">
        <v>6967.74</v>
      </c>
      <c r="W165" s="82"/>
      <c r="X165" s="82"/>
      <c r="Y165" s="83">
        <f t="shared" si="24"/>
        <v>6967.74</v>
      </c>
      <c r="Z165" s="82">
        <v>7733.34</v>
      </c>
      <c r="AA165" s="82">
        <f>VLOOKUP(C165,'[1]2018.06中力提成汇总'!$B:$N,13,0)</f>
        <v>0</v>
      </c>
      <c r="AB165" s="82"/>
      <c r="AC165" s="83">
        <f t="shared" si="39"/>
        <v>7733.34</v>
      </c>
      <c r="AD165" s="219">
        <f>IFERROR(VLOOKUP(C165,'[2]7月集团工资汇总表'!C:AD,28,0),0)</f>
        <v>7741.9335483870973</v>
      </c>
      <c r="AE165" s="219"/>
      <c r="AF165" s="219"/>
      <c r="AG165" s="246">
        <f t="shared" si="34"/>
        <v>7741.9335483870973</v>
      </c>
      <c r="AH165" s="219">
        <v>8000</v>
      </c>
      <c r="AI165" s="82"/>
      <c r="AJ165" s="82"/>
      <c r="AK165" s="246">
        <f t="shared" si="26"/>
        <v>8000</v>
      </c>
      <c r="AL165" s="82"/>
      <c r="AM165" s="82"/>
      <c r="AN165" s="82"/>
      <c r="AO165" s="83"/>
      <c r="AP165" s="82"/>
      <c r="AQ165" s="82"/>
      <c r="AR165" s="82"/>
      <c r="AS165" s="83"/>
      <c r="AT165" s="82"/>
      <c r="AU165" s="82"/>
      <c r="AV165" s="82"/>
      <c r="AW165" s="84"/>
      <c r="AX165" s="85"/>
      <c r="AY165" s="85"/>
      <c r="AZ165" s="85"/>
      <c r="BA165" s="84"/>
      <c r="BB165" s="86">
        <f t="shared" si="35"/>
        <v>39991.403548387098</v>
      </c>
      <c r="BC165" s="86">
        <f t="shared" si="36"/>
        <v>0</v>
      </c>
      <c r="BD165" s="86">
        <f t="shared" si="37"/>
        <v>0</v>
      </c>
      <c r="BE165" s="87">
        <f t="shared" si="38"/>
        <v>39991.403548387098</v>
      </c>
    </row>
    <row r="166" spans="1:57" ht="22.5" customHeight="1">
      <c r="A166" s="3">
        <v>163</v>
      </c>
      <c r="B166" s="34" t="s">
        <v>328</v>
      </c>
      <c r="C166" s="3" t="s">
        <v>329</v>
      </c>
      <c r="D166" s="18">
        <v>43192</v>
      </c>
      <c r="E166" s="17">
        <v>8000</v>
      </c>
      <c r="F166" s="82"/>
      <c r="G166" s="82"/>
      <c r="H166" s="82"/>
      <c r="I166" s="83"/>
      <c r="J166" s="82"/>
      <c r="K166" s="82"/>
      <c r="L166" s="82"/>
      <c r="M166" s="83"/>
      <c r="N166" s="82"/>
      <c r="O166" s="82"/>
      <c r="P166" s="82"/>
      <c r="Q166" s="83"/>
      <c r="R166" s="82">
        <v>8000</v>
      </c>
      <c r="S166" s="82"/>
      <c r="T166" s="82"/>
      <c r="U166" s="83">
        <f t="shared" si="25"/>
        <v>8000</v>
      </c>
      <c r="V166" s="82">
        <v>8000</v>
      </c>
      <c r="W166" s="82"/>
      <c r="X166" s="82"/>
      <c r="Y166" s="83">
        <f t="shared" si="24"/>
        <v>8000</v>
      </c>
      <c r="Z166" s="82">
        <v>8000</v>
      </c>
      <c r="AA166" s="82">
        <f>VLOOKUP(C166,'[1]2018.06中力提成汇总'!$B:$N,13,0)</f>
        <v>0</v>
      </c>
      <c r="AB166" s="82"/>
      <c r="AC166" s="83">
        <f t="shared" si="39"/>
        <v>8000</v>
      </c>
      <c r="AD166" s="219">
        <f>IFERROR(VLOOKUP(C166,'[2]7月集团工资汇总表'!C:AD,28,0),0)</f>
        <v>8000</v>
      </c>
      <c r="AE166" s="219"/>
      <c r="AF166" s="219"/>
      <c r="AG166" s="246">
        <f t="shared" si="34"/>
        <v>8000</v>
      </c>
      <c r="AH166" s="219">
        <v>8000</v>
      </c>
      <c r="AI166" s="82"/>
      <c r="AJ166" s="82"/>
      <c r="AK166" s="246">
        <f t="shared" si="26"/>
        <v>8000</v>
      </c>
      <c r="AL166" s="82"/>
      <c r="AM166" s="82"/>
      <c r="AN166" s="82"/>
      <c r="AO166" s="83"/>
      <c r="AP166" s="82"/>
      <c r="AQ166" s="82"/>
      <c r="AR166" s="82"/>
      <c r="AS166" s="83"/>
      <c r="AT166" s="82"/>
      <c r="AU166" s="82"/>
      <c r="AV166" s="82"/>
      <c r="AW166" s="84"/>
      <c r="AX166" s="85"/>
      <c r="AY166" s="85"/>
      <c r="AZ166" s="85"/>
      <c r="BA166" s="84"/>
      <c r="BB166" s="86">
        <f t="shared" si="35"/>
        <v>40000</v>
      </c>
      <c r="BC166" s="86">
        <f t="shared" si="36"/>
        <v>0</v>
      </c>
      <c r="BD166" s="86">
        <f t="shared" si="37"/>
        <v>0</v>
      </c>
      <c r="BE166" s="87">
        <f t="shared" si="38"/>
        <v>40000</v>
      </c>
    </row>
    <row r="167" spans="1:57" ht="22.5" customHeight="1">
      <c r="A167" s="3">
        <v>164</v>
      </c>
      <c r="B167" s="34" t="s">
        <v>328</v>
      </c>
      <c r="C167" s="3" t="s">
        <v>330</v>
      </c>
      <c r="D167" s="18">
        <v>43192</v>
      </c>
      <c r="E167" s="17">
        <v>6000</v>
      </c>
      <c r="F167" s="82"/>
      <c r="G167" s="82"/>
      <c r="H167" s="82"/>
      <c r="I167" s="83"/>
      <c r="J167" s="82"/>
      <c r="K167" s="82"/>
      <c r="L167" s="82"/>
      <c r="M167" s="83"/>
      <c r="N167" s="82"/>
      <c r="O167" s="82"/>
      <c r="P167" s="82"/>
      <c r="Q167" s="83"/>
      <c r="R167" s="82">
        <v>5000</v>
      </c>
      <c r="S167" s="82"/>
      <c r="T167" s="82"/>
      <c r="U167" s="83">
        <f t="shared" si="25"/>
        <v>5000</v>
      </c>
      <c r="V167" s="82">
        <v>5000</v>
      </c>
      <c r="W167" s="82"/>
      <c r="X167" s="82"/>
      <c r="Y167" s="83">
        <f t="shared" si="24"/>
        <v>5000</v>
      </c>
      <c r="Z167" s="82">
        <v>5000</v>
      </c>
      <c r="AA167" s="82">
        <f>VLOOKUP(C167,'[1]2018.06中力提成汇总'!$B:$N,13,0)</f>
        <v>0</v>
      </c>
      <c r="AB167" s="82"/>
      <c r="AC167" s="83">
        <f t="shared" si="39"/>
        <v>5000</v>
      </c>
      <c r="AD167" s="219">
        <f>IFERROR(VLOOKUP(C167,'[2]7月集团工资汇总表'!C:AD,28,0),0)</f>
        <v>5612.8993548387098</v>
      </c>
      <c r="AE167" s="219"/>
      <c r="AF167" s="219"/>
      <c r="AG167" s="246">
        <f t="shared" si="34"/>
        <v>5612.8993548387098</v>
      </c>
      <c r="AH167" s="219">
        <v>6000</v>
      </c>
      <c r="AI167" s="82"/>
      <c r="AJ167" s="82"/>
      <c r="AK167" s="246">
        <f t="shared" si="26"/>
        <v>6000</v>
      </c>
      <c r="AL167" s="82"/>
      <c r="AM167" s="82"/>
      <c r="AN167" s="82"/>
      <c r="AO167" s="83"/>
      <c r="AP167" s="82"/>
      <c r="AQ167" s="82"/>
      <c r="AR167" s="82"/>
      <c r="AS167" s="83"/>
      <c r="AT167" s="82"/>
      <c r="AU167" s="82"/>
      <c r="AV167" s="82"/>
      <c r="AW167" s="84"/>
      <c r="AX167" s="85"/>
      <c r="AY167" s="85"/>
      <c r="AZ167" s="85"/>
      <c r="BA167" s="84"/>
      <c r="BB167" s="86">
        <f t="shared" si="35"/>
        <v>26612.899354838708</v>
      </c>
      <c r="BC167" s="86">
        <f t="shared" si="36"/>
        <v>0</v>
      </c>
      <c r="BD167" s="86">
        <f t="shared" si="37"/>
        <v>0</v>
      </c>
      <c r="BE167" s="87">
        <f t="shared" si="38"/>
        <v>26612.899354838708</v>
      </c>
    </row>
    <row r="168" spans="1:57" ht="22.5" customHeight="1">
      <c r="A168" s="3">
        <v>165</v>
      </c>
      <c r="B168" s="34" t="s">
        <v>328</v>
      </c>
      <c r="C168" s="3" t="s">
        <v>331</v>
      </c>
      <c r="D168" s="18">
        <v>43224</v>
      </c>
      <c r="E168" s="17">
        <v>5000</v>
      </c>
      <c r="F168" s="82"/>
      <c r="G168" s="82"/>
      <c r="H168" s="82"/>
      <c r="I168" s="83"/>
      <c r="J168" s="82"/>
      <c r="K168" s="82"/>
      <c r="L168" s="82"/>
      <c r="M168" s="83"/>
      <c r="N168" s="82"/>
      <c r="O168" s="82"/>
      <c r="P168" s="82"/>
      <c r="Q168" s="83"/>
      <c r="R168" s="82"/>
      <c r="S168" s="82"/>
      <c r="T168" s="82"/>
      <c r="U168" s="83"/>
      <c r="V168" s="82">
        <v>4516.13</v>
      </c>
      <c r="W168" s="82"/>
      <c r="X168" s="82"/>
      <c r="Y168" s="83">
        <f t="shared" si="24"/>
        <v>4516.13</v>
      </c>
      <c r="Z168" s="82">
        <v>5000</v>
      </c>
      <c r="AA168" s="82">
        <f>VLOOKUP(C168,'[1]2018.06中力提成汇总'!$B:$N,13,0)</f>
        <v>0</v>
      </c>
      <c r="AB168" s="82"/>
      <c r="AC168" s="83">
        <f t="shared" si="39"/>
        <v>5000</v>
      </c>
      <c r="AD168" s="219">
        <f>IFERROR(VLOOKUP(C168,'[2]7月集团工资汇总表'!C:AD,28,0),0)</f>
        <v>5000</v>
      </c>
      <c r="AE168" s="219"/>
      <c r="AF168" s="219"/>
      <c r="AG168" s="246">
        <f t="shared" si="34"/>
        <v>5000</v>
      </c>
      <c r="AH168" s="219">
        <v>8000</v>
      </c>
      <c r="AI168" s="82"/>
      <c r="AJ168" s="82"/>
      <c r="AK168" s="246">
        <f t="shared" si="26"/>
        <v>8000</v>
      </c>
      <c r="AL168" s="82"/>
      <c r="AM168" s="82"/>
      <c r="AN168" s="82"/>
      <c r="AO168" s="83"/>
      <c r="AP168" s="82"/>
      <c r="AQ168" s="82"/>
      <c r="AR168" s="82"/>
      <c r="AS168" s="83"/>
      <c r="AT168" s="82"/>
      <c r="AU168" s="82"/>
      <c r="AV168" s="82"/>
      <c r="AW168" s="84"/>
      <c r="AX168" s="85"/>
      <c r="AY168" s="85"/>
      <c r="AZ168" s="85"/>
      <c r="BA168" s="84"/>
      <c r="BB168" s="86">
        <f t="shared" si="35"/>
        <v>22516.13</v>
      </c>
      <c r="BC168" s="86">
        <f t="shared" si="36"/>
        <v>0</v>
      </c>
      <c r="BD168" s="86">
        <f t="shared" si="37"/>
        <v>0</v>
      </c>
      <c r="BE168" s="87">
        <f t="shared" si="38"/>
        <v>22516.13</v>
      </c>
    </row>
    <row r="169" spans="1:57" ht="22.5" customHeight="1">
      <c r="A169" s="3">
        <v>166</v>
      </c>
      <c r="B169" s="34" t="s">
        <v>332</v>
      </c>
      <c r="C169" s="3" t="s">
        <v>333</v>
      </c>
      <c r="D169" s="18">
        <v>43222</v>
      </c>
      <c r="E169" s="17">
        <v>6000</v>
      </c>
      <c r="F169" s="82"/>
      <c r="G169" s="82"/>
      <c r="H169" s="82"/>
      <c r="I169" s="83"/>
      <c r="J169" s="82"/>
      <c r="K169" s="82"/>
      <c r="L169" s="82"/>
      <c r="M169" s="83"/>
      <c r="N169" s="82"/>
      <c r="O169" s="82"/>
      <c r="P169" s="82"/>
      <c r="Q169" s="83"/>
      <c r="R169" s="82"/>
      <c r="S169" s="82"/>
      <c r="T169" s="82"/>
      <c r="U169" s="83"/>
      <c r="V169" s="82">
        <v>6000</v>
      </c>
      <c r="W169" s="82"/>
      <c r="X169" s="82"/>
      <c r="Y169" s="83">
        <f t="shared" si="24"/>
        <v>6000</v>
      </c>
      <c r="Z169" s="82">
        <v>6000</v>
      </c>
      <c r="AA169" s="82">
        <f>VLOOKUP(C169,'[1]2018.06中力提成汇总'!$B:$N,13,0)</f>
        <v>0</v>
      </c>
      <c r="AB169" s="82"/>
      <c r="AC169" s="83">
        <f t="shared" si="39"/>
        <v>6000</v>
      </c>
      <c r="AD169" s="219">
        <f>IFERROR(VLOOKUP(C169,'[2]7月集团工资汇总表'!C:AD,28,0),0)</f>
        <v>6000</v>
      </c>
      <c r="AE169" s="219"/>
      <c r="AF169" s="219"/>
      <c r="AG169" s="246">
        <f t="shared" si="34"/>
        <v>6000</v>
      </c>
      <c r="AH169" s="219">
        <v>6000</v>
      </c>
      <c r="AI169" s="82"/>
      <c r="AJ169" s="82"/>
      <c r="AK169" s="246">
        <f t="shared" si="26"/>
        <v>6000</v>
      </c>
      <c r="AL169" s="82"/>
      <c r="AM169" s="82"/>
      <c r="AN169" s="82"/>
      <c r="AO169" s="83"/>
      <c r="AP169" s="82"/>
      <c r="AQ169" s="82"/>
      <c r="AR169" s="82"/>
      <c r="AS169" s="83"/>
      <c r="AT169" s="82"/>
      <c r="AU169" s="82"/>
      <c r="AV169" s="82"/>
      <c r="AW169" s="84"/>
      <c r="AX169" s="85"/>
      <c r="AY169" s="85"/>
      <c r="AZ169" s="85"/>
      <c r="BA169" s="84"/>
      <c r="BB169" s="86">
        <f t="shared" si="35"/>
        <v>24000</v>
      </c>
      <c r="BC169" s="86">
        <f t="shared" si="36"/>
        <v>0</v>
      </c>
      <c r="BD169" s="86">
        <f t="shared" si="37"/>
        <v>0</v>
      </c>
      <c r="BE169" s="87">
        <f t="shared" si="38"/>
        <v>24000</v>
      </c>
    </row>
    <row r="170" spans="1:57" ht="22.5" customHeight="1">
      <c r="A170" s="3">
        <v>167</v>
      </c>
      <c r="B170" s="34" t="s">
        <v>332</v>
      </c>
      <c r="C170" s="3" t="s">
        <v>334</v>
      </c>
      <c r="D170" s="18">
        <v>43222</v>
      </c>
      <c r="E170" s="17">
        <v>6000</v>
      </c>
      <c r="F170" s="82"/>
      <c r="G170" s="82"/>
      <c r="H170" s="82"/>
      <c r="I170" s="83"/>
      <c r="J170" s="82"/>
      <c r="K170" s="82"/>
      <c r="L170" s="82"/>
      <c r="M170" s="83"/>
      <c r="N170" s="82"/>
      <c r="O170" s="82"/>
      <c r="P170" s="82"/>
      <c r="Q170" s="83"/>
      <c r="R170" s="82"/>
      <c r="S170" s="82"/>
      <c r="T170" s="82"/>
      <c r="U170" s="83"/>
      <c r="V170" s="82">
        <v>6000</v>
      </c>
      <c r="W170" s="82"/>
      <c r="X170" s="82"/>
      <c r="Y170" s="83">
        <f t="shared" si="24"/>
        <v>6000</v>
      </c>
      <c r="Z170" s="82">
        <v>6000</v>
      </c>
      <c r="AA170" s="82">
        <f>VLOOKUP(C170,'[1]2018.06中力提成汇总'!$B:$N,13,0)</f>
        <v>0</v>
      </c>
      <c r="AB170" s="82"/>
      <c r="AC170" s="83">
        <f t="shared" si="39"/>
        <v>6000</v>
      </c>
      <c r="AD170" s="219">
        <f>IFERROR(VLOOKUP(C170,'[2]7月集团工资汇总表'!C:AD,28,0),0)</f>
        <v>6000</v>
      </c>
      <c r="AE170" s="219"/>
      <c r="AF170" s="219"/>
      <c r="AG170" s="246">
        <f t="shared" si="34"/>
        <v>6000</v>
      </c>
      <c r="AH170" s="219">
        <v>8000</v>
      </c>
      <c r="AI170" s="82"/>
      <c r="AJ170" s="82"/>
      <c r="AK170" s="246">
        <f t="shared" si="26"/>
        <v>8000</v>
      </c>
      <c r="AL170" s="82"/>
      <c r="AM170" s="82"/>
      <c r="AN170" s="82"/>
      <c r="AO170" s="83"/>
      <c r="AP170" s="82"/>
      <c r="AQ170" s="82"/>
      <c r="AR170" s="82"/>
      <c r="AS170" s="83"/>
      <c r="AT170" s="82"/>
      <c r="AU170" s="82"/>
      <c r="AV170" s="82"/>
      <c r="AW170" s="84"/>
      <c r="AX170" s="85"/>
      <c r="AY170" s="85"/>
      <c r="AZ170" s="85"/>
      <c r="BA170" s="84"/>
      <c r="BB170" s="86">
        <f t="shared" si="35"/>
        <v>26000</v>
      </c>
      <c r="BC170" s="86">
        <f t="shared" si="36"/>
        <v>0</v>
      </c>
      <c r="BD170" s="86">
        <f t="shared" si="37"/>
        <v>0</v>
      </c>
      <c r="BE170" s="87">
        <f t="shared" si="38"/>
        <v>26000</v>
      </c>
    </row>
    <row r="171" spans="1:57" ht="22.5" customHeight="1">
      <c r="A171" s="3">
        <v>168</v>
      </c>
      <c r="B171" s="34" t="s">
        <v>332</v>
      </c>
      <c r="C171" s="3" t="s">
        <v>335</v>
      </c>
      <c r="D171" s="18">
        <v>43262</v>
      </c>
      <c r="E171" s="17">
        <v>4500</v>
      </c>
      <c r="F171" s="82"/>
      <c r="G171" s="82"/>
      <c r="H171" s="82"/>
      <c r="I171" s="83"/>
      <c r="J171" s="82"/>
      <c r="K171" s="82"/>
      <c r="L171" s="82"/>
      <c r="M171" s="83"/>
      <c r="N171" s="82"/>
      <c r="O171" s="82"/>
      <c r="P171" s="82"/>
      <c r="Q171" s="83"/>
      <c r="R171" s="82"/>
      <c r="S171" s="82"/>
      <c r="T171" s="82"/>
      <c r="U171" s="83"/>
      <c r="V171" s="82"/>
      <c r="W171" s="82"/>
      <c r="X171" s="82"/>
      <c r="Y171" s="83"/>
      <c r="Z171" s="82">
        <v>2666.66</v>
      </c>
      <c r="AA171" s="82">
        <f>VLOOKUP(C171,'[1]2018.06中力提成汇总'!$B:$N,13,0)</f>
        <v>0</v>
      </c>
      <c r="AB171" s="82"/>
      <c r="AC171" s="83">
        <f t="shared" si="39"/>
        <v>2666.66</v>
      </c>
      <c r="AD171" s="219">
        <f>IFERROR(VLOOKUP(C171,'[2]7月集团工资汇总表'!C:AD,28,0),0)</f>
        <v>5000</v>
      </c>
      <c r="AE171" s="219"/>
      <c r="AF171" s="219"/>
      <c r="AG171" s="246">
        <f t="shared" si="34"/>
        <v>5000</v>
      </c>
      <c r="AH171" s="219">
        <v>4500</v>
      </c>
      <c r="AI171" s="82"/>
      <c r="AJ171" s="82"/>
      <c r="AK171" s="246">
        <f t="shared" si="26"/>
        <v>4500</v>
      </c>
      <c r="AL171" s="82"/>
      <c r="AM171" s="82"/>
      <c r="AN171" s="82"/>
      <c r="AO171" s="83"/>
      <c r="AP171" s="82"/>
      <c r="AQ171" s="82"/>
      <c r="AR171" s="82"/>
      <c r="AS171" s="83"/>
      <c r="AT171" s="82"/>
      <c r="AU171" s="82"/>
      <c r="AV171" s="82"/>
      <c r="AW171" s="84"/>
      <c r="AX171" s="85"/>
      <c r="AY171" s="85"/>
      <c r="AZ171" s="85"/>
      <c r="BA171" s="84"/>
      <c r="BB171" s="86">
        <f t="shared" si="35"/>
        <v>12166.66</v>
      </c>
      <c r="BC171" s="86">
        <f t="shared" si="36"/>
        <v>0</v>
      </c>
      <c r="BD171" s="86">
        <f t="shared" si="37"/>
        <v>0</v>
      </c>
      <c r="BE171" s="87">
        <f t="shared" si="38"/>
        <v>12166.66</v>
      </c>
    </row>
    <row r="172" spans="1:57" ht="22.5" customHeight="1">
      <c r="A172" s="3">
        <v>169</v>
      </c>
      <c r="B172" s="34" t="s">
        <v>332</v>
      </c>
      <c r="C172" s="3" t="s">
        <v>336</v>
      </c>
      <c r="D172" s="18">
        <v>43262</v>
      </c>
      <c r="E172" s="17">
        <v>4500</v>
      </c>
      <c r="F172" s="82"/>
      <c r="G172" s="82"/>
      <c r="H172" s="82"/>
      <c r="I172" s="83"/>
      <c r="J172" s="82"/>
      <c r="K172" s="82"/>
      <c r="L172" s="82"/>
      <c r="M172" s="83"/>
      <c r="N172" s="82"/>
      <c r="O172" s="82"/>
      <c r="P172" s="82"/>
      <c r="Q172" s="83"/>
      <c r="R172" s="82"/>
      <c r="S172" s="82"/>
      <c r="T172" s="82"/>
      <c r="U172" s="83"/>
      <c r="V172" s="82"/>
      <c r="W172" s="82"/>
      <c r="X172" s="82"/>
      <c r="Y172" s="83"/>
      <c r="Z172" s="82">
        <v>3000</v>
      </c>
      <c r="AA172" s="82">
        <f>VLOOKUP(C172,'[1]2018.06中力提成汇总'!$B:$N,13,0)</f>
        <v>0</v>
      </c>
      <c r="AB172" s="82"/>
      <c r="AC172" s="83">
        <f t="shared" si="39"/>
        <v>3000</v>
      </c>
      <c r="AD172" s="219">
        <f>IFERROR(VLOOKUP(C172,'[2]7月集团工资汇总表'!C:AD,28,0),0)</f>
        <v>4500</v>
      </c>
      <c r="AE172" s="219"/>
      <c r="AF172" s="219"/>
      <c r="AG172" s="246">
        <f t="shared" si="34"/>
        <v>4500</v>
      </c>
      <c r="AH172" s="219">
        <v>4500</v>
      </c>
      <c r="AI172" s="82"/>
      <c r="AJ172" s="82"/>
      <c r="AK172" s="246">
        <f t="shared" si="26"/>
        <v>4500</v>
      </c>
      <c r="AL172" s="82"/>
      <c r="AM172" s="82"/>
      <c r="AN172" s="82"/>
      <c r="AO172" s="83"/>
      <c r="AP172" s="82"/>
      <c r="AQ172" s="82"/>
      <c r="AR172" s="82"/>
      <c r="AS172" s="83"/>
      <c r="AT172" s="82"/>
      <c r="AU172" s="82"/>
      <c r="AV172" s="82"/>
      <c r="AW172" s="84"/>
      <c r="AX172" s="85"/>
      <c r="AY172" s="85"/>
      <c r="AZ172" s="85"/>
      <c r="BA172" s="84"/>
      <c r="BB172" s="86">
        <f t="shared" si="35"/>
        <v>12000</v>
      </c>
      <c r="BC172" s="86">
        <f t="shared" si="36"/>
        <v>0</v>
      </c>
      <c r="BD172" s="86">
        <f t="shared" si="37"/>
        <v>0</v>
      </c>
      <c r="BE172" s="87">
        <f t="shared" si="38"/>
        <v>12000</v>
      </c>
    </row>
    <row r="173" spans="1:57" ht="22.5" customHeight="1">
      <c r="A173" s="3">
        <v>170</v>
      </c>
      <c r="B173" s="34" t="s">
        <v>328</v>
      </c>
      <c r="C173" s="3" t="s">
        <v>727</v>
      </c>
      <c r="D173" s="18">
        <v>43307</v>
      </c>
      <c r="E173" s="17">
        <v>12000</v>
      </c>
      <c r="F173" s="82"/>
      <c r="G173" s="82"/>
      <c r="H173" s="82"/>
      <c r="I173" s="83"/>
      <c r="J173" s="82"/>
      <c r="K173" s="82"/>
      <c r="L173" s="82"/>
      <c r="M173" s="83"/>
      <c r="N173" s="82"/>
      <c r="O173" s="82"/>
      <c r="P173" s="82"/>
      <c r="Q173" s="83"/>
      <c r="R173" s="82"/>
      <c r="S173" s="82"/>
      <c r="T173" s="82"/>
      <c r="U173" s="83"/>
      <c r="V173" s="82"/>
      <c r="W173" s="82"/>
      <c r="X173" s="82"/>
      <c r="Y173" s="83"/>
      <c r="Z173" s="82"/>
      <c r="AA173" s="82"/>
      <c r="AB173" s="82"/>
      <c r="AC173" s="83"/>
      <c r="AD173" s="219">
        <f>IFERROR(VLOOKUP(C173,'[2]7月集团工资汇总表'!C:AD,28,0),0)</f>
        <v>2322.5838709677419</v>
      </c>
      <c r="AE173" s="219"/>
      <c r="AF173" s="219"/>
      <c r="AG173" s="246">
        <f t="shared" si="34"/>
        <v>2322.5838709677419</v>
      </c>
      <c r="AH173" s="219">
        <v>12000</v>
      </c>
      <c r="AI173" s="82"/>
      <c r="AJ173" s="82"/>
      <c r="AK173" s="246">
        <f t="shared" ref="AK173:AK176" si="40">SUM(AH173:AJ173)</f>
        <v>12000</v>
      </c>
      <c r="AL173" s="82"/>
      <c r="AM173" s="82"/>
      <c r="AN173" s="82"/>
      <c r="AO173" s="83"/>
      <c r="AP173" s="82"/>
      <c r="AQ173" s="82"/>
      <c r="AR173" s="82"/>
      <c r="AS173" s="83"/>
      <c r="AT173" s="82"/>
      <c r="AU173" s="82"/>
      <c r="AV173" s="82"/>
      <c r="AW173" s="84"/>
      <c r="AX173" s="85"/>
      <c r="AY173" s="85"/>
      <c r="AZ173" s="85"/>
      <c r="BA173" s="84"/>
      <c r="BB173" s="86">
        <f t="shared" si="35"/>
        <v>14322.583870967741</v>
      </c>
      <c r="BC173" s="86">
        <f t="shared" si="36"/>
        <v>0</v>
      </c>
      <c r="BD173" s="86">
        <f t="shared" si="37"/>
        <v>0</v>
      </c>
      <c r="BE173" s="87">
        <f t="shared" si="38"/>
        <v>14322.583870967741</v>
      </c>
    </row>
    <row r="174" spans="1:57" ht="22.5" customHeight="1">
      <c r="A174" s="3">
        <v>171</v>
      </c>
      <c r="B174" s="34" t="s">
        <v>332</v>
      </c>
      <c r="C174" s="3" t="s">
        <v>725</v>
      </c>
      <c r="D174" s="18">
        <v>43293</v>
      </c>
      <c r="E174" s="17">
        <v>15000</v>
      </c>
      <c r="F174" s="82"/>
      <c r="G174" s="82"/>
      <c r="H174" s="82"/>
      <c r="I174" s="83"/>
      <c r="J174" s="82"/>
      <c r="K174" s="82"/>
      <c r="L174" s="82"/>
      <c r="M174" s="83"/>
      <c r="N174" s="82"/>
      <c r="O174" s="82"/>
      <c r="P174" s="82"/>
      <c r="Q174" s="83"/>
      <c r="R174" s="82"/>
      <c r="S174" s="82"/>
      <c r="T174" s="82"/>
      <c r="U174" s="83"/>
      <c r="V174" s="82"/>
      <c r="W174" s="82"/>
      <c r="X174" s="82"/>
      <c r="Y174" s="83"/>
      <c r="Z174" s="82"/>
      <c r="AA174" s="82"/>
      <c r="AB174" s="82"/>
      <c r="AC174" s="83"/>
      <c r="AD174" s="219">
        <f>IFERROR(VLOOKUP(C174,'[2]7月集团工资汇总表'!C:AD,28,0),0)</f>
        <v>9677.4154838709674</v>
      </c>
      <c r="AE174" s="219"/>
      <c r="AF174" s="219"/>
      <c r="AG174" s="246">
        <f t="shared" si="34"/>
        <v>9677.4154838709674</v>
      </c>
      <c r="AH174" s="219">
        <v>15000</v>
      </c>
      <c r="AI174" s="82"/>
      <c r="AJ174" s="82"/>
      <c r="AK174" s="246">
        <f t="shared" si="40"/>
        <v>15000</v>
      </c>
      <c r="AL174" s="82"/>
      <c r="AM174" s="82"/>
      <c r="AN174" s="82"/>
      <c r="AO174" s="83"/>
      <c r="AP174" s="82"/>
      <c r="AQ174" s="82"/>
      <c r="AR174" s="82"/>
      <c r="AS174" s="83"/>
      <c r="AT174" s="82"/>
      <c r="AU174" s="82"/>
      <c r="AV174" s="82"/>
      <c r="AW174" s="84"/>
      <c r="AX174" s="85"/>
      <c r="AY174" s="85"/>
      <c r="AZ174" s="85"/>
      <c r="BA174" s="84"/>
      <c r="BB174" s="86">
        <f t="shared" si="35"/>
        <v>24677.415483870966</v>
      </c>
      <c r="BC174" s="86">
        <f t="shared" si="36"/>
        <v>0</v>
      </c>
      <c r="BD174" s="86">
        <f t="shared" si="37"/>
        <v>0</v>
      </c>
      <c r="BE174" s="87">
        <f t="shared" si="38"/>
        <v>24677.415483870966</v>
      </c>
    </row>
    <row r="175" spans="1:57" ht="22.5" customHeight="1">
      <c r="A175" s="3">
        <v>171</v>
      </c>
      <c r="B175" s="34" t="s">
        <v>332</v>
      </c>
      <c r="C175" s="202" t="s">
        <v>1011</v>
      </c>
      <c r="D175" s="203">
        <v>43314</v>
      </c>
      <c r="E175" s="204">
        <v>5000</v>
      </c>
      <c r="F175" s="205"/>
      <c r="G175" s="205"/>
      <c r="H175" s="205"/>
      <c r="I175" s="206"/>
      <c r="J175" s="205"/>
      <c r="K175" s="205"/>
      <c r="L175" s="205"/>
      <c r="M175" s="206"/>
      <c r="N175" s="205"/>
      <c r="O175" s="205"/>
      <c r="P175" s="205"/>
      <c r="Q175" s="206"/>
      <c r="R175" s="205"/>
      <c r="S175" s="205"/>
      <c r="T175" s="205"/>
      <c r="U175" s="206"/>
      <c r="V175" s="205"/>
      <c r="W175" s="205"/>
      <c r="X175" s="205"/>
      <c r="Y175" s="206"/>
      <c r="Z175" s="205"/>
      <c r="AA175" s="205"/>
      <c r="AB175" s="205"/>
      <c r="AC175" s="206"/>
      <c r="AD175" s="219">
        <f>IFERROR(VLOOKUP(C175,'[2]7月集团工资汇总表'!C:AD,28,0),0)</f>
        <v>0</v>
      </c>
      <c r="AE175" s="221"/>
      <c r="AF175" s="221"/>
      <c r="AG175" s="250"/>
      <c r="AH175" s="221">
        <v>1290.32</v>
      </c>
      <c r="AI175" s="205"/>
      <c r="AJ175" s="205"/>
      <c r="AK175" s="246">
        <f t="shared" si="40"/>
        <v>1290.32</v>
      </c>
      <c r="AL175" s="205"/>
      <c r="AM175" s="205"/>
      <c r="AN175" s="205"/>
      <c r="AO175" s="206"/>
      <c r="AP175" s="205"/>
      <c r="AQ175" s="205"/>
      <c r="AR175" s="205"/>
      <c r="AS175" s="206"/>
      <c r="AT175" s="205"/>
      <c r="AU175" s="205"/>
      <c r="AV175" s="205"/>
      <c r="AW175" s="207"/>
      <c r="AX175" s="208"/>
      <c r="AY175" s="208"/>
      <c r="AZ175" s="208"/>
      <c r="BA175" s="207"/>
      <c r="BB175" s="86">
        <f t="shared" si="35"/>
        <v>1290.32</v>
      </c>
      <c r="BC175" s="209"/>
      <c r="BD175" s="209"/>
      <c r="BE175" s="210"/>
    </row>
    <row r="176" spans="1:57" ht="22.5" customHeight="1">
      <c r="A176" s="3">
        <v>171</v>
      </c>
      <c r="B176" s="34" t="s">
        <v>332</v>
      </c>
      <c r="C176" s="202" t="s">
        <v>1012</v>
      </c>
      <c r="D176" s="203">
        <v>43339</v>
      </c>
      <c r="E176" s="204">
        <v>5000</v>
      </c>
      <c r="F176" s="205"/>
      <c r="G176" s="205"/>
      <c r="H176" s="205"/>
      <c r="I176" s="206"/>
      <c r="J176" s="205"/>
      <c r="K176" s="205"/>
      <c r="L176" s="205"/>
      <c r="M176" s="206"/>
      <c r="N176" s="205"/>
      <c r="O176" s="205"/>
      <c r="P176" s="205"/>
      <c r="Q176" s="206"/>
      <c r="R176" s="205"/>
      <c r="S176" s="205"/>
      <c r="T176" s="205"/>
      <c r="U176" s="206"/>
      <c r="V176" s="205"/>
      <c r="W176" s="205"/>
      <c r="X176" s="205"/>
      <c r="Y176" s="206"/>
      <c r="Z176" s="205"/>
      <c r="AA176" s="205"/>
      <c r="AB176" s="205"/>
      <c r="AC176" s="206"/>
      <c r="AD176" s="219">
        <f>IFERROR(VLOOKUP(C176,'[2]7月集团工资汇总表'!C:AD,28,0),0)</f>
        <v>0</v>
      </c>
      <c r="AE176" s="221"/>
      <c r="AF176" s="221"/>
      <c r="AG176" s="250"/>
      <c r="AH176" s="221">
        <v>806.46</v>
      </c>
      <c r="AI176" s="205"/>
      <c r="AJ176" s="205"/>
      <c r="AK176" s="246">
        <f t="shared" si="40"/>
        <v>806.46</v>
      </c>
      <c r="AL176" s="205"/>
      <c r="AM176" s="205"/>
      <c r="AN176" s="205"/>
      <c r="AO176" s="206"/>
      <c r="AP176" s="205"/>
      <c r="AQ176" s="205"/>
      <c r="AR176" s="205"/>
      <c r="AS176" s="206"/>
      <c r="AT176" s="205"/>
      <c r="AU176" s="205"/>
      <c r="AV176" s="205"/>
      <c r="AW176" s="207"/>
      <c r="AX176" s="208"/>
      <c r="AY176" s="208"/>
      <c r="AZ176" s="208"/>
      <c r="BA176" s="207"/>
      <c r="BB176" s="86">
        <f t="shared" si="35"/>
        <v>806.46</v>
      </c>
      <c r="BC176" s="209"/>
      <c r="BD176" s="209"/>
      <c r="BE176" s="210"/>
    </row>
    <row r="177" spans="1:57" ht="22.5" customHeight="1">
      <c r="A177" s="37"/>
      <c r="B177" s="37"/>
      <c r="C177" s="37"/>
      <c r="D177" s="38" t="s">
        <v>337</v>
      </c>
      <c r="E177" s="8">
        <f>SUM(E4:E176)</f>
        <v>1644000</v>
      </c>
      <c r="F177" s="76">
        <f>SUM(F4:F156)</f>
        <v>823165.96451612911</v>
      </c>
      <c r="G177" s="76">
        <f t="shared" ref="G177:Q177" si="41">SUM(G4:G156)</f>
        <v>1249717.7999999998</v>
      </c>
      <c r="H177" s="76">
        <f t="shared" si="41"/>
        <v>0</v>
      </c>
      <c r="I177" s="76">
        <f t="shared" si="41"/>
        <v>2019916.0264516119</v>
      </c>
      <c r="J177" s="76">
        <f t="shared" si="41"/>
        <v>837716.06999999972</v>
      </c>
      <c r="K177" s="76">
        <f t="shared" si="41"/>
        <v>88106.6</v>
      </c>
      <c r="L177" s="76">
        <f t="shared" si="41"/>
        <v>4000</v>
      </c>
      <c r="M177" s="76">
        <f t="shared" si="41"/>
        <v>929822.66999999981</v>
      </c>
      <c r="N177" s="76">
        <f t="shared" si="41"/>
        <v>933698.15474654397</v>
      </c>
      <c r="O177" s="76">
        <f>SUM(O4:O167)</f>
        <v>302052.59999999998</v>
      </c>
      <c r="P177" s="76">
        <f t="shared" si="41"/>
        <v>1800</v>
      </c>
      <c r="Q177" s="76">
        <f t="shared" si="41"/>
        <v>1237550.7547465439</v>
      </c>
      <c r="R177" s="77">
        <f>SUM(R4:R167)</f>
        <v>1066143.72</v>
      </c>
      <c r="S177" s="76">
        <f>SUM(S4:S167)</f>
        <v>771466.52000000037</v>
      </c>
      <c r="T177" s="76">
        <f>SUM(T4:T167)</f>
        <v>0</v>
      </c>
      <c r="U177" s="74">
        <f>SUM(U4:U167)</f>
        <v>1837610.24</v>
      </c>
      <c r="V177" s="77">
        <f>SUM(V4:V170)</f>
        <v>1109219.7499999998</v>
      </c>
      <c r="W177" s="77">
        <f>SUM(W4:W167)</f>
        <v>108755.19999999998</v>
      </c>
      <c r="X177" s="77">
        <f>SUM(X4:X167)</f>
        <v>0</v>
      </c>
      <c r="Y177" s="78">
        <f>SUM(Y4:Y170)</f>
        <v>1217974.95</v>
      </c>
      <c r="Z177" s="73">
        <f>SUM(Z4:Z172)</f>
        <v>1191993.55</v>
      </c>
      <c r="AA177" s="73">
        <f>SUM(AA4:AA167)</f>
        <v>994308.78</v>
      </c>
      <c r="AB177" s="75">
        <f>SUM(AB4:AB167)</f>
        <v>0</v>
      </c>
      <c r="AC177" s="74">
        <f>SUM(AC4:AC172)</f>
        <v>2181802.3299999991</v>
      </c>
      <c r="AD177" s="220">
        <f>SUM(AD4:AD174)</f>
        <v>1194217.0622580647</v>
      </c>
      <c r="AE177" s="227">
        <f t="shared" ref="AE177:AF177" si="42">SUM(AE4:AE174)</f>
        <v>138068</v>
      </c>
      <c r="AF177" s="227">
        <f t="shared" si="42"/>
        <v>0</v>
      </c>
      <c r="AG177" s="227">
        <f>SUM(AG4:AG176)</f>
        <v>1332285.0622580647</v>
      </c>
      <c r="AH177" s="220" t="e">
        <f>SUM(AH4:AH176)</f>
        <v>#REF!</v>
      </c>
      <c r="AI177" s="75">
        <f t="shared" ref="AI177:BA177" si="43">SUM(AI4:AI167)</f>
        <v>0</v>
      </c>
      <c r="AJ177" s="75">
        <f t="shared" si="43"/>
        <v>0</v>
      </c>
      <c r="AK177" s="227" t="e">
        <f>SUM(AK4:AK176)</f>
        <v>#REF!</v>
      </c>
      <c r="AL177" s="75">
        <f t="shared" si="43"/>
        <v>0</v>
      </c>
      <c r="AM177" s="75">
        <f t="shared" si="43"/>
        <v>0</v>
      </c>
      <c r="AN177" s="75">
        <f t="shared" si="43"/>
        <v>0</v>
      </c>
      <c r="AO177" s="74">
        <f t="shared" si="43"/>
        <v>0</v>
      </c>
      <c r="AP177" s="75">
        <f t="shared" si="43"/>
        <v>0</v>
      </c>
      <c r="AQ177" s="75">
        <f t="shared" si="43"/>
        <v>0</v>
      </c>
      <c r="AR177" s="75">
        <f t="shared" si="43"/>
        <v>0</v>
      </c>
      <c r="AS177" s="74">
        <f t="shared" si="43"/>
        <v>0</v>
      </c>
      <c r="AT177" s="75">
        <f t="shared" si="43"/>
        <v>0</v>
      </c>
      <c r="AU177" s="75">
        <f t="shared" si="43"/>
        <v>0</v>
      </c>
      <c r="AV177" s="75">
        <f t="shared" si="43"/>
        <v>0</v>
      </c>
      <c r="AW177" s="28">
        <f t="shared" si="43"/>
        <v>0</v>
      </c>
      <c r="AX177" s="29">
        <f t="shared" si="43"/>
        <v>0</v>
      </c>
      <c r="AY177" s="29">
        <f t="shared" si="43"/>
        <v>0</v>
      </c>
      <c r="AZ177" s="29">
        <f t="shared" si="43"/>
        <v>0</v>
      </c>
      <c r="BA177" s="28">
        <f t="shared" si="43"/>
        <v>0</v>
      </c>
      <c r="BB177" s="31" t="e">
        <f>SUM(BB4:BB176)</f>
        <v>#REF!</v>
      </c>
      <c r="BC177" s="31">
        <f t="shared" ref="BC177:BD177" si="44">SUM(BC4:BC174)</f>
        <v>3652475.4999999986</v>
      </c>
      <c r="BD177" s="31">
        <f t="shared" si="44"/>
        <v>5800</v>
      </c>
      <c r="BE177" s="31" t="e">
        <f>SUM(BE4:BE174)</f>
        <v>#REF!</v>
      </c>
    </row>
    <row r="178" spans="1:57" ht="22.5" customHeight="1">
      <c r="A178" s="276" t="s">
        <v>338</v>
      </c>
      <c r="B178" s="276"/>
      <c r="C178" s="276"/>
      <c r="D178" s="276"/>
      <c r="E178" s="39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4">
        <f>E177-AD177</f>
        <v>449782.93774193525</v>
      </c>
      <c r="AE178" s="4"/>
      <c r="AF178" s="4"/>
      <c r="AG178" s="4"/>
      <c r="AH178" s="4" t="e">
        <f>#REF!+知识科技工资!M112+#REF!+#REF!+#REF!+#REF!</f>
        <v>#REF!</v>
      </c>
      <c r="AI178" s="71"/>
      <c r="AJ178" s="71"/>
      <c r="AK178" s="4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27"/>
      <c r="AX178" s="27"/>
      <c r="AY178" s="27"/>
      <c r="AZ178" s="27"/>
      <c r="BA178" s="27"/>
      <c r="BB178" s="30"/>
      <c r="BC178" s="30"/>
      <c r="BD178" s="30"/>
      <c r="BE178" s="43"/>
    </row>
    <row r="179" spans="1:57" ht="22.5" customHeight="1">
      <c r="A179" s="5"/>
      <c r="B179" s="5"/>
      <c r="C179" s="5"/>
      <c r="D179" s="40"/>
      <c r="E179" s="4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 t="s">
        <v>339</v>
      </c>
      <c r="S179" s="71"/>
      <c r="T179" s="71"/>
      <c r="U179" s="71"/>
      <c r="V179" s="79"/>
      <c r="W179" s="79"/>
      <c r="X179" s="79"/>
      <c r="Y179" s="79"/>
      <c r="Z179" s="79"/>
      <c r="AA179" s="79"/>
      <c r="AB179" s="79"/>
      <c r="AC179" s="79"/>
      <c r="AD179" s="4" t="e">
        <f>#REF!+知识科技工资!M102+#REF!+#REF!+#REF!+#REF!</f>
        <v>#REF!</v>
      </c>
      <c r="AE179" s="4"/>
      <c r="AF179" s="4"/>
      <c r="AG179" s="4"/>
      <c r="AH179" s="4" t="e">
        <f>AH177-AH178</f>
        <v>#REF!</v>
      </c>
      <c r="AI179" s="71"/>
      <c r="AJ179" s="71"/>
      <c r="AK179" s="4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27"/>
      <c r="AX179" s="27"/>
      <c r="AY179" s="27"/>
      <c r="AZ179" s="27"/>
      <c r="BA179" s="27"/>
      <c r="BB179" s="30"/>
      <c r="BC179" s="30"/>
      <c r="BD179" s="30"/>
      <c r="BE179" s="32"/>
    </row>
    <row r="180" spans="1:57" ht="22.5" customHeight="1">
      <c r="A180" s="5"/>
      <c r="B180" s="5"/>
      <c r="C180" s="6" t="s">
        <v>340</v>
      </c>
      <c r="D180" s="41"/>
      <c r="E180" s="7"/>
      <c r="F180" s="79"/>
      <c r="G180" s="79"/>
      <c r="H180" s="79"/>
      <c r="I180" s="71"/>
      <c r="J180" s="79"/>
      <c r="K180" s="79"/>
      <c r="L180" s="79"/>
      <c r="M180" s="71"/>
      <c r="N180" s="79"/>
      <c r="O180" s="79"/>
      <c r="P180" s="79"/>
      <c r="Q180" s="71"/>
      <c r="R180" s="79"/>
      <c r="S180" s="79"/>
      <c r="T180" s="79"/>
      <c r="U180" s="71"/>
      <c r="V180" s="79"/>
      <c r="W180" s="80"/>
      <c r="X180" s="80"/>
      <c r="Y180" s="80"/>
      <c r="Z180" s="79"/>
      <c r="AA180" s="80"/>
      <c r="AB180" s="80"/>
      <c r="AC180" s="80"/>
      <c r="AD180" s="7" t="e">
        <f>AD177-AD179</f>
        <v>#REF!</v>
      </c>
      <c r="AE180" s="7"/>
      <c r="AF180" s="7"/>
      <c r="AG180" s="4"/>
      <c r="AH180" s="7"/>
      <c r="AI180" s="79"/>
      <c r="AJ180" s="79"/>
      <c r="AK180" s="4"/>
      <c r="AL180" s="79"/>
      <c r="AM180" s="79"/>
      <c r="AN180" s="79"/>
      <c r="AO180" s="71"/>
      <c r="AP180" s="79"/>
      <c r="AQ180" s="79"/>
      <c r="AR180" s="79"/>
      <c r="AS180" s="71"/>
      <c r="AT180" s="79"/>
      <c r="AU180" s="79"/>
      <c r="AV180" s="79"/>
      <c r="AW180" s="27"/>
      <c r="AX180" s="42"/>
      <c r="AY180" s="42"/>
      <c r="AZ180" s="42"/>
      <c r="BA180" s="27"/>
      <c r="BB180" s="30"/>
      <c r="BC180" s="30"/>
      <c r="BD180" s="30"/>
      <c r="BE180" s="32"/>
    </row>
  </sheetData>
  <autoFilter ref="A3:BE180"/>
  <mergeCells count="23">
    <mergeCell ref="AL2:AO2"/>
    <mergeCell ref="A1:G1"/>
    <mergeCell ref="F2:I2"/>
    <mergeCell ref="J2:M2"/>
    <mergeCell ref="N2:Q2"/>
    <mergeCell ref="R2:U2"/>
    <mergeCell ref="E2:E3"/>
    <mergeCell ref="V2:Y2"/>
    <mergeCell ref="Z2:AC2"/>
    <mergeCell ref="AD2:AG2"/>
    <mergeCell ref="AH2:AK2"/>
    <mergeCell ref="A178:D178"/>
    <mergeCell ref="A2:A3"/>
    <mergeCell ref="B2:B3"/>
    <mergeCell ref="C2:C3"/>
    <mergeCell ref="D2:D3"/>
    <mergeCell ref="BB2:BB3"/>
    <mergeCell ref="BC2:BC3"/>
    <mergeCell ref="BD2:BD3"/>
    <mergeCell ref="BE2:BE3"/>
    <mergeCell ref="AP2:AS2"/>
    <mergeCell ref="AT2:AW2"/>
    <mergeCell ref="AX2:BA2"/>
  </mergeCells>
  <phoneticPr fontId="17" type="noConversion"/>
  <conditionalFormatting sqref="C177:C1048576 C1:C172">
    <cfRule type="duplicateValues" dxfId="2" priority="3"/>
  </conditionalFormatting>
  <conditionalFormatting sqref="C173:C176">
    <cfRule type="duplicateValues" dxfId="1" priority="5"/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M1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22" sqref="G122"/>
    </sheetView>
  </sheetViews>
  <sheetFormatPr defaultRowHeight="13.5"/>
  <cols>
    <col min="3" max="3" width="15.625" bestFit="1" customWidth="1"/>
    <col min="4" max="4" width="11" style="102" customWidth="1"/>
    <col min="5" max="5" width="18.375" style="115" bestFit="1" customWidth="1"/>
    <col min="6" max="7" width="18.375" style="115" customWidth="1"/>
    <col min="8" max="8" width="20.5" style="115" bestFit="1" customWidth="1"/>
    <col min="9" max="12" width="14" style="115" bestFit="1" customWidth="1"/>
    <col min="13" max="13" width="16.125" style="115" bestFit="1" customWidth="1"/>
  </cols>
  <sheetData>
    <row r="1" spans="1:13" ht="35.450000000000003" customHeight="1">
      <c r="A1" s="291" t="s">
        <v>1010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</row>
    <row r="2" spans="1:13" ht="16.149999999999999" customHeight="1">
      <c r="A2" s="103" t="s">
        <v>729</v>
      </c>
      <c r="B2" s="104" t="s">
        <v>730</v>
      </c>
      <c r="C2" s="105" t="s">
        <v>731</v>
      </c>
      <c r="D2" s="99" t="s">
        <v>732</v>
      </c>
      <c r="E2" s="106" t="s">
        <v>733</v>
      </c>
      <c r="F2" s="243" t="s">
        <v>1019</v>
      </c>
      <c r="G2" s="243" t="s">
        <v>1020</v>
      </c>
      <c r="H2" s="106" t="s">
        <v>734</v>
      </c>
      <c r="I2" s="106" t="s">
        <v>735</v>
      </c>
      <c r="J2" s="106" t="s">
        <v>736</v>
      </c>
      <c r="K2" s="106" t="s">
        <v>737</v>
      </c>
      <c r="L2" s="107" t="s">
        <v>738</v>
      </c>
      <c r="M2" s="108" t="s">
        <v>739</v>
      </c>
    </row>
    <row r="3" spans="1:13" ht="16.149999999999999" customHeight="1">
      <c r="A3" s="46" t="s">
        <v>740</v>
      </c>
      <c r="B3" s="47" t="s">
        <v>218</v>
      </c>
      <c r="C3" s="48">
        <v>41883</v>
      </c>
      <c r="D3" s="100" t="s">
        <v>848</v>
      </c>
      <c r="E3" s="109">
        <v>28000</v>
      </c>
      <c r="F3" s="109">
        <f>IFERROR(VLOOKUP(B3,知识科技工资!C:O,13,0),0)</f>
        <v>1100</v>
      </c>
      <c r="G3" s="109">
        <f>IFERROR(VLOOKUP(B3,[3]知识科技工资!C:O,13,0),0)</f>
        <v>150</v>
      </c>
      <c r="H3" s="109">
        <f>F3-G3</f>
        <v>950</v>
      </c>
      <c r="I3" s="109"/>
      <c r="J3" s="109"/>
      <c r="K3" s="109"/>
      <c r="L3" s="110"/>
      <c r="M3" s="111">
        <f t="shared" ref="M3:M34" si="0">E3-H3-I3-J3-K3-L3</f>
        <v>27050</v>
      </c>
    </row>
    <row r="4" spans="1:13" ht="16.149999999999999" customHeight="1">
      <c r="A4" s="46" t="s">
        <v>740</v>
      </c>
      <c r="B4" s="47" t="s">
        <v>220</v>
      </c>
      <c r="C4" s="49">
        <v>41883</v>
      </c>
      <c r="D4" s="100" t="s">
        <v>848</v>
      </c>
      <c r="E4" s="109">
        <v>28000</v>
      </c>
      <c r="F4" s="109">
        <f>IFERROR(VLOOKUP(B4,知识科技工资!C:O,13,0),0)</f>
        <v>1100</v>
      </c>
      <c r="G4" s="109">
        <f>IFERROR(VLOOKUP(B4,[3]知识科技工资!C:O,13,0),0)</f>
        <v>150</v>
      </c>
      <c r="H4" s="109">
        <f>F4-G4</f>
        <v>950</v>
      </c>
      <c r="I4" s="109"/>
      <c r="J4" s="109"/>
      <c r="K4" s="109"/>
      <c r="L4" s="110"/>
      <c r="M4" s="111">
        <f t="shared" si="0"/>
        <v>27050</v>
      </c>
    </row>
    <row r="5" spans="1:13" ht="16.149999999999999" customHeight="1">
      <c r="A5" s="46" t="s">
        <v>740</v>
      </c>
      <c r="B5" s="47" t="s">
        <v>741</v>
      </c>
      <c r="C5" s="49">
        <v>41883</v>
      </c>
      <c r="D5" s="100" t="s">
        <v>848</v>
      </c>
      <c r="E5" s="109">
        <v>12000</v>
      </c>
      <c r="F5" s="109">
        <f>IFERROR(VLOOKUP(B5,知识科技工资!C:O,13,0),0)</f>
        <v>900</v>
      </c>
      <c r="G5" s="109">
        <f>IFERROR(VLOOKUP(B5,[3]知识科技工资!C:O,13,0),0)</f>
        <v>150</v>
      </c>
      <c r="H5" s="109">
        <f>F5-G5</f>
        <v>750</v>
      </c>
      <c r="I5" s="109"/>
      <c r="J5" s="109"/>
      <c r="K5" s="109"/>
      <c r="L5" s="110"/>
      <c r="M5" s="111">
        <f t="shared" si="0"/>
        <v>11250</v>
      </c>
    </row>
    <row r="6" spans="1:13" ht="16.149999999999999" hidden="1" customHeight="1">
      <c r="A6" s="46" t="s">
        <v>742</v>
      </c>
      <c r="B6" s="50" t="s">
        <v>743</v>
      </c>
      <c r="C6" s="49">
        <v>42125</v>
      </c>
      <c r="D6" s="100" t="s">
        <v>847</v>
      </c>
      <c r="E6" s="109"/>
      <c r="F6" s="109"/>
      <c r="G6" s="109"/>
      <c r="H6" s="109"/>
      <c r="I6" s="109"/>
      <c r="J6" s="109"/>
      <c r="K6" s="109"/>
      <c r="L6" s="110"/>
      <c r="M6" s="111">
        <f t="shared" si="0"/>
        <v>0</v>
      </c>
    </row>
    <row r="7" spans="1:13" ht="16.149999999999999" hidden="1" customHeight="1">
      <c r="A7" s="46" t="s">
        <v>744</v>
      </c>
      <c r="B7" s="47" t="s">
        <v>745</v>
      </c>
      <c r="C7" s="49">
        <v>43024</v>
      </c>
      <c r="D7" s="100" t="s">
        <v>847</v>
      </c>
      <c r="E7" s="109"/>
      <c r="F7" s="109"/>
      <c r="G7" s="109"/>
      <c r="H7" s="109"/>
      <c r="I7" s="109"/>
      <c r="J7" s="109"/>
      <c r="K7" s="109"/>
      <c r="L7" s="110"/>
      <c r="M7" s="111">
        <f t="shared" si="0"/>
        <v>0</v>
      </c>
    </row>
    <row r="8" spans="1:13" ht="16.149999999999999" hidden="1" customHeight="1">
      <c r="A8" s="46" t="s">
        <v>744</v>
      </c>
      <c r="B8" s="47" t="s">
        <v>746</v>
      </c>
      <c r="C8" s="49">
        <v>43046</v>
      </c>
      <c r="D8" s="100" t="s">
        <v>847</v>
      </c>
      <c r="E8" s="109"/>
      <c r="F8" s="109"/>
      <c r="G8" s="109"/>
      <c r="H8" s="109"/>
      <c r="I8" s="109"/>
      <c r="J8" s="109"/>
      <c r="K8" s="109"/>
      <c r="L8" s="110"/>
      <c r="M8" s="111">
        <f t="shared" si="0"/>
        <v>0</v>
      </c>
    </row>
    <row r="9" spans="1:13" ht="16.149999999999999" hidden="1" customHeight="1">
      <c r="A9" s="46" t="s">
        <v>744</v>
      </c>
      <c r="B9" s="50" t="s">
        <v>747</v>
      </c>
      <c r="C9" s="49">
        <v>43109</v>
      </c>
      <c r="D9" s="100" t="s">
        <v>847</v>
      </c>
      <c r="E9" s="109"/>
      <c r="F9" s="109"/>
      <c r="G9" s="109"/>
      <c r="H9" s="109"/>
      <c r="I9" s="109"/>
      <c r="J9" s="109"/>
      <c r="K9" s="109"/>
      <c r="L9" s="110"/>
      <c r="M9" s="111">
        <f t="shared" si="0"/>
        <v>0</v>
      </c>
    </row>
    <row r="10" spans="1:13" ht="16.149999999999999" hidden="1" customHeight="1">
      <c r="A10" s="46" t="s">
        <v>744</v>
      </c>
      <c r="B10" s="47" t="s">
        <v>748</v>
      </c>
      <c r="C10" s="49">
        <v>43160</v>
      </c>
      <c r="D10" s="100" t="s">
        <v>847</v>
      </c>
      <c r="E10" s="109"/>
      <c r="F10" s="109"/>
      <c r="G10" s="109"/>
      <c r="H10" s="109"/>
      <c r="I10" s="109"/>
      <c r="J10" s="109"/>
      <c r="K10" s="109"/>
      <c r="L10" s="110"/>
      <c r="M10" s="111">
        <f t="shared" si="0"/>
        <v>0</v>
      </c>
    </row>
    <row r="11" spans="1:13" ht="16.149999999999999" hidden="1" customHeight="1">
      <c r="A11" s="46" t="s">
        <v>744</v>
      </c>
      <c r="B11" s="47" t="s">
        <v>749</v>
      </c>
      <c r="C11" s="49">
        <v>43193</v>
      </c>
      <c r="D11" s="100" t="s">
        <v>847</v>
      </c>
      <c r="E11" s="109"/>
      <c r="F11" s="109"/>
      <c r="G11" s="109"/>
      <c r="H11" s="109"/>
      <c r="I11" s="109"/>
      <c r="J11" s="109"/>
      <c r="K11" s="109"/>
      <c r="L11" s="110"/>
      <c r="M11" s="111">
        <f t="shared" si="0"/>
        <v>0</v>
      </c>
    </row>
    <row r="12" spans="1:13" ht="16.149999999999999" customHeight="1">
      <c r="A12" s="46" t="s">
        <v>750</v>
      </c>
      <c r="B12" s="47" t="s">
        <v>751</v>
      </c>
      <c r="C12" s="49">
        <v>43154</v>
      </c>
      <c r="D12" s="100" t="s">
        <v>847</v>
      </c>
      <c r="E12" s="109">
        <f>30000-18000</f>
        <v>12000</v>
      </c>
      <c r="F12" s="109">
        <f>IFERROR(VLOOKUP(B12,知识科技工资!C:O,13,0),0)</f>
        <v>0</v>
      </c>
      <c r="G12" s="109">
        <f>IFERROR(VLOOKUP(B12,[3]知识科技工资!C:O,13,0),0)</f>
        <v>110</v>
      </c>
      <c r="H12" s="109">
        <f>F12-G12</f>
        <v>-110</v>
      </c>
      <c r="I12" s="109"/>
      <c r="J12" s="109"/>
      <c r="K12" s="109"/>
      <c r="L12" s="110"/>
      <c r="M12" s="111">
        <f t="shared" si="0"/>
        <v>12110</v>
      </c>
    </row>
    <row r="13" spans="1:13" ht="16.149999999999999" hidden="1" customHeight="1">
      <c r="A13" s="46" t="s">
        <v>750</v>
      </c>
      <c r="B13" s="47" t="s">
        <v>752</v>
      </c>
      <c r="C13" s="49">
        <v>43168</v>
      </c>
      <c r="D13" s="100" t="s">
        <v>847</v>
      </c>
      <c r="E13" s="109"/>
      <c r="F13" s="109"/>
      <c r="G13" s="109"/>
      <c r="H13" s="109"/>
      <c r="I13" s="109"/>
      <c r="J13" s="109"/>
      <c r="K13" s="109"/>
      <c r="L13" s="110"/>
      <c r="M13" s="111">
        <f t="shared" si="0"/>
        <v>0</v>
      </c>
    </row>
    <row r="14" spans="1:13" ht="16.149999999999999" hidden="1" customHeight="1">
      <c r="A14" s="46" t="s">
        <v>750</v>
      </c>
      <c r="B14" s="47" t="s">
        <v>753</v>
      </c>
      <c r="C14" s="49">
        <v>43182</v>
      </c>
      <c r="D14" s="100" t="s">
        <v>847</v>
      </c>
      <c r="E14" s="109"/>
      <c r="F14" s="109"/>
      <c r="G14" s="109"/>
      <c r="H14" s="109"/>
      <c r="I14" s="109"/>
      <c r="J14" s="109"/>
      <c r="K14" s="109"/>
      <c r="L14" s="110"/>
      <c r="M14" s="111">
        <f t="shared" si="0"/>
        <v>0</v>
      </c>
    </row>
    <row r="15" spans="1:13" ht="16.149999999999999" hidden="1" customHeight="1">
      <c r="A15" s="46" t="s">
        <v>754</v>
      </c>
      <c r="B15" s="47" t="s">
        <v>743</v>
      </c>
      <c r="C15" s="49">
        <v>42125</v>
      </c>
      <c r="D15" s="100" t="s">
        <v>847</v>
      </c>
      <c r="E15" s="109"/>
      <c r="F15" s="109"/>
      <c r="G15" s="109"/>
      <c r="H15" s="109"/>
      <c r="I15" s="109"/>
      <c r="J15" s="109"/>
      <c r="K15" s="109"/>
      <c r="L15" s="110"/>
      <c r="M15" s="111">
        <f t="shared" si="0"/>
        <v>0</v>
      </c>
    </row>
    <row r="16" spans="1:13" ht="16.149999999999999" hidden="1" customHeight="1">
      <c r="A16" s="46" t="s">
        <v>754</v>
      </c>
      <c r="B16" s="47" t="s">
        <v>756</v>
      </c>
      <c r="C16" s="49">
        <v>43273</v>
      </c>
      <c r="D16" s="100" t="s">
        <v>847</v>
      </c>
      <c r="E16" s="109"/>
      <c r="F16" s="109"/>
      <c r="G16" s="109"/>
      <c r="H16" s="109"/>
      <c r="I16" s="109"/>
      <c r="J16" s="109"/>
      <c r="K16" s="109"/>
      <c r="L16" s="110"/>
      <c r="M16" s="111">
        <f t="shared" si="0"/>
        <v>0</v>
      </c>
    </row>
    <row r="17" spans="1:13" ht="16.149999999999999" customHeight="1">
      <c r="A17" s="46" t="s">
        <v>757</v>
      </c>
      <c r="B17" s="50" t="s">
        <v>755</v>
      </c>
      <c r="C17" s="49">
        <v>42125</v>
      </c>
      <c r="D17" s="100" t="s">
        <v>847</v>
      </c>
      <c r="E17" s="109">
        <v>5000</v>
      </c>
      <c r="F17" s="109">
        <v>150</v>
      </c>
      <c r="G17" s="109">
        <v>150</v>
      </c>
      <c r="H17" s="109">
        <f>F17-G17</f>
        <v>0</v>
      </c>
      <c r="I17" s="109"/>
      <c r="J17" s="109"/>
      <c r="K17" s="109"/>
      <c r="L17" s="110"/>
      <c r="M17" s="111">
        <f t="shared" si="0"/>
        <v>5000</v>
      </c>
    </row>
    <row r="18" spans="1:13" ht="16.149999999999999" hidden="1" customHeight="1">
      <c r="A18" s="46" t="s">
        <v>757</v>
      </c>
      <c r="B18" s="47" t="s">
        <v>758</v>
      </c>
      <c r="C18" s="49">
        <v>42907</v>
      </c>
      <c r="D18" s="100" t="s">
        <v>847</v>
      </c>
      <c r="E18" s="109"/>
      <c r="F18" s="109"/>
      <c r="G18" s="109"/>
      <c r="H18" s="109"/>
      <c r="I18" s="109"/>
      <c r="J18" s="109"/>
      <c r="K18" s="109"/>
      <c r="L18" s="110"/>
      <c r="M18" s="111">
        <f t="shared" si="0"/>
        <v>0</v>
      </c>
    </row>
    <row r="19" spans="1:13" ht="16.149999999999999" hidden="1" customHeight="1">
      <c r="A19" s="46" t="s">
        <v>757</v>
      </c>
      <c r="B19" s="47" t="s">
        <v>759</v>
      </c>
      <c r="C19" s="49">
        <v>42860</v>
      </c>
      <c r="D19" s="100" t="s">
        <v>847</v>
      </c>
      <c r="E19" s="109"/>
      <c r="F19" s="109"/>
      <c r="G19" s="109"/>
      <c r="H19" s="109"/>
      <c r="I19" s="109"/>
      <c r="J19" s="109"/>
      <c r="K19" s="109"/>
      <c r="L19" s="110"/>
      <c r="M19" s="111">
        <f t="shared" si="0"/>
        <v>0</v>
      </c>
    </row>
    <row r="20" spans="1:13" ht="16.149999999999999" hidden="1" customHeight="1">
      <c r="A20" s="46" t="s">
        <v>757</v>
      </c>
      <c r="B20" s="47" t="s">
        <v>760</v>
      </c>
      <c r="C20" s="49">
        <v>43251</v>
      </c>
      <c r="D20" s="100" t="s">
        <v>847</v>
      </c>
      <c r="E20" s="109"/>
      <c r="F20" s="109"/>
      <c r="G20" s="109"/>
      <c r="H20" s="109"/>
      <c r="I20" s="109"/>
      <c r="J20" s="109"/>
      <c r="K20" s="109"/>
      <c r="L20" s="110"/>
      <c r="M20" s="111">
        <f t="shared" si="0"/>
        <v>0</v>
      </c>
    </row>
    <row r="21" spans="1:13" ht="16.149999999999999" hidden="1" customHeight="1">
      <c r="A21" s="46" t="s">
        <v>761</v>
      </c>
      <c r="B21" s="47" t="s">
        <v>167</v>
      </c>
      <c r="C21" s="49">
        <v>41883</v>
      </c>
      <c r="D21" s="100" t="s">
        <v>847</v>
      </c>
      <c r="E21" s="109"/>
      <c r="F21" s="109"/>
      <c r="G21" s="109"/>
      <c r="H21" s="109"/>
      <c r="I21" s="109"/>
      <c r="J21" s="109"/>
      <c r="K21" s="109"/>
      <c r="L21" s="110"/>
      <c r="M21" s="111">
        <f t="shared" si="0"/>
        <v>0</v>
      </c>
    </row>
    <row r="22" spans="1:13" ht="16.149999999999999" hidden="1" customHeight="1">
      <c r="A22" s="46" t="s">
        <v>761</v>
      </c>
      <c r="B22" s="47" t="s">
        <v>47</v>
      </c>
      <c r="C22" s="51">
        <v>42062</v>
      </c>
      <c r="D22" s="100" t="s">
        <v>847</v>
      </c>
      <c r="E22" s="109"/>
      <c r="F22" s="109"/>
      <c r="G22" s="109"/>
      <c r="H22" s="109"/>
      <c r="I22" s="109"/>
      <c r="J22" s="109"/>
      <c r="K22" s="109"/>
      <c r="L22" s="110"/>
      <c r="M22" s="111">
        <f t="shared" si="0"/>
        <v>0</v>
      </c>
    </row>
    <row r="23" spans="1:13" ht="16.149999999999999" hidden="1" customHeight="1">
      <c r="A23" s="46" t="s">
        <v>761</v>
      </c>
      <c r="B23" s="47" t="s">
        <v>762</v>
      </c>
      <c r="C23" s="49">
        <v>42598</v>
      </c>
      <c r="D23" s="100" t="s">
        <v>847</v>
      </c>
      <c r="E23" s="109"/>
      <c r="F23" s="109"/>
      <c r="G23" s="109"/>
      <c r="H23" s="109"/>
      <c r="I23" s="109"/>
      <c r="J23" s="109"/>
      <c r="K23" s="109"/>
      <c r="L23" s="110"/>
      <c r="M23" s="111">
        <f t="shared" si="0"/>
        <v>0</v>
      </c>
    </row>
    <row r="24" spans="1:13" ht="16.149999999999999" hidden="1" customHeight="1">
      <c r="A24" s="46" t="s">
        <v>761</v>
      </c>
      <c r="B24" s="47" t="s">
        <v>763</v>
      </c>
      <c r="C24" s="49">
        <v>42662</v>
      </c>
      <c r="D24" s="100" t="s">
        <v>847</v>
      </c>
      <c r="E24" s="109"/>
      <c r="F24" s="109"/>
      <c r="G24" s="109"/>
      <c r="H24" s="109"/>
      <c r="I24" s="109"/>
      <c r="J24" s="109"/>
      <c r="K24" s="109"/>
      <c r="L24" s="110"/>
      <c r="M24" s="111">
        <f t="shared" si="0"/>
        <v>0</v>
      </c>
    </row>
    <row r="25" spans="1:13" ht="16.149999999999999" hidden="1" customHeight="1">
      <c r="A25" s="46" t="s">
        <v>761</v>
      </c>
      <c r="B25" s="47" t="s">
        <v>764</v>
      </c>
      <c r="C25" s="49">
        <v>43185</v>
      </c>
      <c r="D25" s="100" t="s">
        <v>847</v>
      </c>
      <c r="E25" s="109"/>
      <c r="F25" s="109"/>
      <c r="G25" s="109"/>
      <c r="H25" s="109"/>
      <c r="I25" s="109"/>
      <c r="J25" s="109"/>
      <c r="K25" s="109"/>
      <c r="L25" s="110"/>
      <c r="M25" s="111">
        <f t="shared" si="0"/>
        <v>0</v>
      </c>
    </row>
    <row r="26" spans="1:13" ht="16.149999999999999" hidden="1" customHeight="1">
      <c r="A26" s="46" t="s">
        <v>761</v>
      </c>
      <c r="B26" s="47" t="s">
        <v>765</v>
      </c>
      <c r="C26" s="49">
        <v>43235</v>
      </c>
      <c r="D26" s="100" t="s">
        <v>847</v>
      </c>
      <c r="E26" s="109"/>
      <c r="F26" s="109"/>
      <c r="G26" s="109"/>
      <c r="H26" s="109"/>
      <c r="I26" s="109"/>
      <c r="J26" s="109"/>
      <c r="K26" s="109"/>
      <c r="L26" s="110"/>
      <c r="M26" s="111">
        <f t="shared" si="0"/>
        <v>0</v>
      </c>
    </row>
    <row r="27" spans="1:13" ht="16.149999999999999" hidden="1" customHeight="1">
      <c r="A27" s="46" t="s">
        <v>766</v>
      </c>
      <c r="B27" s="47" t="s">
        <v>767</v>
      </c>
      <c r="C27" s="49">
        <v>42208</v>
      </c>
      <c r="D27" s="100" t="s">
        <v>847</v>
      </c>
      <c r="E27" s="109"/>
      <c r="F27" s="109"/>
      <c r="G27" s="109"/>
      <c r="H27" s="109"/>
      <c r="I27" s="109"/>
      <c r="J27" s="109"/>
      <c r="K27" s="109"/>
      <c r="L27" s="110"/>
      <c r="M27" s="111">
        <f t="shared" si="0"/>
        <v>0</v>
      </c>
    </row>
    <row r="28" spans="1:13" ht="16.149999999999999" hidden="1" customHeight="1">
      <c r="A28" s="46" t="s">
        <v>766</v>
      </c>
      <c r="B28" s="47" t="s">
        <v>97</v>
      </c>
      <c r="C28" s="49">
        <v>42248</v>
      </c>
      <c r="D28" s="100" t="s">
        <v>847</v>
      </c>
      <c r="E28" s="109"/>
      <c r="F28" s="109"/>
      <c r="G28" s="109"/>
      <c r="H28" s="109"/>
      <c r="I28" s="109"/>
      <c r="J28" s="109"/>
      <c r="K28" s="109"/>
      <c r="L28" s="110"/>
      <c r="M28" s="111">
        <f t="shared" si="0"/>
        <v>0</v>
      </c>
    </row>
    <row r="29" spans="1:13" ht="16.149999999999999" customHeight="1">
      <c r="A29" s="46" t="s">
        <v>766</v>
      </c>
      <c r="B29" s="47" t="s">
        <v>99</v>
      </c>
      <c r="C29" s="49">
        <v>42349</v>
      </c>
      <c r="D29" s="100" t="s">
        <v>847</v>
      </c>
      <c r="E29" s="109">
        <f>50000-22000</f>
        <v>28000</v>
      </c>
      <c r="F29" s="109">
        <f>IFERROR(VLOOKUP(B29,知识科技工资!C:O,13,0),0)</f>
        <v>1100</v>
      </c>
      <c r="G29" s="109">
        <f>IFERROR(VLOOKUP(B29,[3]知识科技工资!C:O,13,0),0)</f>
        <v>150</v>
      </c>
      <c r="H29" s="109">
        <f>F29-G29</f>
        <v>950</v>
      </c>
      <c r="I29" s="109"/>
      <c r="J29" s="109"/>
      <c r="K29" s="109"/>
      <c r="L29" s="110"/>
      <c r="M29" s="111">
        <f t="shared" si="0"/>
        <v>27050</v>
      </c>
    </row>
    <row r="30" spans="1:13" ht="16.149999999999999" hidden="1" customHeight="1">
      <c r="A30" s="46" t="s">
        <v>766</v>
      </c>
      <c r="B30" s="47" t="s">
        <v>768</v>
      </c>
      <c r="C30" s="49">
        <v>42636</v>
      </c>
      <c r="D30" s="100" t="s">
        <v>847</v>
      </c>
      <c r="E30" s="109"/>
      <c r="F30" s="109"/>
      <c r="G30" s="109"/>
      <c r="H30" s="109"/>
      <c r="I30" s="109"/>
      <c r="J30" s="109"/>
      <c r="K30" s="109"/>
      <c r="L30" s="110"/>
      <c r="M30" s="111">
        <f t="shared" si="0"/>
        <v>0</v>
      </c>
    </row>
    <row r="31" spans="1:13" ht="16.149999999999999" hidden="1" customHeight="1">
      <c r="A31" s="46" t="s">
        <v>766</v>
      </c>
      <c r="B31" s="47" t="s">
        <v>769</v>
      </c>
      <c r="C31" s="49">
        <v>42636</v>
      </c>
      <c r="D31" s="100" t="s">
        <v>847</v>
      </c>
      <c r="E31" s="109"/>
      <c r="F31" s="109"/>
      <c r="G31" s="109"/>
      <c r="H31" s="109"/>
      <c r="I31" s="109"/>
      <c r="J31" s="109"/>
      <c r="K31" s="109"/>
      <c r="L31" s="110"/>
      <c r="M31" s="111">
        <f t="shared" si="0"/>
        <v>0</v>
      </c>
    </row>
    <row r="32" spans="1:13" ht="16.149999999999999" hidden="1" customHeight="1">
      <c r="A32" s="46" t="s">
        <v>766</v>
      </c>
      <c r="B32" s="50" t="s">
        <v>763</v>
      </c>
      <c r="C32" s="49">
        <v>42662</v>
      </c>
      <c r="D32" s="100" t="s">
        <v>847</v>
      </c>
      <c r="E32" s="109"/>
      <c r="F32" s="109"/>
      <c r="G32" s="109"/>
      <c r="H32" s="109"/>
      <c r="I32" s="109"/>
      <c r="J32" s="109"/>
      <c r="K32" s="109"/>
      <c r="L32" s="110"/>
      <c r="M32" s="111">
        <f t="shared" si="0"/>
        <v>0</v>
      </c>
    </row>
    <row r="33" spans="1:13" ht="16.149999999999999" hidden="1" customHeight="1">
      <c r="A33" s="46" t="s">
        <v>766</v>
      </c>
      <c r="B33" s="47" t="s">
        <v>770</v>
      </c>
      <c r="C33" s="49">
        <v>42668</v>
      </c>
      <c r="D33" s="100" t="s">
        <v>847</v>
      </c>
      <c r="E33" s="109"/>
      <c r="F33" s="109"/>
      <c r="G33" s="109"/>
      <c r="H33" s="109"/>
      <c r="I33" s="109"/>
      <c r="J33" s="109"/>
      <c r="K33" s="109"/>
      <c r="L33" s="110"/>
      <c r="M33" s="111">
        <f t="shared" si="0"/>
        <v>0</v>
      </c>
    </row>
    <row r="34" spans="1:13" ht="16.149999999999999" hidden="1" customHeight="1">
      <c r="A34" s="46" t="s">
        <v>766</v>
      </c>
      <c r="B34" s="47" t="s">
        <v>771</v>
      </c>
      <c r="C34" s="49">
        <v>42676</v>
      </c>
      <c r="D34" s="100" t="s">
        <v>847</v>
      </c>
      <c r="E34" s="109"/>
      <c r="F34" s="109"/>
      <c r="G34" s="109"/>
      <c r="H34" s="109"/>
      <c r="I34" s="109"/>
      <c r="J34" s="109"/>
      <c r="K34" s="109"/>
      <c r="L34" s="110"/>
      <c r="M34" s="111">
        <f t="shared" si="0"/>
        <v>0</v>
      </c>
    </row>
    <row r="35" spans="1:13" ht="16.149999999999999" hidden="1" customHeight="1">
      <c r="A35" s="46" t="s">
        <v>766</v>
      </c>
      <c r="B35" s="47" t="s">
        <v>772</v>
      </c>
      <c r="C35" s="49">
        <v>42831</v>
      </c>
      <c r="D35" s="100" t="s">
        <v>847</v>
      </c>
      <c r="E35" s="109"/>
      <c r="F35" s="109"/>
      <c r="G35" s="109"/>
      <c r="H35" s="109"/>
      <c r="I35" s="109"/>
      <c r="J35" s="109"/>
      <c r="K35" s="109"/>
      <c r="L35" s="110"/>
      <c r="M35" s="111">
        <f t="shared" ref="M35:M66" si="1">E35-H35-I35-J35-K35-L35</f>
        <v>0</v>
      </c>
    </row>
    <row r="36" spans="1:13" ht="16.149999999999999" hidden="1" customHeight="1">
      <c r="A36" s="46" t="s">
        <v>766</v>
      </c>
      <c r="B36" s="47" t="s">
        <v>773</v>
      </c>
      <c r="C36" s="49">
        <v>43004</v>
      </c>
      <c r="D36" s="100" t="s">
        <v>847</v>
      </c>
      <c r="E36" s="109"/>
      <c r="F36" s="109"/>
      <c r="G36" s="109"/>
      <c r="H36" s="109"/>
      <c r="I36" s="109"/>
      <c r="J36" s="109"/>
      <c r="K36" s="109"/>
      <c r="L36" s="110"/>
      <c r="M36" s="111">
        <f t="shared" si="1"/>
        <v>0</v>
      </c>
    </row>
    <row r="37" spans="1:13" ht="16.149999999999999" hidden="1" customHeight="1">
      <c r="A37" s="46" t="s">
        <v>766</v>
      </c>
      <c r="B37" s="47" t="s">
        <v>774</v>
      </c>
      <c r="C37" s="49">
        <v>43052</v>
      </c>
      <c r="D37" s="100" t="s">
        <v>847</v>
      </c>
      <c r="E37" s="109"/>
      <c r="F37" s="109"/>
      <c r="G37" s="109"/>
      <c r="H37" s="109"/>
      <c r="I37" s="109"/>
      <c r="J37" s="109"/>
      <c r="K37" s="109"/>
      <c r="L37" s="110"/>
      <c r="M37" s="111">
        <f t="shared" si="1"/>
        <v>0</v>
      </c>
    </row>
    <row r="38" spans="1:13" ht="16.149999999999999" hidden="1" customHeight="1">
      <c r="A38" s="46" t="s">
        <v>766</v>
      </c>
      <c r="B38" s="47" t="s">
        <v>775</v>
      </c>
      <c r="C38" s="49">
        <v>43052</v>
      </c>
      <c r="D38" s="100" t="s">
        <v>847</v>
      </c>
      <c r="E38" s="109"/>
      <c r="F38" s="109"/>
      <c r="G38" s="109"/>
      <c r="H38" s="109"/>
      <c r="I38" s="109"/>
      <c r="J38" s="109"/>
      <c r="K38" s="109"/>
      <c r="L38" s="110"/>
      <c r="M38" s="111">
        <f t="shared" si="1"/>
        <v>0</v>
      </c>
    </row>
    <row r="39" spans="1:13" ht="16.149999999999999" hidden="1" customHeight="1">
      <c r="A39" s="46" t="s">
        <v>766</v>
      </c>
      <c r="B39" s="47" t="s">
        <v>776</v>
      </c>
      <c r="C39" s="49">
        <v>43080</v>
      </c>
      <c r="D39" s="100" t="s">
        <v>847</v>
      </c>
      <c r="E39" s="109"/>
      <c r="F39" s="109"/>
      <c r="G39" s="109"/>
      <c r="H39" s="109"/>
      <c r="I39" s="109"/>
      <c r="J39" s="109"/>
      <c r="K39" s="109"/>
      <c r="L39" s="110"/>
      <c r="M39" s="111">
        <f t="shared" si="1"/>
        <v>0</v>
      </c>
    </row>
    <row r="40" spans="1:13" ht="16.149999999999999" hidden="1" customHeight="1">
      <c r="A40" s="46" t="s">
        <v>766</v>
      </c>
      <c r="B40" s="47" t="s">
        <v>777</v>
      </c>
      <c r="C40" s="49">
        <v>43121</v>
      </c>
      <c r="D40" s="100" t="s">
        <v>847</v>
      </c>
      <c r="E40" s="109"/>
      <c r="F40" s="109"/>
      <c r="G40" s="109"/>
      <c r="H40" s="109"/>
      <c r="I40" s="109"/>
      <c r="J40" s="109"/>
      <c r="K40" s="109"/>
      <c r="L40" s="110"/>
      <c r="M40" s="111">
        <f t="shared" si="1"/>
        <v>0</v>
      </c>
    </row>
    <row r="41" spans="1:13" ht="16.149999999999999" hidden="1" customHeight="1">
      <c r="A41" s="46" t="s">
        <v>766</v>
      </c>
      <c r="B41" s="47" t="s">
        <v>778</v>
      </c>
      <c r="C41" s="49">
        <v>42709</v>
      </c>
      <c r="D41" s="100" t="s">
        <v>847</v>
      </c>
      <c r="E41" s="109"/>
      <c r="F41" s="109"/>
      <c r="G41" s="109"/>
      <c r="H41" s="109"/>
      <c r="I41" s="109"/>
      <c r="J41" s="109"/>
      <c r="K41" s="109"/>
      <c r="L41" s="110"/>
      <c r="M41" s="111">
        <f t="shared" si="1"/>
        <v>0</v>
      </c>
    </row>
    <row r="42" spans="1:13" ht="16.149999999999999" hidden="1" customHeight="1">
      <c r="A42" s="46" t="s">
        <v>779</v>
      </c>
      <c r="B42" s="47" t="s">
        <v>780</v>
      </c>
      <c r="C42" s="49">
        <v>42542</v>
      </c>
      <c r="D42" s="100" t="s">
        <v>847</v>
      </c>
      <c r="E42" s="109"/>
      <c r="F42" s="109"/>
      <c r="G42" s="109"/>
      <c r="H42" s="109"/>
      <c r="I42" s="109"/>
      <c r="J42" s="109"/>
      <c r="K42" s="109"/>
      <c r="L42" s="110"/>
      <c r="M42" s="111">
        <f t="shared" si="1"/>
        <v>0</v>
      </c>
    </row>
    <row r="43" spans="1:13" ht="16.149999999999999" hidden="1" customHeight="1">
      <c r="A43" s="52" t="s">
        <v>781</v>
      </c>
      <c r="B43" s="47" t="s">
        <v>228</v>
      </c>
      <c r="C43" s="53">
        <v>42209</v>
      </c>
      <c r="D43" s="100" t="s">
        <v>847</v>
      </c>
      <c r="E43" s="109"/>
      <c r="F43" s="109"/>
      <c r="G43" s="109"/>
      <c r="H43" s="109"/>
      <c r="I43" s="109"/>
      <c r="J43" s="109"/>
      <c r="K43" s="109"/>
      <c r="L43" s="110"/>
      <c r="M43" s="111">
        <f t="shared" si="1"/>
        <v>0</v>
      </c>
    </row>
    <row r="44" spans="1:13" ht="16.149999999999999" hidden="1" customHeight="1">
      <c r="A44" s="52" t="s">
        <v>781</v>
      </c>
      <c r="B44" s="54" t="s">
        <v>782</v>
      </c>
      <c r="C44" s="53">
        <v>42578</v>
      </c>
      <c r="D44" s="100" t="s">
        <v>847</v>
      </c>
      <c r="E44" s="109"/>
      <c r="F44" s="109"/>
      <c r="G44" s="109"/>
      <c r="H44" s="109"/>
      <c r="I44" s="109"/>
      <c r="J44" s="109"/>
      <c r="K44" s="109"/>
      <c r="L44" s="110"/>
      <c r="M44" s="111">
        <f t="shared" si="1"/>
        <v>0</v>
      </c>
    </row>
    <row r="45" spans="1:13" ht="16.149999999999999" hidden="1" customHeight="1">
      <c r="A45" s="52" t="s">
        <v>781</v>
      </c>
      <c r="B45" s="54" t="s">
        <v>783</v>
      </c>
      <c r="C45" s="53">
        <v>43059</v>
      </c>
      <c r="D45" s="100" t="s">
        <v>847</v>
      </c>
      <c r="E45" s="109"/>
      <c r="F45" s="109"/>
      <c r="G45" s="109"/>
      <c r="H45" s="109"/>
      <c r="I45" s="109"/>
      <c r="J45" s="109"/>
      <c r="K45" s="109"/>
      <c r="L45" s="110"/>
      <c r="M45" s="111">
        <f t="shared" si="1"/>
        <v>0</v>
      </c>
    </row>
    <row r="46" spans="1:13" ht="16.149999999999999" hidden="1" customHeight="1">
      <c r="A46" s="52" t="s">
        <v>781</v>
      </c>
      <c r="B46" s="47" t="s">
        <v>175</v>
      </c>
      <c r="C46" s="53">
        <v>42132</v>
      </c>
      <c r="D46" s="100" t="s">
        <v>847</v>
      </c>
      <c r="E46" s="109"/>
      <c r="F46" s="109"/>
      <c r="G46" s="109"/>
      <c r="H46" s="109"/>
      <c r="I46" s="109"/>
      <c r="J46" s="109"/>
      <c r="K46" s="109"/>
      <c r="L46" s="110"/>
      <c r="M46" s="111">
        <f t="shared" si="1"/>
        <v>0</v>
      </c>
    </row>
    <row r="47" spans="1:13" ht="16.149999999999999" hidden="1" customHeight="1">
      <c r="A47" s="52" t="s">
        <v>781</v>
      </c>
      <c r="B47" s="54" t="s">
        <v>177</v>
      </c>
      <c r="C47" s="53">
        <v>42484</v>
      </c>
      <c r="D47" s="100" t="s">
        <v>847</v>
      </c>
      <c r="E47" s="109"/>
      <c r="F47" s="109"/>
      <c r="G47" s="109"/>
      <c r="H47" s="109"/>
      <c r="I47" s="109"/>
      <c r="J47" s="109"/>
      <c r="K47" s="109"/>
      <c r="L47" s="110"/>
      <c r="M47" s="111">
        <f t="shared" si="1"/>
        <v>0</v>
      </c>
    </row>
    <row r="48" spans="1:13" ht="16.149999999999999" hidden="1" customHeight="1">
      <c r="A48" s="52" t="s">
        <v>781</v>
      </c>
      <c r="B48" s="54" t="s">
        <v>784</v>
      </c>
      <c r="C48" s="53">
        <v>42858</v>
      </c>
      <c r="D48" s="100" t="s">
        <v>847</v>
      </c>
      <c r="E48" s="109"/>
      <c r="F48" s="109"/>
      <c r="G48" s="109"/>
      <c r="H48" s="109"/>
      <c r="I48" s="109"/>
      <c r="J48" s="109"/>
      <c r="K48" s="109"/>
      <c r="L48" s="110"/>
      <c r="M48" s="111">
        <f t="shared" si="1"/>
        <v>0</v>
      </c>
    </row>
    <row r="49" spans="1:13" ht="16.149999999999999" hidden="1" customHeight="1">
      <c r="A49" s="52" t="s">
        <v>781</v>
      </c>
      <c r="B49" s="54" t="s">
        <v>785</v>
      </c>
      <c r="C49" s="53">
        <v>43181</v>
      </c>
      <c r="D49" s="100" t="s">
        <v>847</v>
      </c>
      <c r="E49" s="109"/>
      <c r="F49" s="109"/>
      <c r="G49" s="109"/>
      <c r="H49" s="109"/>
      <c r="I49" s="109"/>
      <c r="J49" s="109"/>
      <c r="K49" s="109"/>
      <c r="L49" s="110"/>
      <c r="M49" s="111">
        <f t="shared" si="1"/>
        <v>0</v>
      </c>
    </row>
    <row r="50" spans="1:13" ht="16.149999999999999" hidden="1" customHeight="1">
      <c r="A50" s="52" t="s">
        <v>781</v>
      </c>
      <c r="B50" s="54" t="s">
        <v>786</v>
      </c>
      <c r="C50" s="53">
        <v>43192</v>
      </c>
      <c r="D50" s="100" t="s">
        <v>847</v>
      </c>
      <c r="E50" s="109"/>
      <c r="F50" s="109"/>
      <c r="G50" s="109"/>
      <c r="H50" s="109"/>
      <c r="I50" s="109"/>
      <c r="J50" s="109"/>
      <c r="K50" s="109"/>
      <c r="L50" s="110"/>
      <c r="M50" s="111">
        <f t="shared" si="1"/>
        <v>0</v>
      </c>
    </row>
    <row r="51" spans="1:13" ht="16.149999999999999" hidden="1" customHeight="1">
      <c r="A51" s="52" t="s">
        <v>781</v>
      </c>
      <c r="B51" s="54" t="s">
        <v>787</v>
      </c>
      <c r="C51" s="53">
        <v>43250</v>
      </c>
      <c r="D51" s="100" t="s">
        <v>847</v>
      </c>
      <c r="E51" s="109"/>
      <c r="F51" s="109"/>
      <c r="G51" s="109"/>
      <c r="H51" s="109"/>
      <c r="I51" s="109"/>
      <c r="J51" s="109"/>
      <c r="K51" s="109"/>
      <c r="L51" s="110"/>
      <c r="M51" s="111">
        <f t="shared" si="1"/>
        <v>0</v>
      </c>
    </row>
    <row r="52" spans="1:13" ht="16.149999999999999" hidden="1" customHeight="1">
      <c r="A52" s="52" t="s">
        <v>788</v>
      </c>
      <c r="B52" s="54" t="s">
        <v>789</v>
      </c>
      <c r="C52" s="53">
        <v>43193</v>
      </c>
      <c r="D52" s="100" t="s">
        <v>847</v>
      </c>
      <c r="E52" s="109"/>
      <c r="F52" s="109"/>
      <c r="G52" s="109"/>
      <c r="H52" s="109"/>
      <c r="I52" s="109"/>
      <c r="J52" s="109"/>
      <c r="K52" s="109"/>
      <c r="L52" s="110"/>
      <c r="M52" s="111">
        <f t="shared" si="1"/>
        <v>0</v>
      </c>
    </row>
    <row r="53" spans="1:13" ht="16.149999999999999" hidden="1" customHeight="1">
      <c r="A53" s="52" t="s">
        <v>781</v>
      </c>
      <c r="B53" s="54" t="s">
        <v>790</v>
      </c>
      <c r="C53" s="53">
        <v>43207</v>
      </c>
      <c r="D53" s="100" t="s">
        <v>847</v>
      </c>
      <c r="E53" s="109"/>
      <c r="F53" s="109"/>
      <c r="G53" s="109"/>
      <c r="H53" s="109"/>
      <c r="I53" s="109"/>
      <c r="J53" s="109"/>
      <c r="K53" s="109"/>
      <c r="L53" s="110"/>
      <c r="M53" s="111">
        <f t="shared" si="1"/>
        <v>0</v>
      </c>
    </row>
    <row r="54" spans="1:13" ht="16.149999999999999" hidden="1" customHeight="1">
      <c r="A54" s="46" t="s">
        <v>791</v>
      </c>
      <c r="B54" s="47" t="s">
        <v>140</v>
      </c>
      <c r="C54" s="53">
        <v>41883</v>
      </c>
      <c r="D54" s="100" t="s">
        <v>847</v>
      </c>
      <c r="E54" s="109"/>
      <c r="F54" s="109"/>
      <c r="G54" s="109"/>
      <c r="H54" s="109"/>
      <c r="I54" s="109"/>
      <c r="J54" s="109"/>
      <c r="K54" s="109"/>
      <c r="L54" s="110"/>
      <c r="M54" s="111">
        <f t="shared" si="1"/>
        <v>0</v>
      </c>
    </row>
    <row r="55" spans="1:13" ht="16.149999999999999" hidden="1" customHeight="1">
      <c r="A55" s="46" t="s">
        <v>791</v>
      </c>
      <c r="B55" s="47" t="s">
        <v>142</v>
      </c>
      <c r="C55" s="53">
        <v>41988</v>
      </c>
      <c r="D55" s="100" t="s">
        <v>847</v>
      </c>
      <c r="E55" s="109"/>
      <c r="F55" s="109"/>
      <c r="G55" s="109"/>
      <c r="H55" s="109"/>
      <c r="I55" s="109"/>
      <c r="J55" s="109"/>
      <c r="K55" s="109"/>
      <c r="L55" s="110"/>
      <c r="M55" s="111">
        <f t="shared" si="1"/>
        <v>0</v>
      </c>
    </row>
    <row r="56" spans="1:13" ht="16.149999999999999" hidden="1" customHeight="1">
      <c r="A56" s="46" t="s">
        <v>791</v>
      </c>
      <c r="B56" s="47" t="s">
        <v>144</v>
      </c>
      <c r="C56" s="53">
        <v>42039</v>
      </c>
      <c r="D56" s="100" t="s">
        <v>847</v>
      </c>
      <c r="E56" s="109"/>
      <c r="F56" s="109"/>
      <c r="G56" s="109"/>
      <c r="H56" s="109"/>
      <c r="I56" s="109"/>
      <c r="J56" s="109"/>
      <c r="K56" s="109"/>
      <c r="L56" s="110"/>
      <c r="M56" s="111">
        <f t="shared" si="1"/>
        <v>0</v>
      </c>
    </row>
    <row r="57" spans="1:13" ht="16.149999999999999" hidden="1" customHeight="1">
      <c r="A57" s="46" t="s">
        <v>791</v>
      </c>
      <c r="B57" s="54" t="s">
        <v>792</v>
      </c>
      <c r="C57" s="53">
        <v>42451</v>
      </c>
      <c r="D57" s="100" t="s">
        <v>847</v>
      </c>
      <c r="E57" s="109"/>
      <c r="F57" s="109"/>
      <c r="G57" s="109"/>
      <c r="H57" s="109"/>
      <c r="I57" s="109"/>
      <c r="J57" s="109"/>
      <c r="K57" s="109"/>
      <c r="L57" s="110"/>
      <c r="M57" s="111">
        <f t="shared" si="1"/>
        <v>0</v>
      </c>
    </row>
    <row r="58" spans="1:13" ht="16.149999999999999" hidden="1" customHeight="1">
      <c r="A58" s="46" t="s">
        <v>793</v>
      </c>
      <c r="B58" s="54" t="s">
        <v>146</v>
      </c>
      <c r="C58" s="53">
        <v>42446</v>
      </c>
      <c r="D58" s="100" t="s">
        <v>847</v>
      </c>
      <c r="E58" s="109"/>
      <c r="F58" s="109"/>
      <c r="G58" s="109"/>
      <c r="H58" s="109"/>
      <c r="I58" s="109"/>
      <c r="J58" s="109"/>
      <c r="K58" s="109"/>
      <c r="L58" s="110"/>
      <c r="M58" s="111">
        <f t="shared" si="1"/>
        <v>0</v>
      </c>
    </row>
    <row r="59" spans="1:13" ht="16.149999999999999" hidden="1" customHeight="1">
      <c r="A59" s="46" t="s">
        <v>793</v>
      </c>
      <c r="B59" s="54" t="s">
        <v>794</v>
      </c>
      <c r="C59" s="53">
        <v>42650</v>
      </c>
      <c r="D59" s="100" t="s">
        <v>847</v>
      </c>
      <c r="E59" s="109"/>
      <c r="F59" s="109"/>
      <c r="G59" s="109"/>
      <c r="H59" s="109"/>
      <c r="I59" s="109"/>
      <c r="J59" s="109"/>
      <c r="K59" s="109"/>
      <c r="L59" s="110"/>
      <c r="M59" s="111">
        <f t="shared" si="1"/>
        <v>0</v>
      </c>
    </row>
    <row r="60" spans="1:13" ht="16.149999999999999" hidden="1" customHeight="1">
      <c r="A60" s="46" t="s">
        <v>793</v>
      </c>
      <c r="B60" s="55" t="s">
        <v>795</v>
      </c>
      <c r="C60" s="53">
        <v>42709</v>
      </c>
      <c r="D60" s="100" t="s">
        <v>847</v>
      </c>
      <c r="E60" s="109"/>
      <c r="F60" s="109"/>
      <c r="G60" s="109"/>
      <c r="H60" s="109"/>
      <c r="I60" s="109"/>
      <c r="J60" s="109"/>
      <c r="K60" s="109"/>
      <c r="L60" s="110"/>
      <c r="M60" s="111">
        <f t="shared" si="1"/>
        <v>0</v>
      </c>
    </row>
    <row r="61" spans="1:13" ht="16.149999999999999" hidden="1" customHeight="1">
      <c r="A61" s="46" t="s">
        <v>793</v>
      </c>
      <c r="B61" s="54" t="s">
        <v>796</v>
      </c>
      <c r="C61" s="53">
        <v>42823</v>
      </c>
      <c r="D61" s="100" t="s">
        <v>847</v>
      </c>
      <c r="E61" s="109"/>
      <c r="F61" s="109"/>
      <c r="G61" s="109"/>
      <c r="H61" s="109"/>
      <c r="I61" s="109"/>
      <c r="J61" s="109"/>
      <c r="K61" s="109"/>
      <c r="L61" s="110"/>
      <c r="M61" s="111">
        <f t="shared" si="1"/>
        <v>0</v>
      </c>
    </row>
    <row r="62" spans="1:13" ht="16.149999999999999" hidden="1" customHeight="1">
      <c r="A62" s="46" t="s">
        <v>793</v>
      </c>
      <c r="B62" s="50" t="s">
        <v>797</v>
      </c>
      <c r="C62" s="49">
        <v>42983</v>
      </c>
      <c r="D62" s="100" t="s">
        <v>847</v>
      </c>
      <c r="E62" s="109"/>
      <c r="F62" s="109"/>
      <c r="G62" s="109"/>
      <c r="H62" s="109"/>
      <c r="I62" s="109"/>
      <c r="J62" s="109"/>
      <c r="K62" s="109"/>
      <c r="L62" s="110"/>
      <c r="M62" s="111">
        <f t="shared" si="1"/>
        <v>0</v>
      </c>
    </row>
    <row r="63" spans="1:13" ht="16.149999999999999" hidden="1" customHeight="1">
      <c r="A63" s="46" t="s">
        <v>793</v>
      </c>
      <c r="B63" s="47" t="s">
        <v>798</v>
      </c>
      <c r="C63" s="49">
        <v>43178</v>
      </c>
      <c r="D63" s="100" t="s">
        <v>847</v>
      </c>
      <c r="E63" s="109"/>
      <c r="F63" s="109"/>
      <c r="G63" s="109"/>
      <c r="H63" s="109"/>
      <c r="I63" s="109"/>
      <c r="J63" s="109"/>
      <c r="K63" s="109"/>
      <c r="L63" s="110"/>
      <c r="M63" s="111">
        <f t="shared" si="1"/>
        <v>0</v>
      </c>
    </row>
    <row r="64" spans="1:13" ht="16.149999999999999" hidden="1" customHeight="1">
      <c r="A64" s="46" t="s">
        <v>793</v>
      </c>
      <c r="B64" s="47" t="s">
        <v>799</v>
      </c>
      <c r="C64" s="49">
        <v>43199</v>
      </c>
      <c r="D64" s="100" t="s">
        <v>847</v>
      </c>
      <c r="E64" s="109"/>
      <c r="F64" s="109"/>
      <c r="G64" s="109"/>
      <c r="H64" s="109"/>
      <c r="I64" s="109"/>
      <c r="J64" s="109"/>
      <c r="K64" s="109"/>
      <c r="L64" s="110"/>
      <c r="M64" s="111">
        <f t="shared" si="1"/>
        <v>0</v>
      </c>
    </row>
    <row r="65" spans="1:13" ht="16.149999999999999" hidden="1" customHeight="1">
      <c r="A65" s="46" t="s">
        <v>793</v>
      </c>
      <c r="B65" s="47" t="s">
        <v>800</v>
      </c>
      <c r="C65" s="49">
        <v>43279</v>
      </c>
      <c r="D65" s="100" t="s">
        <v>847</v>
      </c>
      <c r="E65" s="109"/>
      <c r="F65" s="109"/>
      <c r="G65" s="109"/>
      <c r="H65" s="109"/>
      <c r="I65" s="109"/>
      <c r="J65" s="109"/>
      <c r="K65" s="109"/>
      <c r="L65" s="110"/>
      <c r="M65" s="111">
        <f t="shared" si="1"/>
        <v>0</v>
      </c>
    </row>
    <row r="66" spans="1:13" ht="16.149999999999999" customHeight="1">
      <c r="A66" s="46" t="s">
        <v>801</v>
      </c>
      <c r="B66" s="47" t="s">
        <v>802</v>
      </c>
      <c r="C66" s="49">
        <v>43218</v>
      </c>
      <c r="D66" s="100" t="s">
        <v>847</v>
      </c>
      <c r="E66" s="109">
        <f>35000-19000</f>
        <v>16000</v>
      </c>
      <c r="F66" s="109">
        <f>IFERROR(VLOOKUP(B66,知识科技工资!C:O,13,0),0)</f>
        <v>950</v>
      </c>
      <c r="G66" s="109">
        <f>IFERROR(VLOOKUP(B66,[3]知识科技工资!C:O,13,0),0)</f>
        <v>150</v>
      </c>
      <c r="H66" s="109">
        <f>F66-G66</f>
        <v>800</v>
      </c>
      <c r="I66" s="109"/>
      <c r="J66" s="109"/>
      <c r="K66" s="109"/>
      <c r="L66" s="110"/>
      <c r="M66" s="111">
        <f t="shared" si="1"/>
        <v>15200</v>
      </c>
    </row>
    <row r="67" spans="1:13" ht="16.149999999999999" hidden="1" customHeight="1">
      <c r="A67" s="46" t="s">
        <v>801</v>
      </c>
      <c r="B67" s="54" t="s">
        <v>309</v>
      </c>
      <c r="C67" s="53">
        <v>42430</v>
      </c>
      <c r="D67" s="100" t="s">
        <v>847</v>
      </c>
      <c r="E67" s="109"/>
      <c r="F67" s="109"/>
      <c r="G67" s="109"/>
      <c r="H67" s="109"/>
      <c r="I67" s="109"/>
      <c r="J67" s="109"/>
      <c r="K67" s="109"/>
      <c r="L67" s="110"/>
      <c r="M67" s="111">
        <f t="shared" ref="M67:M98" si="2">E67-H67-I67-J67-K67-L67</f>
        <v>0</v>
      </c>
    </row>
    <row r="68" spans="1:13" ht="16.149999999999999" customHeight="1">
      <c r="A68" s="46" t="s">
        <v>801</v>
      </c>
      <c r="B68" s="54" t="s">
        <v>803</v>
      </c>
      <c r="C68" s="53">
        <v>43272</v>
      </c>
      <c r="D68" s="100" t="s">
        <v>847</v>
      </c>
      <c r="E68" s="109">
        <v>2000</v>
      </c>
      <c r="F68" s="109">
        <f>IFERROR(VLOOKUP(B68,知识科技工资!C:O,13,0),0)</f>
        <v>110</v>
      </c>
      <c r="G68" s="109">
        <f>IFERROR(VLOOKUP(B68,[3]知识科技工资!C:O,13,0),0)</f>
        <v>110</v>
      </c>
      <c r="H68" s="109">
        <f>F68-G68</f>
        <v>0</v>
      </c>
      <c r="I68" s="109"/>
      <c r="J68" s="109"/>
      <c r="K68" s="109"/>
      <c r="L68" s="110"/>
      <c r="M68" s="111">
        <f t="shared" si="2"/>
        <v>2000</v>
      </c>
    </row>
    <row r="69" spans="1:13" ht="16.149999999999999" hidden="1" customHeight="1">
      <c r="A69" s="46" t="s">
        <v>801</v>
      </c>
      <c r="B69" s="47" t="s">
        <v>64</v>
      </c>
      <c r="C69" s="53">
        <v>41975</v>
      </c>
      <c r="D69" s="100" t="s">
        <v>847</v>
      </c>
      <c r="E69" s="109"/>
      <c r="F69" s="109"/>
      <c r="G69" s="109"/>
      <c r="H69" s="109"/>
      <c r="I69" s="109"/>
      <c r="J69" s="109"/>
      <c r="K69" s="109"/>
      <c r="L69" s="110"/>
      <c r="M69" s="111">
        <f t="shared" si="2"/>
        <v>0</v>
      </c>
    </row>
    <row r="70" spans="1:13" ht="16.149999999999999" hidden="1" customHeight="1">
      <c r="A70" s="46" t="s">
        <v>801</v>
      </c>
      <c r="B70" s="47" t="s">
        <v>52</v>
      </c>
      <c r="C70" s="53">
        <v>42178</v>
      </c>
      <c r="D70" s="100" t="s">
        <v>847</v>
      </c>
      <c r="E70" s="109"/>
      <c r="F70" s="109"/>
      <c r="G70" s="109"/>
      <c r="H70" s="109"/>
      <c r="I70" s="109"/>
      <c r="J70" s="109"/>
      <c r="K70" s="109"/>
      <c r="L70" s="110"/>
      <c r="M70" s="111">
        <f t="shared" si="2"/>
        <v>0</v>
      </c>
    </row>
    <row r="71" spans="1:13" ht="16.149999999999999" hidden="1" customHeight="1">
      <c r="A71" s="46" t="s">
        <v>801</v>
      </c>
      <c r="B71" s="47" t="s">
        <v>804</v>
      </c>
      <c r="C71" s="53">
        <v>42712</v>
      </c>
      <c r="D71" s="100" t="s">
        <v>847</v>
      </c>
      <c r="E71" s="109"/>
      <c r="F71" s="109"/>
      <c r="G71" s="109"/>
      <c r="H71" s="109"/>
      <c r="I71" s="109"/>
      <c r="J71" s="109"/>
      <c r="K71" s="109"/>
      <c r="L71" s="110"/>
      <c r="M71" s="111">
        <f t="shared" si="2"/>
        <v>0</v>
      </c>
    </row>
    <row r="72" spans="1:13" ht="16.149999999999999" hidden="1" customHeight="1">
      <c r="A72" s="46" t="s">
        <v>805</v>
      </c>
      <c r="B72" s="47" t="s">
        <v>155</v>
      </c>
      <c r="C72" s="53">
        <v>41923</v>
      </c>
      <c r="D72" s="100" t="s">
        <v>847</v>
      </c>
      <c r="E72" s="109"/>
      <c r="F72" s="109"/>
      <c r="G72" s="109"/>
      <c r="H72" s="109"/>
      <c r="I72" s="109"/>
      <c r="J72" s="109"/>
      <c r="K72" s="109"/>
      <c r="L72" s="110"/>
      <c r="M72" s="111">
        <f t="shared" si="2"/>
        <v>0</v>
      </c>
    </row>
    <row r="73" spans="1:13" ht="16.149999999999999" hidden="1" customHeight="1">
      <c r="A73" s="46" t="s">
        <v>805</v>
      </c>
      <c r="B73" s="47" t="s">
        <v>157</v>
      </c>
      <c r="C73" s="53">
        <v>42004</v>
      </c>
      <c r="D73" s="100" t="s">
        <v>847</v>
      </c>
      <c r="E73" s="109"/>
      <c r="F73" s="109"/>
      <c r="G73" s="109"/>
      <c r="H73" s="109"/>
      <c r="I73" s="109"/>
      <c r="J73" s="109"/>
      <c r="K73" s="109"/>
      <c r="L73" s="110"/>
      <c r="M73" s="111">
        <f t="shared" si="2"/>
        <v>0</v>
      </c>
    </row>
    <row r="74" spans="1:13" ht="16.149999999999999" hidden="1" customHeight="1">
      <c r="A74" s="46" t="s">
        <v>805</v>
      </c>
      <c r="B74" s="47" t="s">
        <v>806</v>
      </c>
      <c r="C74" s="53">
        <v>42562</v>
      </c>
      <c r="D74" s="100" t="s">
        <v>847</v>
      </c>
      <c r="E74" s="109"/>
      <c r="F74" s="109"/>
      <c r="G74" s="109"/>
      <c r="H74" s="109"/>
      <c r="I74" s="109"/>
      <c r="J74" s="109"/>
      <c r="K74" s="109"/>
      <c r="L74" s="110"/>
      <c r="M74" s="111">
        <f t="shared" si="2"/>
        <v>0</v>
      </c>
    </row>
    <row r="75" spans="1:13" ht="16.149999999999999" hidden="1" customHeight="1">
      <c r="A75" s="46" t="s">
        <v>805</v>
      </c>
      <c r="B75" s="47" t="s">
        <v>807</v>
      </c>
      <c r="C75" s="53">
        <v>42772</v>
      </c>
      <c r="D75" s="100" t="s">
        <v>847</v>
      </c>
      <c r="E75" s="109"/>
      <c r="F75" s="109"/>
      <c r="G75" s="109"/>
      <c r="H75" s="109"/>
      <c r="I75" s="109"/>
      <c r="J75" s="109"/>
      <c r="K75" s="109"/>
      <c r="L75" s="110"/>
      <c r="M75" s="111">
        <f t="shared" si="2"/>
        <v>0</v>
      </c>
    </row>
    <row r="76" spans="1:13" ht="16.149999999999999" customHeight="1">
      <c r="A76" s="46" t="s">
        <v>808</v>
      </c>
      <c r="B76" s="47" t="s">
        <v>90</v>
      </c>
      <c r="C76" s="49">
        <v>42129</v>
      </c>
      <c r="D76" s="100" t="s">
        <v>847</v>
      </c>
      <c r="E76" s="109">
        <v>5000</v>
      </c>
      <c r="F76" s="109">
        <v>150</v>
      </c>
      <c r="G76" s="109">
        <v>150</v>
      </c>
      <c r="H76" s="109">
        <f>F76-G76</f>
        <v>0</v>
      </c>
      <c r="I76" s="109"/>
      <c r="J76" s="109"/>
      <c r="K76" s="109"/>
      <c r="L76" s="110"/>
      <c r="M76" s="111">
        <f t="shared" si="2"/>
        <v>5000</v>
      </c>
    </row>
    <row r="77" spans="1:13" ht="16.149999999999999" hidden="1" customHeight="1">
      <c r="A77" s="46" t="s">
        <v>808</v>
      </c>
      <c r="B77" s="47" t="s">
        <v>809</v>
      </c>
      <c r="C77" s="53">
        <v>42801</v>
      </c>
      <c r="D77" s="100" t="s">
        <v>847</v>
      </c>
      <c r="E77" s="109"/>
      <c r="F77" s="109"/>
      <c r="G77" s="109"/>
      <c r="H77" s="109"/>
      <c r="I77" s="109"/>
      <c r="J77" s="109"/>
      <c r="K77" s="109"/>
      <c r="L77" s="110"/>
      <c r="M77" s="111">
        <f t="shared" si="2"/>
        <v>0</v>
      </c>
    </row>
    <row r="78" spans="1:13" ht="16.149999999999999" hidden="1" customHeight="1">
      <c r="A78" s="46" t="s">
        <v>808</v>
      </c>
      <c r="B78" s="47" t="s">
        <v>810</v>
      </c>
      <c r="C78" s="53">
        <v>42815</v>
      </c>
      <c r="D78" s="100" t="s">
        <v>847</v>
      </c>
      <c r="E78" s="109"/>
      <c r="F78" s="109"/>
      <c r="G78" s="109"/>
      <c r="H78" s="109"/>
      <c r="I78" s="109"/>
      <c r="J78" s="109"/>
      <c r="K78" s="109"/>
      <c r="L78" s="110"/>
      <c r="M78" s="111">
        <f t="shared" si="2"/>
        <v>0</v>
      </c>
    </row>
    <row r="79" spans="1:13" ht="16.149999999999999" customHeight="1">
      <c r="A79" s="56" t="s">
        <v>310</v>
      </c>
      <c r="B79" s="47" t="s">
        <v>181</v>
      </c>
      <c r="C79" s="49">
        <v>42417</v>
      </c>
      <c r="D79" s="100" t="s">
        <v>847</v>
      </c>
      <c r="E79" s="109">
        <v>10000</v>
      </c>
      <c r="F79" s="109">
        <f>IFERROR(VLOOKUP(B79,知识科技工资!C:O,13,0),0)</f>
        <v>125</v>
      </c>
      <c r="G79" s="109">
        <f>IFERROR(VLOOKUP(B79,[3]知识科技工资!C:O,13,0),0)</f>
        <v>125</v>
      </c>
      <c r="H79" s="109">
        <f>F79-G79</f>
        <v>0</v>
      </c>
      <c r="I79" s="109"/>
      <c r="J79" s="109"/>
      <c r="K79" s="109"/>
      <c r="L79" s="110"/>
      <c r="M79" s="111">
        <f t="shared" si="2"/>
        <v>10000</v>
      </c>
    </row>
    <row r="80" spans="1:13" ht="16.149999999999999" customHeight="1">
      <c r="A80" s="56" t="s">
        <v>310</v>
      </c>
      <c r="B80" s="47" t="s">
        <v>183</v>
      </c>
      <c r="C80" s="49">
        <v>42417</v>
      </c>
      <c r="D80" s="100" t="s">
        <v>847</v>
      </c>
      <c r="E80" s="109">
        <v>5000</v>
      </c>
      <c r="F80" s="109">
        <f>IFERROR(VLOOKUP(B80,知识科技工资!C:O,13,0),0)</f>
        <v>125</v>
      </c>
      <c r="G80" s="109">
        <f>IFERROR(VLOOKUP(B80,[3]知识科技工资!C:O,13,0),0)</f>
        <v>125</v>
      </c>
      <c r="H80" s="109">
        <f>F80-G80</f>
        <v>0</v>
      </c>
      <c r="I80" s="109"/>
      <c r="J80" s="109"/>
      <c r="K80" s="109"/>
      <c r="L80" s="110"/>
      <c r="M80" s="111">
        <f t="shared" si="2"/>
        <v>5000</v>
      </c>
    </row>
    <row r="81" spans="1:13" ht="16.149999999999999" hidden="1" customHeight="1">
      <c r="A81" s="56" t="s">
        <v>310</v>
      </c>
      <c r="B81" s="47" t="s">
        <v>811</v>
      </c>
      <c r="C81" s="49">
        <v>42650</v>
      </c>
      <c r="D81" s="100" t="s">
        <v>847</v>
      </c>
      <c r="E81" s="109"/>
      <c r="F81" s="109"/>
      <c r="G81" s="109"/>
      <c r="H81" s="109"/>
      <c r="I81" s="109"/>
      <c r="J81" s="109"/>
      <c r="K81" s="109"/>
      <c r="L81" s="110"/>
      <c r="M81" s="111">
        <f t="shared" si="2"/>
        <v>0</v>
      </c>
    </row>
    <row r="82" spans="1:13" ht="16.149999999999999" hidden="1" customHeight="1">
      <c r="A82" s="56" t="s">
        <v>310</v>
      </c>
      <c r="B82" s="57" t="s">
        <v>812</v>
      </c>
      <c r="C82" s="49">
        <v>43077</v>
      </c>
      <c r="D82" s="100" t="s">
        <v>847</v>
      </c>
      <c r="E82" s="109"/>
      <c r="F82" s="109"/>
      <c r="G82" s="109"/>
      <c r="H82" s="109"/>
      <c r="I82" s="109"/>
      <c r="J82" s="109"/>
      <c r="K82" s="109"/>
      <c r="L82" s="110"/>
      <c r="M82" s="111">
        <f t="shared" si="2"/>
        <v>0</v>
      </c>
    </row>
    <row r="83" spans="1:13" ht="16.149999999999999" hidden="1" customHeight="1">
      <c r="A83" s="56" t="s">
        <v>310</v>
      </c>
      <c r="B83" s="57" t="s">
        <v>813</v>
      </c>
      <c r="C83" s="49">
        <v>43192</v>
      </c>
      <c r="D83" s="100" t="s">
        <v>847</v>
      </c>
      <c r="E83" s="109"/>
      <c r="F83" s="109"/>
      <c r="G83" s="109"/>
      <c r="H83" s="109"/>
      <c r="I83" s="109"/>
      <c r="J83" s="109"/>
      <c r="K83" s="109"/>
      <c r="L83" s="110"/>
      <c r="M83" s="111">
        <f t="shared" si="2"/>
        <v>0</v>
      </c>
    </row>
    <row r="84" spans="1:13" ht="16.149999999999999" hidden="1" customHeight="1">
      <c r="A84" s="56" t="s">
        <v>310</v>
      </c>
      <c r="B84" s="57" t="s">
        <v>814</v>
      </c>
      <c r="C84" s="49">
        <v>43209</v>
      </c>
      <c r="D84" s="100" t="s">
        <v>847</v>
      </c>
      <c r="E84" s="109"/>
      <c r="F84" s="109"/>
      <c r="G84" s="109"/>
      <c r="H84" s="109"/>
      <c r="I84" s="109"/>
      <c r="J84" s="109"/>
      <c r="K84" s="109"/>
      <c r="L84" s="110"/>
      <c r="M84" s="111">
        <f t="shared" si="2"/>
        <v>0</v>
      </c>
    </row>
    <row r="85" spans="1:13" ht="16.149999999999999" hidden="1" customHeight="1">
      <c r="A85" s="56" t="s">
        <v>310</v>
      </c>
      <c r="B85" s="57" t="s">
        <v>815</v>
      </c>
      <c r="C85" s="49">
        <v>43210</v>
      </c>
      <c r="D85" s="100" t="s">
        <v>847</v>
      </c>
      <c r="E85" s="109"/>
      <c r="F85" s="109"/>
      <c r="G85" s="109"/>
      <c r="H85" s="109"/>
      <c r="I85" s="109"/>
      <c r="J85" s="109"/>
      <c r="K85" s="109"/>
      <c r="L85" s="110"/>
      <c r="M85" s="111">
        <f t="shared" si="2"/>
        <v>0</v>
      </c>
    </row>
    <row r="86" spans="1:13" ht="16.149999999999999" hidden="1" customHeight="1">
      <c r="A86" s="56" t="s">
        <v>310</v>
      </c>
      <c r="B86" s="57" t="s">
        <v>816</v>
      </c>
      <c r="C86" s="49">
        <v>43223</v>
      </c>
      <c r="D86" s="100" t="s">
        <v>847</v>
      </c>
      <c r="E86" s="109"/>
      <c r="F86" s="109"/>
      <c r="G86" s="109"/>
      <c r="H86" s="109"/>
      <c r="I86" s="109"/>
      <c r="J86" s="109"/>
      <c r="K86" s="109"/>
      <c r="L86" s="110"/>
      <c r="M86" s="111">
        <f t="shared" si="2"/>
        <v>0</v>
      </c>
    </row>
    <row r="87" spans="1:13" ht="16.149999999999999" hidden="1" customHeight="1">
      <c r="A87" s="56" t="s">
        <v>310</v>
      </c>
      <c r="B87" s="57" t="s">
        <v>817</v>
      </c>
      <c r="C87" s="49">
        <v>43227</v>
      </c>
      <c r="D87" s="100" t="s">
        <v>847</v>
      </c>
      <c r="E87" s="109"/>
      <c r="F87" s="109"/>
      <c r="G87" s="109"/>
      <c r="H87" s="109"/>
      <c r="I87" s="109"/>
      <c r="J87" s="109"/>
      <c r="K87" s="109"/>
      <c r="L87" s="110"/>
      <c r="M87" s="111">
        <f t="shared" si="2"/>
        <v>0</v>
      </c>
    </row>
    <row r="88" spans="1:13" ht="16.149999999999999" hidden="1" customHeight="1">
      <c r="A88" s="56" t="s">
        <v>310</v>
      </c>
      <c r="B88" s="57" t="s">
        <v>818</v>
      </c>
      <c r="C88" s="49">
        <v>43241</v>
      </c>
      <c r="D88" s="100" t="s">
        <v>847</v>
      </c>
      <c r="E88" s="109"/>
      <c r="F88" s="109"/>
      <c r="G88" s="109"/>
      <c r="H88" s="109"/>
      <c r="I88" s="109"/>
      <c r="J88" s="109"/>
      <c r="K88" s="109"/>
      <c r="L88" s="110"/>
      <c r="M88" s="111">
        <f t="shared" si="2"/>
        <v>0</v>
      </c>
    </row>
    <row r="89" spans="1:13" ht="16.149999999999999" hidden="1" customHeight="1">
      <c r="A89" s="56" t="s">
        <v>310</v>
      </c>
      <c r="B89" s="57" t="s">
        <v>819</v>
      </c>
      <c r="C89" s="49">
        <v>43241</v>
      </c>
      <c r="D89" s="100" t="s">
        <v>847</v>
      </c>
      <c r="E89" s="109"/>
      <c r="F89" s="109"/>
      <c r="G89" s="109"/>
      <c r="H89" s="109"/>
      <c r="I89" s="109"/>
      <c r="J89" s="109"/>
      <c r="K89" s="109"/>
      <c r="L89" s="110"/>
      <c r="M89" s="111">
        <f t="shared" si="2"/>
        <v>0</v>
      </c>
    </row>
    <row r="90" spans="1:13" ht="16.149999999999999" hidden="1" customHeight="1">
      <c r="A90" s="56" t="s">
        <v>820</v>
      </c>
      <c r="B90" s="57" t="s">
        <v>821</v>
      </c>
      <c r="C90" s="49">
        <v>43252</v>
      </c>
      <c r="D90" s="100" t="s">
        <v>847</v>
      </c>
      <c r="E90" s="109"/>
      <c r="F90" s="109"/>
      <c r="G90" s="109"/>
      <c r="H90" s="109"/>
      <c r="I90" s="109"/>
      <c r="J90" s="109"/>
      <c r="K90" s="109"/>
      <c r="L90" s="110"/>
      <c r="M90" s="111">
        <f t="shared" si="2"/>
        <v>0</v>
      </c>
    </row>
    <row r="91" spans="1:13" ht="16.149999999999999" hidden="1" customHeight="1">
      <c r="A91" s="56" t="s">
        <v>820</v>
      </c>
      <c r="B91" s="57" t="s">
        <v>822</v>
      </c>
      <c r="C91" s="49">
        <v>43255</v>
      </c>
      <c r="D91" s="100" t="s">
        <v>847</v>
      </c>
      <c r="E91" s="109"/>
      <c r="F91" s="109"/>
      <c r="G91" s="109"/>
      <c r="H91" s="109"/>
      <c r="I91" s="109"/>
      <c r="J91" s="109"/>
      <c r="K91" s="109"/>
      <c r="L91" s="110"/>
      <c r="M91" s="111">
        <f t="shared" si="2"/>
        <v>0</v>
      </c>
    </row>
    <row r="92" spans="1:13" ht="16.149999999999999" hidden="1" customHeight="1">
      <c r="A92" s="56" t="s">
        <v>820</v>
      </c>
      <c r="B92" s="57" t="s">
        <v>823</v>
      </c>
      <c r="C92" s="49">
        <v>43263</v>
      </c>
      <c r="D92" s="100" t="s">
        <v>847</v>
      </c>
      <c r="E92" s="109"/>
      <c r="F92" s="109"/>
      <c r="G92" s="109"/>
      <c r="H92" s="109"/>
      <c r="I92" s="109"/>
      <c r="J92" s="109"/>
      <c r="K92" s="109"/>
      <c r="L92" s="110"/>
      <c r="M92" s="111">
        <f t="shared" si="2"/>
        <v>0</v>
      </c>
    </row>
    <row r="93" spans="1:13" ht="16.149999999999999" hidden="1" customHeight="1">
      <c r="A93" s="56" t="s">
        <v>820</v>
      </c>
      <c r="B93" s="57" t="s">
        <v>824</v>
      </c>
      <c r="C93" s="49">
        <v>43264</v>
      </c>
      <c r="D93" s="100" t="s">
        <v>847</v>
      </c>
      <c r="E93" s="109"/>
      <c r="F93" s="109"/>
      <c r="G93" s="109"/>
      <c r="H93" s="109"/>
      <c r="I93" s="109"/>
      <c r="J93" s="109"/>
      <c r="K93" s="109"/>
      <c r="L93" s="110"/>
      <c r="M93" s="111">
        <f t="shared" si="2"/>
        <v>0</v>
      </c>
    </row>
    <row r="94" spans="1:13" ht="16.149999999999999" hidden="1" customHeight="1">
      <c r="A94" s="56" t="s">
        <v>820</v>
      </c>
      <c r="B94" s="57" t="s">
        <v>825</v>
      </c>
      <c r="C94" s="49">
        <v>43270</v>
      </c>
      <c r="D94" s="100" t="s">
        <v>847</v>
      </c>
      <c r="E94" s="109"/>
      <c r="F94" s="109"/>
      <c r="G94" s="109"/>
      <c r="H94" s="109"/>
      <c r="I94" s="109"/>
      <c r="J94" s="109"/>
      <c r="K94" s="109"/>
      <c r="L94" s="110"/>
      <c r="M94" s="111">
        <f t="shared" si="2"/>
        <v>0</v>
      </c>
    </row>
    <row r="95" spans="1:13" ht="16.149999999999999" hidden="1" customHeight="1">
      <c r="A95" s="56" t="s">
        <v>820</v>
      </c>
      <c r="B95" s="57" t="s">
        <v>826</v>
      </c>
      <c r="C95" s="49">
        <v>43271</v>
      </c>
      <c r="D95" s="100" t="s">
        <v>847</v>
      </c>
      <c r="E95" s="109"/>
      <c r="F95" s="109"/>
      <c r="G95" s="109"/>
      <c r="H95" s="109"/>
      <c r="I95" s="109"/>
      <c r="J95" s="109"/>
      <c r="K95" s="109"/>
      <c r="L95" s="110"/>
      <c r="M95" s="111">
        <f t="shared" si="2"/>
        <v>0</v>
      </c>
    </row>
    <row r="96" spans="1:13" ht="16.149999999999999" hidden="1" customHeight="1">
      <c r="A96" s="56" t="s">
        <v>820</v>
      </c>
      <c r="B96" s="57" t="s">
        <v>827</v>
      </c>
      <c r="C96" s="49">
        <v>43277</v>
      </c>
      <c r="D96" s="100" t="s">
        <v>847</v>
      </c>
      <c r="E96" s="109"/>
      <c r="F96" s="109"/>
      <c r="G96" s="109"/>
      <c r="H96" s="109"/>
      <c r="I96" s="109"/>
      <c r="J96" s="109"/>
      <c r="K96" s="109"/>
      <c r="L96" s="110"/>
      <c r="M96" s="111">
        <f t="shared" si="2"/>
        <v>0</v>
      </c>
    </row>
    <row r="97" spans="1:13" ht="16.149999999999999" customHeight="1">
      <c r="A97" s="46" t="s">
        <v>828</v>
      </c>
      <c r="B97" s="47" t="s">
        <v>120</v>
      </c>
      <c r="C97" s="49">
        <v>42242</v>
      </c>
      <c r="D97" s="100" t="s">
        <v>847</v>
      </c>
      <c r="E97" s="109">
        <f>30000-18000</f>
        <v>12000</v>
      </c>
      <c r="F97" s="109">
        <f>IFERROR(VLOOKUP(B97,知识科技工资!C:O,13,0),0)</f>
        <v>900</v>
      </c>
      <c r="G97" s="109">
        <f>IFERROR(VLOOKUP(B97,[3]知识科技工资!C:O,13,0),0)</f>
        <v>150</v>
      </c>
      <c r="H97" s="109">
        <f>F97-G97</f>
        <v>750</v>
      </c>
      <c r="I97" s="109"/>
      <c r="J97" s="109"/>
      <c r="K97" s="109"/>
      <c r="L97" s="110"/>
      <c r="M97" s="111">
        <f t="shared" si="2"/>
        <v>11250</v>
      </c>
    </row>
    <row r="98" spans="1:13" ht="16.149999999999999" hidden="1" customHeight="1">
      <c r="A98" s="46" t="s">
        <v>828</v>
      </c>
      <c r="B98" s="47" t="s">
        <v>112</v>
      </c>
      <c r="C98" s="49">
        <v>42069</v>
      </c>
      <c r="D98" s="100" t="s">
        <v>847</v>
      </c>
      <c r="E98" s="109"/>
      <c r="F98" s="109"/>
      <c r="G98" s="109"/>
      <c r="H98" s="109"/>
      <c r="I98" s="109"/>
      <c r="J98" s="109"/>
      <c r="K98" s="109"/>
      <c r="L98" s="110"/>
      <c r="M98" s="111">
        <f t="shared" si="2"/>
        <v>0</v>
      </c>
    </row>
    <row r="99" spans="1:13" ht="16.149999999999999" hidden="1" customHeight="1">
      <c r="A99" s="56" t="s">
        <v>828</v>
      </c>
      <c r="B99" s="47" t="s">
        <v>829</v>
      </c>
      <c r="C99" s="49">
        <v>42850</v>
      </c>
      <c r="D99" s="100" t="s">
        <v>847</v>
      </c>
      <c r="E99" s="109"/>
      <c r="F99" s="109"/>
      <c r="G99" s="109"/>
      <c r="H99" s="109"/>
      <c r="I99" s="109"/>
      <c r="J99" s="109"/>
      <c r="K99" s="109"/>
      <c r="L99" s="110"/>
      <c r="M99" s="111">
        <f t="shared" ref="M99:M114" si="3">E99-H99-I99-J99-K99-L99</f>
        <v>0</v>
      </c>
    </row>
    <row r="100" spans="1:13" ht="16.149999999999999" hidden="1" customHeight="1">
      <c r="A100" s="56" t="s">
        <v>828</v>
      </c>
      <c r="B100" s="47" t="s">
        <v>797</v>
      </c>
      <c r="C100" s="49">
        <v>42983</v>
      </c>
      <c r="D100" s="100" t="s">
        <v>847</v>
      </c>
      <c r="E100" s="109"/>
      <c r="F100" s="109"/>
      <c r="G100" s="109"/>
      <c r="H100" s="109"/>
      <c r="I100" s="109"/>
      <c r="J100" s="109"/>
      <c r="K100" s="109"/>
      <c r="L100" s="110"/>
      <c r="M100" s="111">
        <f t="shared" si="3"/>
        <v>0</v>
      </c>
    </row>
    <row r="101" spans="1:13" ht="16.149999999999999" hidden="1" customHeight="1">
      <c r="A101" s="56" t="s">
        <v>828</v>
      </c>
      <c r="B101" s="47" t="s">
        <v>118</v>
      </c>
      <c r="C101" s="49">
        <v>43053</v>
      </c>
      <c r="D101" s="100" t="s">
        <v>847</v>
      </c>
      <c r="E101" s="109"/>
      <c r="F101" s="109"/>
      <c r="G101" s="109"/>
      <c r="H101" s="109"/>
      <c r="I101" s="109"/>
      <c r="J101" s="109"/>
      <c r="K101" s="109"/>
      <c r="L101" s="110"/>
      <c r="M101" s="111">
        <f t="shared" si="3"/>
        <v>0</v>
      </c>
    </row>
    <row r="102" spans="1:13" ht="16.149999999999999" hidden="1" customHeight="1">
      <c r="A102" s="56" t="s">
        <v>828</v>
      </c>
      <c r="B102" s="47" t="s">
        <v>830</v>
      </c>
      <c r="C102" s="49">
        <v>43070</v>
      </c>
      <c r="D102" s="100" t="s">
        <v>847</v>
      </c>
      <c r="E102" s="109"/>
      <c r="F102" s="109"/>
      <c r="G102" s="109"/>
      <c r="H102" s="109"/>
      <c r="I102" s="109"/>
      <c r="J102" s="109"/>
      <c r="K102" s="109"/>
      <c r="L102" s="110"/>
      <c r="M102" s="111">
        <f t="shared" si="3"/>
        <v>0</v>
      </c>
    </row>
    <row r="103" spans="1:13" ht="16.149999999999999" hidden="1" customHeight="1">
      <c r="A103" s="56" t="s">
        <v>828</v>
      </c>
      <c r="B103" s="47" t="s">
        <v>831</v>
      </c>
      <c r="C103" s="49">
        <v>43192</v>
      </c>
      <c r="D103" s="100" t="s">
        <v>847</v>
      </c>
      <c r="E103" s="109"/>
      <c r="F103" s="109"/>
      <c r="G103" s="109"/>
      <c r="H103" s="109"/>
      <c r="I103" s="109"/>
      <c r="J103" s="109"/>
      <c r="K103" s="109"/>
      <c r="L103" s="110"/>
      <c r="M103" s="111">
        <f t="shared" si="3"/>
        <v>0</v>
      </c>
    </row>
    <row r="104" spans="1:13" ht="16.149999999999999" hidden="1" customHeight="1">
      <c r="A104" s="56" t="s">
        <v>828</v>
      </c>
      <c r="B104" s="47" t="s">
        <v>832</v>
      </c>
      <c r="C104" s="49">
        <v>43222</v>
      </c>
      <c r="D104" s="100" t="s">
        <v>847</v>
      </c>
      <c r="E104" s="109"/>
      <c r="F104" s="109"/>
      <c r="G104" s="109"/>
      <c r="H104" s="109"/>
      <c r="I104" s="109"/>
      <c r="J104" s="109"/>
      <c r="K104" s="109"/>
      <c r="L104" s="110"/>
      <c r="M104" s="111">
        <f t="shared" si="3"/>
        <v>0</v>
      </c>
    </row>
    <row r="105" spans="1:13" ht="16.149999999999999" hidden="1" customHeight="1">
      <c r="A105" s="56" t="s">
        <v>828</v>
      </c>
      <c r="B105" s="47" t="s">
        <v>833</v>
      </c>
      <c r="C105" s="49">
        <v>43241</v>
      </c>
      <c r="D105" s="100" t="s">
        <v>847</v>
      </c>
      <c r="E105" s="109"/>
      <c r="F105" s="109"/>
      <c r="G105" s="109"/>
      <c r="H105" s="109"/>
      <c r="I105" s="109"/>
      <c r="J105" s="109"/>
      <c r="K105" s="109"/>
      <c r="L105" s="110"/>
      <c r="M105" s="111">
        <f t="shared" si="3"/>
        <v>0</v>
      </c>
    </row>
    <row r="106" spans="1:13" ht="16.149999999999999" hidden="1" customHeight="1">
      <c r="A106" s="56" t="s">
        <v>834</v>
      </c>
      <c r="B106" s="47" t="s">
        <v>835</v>
      </c>
      <c r="C106" s="49">
        <v>43132</v>
      </c>
      <c r="D106" s="100" t="s">
        <v>847</v>
      </c>
      <c r="E106" s="109"/>
      <c r="F106" s="109"/>
      <c r="G106" s="109"/>
      <c r="H106" s="109"/>
      <c r="I106" s="109"/>
      <c r="J106" s="109"/>
      <c r="K106" s="109"/>
      <c r="L106" s="110"/>
      <c r="M106" s="111">
        <f t="shared" si="3"/>
        <v>0</v>
      </c>
    </row>
    <row r="107" spans="1:13" ht="16.149999999999999" hidden="1" customHeight="1">
      <c r="A107" s="56" t="s">
        <v>834</v>
      </c>
      <c r="B107" s="47" t="s">
        <v>836</v>
      </c>
      <c r="C107" s="49">
        <v>43185</v>
      </c>
      <c r="D107" s="100" t="s">
        <v>848</v>
      </c>
      <c r="E107" s="109"/>
      <c r="F107" s="109"/>
      <c r="G107" s="109"/>
      <c r="H107" s="109"/>
      <c r="I107" s="109"/>
      <c r="J107" s="109"/>
      <c r="K107" s="109"/>
      <c r="L107" s="110"/>
      <c r="M107" s="111">
        <f t="shared" si="3"/>
        <v>0</v>
      </c>
    </row>
    <row r="108" spans="1:13" ht="16.149999999999999" hidden="1" customHeight="1">
      <c r="A108" s="56" t="s">
        <v>837</v>
      </c>
      <c r="B108" s="47" t="s">
        <v>838</v>
      </c>
      <c r="C108" s="49">
        <v>43192</v>
      </c>
      <c r="D108" s="100" t="s">
        <v>848</v>
      </c>
      <c r="E108" s="109"/>
      <c r="F108" s="109"/>
      <c r="G108" s="109"/>
      <c r="H108" s="109"/>
      <c r="I108" s="109"/>
      <c r="J108" s="109"/>
      <c r="K108" s="109"/>
      <c r="L108" s="110"/>
      <c r="M108" s="111">
        <f t="shared" si="3"/>
        <v>0</v>
      </c>
    </row>
    <row r="109" spans="1:13" ht="16.149999999999999" hidden="1" customHeight="1">
      <c r="A109" s="56" t="s">
        <v>837</v>
      </c>
      <c r="B109" s="47" t="s">
        <v>839</v>
      </c>
      <c r="C109" s="49">
        <v>43192</v>
      </c>
      <c r="D109" s="100" t="s">
        <v>848</v>
      </c>
      <c r="E109" s="109"/>
      <c r="F109" s="109"/>
      <c r="G109" s="109"/>
      <c r="H109" s="109"/>
      <c r="I109" s="109"/>
      <c r="J109" s="109"/>
      <c r="K109" s="109"/>
      <c r="L109" s="110"/>
      <c r="M109" s="111">
        <f t="shared" si="3"/>
        <v>0</v>
      </c>
    </row>
    <row r="110" spans="1:13" ht="16.149999999999999" hidden="1" customHeight="1">
      <c r="A110" s="56" t="s">
        <v>837</v>
      </c>
      <c r="B110" s="47" t="s">
        <v>840</v>
      </c>
      <c r="C110" s="49">
        <v>43224</v>
      </c>
      <c r="D110" s="100" t="s">
        <v>848</v>
      </c>
      <c r="E110" s="109"/>
      <c r="F110" s="109"/>
      <c r="G110" s="109"/>
      <c r="H110" s="109"/>
      <c r="I110" s="109"/>
      <c r="J110" s="109"/>
      <c r="K110" s="109"/>
      <c r="L110" s="110"/>
      <c r="M110" s="111">
        <f t="shared" si="3"/>
        <v>0</v>
      </c>
    </row>
    <row r="111" spans="1:13" ht="16.149999999999999" hidden="1" customHeight="1">
      <c r="A111" s="56" t="s">
        <v>841</v>
      </c>
      <c r="B111" s="47" t="s">
        <v>842</v>
      </c>
      <c r="C111" s="49">
        <v>43222</v>
      </c>
      <c r="D111" s="100" t="s">
        <v>848</v>
      </c>
      <c r="E111" s="109"/>
      <c r="F111" s="109"/>
      <c r="G111" s="109"/>
      <c r="H111" s="109"/>
      <c r="I111" s="109"/>
      <c r="J111" s="109"/>
      <c r="K111" s="109"/>
      <c r="L111" s="110"/>
      <c r="M111" s="111">
        <f t="shared" si="3"/>
        <v>0</v>
      </c>
    </row>
    <row r="112" spans="1:13" ht="16.149999999999999" hidden="1" customHeight="1">
      <c r="A112" s="56" t="s">
        <v>841</v>
      </c>
      <c r="B112" s="47" t="s">
        <v>843</v>
      </c>
      <c r="C112" s="49">
        <v>43222</v>
      </c>
      <c r="D112" s="100" t="s">
        <v>848</v>
      </c>
      <c r="E112" s="109"/>
      <c r="F112" s="109"/>
      <c r="G112" s="109"/>
      <c r="H112" s="109"/>
      <c r="I112" s="109"/>
      <c r="J112" s="109"/>
      <c r="K112" s="109"/>
      <c r="L112" s="110"/>
      <c r="M112" s="111">
        <f t="shared" si="3"/>
        <v>0</v>
      </c>
    </row>
    <row r="113" spans="1:13" ht="16.149999999999999" hidden="1" customHeight="1">
      <c r="A113" s="56" t="s">
        <v>841</v>
      </c>
      <c r="B113" s="47" t="s">
        <v>844</v>
      </c>
      <c r="C113" s="49">
        <v>43262</v>
      </c>
      <c r="D113" s="100" t="s">
        <v>848</v>
      </c>
      <c r="E113" s="109"/>
      <c r="F113" s="109"/>
      <c r="G113" s="109"/>
      <c r="H113" s="109"/>
      <c r="I113" s="109"/>
      <c r="J113" s="109"/>
      <c r="K113" s="109"/>
      <c r="L113" s="110"/>
      <c r="M113" s="111">
        <f t="shared" si="3"/>
        <v>0</v>
      </c>
    </row>
    <row r="114" spans="1:13" ht="16.149999999999999" hidden="1" customHeight="1">
      <c r="A114" s="56" t="s">
        <v>841</v>
      </c>
      <c r="B114" s="47" t="s">
        <v>845</v>
      </c>
      <c r="C114" s="49">
        <v>43262</v>
      </c>
      <c r="D114" s="100" t="s">
        <v>848</v>
      </c>
      <c r="E114" s="109"/>
      <c r="F114" s="109"/>
      <c r="G114" s="109"/>
      <c r="H114" s="109"/>
      <c r="I114" s="109"/>
      <c r="J114" s="109"/>
      <c r="K114" s="109"/>
      <c r="L114" s="110"/>
      <c r="M114" s="111">
        <f t="shared" si="3"/>
        <v>0</v>
      </c>
    </row>
    <row r="115" spans="1:13" ht="16.149999999999999" customHeight="1">
      <c r="A115" s="58"/>
      <c r="B115" s="59"/>
      <c r="C115" s="60" t="s">
        <v>846</v>
      </c>
      <c r="D115" s="101"/>
      <c r="E115" s="112">
        <f>SUM(E3:E114)</f>
        <v>163000</v>
      </c>
      <c r="F115" s="112">
        <f>SUBTOTAL(9,F3:F97)</f>
        <v>6710</v>
      </c>
      <c r="G115" s="112">
        <f>SUBTOTAL(9,G3:G97)</f>
        <v>1670</v>
      </c>
      <c r="H115" s="112">
        <f>SUBTOTAL(9,H3:H97)</f>
        <v>5040</v>
      </c>
      <c r="I115" s="112"/>
      <c r="J115" s="112"/>
      <c r="K115" s="112"/>
      <c r="L115" s="113"/>
      <c r="M115" s="114">
        <f>SUM(M3:M114)</f>
        <v>157960</v>
      </c>
    </row>
  </sheetData>
  <autoFilter ref="A2:M114">
    <filterColumn colId="4">
      <customFilters>
        <customFilter operator="notEqual" val=" "/>
      </customFilters>
    </filterColumn>
  </autoFilter>
  <mergeCells count="1">
    <mergeCell ref="A1:M1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3"/>
  <sheetViews>
    <sheetView workbookViewId="0">
      <selection sqref="A1:XFD1048576"/>
    </sheetView>
  </sheetViews>
  <sheetFormatPr defaultColWidth="9" defaultRowHeight="13.5"/>
  <cols>
    <col min="1" max="16384" width="9" style="165"/>
  </cols>
  <sheetData>
    <row r="1" spans="1:21" ht="15">
      <c r="H1" s="166" t="s">
        <v>341</v>
      </c>
    </row>
    <row r="2" spans="1:21">
      <c r="A2" s="165" t="s">
        <v>342</v>
      </c>
      <c r="D2" s="165" t="s">
        <v>343</v>
      </c>
      <c r="J2" s="165" t="s">
        <v>344</v>
      </c>
    </row>
    <row r="3" spans="1:21">
      <c r="A3" s="165" t="s">
        <v>892</v>
      </c>
      <c r="D3" s="165" t="s">
        <v>345</v>
      </c>
      <c r="J3" s="165" t="s">
        <v>891</v>
      </c>
    </row>
    <row r="4" spans="1:21">
      <c r="F4" s="167" t="s">
        <v>346</v>
      </c>
      <c r="I4" s="167" t="s">
        <v>347</v>
      </c>
      <c r="L4" s="167" t="s">
        <v>348</v>
      </c>
      <c r="N4" s="167" t="s">
        <v>349</v>
      </c>
      <c r="Q4" s="167" t="s">
        <v>350</v>
      </c>
      <c r="S4" s="167" t="s">
        <v>351</v>
      </c>
    </row>
    <row r="5" spans="1:21">
      <c r="A5" s="167" t="s">
        <v>0</v>
      </c>
      <c r="B5" s="167" t="s">
        <v>352</v>
      </c>
      <c r="C5" s="167" t="s">
        <v>1</v>
      </c>
      <c r="D5" s="167" t="s">
        <v>353</v>
      </c>
      <c r="E5" s="167" t="s">
        <v>354</v>
      </c>
      <c r="F5" s="167" t="s">
        <v>355</v>
      </c>
      <c r="G5" s="167" t="s">
        <v>356</v>
      </c>
      <c r="H5" s="167" t="s">
        <v>357</v>
      </c>
      <c r="I5" s="167" t="s">
        <v>358</v>
      </c>
      <c r="J5" s="167" t="s">
        <v>359</v>
      </c>
      <c r="K5" s="167" t="s">
        <v>357</v>
      </c>
      <c r="L5" s="167" t="s">
        <v>358</v>
      </c>
      <c r="M5" s="167" t="s">
        <v>359</v>
      </c>
      <c r="N5" s="167" t="s">
        <v>357</v>
      </c>
      <c r="O5" s="167" t="s">
        <v>359</v>
      </c>
      <c r="P5" s="167" t="s">
        <v>357</v>
      </c>
      <c r="Q5" s="167" t="s">
        <v>358</v>
      </c>
      <c r="R5" s="167" t="s">
        <v>359</v>
      </c>
      <c r="S5" s="167" t="s">
        <v>357</v>
      </c>
      <c r="T5" s="167" t="s">
        <v>359</v>
      </c>
      <c r="U5" s="167" t="s">
        <v>360</v>
      </c>
    </row>
    <row r="6" spans="1:21">
      <c r="A6" s="165">
        <v>1</v>
      </c>
      <c r="B6" s="165" t="s">
        <v>361</v>
      </c>
      <c r="C6" s="165" t="s">
        <v>246</v>
      </c>
      <c r="D6" s="165" t="s">
        <v>362</v>
      </c>
      <c r="E6" s="165">
        <v>1117.04</v>
      </c>
      <c r="F6" s="165">
        <v>351.18</v>
      </c>
      <c r="G6" s="165">
        <v>765.86</v>
      </c>
      <c r="H6" s="165">
        <v>3000</v>
      </c>
      <c r="I6" s="165">
        <v>240</v>
      </c>
      <c r="J6" s="165">
        <v>420</v>
      </c>
      <c r="K6" s="165">
        <v>5009</v>
      </c>
      <c r="L6" s="165">
        <v>100.18</v>
      </c>
      <c r="M6" s="165">
        <v>310.56</v>
      </c>
      <c r="N6" s="165">
        <v>3000</v>
      </c>
      <c r="O6" s="165">
        <v>4.2</v>
      </c>
      <c r="P6" s="165">
        <v>2200</v>
      </c>
      <c r="Q6" s="165">
        <v>11</v>
      </c>
      <c r="R6" s="165">
        <v>17.600000000000001</v>
      </c>
      <c r="S6" s="165">
        <v>3000</v>
      </c>
      <c r="T6" s="165">
        <v>13.5</v>
      </c>
      <c r="U6" s="165" t="s">
        <v>363</v>
      </c>
    </row>
    <row r="7" spans="1:21">
      <c r="A7" s="165">
        <v>2</v>
      </c>
      <c r="B7" s="165" t="s">
        <v>364</v>
      </c>
      <c r="C7" s="165" t="s">
        <v>97</v>
      </c>
      <c r="D7" s="165" t="s">
        <v>365</v>
      </c>
      <c r="E7" s="165">
        <v>914.32</v>
      </c>
      <c r="F7" s="165">
        <v>287.18</v>
      </c>
      <c r="G7" s="165">
        <v>627.14</v>
      </c>
      <c r="H7" s="165">
        <v>2200</v>
      </c>
      <c r="I7" s="165">
        <v>176</v>
      </c>
      <c r="J7" s="165">
        <v>286</v>
      </c>
      <c r="K7" s="165">
        <v>5009</v>
      </c>
      <c r="L7" s="165">
        <v>100.18</v>
      </c>
      <c r="M7" s="165">
        <v>310.56</v>
      </c>
      <c r="N7" s="165">
        <v>2200</v>
      </c>
      <c r="O7" s="165">
        <v>3.08</v>
      </c>
      <c r="P7" s="165">
        <v>2200</v>
      </c>
      <c r="Q7" s="165">
        <v>11</v>
      </c>
      <c r="R7" s="165">
        <v>17.600000000000001</v>
      </c>
      <c r="S7" s="165">
        <v>2200</v>
      </c>
      <c r="T7" s="165">
        <v>9.9</v>
      </c>
      <c r="U7" s="165" t="s">
        <v>363</v>
      </c>
    </row>
    <row r="9" spans="1:21">
      <c r="A9" s="165" t="s">
        <v>337</v>
      </c>
      <c r="E9" s="165">
        <v>2031.3600000000001</v>
      </c>
      <c r="F9" s="165">
        <v>638.36</v>
      </c>
      <c r="G9" s="165">
        <v>1393</v>
      </c>
      <c r="I9" s="165">
        <v>416</v>
      </c>
      <c r="J9" s="165">
        <v>706</v>
      </c>
      <c r="L9" s="165">
        <v>200.36</v>
      </c>
      <c r="M9" s="165">
        <v>621.12</v>
      </c>
      <c r="O9" s="165">
        <v>7.28</v>
      </c>
      <c r="Q9" s="165">
        <v>22</v>
      </c>
      <c r="R9" s="165">
        <v>35.200000000000003</v>
      </c>
      <c r="T9" s="165">
        <v>23.4</v>
      </c>
    </row>
    <row r="11" spans="1:21">
      <c r="C11" s="165" t="s">
        <v>366</v>
      </c>
      <c r="G11" s="165" t="s">
        <v>367</v>
      </c>
      <c r="K11" s="165" t="s">
        <v>368</v>
      </c>
    </row>
    <row r="12" spans="1:21">
      <c r="C12" s="165" t="s">
        <v>890</v>
      </c>
      <c r="G12" s="165" t="s">
        <v>889</v>
      </c>
      <c r="K12" s="165" t="s">
        <v>888</v>
      </c>
    </row>
    <row r="13" spans="1:21">
      <c r="C13" s="165" t="s">
        <v>887</v>
      </c>
      <c r="G13" s="165" t="s">
        <v>369</v>
      </c>
    </row>
    <row r="15" spans="1:21" ht="15">
      <c r="H15" s="166" t="s">
        <v>370</v>
      </c>
    </row>
    <row r="17" spans="1:11">
      <c r="A17" s="167" t="s">
        <v>0</v>
      </c>
      <c r="B17" s="167" t="s">
        <v>352</v>
      </c>
      <c r="C17" s="167" t="s">
        <v>1</v>
      </c>
      <c r="D17" s="167" t="s">
        <v>371</v>
      </c>
      <c r="E17" s="167" t="s">
        <v>372</v>
      </c>
      <c r="F17" s="167" t="s">
        <v>373</v>
      </c>
      <c r="G17" s="167" t="s">
        <v>374</v>
      </c>
      <c r="H17" s="167" t="s">
        <v>358</v>
      </c>
      <c r="I17" s="167" t="s">
        <v>359</v>
      </c>
    </row>
    <row r="19" spans="1:11">
      <c r="C19" s="165" t="s">
        <v>375</v>
      </c>
      <c r="G19" s="165" t="s">
        <v>376</v>
      </c>
      <c r="K19" s="165" t="s">
        <v>377</v>
      </c>
    </row>
    <row r="21" spans="1:11" ht="15">
      <c r="H21" s="166" t="s">
        <v>378</v>
      </c>
    </row>
    <row r="23" spans="1:11">
      <c r="C23" s="165" t="s">
        <v>886</v>
      </c>
      <c r="G23" s="165" t="s">
        <v>885</v>
      </c>
      <c r="K23" s="165" t="s">
        <v>884</v>
      </c>
    </row>
  </sheetData>
  <phoneticPr fontId="1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J16" sqref="J16"/>
    </sheetView>
  </sheetViews>
  <sheetFormatPr defaultColWidth="9" defaultRowHeight="13.5"/>
  <cols>
    <col min="1" max="16384" width="9" style="165"/>
  </cols>
  <sheetData>
    <row r="1" spans="1:11">
      <c r="A1" s="165" t="s">
        <v>0</v>
      </c>
      <c r="B1" s="165" t="s">
        <v>379</v>
      </c>
      <c r="C1" s="165" t="s">
        <v>1</v>
      </c>
      <c r="D1" s="165" t="s">
        <v>380</v>
      </c>
      <c r="E1" s="165" t="s">
        <v>381</v>
      </c>
      <c r="F1" s="165" t="s">
        <v>382</v>
      </c>
      <c r="G1" s="165" t="s">
        <v>383</v>
      </c>
      <c r="H1" s="165" t="s">
        <v>384</v>
      </c>
      <c r="I1" s="165" t="s">
        <v>385</v>
      </c>
    </row>
    <row r="2" spans="1:11">
      <c r="A2" s="165" t="s">
        <v>70</v>
      </c>
      <c r="B2" s="165" t="s">
        <v>386</v>
      </c>
      <c r="C2" s="165" t="s">
        <v>246</v>
      </c>
      <c r="D2" s="165" t="s">
        <v>362</v>
      </c>
      <c r="E2" s="165" t="s">
        <v>387</v>
      </c>
      <c r="F2" s="165" t="s">
        <v>388</v>
      </c>
      <c r="G2" s="165" t="s">
        <v>388</v>
      </c>
      <c r="H2" s="165" t="s">
        <v>860</v>
      </c>
      <c r="I2" s="165" t="s">
        <v>858</v>
      </c>
      <c r="K2" s="165">
        <f>H2/2</f>
        <v>150</v>
      </c>
    </row>
    <row r="3" spans="1:11">
      <c r="A3" s="165" t="s">
        <v>137</v>
      </c>
      <c r="B3" s="165" t="s">
        <v>389</v>
      </c>
      <c r="C3" s="165" t="s">
        <v>97</v>
      </c>
      <c r="D3" s="165" t="s">
        <v>365</v>
      </c>
      <c r="E3" s="165" t="s">
        <v>390</v>
      </c>
      <c r="F3" s="165" t="s">
        <v>388</v>
      </c>
      <c r="G3" s="165" t="s">
        <v>388</v>
      </c>
      <c r="H3" s="165" t="s">
        <v>859</v>
      </c>
      <c r="I3" s="165" t="s">
        <v>858</v>
      </c>
      <c r="K3" s="165">
        <f>H3/2</f>
        <v>110</v>
      </c>
    </row>
  </sheetData>
  <phoneticPr fontId="17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1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8" sqref="G18"/>
    </sheetView>
  </sheetViews>
  <sheetFormatPr defaultColWidth="9" defaultRowHeight="13.5"/>
  <cols>
    <col min="1" max="5" width="9" style="165"/>
    <col min="6" max="6" width="12.75" style="229" bestFit="1" customWidth="1"/>
    <col min="7" max="16384" width="9" style="165"/>
  </cols>
  <sheetData>
    <row r="1" spans="1:21" ht="15">
      <c r="H1" s="166" t="s">
        <v>341</v>
      </c>
    </row>
    <row r="2" spans="1:21">
      <c r="A2" s="165" t="s">
        <v>404</v>
      </c>
      <c r="D2" s="165" t="s">
        <v>405</v>
      </c>
      <c r="J2" s="165" t="s">
        <v>406</v>
      </c>
    </row>
    <row r="3" spans="1:21">
      <c r="A3" s="165" t="s">
        <v>892</v>
      </c>
      <c r="D3" s="165" t="s">
        <v>345</v>
      </c>
      <c r="J3" s="165" t="s">
        <v>911</v>
      </c>
    </row>
    <row r="4" spans="1:21">
      <c r="F4" s="325" t="s">
        <v>346</v>
      </c>
      <c r="I4" s="167" t="s">
        <v>347</v>
      </c>
      <c r="L4" s="167" t="s">
        <v>348</v>
      </c>
      <c r="N4" s="167" t="s">
        <v>349</v>
      </c>
      <c r="Q4" s="167" t="s">
        <v>350</v>
      </c>
      <c r="S4" s="167" t="s">
        <v>351</v>
      </c>
    </row>
    <row r="5" spans="1:21">
      <c r="A5" s="167" t="s">
        <v>0</v>
      </c>
      <c r="B5" s="167" t="s">
        <v>352</v>
      </c>
      <c r="C5" s="167" t="s">
        <v>1</v>
      </c>
      <c r="D5" s="167" t="s">
        <v>353</v>
      </c>
      <c r="E5" s="167" t="s">
        <v>354</v>
      </c>
      <c r="F5" s="325" t="s">
        <v>355</v>
      </c>
      <c r="G5" s="167" t="s">
        <v>356</v>
      </c>
      <c r="H5" s="167" t="s">
        <v>357</v>
      </c>
      <c r="I5" s="167" t="s">
        <v>358</v>
      </c>
      <c r="J5" s="167" t="s">
        <v>359</v>
      </c>
      <c r="K5" s="167" t="s">
        <v>357</v>
      </c>
      <c r="L5" s="167" t="s">
        <v>358</v>
      </c>
      <c r="M5" s="167" t="s">
        <v>359</v>
      </c>
      <c r="N5" s="167" t="s">
        <v>357</v>
      </c>
      <c r="O5" s="167" t="s">
        <v>359</v>
      </c>
      <c r="P5" s="167" t="s">
        <v>357</v>
      </c>
      <c r="Q5" s="167" t="s">
        <v>358</v>
      </c>
      <c r="R5" s="167" t="s">
        <v>359</v>
      </c>
      <c r="S5" s="167" t="s">
        <v>357</v>
      </c>
      <c r="T5" s="167" t="s">
        <v>359</v>
      </c>
      <c r="U5" s="167" t="s">
        <v>360</v>
      </c>
    </row>
    <row r="6" spans="1:21">
      <c r="A6" s="165">
        <v>1</v>
      </c>
      <c r="B6" s="165" t="s">
        <v>407</v>
      </c>
      <c r="C6" s="165" t="s">
        <v>43</v>
      </c>
      <c r="D6" s="165" t="s">
        <v>408</v>
      </c>
      <c r="E6" s="165">
        <v>921.8</v>
      </c>
      <c r="F6" s="229">
        <v>287.18</v>
      </c>
      <c r="G6" s="165">
        <v>634.62</v>
      </c>
      <c r="H6" s="165">
        <v>2200</v>
      </c>
      <c r="I6" s="165">
        <v>176</v>
      </c>
      <c r="J6" s="165">
        <v>286</v>
      </c>
      <c r="K6" s="165">
        <v>5009</v>
      </c>
      <c r="L6" s="165">
        <v>100.18</v>
      </c>
      <c r="M6" s="165">
        <v>310.56</v>
      </c>
      <c r="N6" s="165">
        <v>2200</v>
      </c>
      <c r="O6" s="165">
        <v>6.16</v>
      </c>
      <c r="P6" s="165">
        <v>2200</v>
      </c>
      <c r="Q6" s="165">
        <v>11</v>
      </c>
      <c r="R6" s="165">
        <v>22</v>
      </c>
      <c r="S6" s="165">
        <v>2200</v>
      </c>
      <c r="T6" s="165">
        <v>9.9</v>
      </c>
      <c r="U6" s="165" t="s">
        <v>363</v>
      </c>
    </row>
    <row r="7" spans="1:21">
      <c r="A7" s="165">
        <v>2</v>
      </c>
      <c r="B7" s="165" t="s">
        <v>409</v>
      </c>
      <c r="C7" s="165" t="s">
        <v>85</v>
      </c>
      <c r="D7" s="165" t="s">
        <v>410</v>
      </c>
      <c r="E7" s="165">
        <v>921.8</v>
      </c>
      <c r="F7" s="229">
        <v>287.18</v>
      </c>
      <c r="G7" s="165">
        <v>634.62</v>
      </c>
      <c r="H7" s="165">
        <v>2200</v>
      </c>
      <c r="I7" s="165">
        <v>176</v>
      </c>
      <c r="J7" s="165">
        <v>286</v>
      </c>
      <c r="K7" s="165">
        <v>5009</v>
      </c>
      <c r="L7" s="165">
        <v>100.18</v>
      </c>
      <c r="M7" s="165">
        <v>310.56</v>
      </c>
      <c r="N7" s="165">
        <v>2200</v>
      </c>
      <c r="O7" s="165">
        <v>6.16</v>
      </c>
      <c r="P7" s="165">
        <v>2200</v>
      </c>
      <c r="Q7" s="165">
        <v>11</v>
      </c>
      <c r="R7" s="165">
        <v>22</v>
      </c>
      <c r="S7" s="165">
        <v>2200</v>
      </c>
      <c r="T7" s="165">
        <v>9.9</v>
      </c>
      <c r="U7" s="165" t="s">
        <v>363</v>
      </c>
    </row>
    <row r="8" spans="1:21">
      <c r="A8" s="165">
        <v>3</v>
      </c>
      <c r="B8" s="165" t="s">
        <v>411</v>
      </c>
      <c r="C8" s="165" t="s">
        <v>54</v>
      </c>
      <c r="D8" s="165" t="s">
        <v>412</v>
      </c>
      <c r="E8" s="165">
        <v>943.8</v>
      </c>
      <c r="F8" s="229">
        <v>287.18</v>
      </c>
      <c r="G8" s="165">
        <v>656.62</v>
      </c>
      <c r="H8" s="165">
        <v>2200</v>
      </c>
      <c r="I8" s="165">
        <v>176</v>
      </c>
      <c r="J8" s="165">
        <v>308</v>
      </c>
      <c r="K8" s="165">
        <v>5009</v>
      </c>
      <c r="L8" s="165">
        <v>100.18</v>
      </c>
      <c r="M8" s="165">
        <v>310.56</v>
      </c>
      <c r="N8" s="165">
        <v>2200</v>
      </c>
      <c r="O8" s="165">
        <v>6.16</v>
      </c>
      <c r="P8" s="165">
        <v>2200</v>
      </c>
      <c r="Q8" s="165">
        <v>11</v>
      </c>
      <c r="R8" s="165">
        <v>22</v>
      </c>
      <c r="S8" s="165">
        <v>2200</v>
      </c>
      <c r="T8" s="165">
        <v>9.9</v>
      </c>
      <c r="U8" s="165" t="s">
        <v>363</v>
      </c>
    </row>
    <row r="9" spans="1:21">
      <c r="A9" s="165">
        <v>4</v>
      </c>
      <c r="B9" s="165" t="s">
        <v>413</v>
      </c>
      <c r="C9" s="165" t="s">
        <v>203</v>
      </c>
      <c r="D9" s="165" t="s">
        <v>414</v>
      </c>
      <c r="E9" s="165">
        <v>943.8</v>
      </c>
      <c r="F9" s="229">
        <v>287.18</v>
      </c>
      <c r="G9" s="165">
        <v>656.62</v>
      </c>
      <c r="H9" s="165">
        <v>2200</v>
      </c>
      <c r="I9" s="165">
        <v>176</v>
      </c>
      <c r="J9" s="165">
        <v>308</v>
      </c>
      <c r="K9" s="165">
        <v>5009</v>
      </c>
      <c r="L9" s="165">
        <v>100.18</v>
      </c>
      <c r="M9" s="165">
        <v>310.56</v>
      </c>
      <c r="N9" s="165">
        <v>2200</v>
      </c>
      <c r="O9" s="165">
        <v>6.16</v>
      </c>
      <c r="P9" s="165">
        <v>2200</v>
      </c>
      <c r="Q9" s="165">
        <v>11</v>
      </c>
      <c r="R9" s="165">
        <v>22</v>
      </c>
      <c r="S9" s="165">
        <v>2200</v>
      </c>
      <c r="T9" s="165">
        <v>9.9</v>
      </c>
      <c r="U9" s="165" t="s">
        <v>363</v>
      </c>
    </row>
    <row r="10" spans="1:21">
      <c r="A10" s="165">
        <v>5</v>
      </c>
      <c r="B10" s="165" t="s">
        <v>415</v>
      </c>
      <c r="C10" s="165" t="s">
        <v>256</v>
      </c>
      <c r="D10" s="165" t="s">
        <v>416</v>
      </c>
      <c r="E10" s="165">
        <v>943.8</v>
      </c>
      <c r="F10" s="229">
        <v>287.18</v>
      </c>
      <c r="G10" s="165">
        <v>656.62</v>
      </c>
      <c r="H10" s="165">
        <v>2200</v>
      </c>
      <c r="I10" s="165">
        <v>176</v>
      </c>
      <c r="J10" s="165">
        <v>308</v>
      </c>
      <c r="K10" s="165">
        <v>5009</v>
      </c>
      <c r="L10" s="165">
        <v>100.18</v>
      </c>
      <c r="M10" s="165">
        <v>310.56</v>
      </c>
      <c r="N10" s="165">
        <v>2200</v>
      </c>
      <c r="O10" s="165">
        <v>6.16</v>
      </c>
      <c r="P10" s="165">
        <v>2200</v>
      </c>
      <c r="Q10" s="165">
        <v>11</v>
      </c>
      <c r="R10" s="165">
        <v>22</v>
      </c>
      <c r="S10" s="165">
        <v>2200</v>
      </c>
      <c r="T10" s="165">
        <v>9.9</v>
      </c>
      <c r="U10" s="165" t="s">
        <v>363</v>
      </c>
    </row>
    <row r="11" spans="1:21">
      <c r="A11" s="165">
        <v>6</v>
      </c>
      <c r="B11" s="165" t="s">
        <v>417</v>
      </c>
      <c r="C11" s="165" t="s">
        <v>128</v>
      </c>
      <c r="D11" s="165" t="s">
        <v>418</v>
      </c>
      <c r="E11" s="165">
        <v>943.8</v>
      </c>
      <c r="F11" s="229">
        <v>287.18</v>
      </c>
      <c r="G11" s="165">
        <v>656.62</v>
      </c>
      <c r="H11" s="165">
        <v>2200</v>
      </c>
      <c r="I11" s="165">
        <v>176</v>
      </c>
      <c r="J11" s="165">
        <v>308</v>
      </c>
      <c r="K11" s="165">
        <v>5009</v>
      </c>
      <c r="L11" s="165">
        <v>100.18</v>
      </c>
      <c r="M11" s="165">
        <v>310.56</v>
      </c>
      <c r="N11" s="165">
        <v>2200</v>
      </c>
      <c r="O11" s="165">
        <v>6.16</v>
      </c>
      <c r="P11" s="165">
        <v>2200</v>
      </c>
      <c r="Q11" s="165">
        <v>11</v>
      </c>
      <c r="R11" s="165">
        <v>22</v>
      </c>
      <c r="S11" s="165">
        <v>2200</v>
      </c>
      <c r="T11" s="165">
        <v>9.9</v>
      </c>
      <c r="U11" s="165" t="s">
        <v>363</v>
      </c>
    </row>
    <row r="12" spans="1:21" s="229" customFormat="1">
      <c r="A12" s="229">
        <v>7</v>
      </c>
      <c r="B12" s="229" t="s">
        <v>419</v>
      </c>
      <c r="C12" s="229" t="s">
        <v>326</v>
      </c>
      <c r="D12" s="229" t="s">
        <v>420</v>
      </c>
      <c r="E12" s="229">
        <v>1125.6400000000001</v>
      </c>
      <c r="F12" s="229">
        <v>351.18</v>
      </c>
      <c r="G12" s="229">
        <v>774.46</v>
      </c>
      <c r="H12" s="229">
        <v>3000</v>
      </c>
      <c r="I12" s="229">
        <v>240</v>
      </c>
      <c r="J12" s="229">
        <v>420</v>
      </c>
      <c r="K12" s="229">
        <v>5009</v>
      </c>
      <c r="L12" s="229">
        <v>100.18</v>
      </c>
      <c r="M12" s="229">
        <v>310.56</v>
      </c>
      <c r="N12" s="229">
        <v>3000</v>
      </c>
      <c r="O12" s="229">
        <v>8.4</v>
      </c>
      <c r="P12" s="229">
        <v>2200</v>
      </c>
      <c r="Q12" s="229">
        <v>11</v>
      </c>
      <c r="R12" s="229">
        <v>22</v>
      </c>
      <c r="S12" s="229">
        <v>3000</v>
      </c>
      <c r="T12" s="229">
        <v>13.5</v>
      </c>
      <c r="U12" s="229" t="s">
        <v>363</v>
      </c>
    </row>
    <row r="13" spans="1:21">
      <c r="A13" s="165">
        <v>8</v>
      </c>
      <c r="B13" s="165" t="s">
        <v>421</v>
      </c>
      <c r="C13" s="165" t="s">
        <v>167</v>
      </c>
      <c r="D13" s="165" t="s">
        <v>422</v>
      </c>
      <c r="E13" s="165">
        <v>1125.6400000000001</v>
      </c>
      <c r="F13" s="229">
        <v>351.18</v>
      </c>
      <c r="G13" s="165">
        <v>774.46</v>
      </c>
      <c r="H13" s="165">
        <v>3000</v>
      </c>
      <c r="I13" s="165">
        <v>240</v>
      </c>
      <c r="J13" s="165">
        <v>420</v>
      </c>
      <c r="K13" s="165">
        <v>5009</v>
      </c>
      <c r="L13" s="165">
        <v>100.18</v>
      </c>
      <c r="M13" s="165">
        <v>310.56</v>
      </c>
      <c r="N13" s="165">
        <v>3000</v>
      </c>
      <c r="O13" s="165">
        <v>8.4</v>
      </c>
      <c r="P13" s="165">
        <v>2200</v>
      </c>
      <c r="Q13" s="165">
        <v>11</v>
      </c>
      <c r="R13" s="165">
        <v>22</v>
      </c>
      <c r="S13" s="165">
        <v>3000</v>
      </c>
      <c r="T13" s="165">
        <v>13.5</v>
      </c>
      <c r="U13" s="165" t="s">
        <v>363</v>
      </c>
    </row>
    <row r="14" spans="1:21">
      <c r="A14" s="165">
        <v>9</v>
      </c>
      <c r="B14" s="165" t="s">
        <v>423</v>
      </c>
      <c r="C14" s="165" t="s">
        <v>218</v>
      </c>
      <c r="D14" s="165" t="s">
        <v>424</v>
      </c>
      <c r="E14" s="165">
        <v>1095.6400000000001</v>
      </c>
      <c r="F14" s="229">
        <v>351.18</v>
      </c>
      <c r="G14" s="165">
        <v>744.46</v>
      </c>
      <c r="H14" s="165">
        <v>3000</v>
      </c>
      <c r="I14" s="165">
        <v>240</v>
      </c>
      <c r="J14" s="165">
        <v>390</v>
      </c>
      <c r="K14" s="165">
        <v>5009</v>
      </c>
      <c r="L14" s="165">
        <v>100.18</v>
      </c>
      <c r="M14" s="165">
        <v>310.56</v>
      </c>
      <c r="N14" s="165">
        <v>3000</v>
      </c>
      <c r="O14" s="165">
        <v>8.4</v>
      </c>
      <c r="P14" s="165">
        <v>2200</v>
      </c>
      <c r="Q14" s="165">
        <v>11</v>
      </c>
      <c r="R14" s="165">
        <v>22</v>
      </c>
      <c r="S14" s="165">
        <v>3000</v>
      </c>
      <c r="T14" s="165">
        <v>13.5</v>
      </c>
      <c r="U14" s="165" t="s">
        <v>66</v>
      </c>
    </row>
    <row r="15" spans="1:21">
      <c r="A15" s="165">
        <v>10</v>
      </c>
      <c r="B15" s="165" t="s">
        <v>425</v>
      </c>
      <c r="C15" s="165" t="s">
        <v>101</v>
      </c>
      <c r="D15" s="165" t="s">
        <v>426</v>
      </c>
      <c r="E15" s="165">
        <v>943.8</v>
      </c>
      <c r="F15" s="229">
        <v>287.18</v>
      </c>
      <c r="G15" s="165">
        <v>656.62</v>
      </c>
      <c r="H15" s="165">
        <v>2200</v>
      </c>
      <c r="I15" s="165">
        <v>176</v>
      </c>
      <c r="J15" s="165">
        <v>308</v>
      </c>
      <c r="K15" s="165">
        <v>5009</v>
      </c>
      <c r="L15" s="165">
        <v>100.18</v>
      </c>
      <c r="M15" s="165">
        <v>310.56</v>
      </c>
      <c r="N15" s="165">
        <v>2200</v>
      </c>
      <c r="O15" s="165">
        <v>6.16</v>
      </c>
      <c r="P15" s="165">
        <v>2200</v>
      </c>
      <c r="Q15" s="165">
        <v>11</v>
      </c>
      <c r="R15" s="165">
        <v>22</v>
      </c>
      <c r="S15" s="165">
        <v>2200</v>
      </c>
      <c r="T15" s="165">
        <v>9.9</v>
      </c>
      <c r="U15" s="165" t="s">
        <v>363</v>
      </c>
    </row>
    <row r="16" spans="1:21">
      <c r="A16" s="165">
        <v>11</v>
      </c>
      <c r="B16" s="165" t="s">
        <v>427</v>
      </c>
      <c r="C16" s="165" t="s">
        <v>58</v>
      </c>
      <c r="D16" s="165" t="s">
        <v>428</v>
      </c>
      <c r="E16" s="165">
        <v>943.8</v>
      </c>
      <c r="F16" s="229">
        <v>287.18</v>
      </c>
      <c r="G16" s="165">
        <v>656.62</v>
      </c>
      <c r="H16" s="165">
        <v>2200</v>
      </c>
      <c r="I16" s="165">
        <v>176</v>
      </c>
      <c r="J16" s="165">
        <v>308</v>
      </c>
      <c r="K16" s="165">
        <v>5009</v>
      </c>
      <c r="L16" s="165">
        <v>100.18</v>
      </c>
      <c r="M16" s="165">
        <v>310.56</v>
      </c>
      <c r="N16" s="165">
        <v>2200</v>
      </c>
      <c r="O16" s="165">
        <v>6.16</v>
      </c>
      <c r="P16" s="165">
        <v>2200</v>
      </c>
      <c r="Q16" s="165">
        <v>11</v>
      </c>
      <c r="R16" s="165">
        <v>22</v>
      </c>
      <c r="S16" s="165">
        <v>2200</v>
      </c>
      <c r="T16" s="165">
        <v>9.9</v>
      </c>
      <c r="U16" s="165" t="s">
        <v>363</v>
      </c>
    </row>
    <row r="17" spans="1:21">
      <c r="A17" s="165">
        <v>12</v>
      </c>
      <c r="B17" s="165" t="s">
        <v>429</v>
      </c>
      <c r="C17" s="165" t="s">
        <v>116</v>
      </c>
      <c r="D17" s="165" t="s">
        <v>430</v>
      </c>
      <c r="E17" s="165">
        <v>943.8</v>
      </c>
      <c r="F17" s="229">
        <v>287.18</v>
      </c>
      <c r="G17" s="165">
        <v>656.62</v>
      </c>
      <c r="H17" s="165">
        <v>2200</v>
      </c>
      <c r="I17" s="165">
        <v>176</v>
      </c>
      <c r="J17" s="165">
        <v>308</v>
      </c>
      <c r="K17" s="165">
        <v>5009</v>
      </c>
      <c r="L17" s="165">
        <v>100.18</v>
      </c>
      <c r="M17" s="165">
        <v>310.56</v>
      </c>
      <c r="N17" s="165">
        <v>2200</v>
      </c>
      <c r="O17" s="165">
        <v>6.16</v>
      </c>
      <c r="P17" s="165">
        <v>2200</v>
      </c>
      <c r="Q17" s="165">
        <v>11</v>
      </c>
      <c r="R17" s="165">
        <v>22</v>
      </c>
      <c r="S17" s="165">
        <v>2200</v>
      </c>
      <c r="T17" s="165">
        <v>9.9</v>
      </c>
      <c r="U17" s="165" t="s">
        <v>363</v>
      </c>
    </row>
    <row r="18" spans="1:21">
      <c r="A18" s="165">
        <v>13</v>
      </c>
      <c r="B18" s="165" t="s">
        <v>431</v>
      </c>
      <c r="C18" s="165" t="s">
        <v>72</v>
      </c>
      <c r="D18" s="165" t="s">
        <v>432</v>
      </c>
      <c r="E18" s="165">
        <v>1125.6400000000001</v>
      </c>
      <c r="F18" s="229">
        <v>351.18</v>
      </c>
      <c r="G18" s="165">
        <v>774.46</v>
      </c>
      <c r="H18" s="165">
        <v>3000</v>
      </c>
      <c r="I18" s="165">
        <v>240</v>
      </c>
      <c r="J18" s="165">
        <v>420</v>
      </c>
      <c r="K18" s="165">
        <v>5009</v>
      </c>
      <c r="L18" s="165">
        <v>100.18</v>
      </c>
      <c r="M18" s="165">
        <v>310.56</v>
      </c>
      <c r="N18" s="165">
        <v>3000</v>
      </c>
      <c r="O18" s="165">
        <v>8.4</v>
      </c>
      <c r="P18" s="165">
        <v>2200</v>
      </c>
      <c r="Q18" s="165">
        <v>11</v>
      </c>
      <c r="R18" s="165">
        <v>22</v>
      </c>
      <c r="S18" s="165">
        <v>3000</v>
      </c>
      <c r="T18" s="165">
        <v>13.5</v>
      </c>
      <c r="U18" s="165" t="s">
        <v>363</v>
      </c>
    </row>
    <row r="19" spans="1:21">
      <c r="A19" s="165">
        <v>14</v>
      </c>
      <c r="B19" s="165" t="s">
        <v>433</v>
      </c>
      <c r="C19" s="165" t="s">
        <v>74</v>
      </c>
      <c r="D19" s="165" t="s">
        <v>434</v>
      </c>
      <c r="E19" s="165">
        <v>943.8</v>
      </c>
      <c r="F19" s="229">
        <v>287.18</v>
      </c>
      <c r="G19" s="165">
        <v>656.62</v>
      </c>
      <c r="H19" s="165">
        <v>2200</v>
      </c>
      <c r="I19" s="165">
        <v>176</v>
      </c>
      <c r="J19" s="165">
        <v>308</v>
      </c>
      <c r="K19" s="165">
        <v>5009</v>
      </c>
      <c r="L19" s="165">
        <v>100.18</v>
      </c>
      <c r="M19" s="165">
        <v>310.56</v>
      </c>
      <c r="N19" s="165">
        <v>2200</v>
      </c>
      <c r="O19" s="165">
        <v>6.16</v>
      </c>
      <c r="P19" s="165">
        <v>2200</v>
      </c>
      <c r="Q19" s="165">
        <v>11</v>
      </c>
      <c r="R19" s="165">
        <v>22</v>
      </c>
      <c r="S19" s="165">
        <v>2200</v>
      </c>
      <c r="T19" s="165">
        <v>9.9</v>
      </c>
      <c r="U19" s="165" t="s">
        <v>363</v>
      </c>
    </row>
    <row r="20" spans="1:21">
      <c r="A20" s="165">
        <v>15</v>
      </c>
      <c r="B20" s="165" t="s">
        <v>435</v>
      </c>
      <c r="C20" s="165" t="s">
        <v>179</v>
      </c>
      <c r="D20" s="165" t="s">
        <v>436</v>
      </c>
      <c r="E20" s="165">
        <v>921.8</v>
      </c>
      <c r="F20" s="229">
        <v>287.18</v>
      </c>
      <c r="G20" s="165">
        <v>634.62</v>
      </c>
      <c r="H20" s="165">
        <v>2200</v>
      </c>
      <c r="I20" s="165">
        <v>176</v>
      </c>
      <c r="J20" s="165">
        <v>286</v>
      </c>
      <c r="K20" s="165">
        <v>5009</v>
      </c>
      <c r="L20" s="165">
        <v>100.18</v>
      </c>
      <c r="M20" s="165">
        <v>310.56</v>
      </c>
      <c r="N20" s="165">
        <v>2200</v>
      </c>
      <c r="O20" s="165">
        <v>6.16</v>
      </c>
      <c r="P20" s="165">
        <v>2200</v>
      </c>
      <c r="Q20" s="165">
        <v>11</v>
      </c>
      <c r="R20" s="165">
        <v>22</v>
      </c>
      <c r="S20" s="165">
        <v>2200</v>
      </c>
      <c r="T20" s="165">
        <v>9.9</v>
      </c>
      <c r="U20" s="165" t="s">
        <v>363</v>
      </c>
    </row>
    <row r="21" spans="1:21">
      <c r="A21" s="165">
        <v>16</v>
      </c>
      <c r="B21" s="165" t="s">
        <v>910</v>
      </c>
      <c r="C21" s="165" t="s">
        <v>34</v>
      </c>
      <c r="D21" s="165" t="s">
        <v>881</v>
      </c>
      <c r="E21" s="165">
        <v>943.8</v>
      </c>
      <c r="F21" s="229">
        <v>287.18</v>
      </c>
      <c r="G21" s="165">
        <v>656.62</v>
      </c>
      <c r="H21" s="165">
        <v>2200</v>
      </c>
      <c r="I21" s="165">
        <v>176</v>
      </c>
      <c r="J21" s="165">
        <v>308</v>
      </c>
      <c r="K21" s="165">
        <v>5009</v>
      </c>
      <c r="L21" s="165">
        <v>100.18</v>
      </c>
      <c r="M21" s="165">
        <v>310.56</v>
      </c>
      <c r="N21" s="165">
        <v>2200</v>
      </c>
      <c r="O21" s="165">
        <v>6.16</v>
      </c>
      <c r="P21" s="165">
        <v>2200</v>
      </c>
      <c r="Q21" s="165">
        <v>11</v>
      </c>
      <c r="R21" s="165">
        <v>22</v>
      </c>
      <c r="S21" s="165">
        <v>2200</v>
      </c>
      <c r="T21" s="165">
        <v>9.9</v>
      </c>
      <c r="U21" s="165" t="s">
        <v>363</v>
      </c>
    </row>
    <row r="22" spans="1:21">
      <c r="A22" s="165">
        <v>17</v>
      </c>
      <c r="B22" s="165" t="s">
        <v>437</v>
      </c>
      <c r="C22" s="165" t="s">
        <v>44</v>
      </c>
      <c r="D22" s="165" t="s">
        <v>438</v>
      </c>
      <c r="E22" s="165">
        <v>943.8</v>
      </c>
      <c r="F22" s="229">
        <v>287.18</v>
      </c>
      <c r="G22" s="165">
        <v>656.62</v>
      </c>
      <c r="H22" s="165">
        <v>2200</v>
      </c>
      <c r="I22" s="165">
        <v>176</v>
      </c>
      <c r="J22" s="165">
        <v>308</v>
      </c>
      <c r="K22" s="165">
        <v>5009</v>
      </c>
      <c r="L22" s="165">
        <v>100.18</v>
      </c>
      <c r="M22" s="165">
        <v>310.56</v>
      </c>
      <c r="N22" s="165">
        <v>2200</v>
      </c>
      <c r="O22" s="165">
        <v>6.16</v>
      </c>
      <c r="P22" s="165">
        <v>2200</v>
      </c>
      <c r="Q22" s="165">
        <v>11</v>
      </c>
      <c r="R22" s="165">
        <v>22</v>
      </c>
      <c r="S22" s="165">
        <v>2200</v>
      </c>
      <c r="T22" s="165">
        <v>9.9</v>
      </c>
      <c r="U22" s="165" t="s">
        <v>363</v>
      </c>
    </row>
    <row r="23" spans="1:21">
      <c r="A23" s="165">
        <v>18</v>
      </c>
      <c r="B23" s="165" t="s">
        <v>439</v>
      </c>
      <c r="C23" s="165" t="s">
        <v>159</v>
      </c>
      <c r="D23" s="165" t="s">
        <v>440</v>
      </c>
      <c r="E23" s="165">
        <v>921.8</v>
      </c>
      <c r="F23" s="229">
        <v>287.18</v>
      </c>
      <c r="G23" s="165">
        <v>634.62</v>
      </c>
      <c r="H23" s="165">
        <v>2200</v>
      </c>
      <c r="I23" s="165">
        <v>176</v>
      </c>
      <c r="J23" s="165">
        <v>286</v>
      </c>
      <c r="K23" s="165">
        <v>5009</v>
      </c>
      <c r="L23" s="165">
        <v>100.18</v>
      </c>
      <c r="M23" s="165">
        <v>310.56</v>
      </c>
      <c r="N23" s="165">
        <v>2200</v>
      </c>
      <c r="O23" s="165">
        <v>6.16</v>
      </c>
      <c r="P23" s="165">
        <v>2200</v>
      </c>
      <c r="Q23" s="165">
        <v>11</v>
      </c>
      <c r="R23" s="165">
        <v>22</v>
      </c>
      <c r="S23" s="165">
        <v>2200</v>
      </c>
      <c r="T23" s="165">
        <v>9.9</v>
      </c>
      <c r="U23" s="165" t="s">
        <v>363</v>
      </c>
    </row>
    <row r="24" spans="1:21">
      <c r="A24" s="165">
        <v>19</v>
      </c>
      <c r="B24" s="165" t="s">
        <v>441</v>
      </c>
      <c r="C24" s="165" t="s">
        <v>155</v>
      </c>
      <c r="D24" s="165" t="s">
        <v>442</v>
      </c>
      <c r="E24" s="165">
        <v>986.99</v>
      </c>
      <c r="F24" s="229">
        <v>311.18</v>
      </c>
      <c r="G24" s="165">
        <v>675.81</v>
      </c>
      <c r="H24" s="165">
        <v>2500</v>
      </c>
      <c r="I24" s="165">
        <v>200</v>
      </c>
      <c r="J24" s="165">
        <v>325</v>
      </c>
      <c r="K24" s="165">
        <v>5009</v>
      </c>
      <c r="L24" s="165">
        <v>100.18</v>
      </c>
      <c r="M24" s="165">
        <v>310.56</v>
      </c>
      <c r="N24" s="165">
        <v>2500</v>
      </c>
      <c r="O24" s="165">
        <v>7</v>
      </c>
      <c r="P24" s="165">
        <v>2200</v>
      </c>
      <c r="Q24" s="165">
        <v>11</v>
      </c>
      <c r="R24" s="165">
        <v>22</v>
      </c>
      <c r="S24" s="165">
        <v>2500</v>
      </c>
      <c r="T24" s="165">
        <v>11.25</v>
      </c>
      <c r="U24" s="165" t="s">
        <v>363</v>
      </c>
    </row>
    <row r="25" spans="1:21">
      <c r="A25" s="165">
        <v>20</v>
      </c>
      <c r="B25" s="165" t="s">
        <v>443</v>
      </c>
      <c r="C25" s="165" t="s">
        <v>105</v>
      </c>
      <c r="D25" s="165" t="s">
        <v>444</v>
      </c>
      <c r="E25" s="165">
        <v>943.8</v>
      </c>
      <c r="F25" s="229">
        <v>287.18</v>
      </c>
      <c r="G25" s="165">
        <v>656.62</v>
      </c>
      <c r="H25" s="165">
        <v>2200</v>
      </c>
      <c r="I25" s="165">
        <v>176</v>
      </c>
      <c r="J25" s="165">
        <v>308</v>
      </c>
      <c r="K25" s="165">
        <v>5009</v>
      </c>
      <c r="L25" s="165">
        <v>100.18</v>
      </c>
      <c r="M25" s="165">
        <v>310.56</v>
      </c>
      <c r="N25" s="165">
        <v>2200</v>
      </c>
      <c r="O25" s="165">
        <v>6.16</v>
      </c>
      <c r="P25" s="165">
        <v>2200</v>
      </c>
      <c r="Q25" s="165">
        <v>11</v>
      </c>
      <c r="R25" s="165">
        <v>22</v>
      </c>
      <c r="S25" s="165">
        <v>2200</v>
      </c>
      <c r="T25" s="165">
        <v>9.9</v>
      </c>
      <c r="U25" s="165" t="s">
        <v>363</v>
      </c>
    </row>
    <row r="26" spans="1:21">
      <c r="A26" s="165">
        <v>21</v>
      </c>
      <c r="B26" s="165" t="s">
        <v>445</v>
      </c>
      <c r="C26" s="165" t="s">
        <v>152</v>
      </c>
      <c r="D26" s="165" t="s">
        <v>446</v>
      </c>
      <c r="E26" s="165">
        <v>921.8</v>
      </c>
      <c r="F26" s="229">
        <v>287.18</v>
      </c>
      <c r="G26" s="165">
        <v>634.62</v>
      </c>
      <c r="H26" s="165">
        <v>2200</v>
      </c>
      <c r="I26" s="165">
        <v>176</v>
      </c>
      <c r="J26" s="165">
        <v>286</v>
      </c>
      <c r="K26" s="165">
        <v>5009</v>
      </c>
      <c r="L26" s="165">
        <v>100.18</v>
      </c>
      <c r="M26" s="165">
        <v>310.56</v>
      </c>
      <c r="N26" s="165">
        <v>2200</v>
      </c>
      <c r="O26" s="165">
        <v>6.16</v>
      </c>
      <c r="P26" s="165">
        <v>2200</v>
      </c>
      <c r="Q26" s="165">
        <v>11</v>
      </c>
      <c r="R26" s="165">
        <v>22</v>
      </c>
      <c r="S26" s="165">
        <v>2200</v>
      </c>
      <c r="T26" s="165">
        <v>9.9</v>
      </c>
      <c r="U26" s="165" t="s">
        <v>363</v>
      </c>
    </row>
    <row r="27" spans="1:21">
      <c r="A27" s="165">
        <v>22</v>
      </c>
      <c r="B27" s="165" t="s">
        <v>447</v>
      </c>
      <c r="C27" s="165" t="s">
        <v>190</v>
      </c>
      <c r="D27" s="165" t="s">
        <v>448</v>
      </c>
      <c r="E27" s="165">
        <v>921.8</v>
      </c>
      <c r="F27" s="229">
        <v>287.18</v>
      </c>
      <c r="G27" s="165">
        <v>634.62</v>
      </c>
      <c r="H27" s="165">
        <v>2200</v>
      </c>
      <c r="I27" s="165">
        <v>176</v>
      </c>
      <c r="J27" s="165">
        <v>286</v>
      </c>
      <c r="K27" s="165">
        <v>5009</v>
      </c>
      <c r="L27" s="165">
        <v>100.18</v>
      </c>
      <c r="M27" s="165">
        <v>310.56</v>
      </c>
      <c r="N27" s="165">
        <v>2200</v>
      </c>
      <c r="O27" s="165">
        <v>6.16</v>
      </c>
      <c r="P27" s="165">
        <v>2200</v>
      </c>
      <c r="Q27" s="165">
        <v>11</v>
      </c>
      <c r="R27" s="165">
        <v>22</v>
      </c>
      <c r="S27" s="165">
        <v>2200</v>
      </c>
      <c r="T27" s="165">
        <v>9.9</v>
      </c>
      <c r="U27" s="165" t="s">
        <v>363</v>
      </c>
    </row>
    <row r="28" spans="1:21">
      <c r="A28" s="165">
        <v>23</v>
      </c>
      <c r="B28" s="165" t="s">
        <v>449</v>
      </c>
      <c r="C28" s="165" t="s">
        <v>140</v>
      </c>
      <c r="D28" s="165" t="s">
        <v>450</v>
      </c>
      <c r="E28" s="165">
        <v>1011.99</v>
      </c>
      <c r="F28" s="229">
        <v>311.18</v>
      </c>
      <c r="G28" s="165">
        <v>700.81</v>
      </c>
      <c r="H28" s="165">
        <v>2500</v>
      </c>
      <c r="I28" s="165">
        <v>200</v>
      </c>
      <c r="J28" s="165">
        <v>350</v>
      </c>
      <c r="K28" s="165">
        <v>5009</v>
      </c>
      <c r="L28" s="165">
        <v>100.18</v>
      </c>
      <c r="M28" s="165">
        <v>310.56</v>
      </c>
      <c r="N28" s="165">
        <v>2500</v>
      </c>
      <c r="O28" s="165">
        <v>7</v>
      </c>
      <c r="P28" s="165">
        <v>2200</v>
      </c>
      <c r="Q28" s="165">
        <v>11</v>
      </c>
      <c r="R28" s="165">
        <v>22</v>
      </c>
      <c r="S28" s="165">
        <v>2500</v>
      </c>
      <c r="T28" s="165">
        <v>11.25</v>
      </c>
      <c r="U28" s="165" t="s">
        <v>363</v>
      </c>
    </row>
    <row r="29" spans="1:21">
      <c r="A29" s="165">
        <v>24</v>
      </c>
      <c r="B29" s="165" t="s">
        <v>451</v>
      </c>
      <c r="C29" s="165" t="s">
        <v>238</v>
      </c>
      <c r="D29" s="165" t="s">
        <v>452</v>
      </c>
      <c r="E29" s="165">
        <v>921.8</v>
      </c>
      <c r="F29" s="229">
        <v>287.18</v>
      </c>
      <c r="G29" s="165">
        <v>634.62</v>
      </c>
      <c r="H29" s="165">
        <v>2200</v>
      </c>
      <c r="I29" s="165">
        <v>176</v>
      </c>
      <c r="J29" s="165">
        <v>286</v>
      </c>
      <c r="K29" s="165">
        <v>5009</v>
      </c>
      <c r="L29" s="165">
        <v>100.18</v>
      </c>
      <c r="M29" s="165">
        <v>310.56</v>
      </c>
      <c r="N29" s="165">
        <v>2200</v>
      </c>
      <c r="O29" s="165">
        <v>6.16</v>
      </c>
      <c r="P29" s="165">
        <v>2200</v>
      </c>
      <c r="Q29" s="165">
        <v>11</v>
      </c>
      <c r="R29" s="165">
        <v>22</v>
      </c>
      <c r="S29" s="165">
        <v>2200</v>
      </c>
      <c r="T29" s="165">
        <v>9.9</v>
      </c>
      <c r="U29" s="165" t="s">
        <v>363</v>
      </c>
    </row>
    <row r="30" spans="1:21">
      <c r="A30" s="165">
        <v>25</v>
      </c>
      <c r="B30" s="165" t="s">
        <v>453</v>
      </c>
      <c r="C30" s="165" t="s">
        <v>252</v>
      </c>
      <c r="D30" s="165" t="s">
        <v>454</v>
      </c>
      <c r="E30" s="165">
        <v>921.8</v>
      </c>
      <c r="F30" s="229">
        <v>287.18</v>
      </c>
      <c r="G30" s="165">
        <v>634.62</v>
      </c>
      <c r="H30" s="165">
        <v>2200</v>
      </c>
      <c r="I30" s="165">
        <v>176</v>
      </c>
      <c r="J30" s="165">
        <v>286</v>
      </c>
      <c r="K30" s="165">
        <v>5009</v>
      </c>
      <c r="L30" s="165">
        <v>100.18</v>
      </c>
      <c r="M30" s="165">
        <v>310.56</v>
      </c>
      <c r="N30" s="165">
        <v>2200</v>
      </c>
      <c r="O30" s="165">
        <v>6.16</v>
      </c>
      <c r="P30" s="165">
        <v>2200</v>
      </c>
      <c r="Q30" s="165">
        <v>11</v>
      </c>
      <c r="R30" s="165">
        <v>22</v>
      </c>
      <c r="S30" s="165">
        <v>2200</v>
      </c>
      <c r="T30" s="165">
        <v>9.9</v>
      </c>
      <c r="U30" s="165" t="s">
        <v>363</v>
      </c>
    </row>
    <row r="31" spans="1:21">
      <c r="A31" s="165">
        <v>26</v>
      </c>
      <c r="B31" s="165" t="s">
        <v>455</v>
      </c>
      <c r="C31" s="165" t="s">
        <v>250</v>
      </c>
      <c r="D31" s="165" t="s">
        <v>456</v>
      </c>
      <c r="E31" s="165">
        <v>943.8</v>
      </c>
      <c r="F31" s="229">
        <v>287.18</v>
      </c>
      <c r="G31" s="165">
        <v>656.62</v>
      </c>
      <c r="H31" s="165">
        <v>2200</v>
      </c>
      <c r="I31" s="165">
        <v>176</v>
      </c>
      <c r="J31" s="165">
        <v>308</v>
      </c>
      <c r="K31" s="165">
        <v>5009</v>
      </c>
      <c r="L31" s="165">
        <v>100.18</v>
      </c>
      <c r="M31" s="165">
        <v>310.56</v>
      </c>
      <c r="N31" s="165">
        <v>2200</v>
      </c>
      <c r="O31" s="165">
        <v>6.16</v>
      </c>
      <c r="P31" s="165">
        <v>2200</v>
      </c>
      <c r="Q31" s="165">
        <v>11</v>
      </c>
      <c r="R31" s="165">
        <v>22</v>
      </c>
      <c r="S31" s="165">
        <v>2200</v>
      </c>
      <c r="T31" s="165">
        <v>9.9</v>
      </c>
      <c r="U31" s="165" t="s">
        <v>363</v>
      </c>
    </row>
    <row r="32" spans="1:21">
      <c r="A32" s="165">
        <v>27</v>
      </c>
      <c r="B32" s="165" t="s">
        <v>457</v>
      </c>
      <c r="C32" s="165" t="s">
        <v>53</v>
      </c>
      <c r="D32" s="165" t="s">
        <v>458</v>
      </c>
      <c r="E32" s="165">
        <v>921.8</v>
      </c>
      <c r="F32" s="229">
        <v>287.18</v>
      </c>
      <c r="G32" s="165">
        <v>634.62</v>
      </c>
      <c r="H32" s="165">
        <v>2200</v>
      </c>
      <c r="I32" s="165">
        <v>176</v>
      </c>
      <c r="J32" s="165">
        <v>286</v>
      </c>
      <c r="K32" s="165">
        <v>5009</v>
      </c>
      <c r="L32" s="165">
        <v>100.18</v>
      </c>
      <c r="M32" s="165">
        <v>310.56</v>
      </c>
      <c r="N32" s="165">
        <v>2200</v>
      </c>
      <c r="O32" s="165">
        <v>6.16</v>
      </c>
      <c r="P32" s="165">
        <v>2200</v>
      </c>
      <c r="Q32" s="165">
        <v>11</v>
      </c>
      <c r="R32" s="165">
        <v>22</v>
      </c>
      <c r="S32" s="165">
        <v>2200</v>
      </c>
      <c r="T32" s="165">
        <v>9.9</v>
      </c>
      <c r="U32" s="165" t="s">
        <v>363</v>
      </c>
    </row>
    <row r="33" spans="1:21">
      <c r="A33" s="165">
        <v>28</v>
      </c>
      <c r="B33" s="165" t="s">
        <v>909</v>
      </c>
      <c r="C33" s="165" t="s">
        <v>876</v>
      </c>
      <c r="D33" s="165" t="s">
        <v>875</v>
      </c>
      <c r="E33" s="165">
        <v>577.84</v>
      </c>
      <c r="F33" s="229">
        <v>203.7</v>
      </c>
      <c r="G33" s="165">
        <v>374.14</v>
      </c>
      <c r="H33" s="165">
        <v>2200</v>
      </c>
      <c r="I33" s="165">
        <v>176</v>
      </c>
      <c r="J33" s="165">
        <v>286</v>
      </c>
      <c r="K33" s="165">
        <v>8348</v>
      </c>
      <c r="L33" s="165">
        <v>16.7</v>
      </c>
      <c r="M33" s="165">
        <v>50.08</v>
      </c>
      <c r="N33" s="165">
        <v>2200</v>
      </c>
      <c r="O33" s="165">
        <v>6.16</v>
      </c>
      <c r="P33" s="165">
        <v>2200</v>
      </c>
      <c r="Q33" s="165">
        <v>11</v>
      </c>
      <c r="R33" s="165">
        <v>22</v>
      </c>
      <c r="S33" s="165">
        <v>2200</v>
      </c>
      <c r="T33" s="165">
        <v>9.9</v>
      </c>
      <c r="U33" s="165" t="s">
        <v>363</v>
      </c>
    </row>
    <row r="34" spans="1:21">
      <c r="A34" s="165">
        <v>29</v>
      </c>
      <c r="B34" s="165" t="s">
        <v>459</v>
      </c>
      <c r="C34" s="165" t="s">
        <v>144</v>
      </c>
      <c r="D34" s="165" t="s">
        <v>460</v>
      </c>
      <c r="E34" s="165">
        <v>986.99</v>
      </c>
      <c r="F34" s="229">
        <v>311.18</v>
      </c>
      <c r="G34" s="165">
        <v>675.81</v>
      </c>
      <c r="H34" s="165">
        <v>2500</v>
      </c>
      <c r="I34" s="165">
        <v>200</v>
      </c>
      <c r="J34" s="165">
        <v>325</v>
      </c>
      <c r="K34" s="165">
        <v>5009</v>
      </c>
      <c r="L34" s="165">
        <v>100.18</v>
      </c>
      <c r="M34" s="165">
        <v>310.56</v>
      </c>
      <c r="N34" s="165">
        <v>2500</v>
      </c>
      <c r="O34" s="165">
        <v>7</v>
      </c>
      <c r="P34" s="165">
        <v>2200</v>
      </c>
      <c r="Q34" s="165">
        <v>11</v>
      </c>
      <c r="R34" s="165">
        <v>22</v>
      </c>
      <c r="S34" s="165">
        <v>2500</v>
      </c>
      <c r="T34" s="165">
        <v>11.25</v>
      </c>
      <c r="U34" s="165" t="s">
        <v>363</v>
      </c>
    </row>
    <row r="35" spans="1:21">
      <c r="A35" s="165">
        <v>30</v>
      </c>
      <c r="B35" s="165" t="s">
        <v>461</v>
      </c>
      <c r="C35" s="165" t="s">
        <v>254</v>
      </c>
      <c r="D35" s="165" t="s">
        <v>462</v>
      </c>
      <c r="E35" s="165">
        <v>943.8</v>
      </c>
      <c r="F35" s="229">
        <v>287.18</v>
      </c>
      <c r="G35" s="165">
        <v>656.62</v>
      </c>
      <c r="H35" s="165">
        <v>2200</v>
      </c>
      <c r="I35" s="165">
        <v>176</v>
      </c>
      <c r="J35" s="165">
        <v>308</v>
      </c>
      <c r="K35" s="165">
        <v>5009</v>
      </c>
      <c r="L35" s="165">
        <v>100.18</v>
      </c>
      <c r="M35" s="165">
        <v>310.56</v>
      </c>
      <c r="N35" s="165">
        <v>2200</v>
      </c>
      <c r="O35" s="165">
        <v>6.16</v>
      </c>
      <c r="P35" s="165">
        <v>2200</v>
      </c>
      <c r="Q35" s="165">
        <v>11</v>
      </c>
      <c r="R35" s="165">
        <v>22</v>
      </c>
      <c r="S35" s="165">
        <v>2200</v>
      </c>
      <c r="T35" s="165">
        <v>9.9</v>
      </c>
      <c r="U35" s="165" t="s">
        <v>363</v>
      </c>
    </row>
    <row r="36" spans="1:21">
      <c r="A36" s="165">
        <v>31</v>
      </c>
      <c r="B36" s="165" t="s">
        <v>463</v>
      </c>
      <c r="C36" s="165" t="s">
        <v>244</v>
      </c>
      <c r="D36" s="165" t="s">
        <v>464</v>
      </c>
      <c r="E36" s="165">
        <v>943.8</v>
      </c>
      <c r="F36" s="229">
        <v>287.18</v>
      </c>
      <c r="G36" s="165">
        <v>656.62</v>
      </c>
      <c r="H36" s="165">
        <v>2200</v>
      </c>
      <c r="I36" s="165">
        <v>176</v>
      </c>
      <c r="J36" s="165">
        <v>308</v>
      </c>
      <c r="K36" s="165">
        <v>5009</v>
      </c>
      <c r="L36" s="165">
        <v>100.18</v>
      </c>
      <c r="M36" s="165">
        <v>310.56</v>
      </c>
      <c r="N36" s="165">
        <v>2200</v>
      </c>
      <c r="O36" s="165">
        <v>6.16</v>
      </c>
      <c r="P36" s="165">
        <v>2200</v>
      </c>
      <c r="Q36" s="165">
        <v>11</v>
      </c>
      <c r="R36" s="165">
        <v>22</v>
      </c>
      <c r="S36" s="165">
        <v>2200</v>
      </c>
      <c r="T36" s="165">
        <v>9.9</v>
      </c>
      <c r="U36" s="165" t="s">
        <v>363</v>
      </c>
    </row>
    <row r="37" spans="1:21">
      <c r="A37" s="165">
        <v>32</v>
      </c>
      <c r="B37" s="165" t="s">
        <v>465</v>
      </c>
      <c r="C37" s="165" t="s">
        <v>222</v>
      </c>
      <c r="D37" s="165" t="s">
        <v>466</v>
      </c>
      <c r="E37" s="165">
        <v>1125.6400000000001</v>
      </c>
      <c r="F37" s="229">
        <v>351.18</v>
      </c>
      <c r="G37" s="165">
        <v>774.46</v>
      </c>
      <c r="H37" s="165">
        <v>3000</v>
      </c>
      <c r="I37" s="165">
        <v>240</v>
      </c>
      <c r="J37" s="165">
        <v>420</v>
      </c>
      <c r="K37" s="165">
        <v>5009</v>
      </c>
      <c r="L37" s="165">
        <v>100.18</v>
      </c>
      <c r="M37" s="165">
        <v>310.56</v>
      </c>
      <c r="N37" s="165">
        <v>3000</v>
      </c>
      <c r="O37" s="165">
        <v>8.4</v>
      </c>
      <c r="P37" s="165">
        <v>2200</v>
      </c>
      <c r="Q37" s="165">
        <v>11</v>
      </c>
      <c r="R37" s="165">
        <v>22</v>
      </c>
      <c r="S37" s="165">
        <v>3000</v>
      </c>
      <c r="T37" s="165">
        <v>13.5</v>
      </c>
      <c r="U37" s="165" t="s">
        <v>363</v>
      </c>
    </row>
    <row r="38" spans="1:21">
      <c r="A38" s="165">
        <v>33</v>
      </c>
      <c r="B38" s="165" t="s">
        <v>467</v>
      </c>
      <c r="C38" s="165" t="s">
        <v>150</v>
      </c>
      <c r="D38" s="165" t="s">
        <v>468</v>
      </c>
      <c r="E38" s="165">
        <v>921.8</v>
      </c>
      <c r="F38" s="229">
        <v>287.18</v>
      </c>
      <c r="G38" s="165">
        <v>634.62</v>
      </c>
      <c r="H38" s="165">
        <v>2200</v>
      </c>
      <c r="I38" s="165">
        <v>176</v>
      </c>
      <c r="J38" s="165">
        <v>286</v>
      </c>
      <c r="K38" s="165">
        <v>5009</v>
      </c>
      <c r="L38" s="165">
        <v>100.18</v>
      </c>
      <c r="M38" s="165">
        <v>310.56</v>
      </c>
      <c r="N38" s="165">
        <v>2200</v>
      </c>
      <c r="O38" s="165">
        <v>6.16</v>
      </c>
      <c r="P38" s="165">
        <v>2200</v>
      </c>
      <c r="Q38" s="165">
        <v>11</v>
      </c>
      <c r="R38" s="165">
        <v>22</v>
      </c>
      <c r="S38" s="165">
        <v>2200</v>
      </c>
      <c r="T38" s="165">
        <v>9.9</v>
      </c>
      <c r="U38" s="165" t="s">
        <v>363</v>
      </c>
    </row>
    <row r="39" spans="1:21">
      <c r="A39" s="165">
        <v>34</v>
      </c>
      <c r="B39" s="165" t="s">
        <v>469</v>
      </c>
      <c r="C39" s="165" t="s">
        <v>211</v>
      </c>
      <c r="D39" s="165" t="s">
        <v>470</v>
      </c>
      <c r="E39" s="165">
        <v>921.8</v>
      </c>
      <c r="F39" s="229">
        <v>287.18</v>
      </c>
      <c r="G39" s="165">
        <v>634.62</v>
      </c>
      <c r="H39" s="165">
        <v>2200</v>
      </c>
      <c r="I39" s="165">
        <v>176</v>
      </c>
      <c r="J39" s="165">
        <v>286</v>
      </c>
      <c r="K39" s="165">
        <v>5009</v>
      </c>
      <c r="L39" s="165">
        <v>100.18</v>
      </c>
      <c r="M39" s="165">
        <v>310.56</v>
      </c>
      <c r="N39" s="165">
        <v>2200</v>
      </c>
      <c r="O39" s="165">
        <v>6.16</v>
      </c>
      <c r="P39" s="165">
        <v>2200</v>
      </c>
      <c r="Q39" s="165">
        <v>11</v>
      </c>
      <c r="R39" s="165">
        <v>22</v>
      </c>
      <c r="S39" s="165">
        <v>2200</v>
      </c>
      <c r="T39" s="165">
        <v>9.9</v>
      </c>
      <c r="U39" s="165" t="s">
        <v>363</v>
      </c>
    </row>
    <row r="40" spans="1:21">
      <c r="A40" s="165">
        <v>35</v>
      </c>
      <c r="B40" s="165" t="s">
        <v>471</v>
      </c>
      <c r="C40" s="165" t="s">
        <v>164</v>
      </c>
      <c r="D40" s="165" t="s">
        <v>472</v>
      </c>
      <c r="E40" s="165">
        <v>921.8</v>
      </c>
      <c r="F40" s="229">
        <v>287.18</v>
      </c>
      <c r="G40" s="165">
        <v>634.62</v>
      </c>
      <c r="H40" s="165">
        <v>2200</v>
      </c>
      <c r="I40" s="165">
        <v>176</v>
      </c>
      <c r="J40" s="165">
        <v>286</v>
      </c>
      <c r="K40" s="165">
        <v>5009</v>
      </c>
      <c r="L40" s="165">
        <v>100.18</v>
      </c>
      <c r="M40" s="165">
        <v>310.56</v>
      </c>
      <c r="N40" s="165">
        <v>2200</v>
      </c>
      <c r="O40" s="165">
        <v>6.16</v>
      </c>
      <c r="P40" s="165">
        <v>2200</v>
      </c>
      <c r="Q40" s="165">
        <v>11</v>
      </c>
      <c r="R40" s="165">
        <v>22</v>
      </c>
      <c r="S40" s="165">
        <v>2200</v>
      </c>
      <c r="T40" s="165">
        <v>9.9</v>
      </c>
      <c r="U40" s="165" t="s">
        <v>363</v>
      </c>
    </row>
    <row r="41" spans="1:21">
      <c r="A41" s="165">
        <v>36</v>
      </c>
      <c r="B41" s="165" t="s">
        <v>473</v>
      </c>
      <c r="C41" s="165" t="s">
        <v>55</v>
      </c>
      <c r="D41" s="165" t="s">
        <v>474</v>
      </c>
      <c r="E41" s="165">
        <v>943.8</v>
      </c>
      <c r="F41" s="229">
        <v>287.18</v>
      </c>
      <c r="G41" s="165">
        <v>656.62</v>
      </c>
      <c r="H41" s="165">
        <v>2200</v>
      </c>
      <c r="I41" s="165">
        <v>176</v>
      </c>
      <c r="J41" s="165">
        <v>308</v>
      </c>
      <c r="K41" s="165">
        <v>5009</v>
      </c>
      <c r="L41" s="165">
        <v>100.18</v>
      </c>
      <c r="M41" s="165">
        <v>310.56</v>
      </c>
      <c r="N41" s="165">
        <v>2200</v>
      </c>
      <c r="O41" s="165">
        <v>6.16</v>
      </c>
      <c r="P41" s="165">
        <v>2200</v>
      </c>
      <c r="Q41" s="165">
        <v>11</v>
      </c>
      <c r="R41" s="165">
        <v>22</v>
      </c>
      <c r="S41" s="165">
        <v>2200</v>
      </c>
      <c r="T41" s="165">
        <v>9.9</v>
      </c>
      <c r="U41" s="165" t="s">
        <v>363</v>
      </c>
    </row>
    <row r="42" spans="1:21">
      <c r="A42" s="165">
        <v>37</v>
      </c>
      <c r="B42" s="165" t="s">
        <v>475</v>
      </c>
      <c r="C42" s="165" t="s">
        <v>148</v>
      </c>
      <c r="D42" s="165" t="s">
        <v>476</v>
      </c>
      <c r="E42" s="165">
        <v>921.8</v>
      </c>
      <c r="F42" s="229">
        <v>287.18</v>
      </c>
      <c r="G42" s="165">
        <v>634.62</v>
      </c>
      <c r="H42" s="165">
        <v>2200</v>
      </c>
      <c r="I42" s="165">
        <v>176</v>
      </c>
      <c r="J42" s="165">
        <v>286</v>
      </c>
      <c r="K42" s="165">
        <v>5009</v>
      </c>
      <c r="L42" s="165">
        <v>100.18</v>
      </c>
      <c r="M42" s="165">
        <v>310.56</v>
      </c>
      <c r="N42" s="165">
        <v>2200</v>
      </c>
      <c r="O42" s="165">
        <v>6.16</v>
      </c>
      <c r="P42" s="165">
        <v>2200</v>
      </c>
      <c r="Q42" s="165">
        <v>11</v>
      </c>
      <c r="R42" s="165">
        <v>22</v>
      </c>
      <c r="S42" s="165">
        <v>2200</v>
      </c>
      <c r="T42" s="165">
        <v>9.9</v>
      </c>
      <c r="U42" s="165" t="s">
        <v>363</v>
      </c>
    </row>
    <row r="43" spans="1:21">
      <c r="A43" s="165">
        <v>38</v>
      </c>
      <c r="B43" s="165" t="s">
        <v>477</v>
      </c>
      <c r="C43" s="165" t="s">
        <v>19</v>
      </c>
      <c r="D43" s="165" t="s">
        <v>478</v>
      </c>
      <c r="E43" s="165">
        <v>1011.99</v>
      </c>
      <c r="F43" s="229">
        <v>311.18</v>
      </c>
      <c r="G43" s="165">
        <v>700.81</v>
      </c>
      <c r="H43" s="165">
        <v>2500</v>
      </c>
      <c r="I43" s="165">
        <v>200</v>
      </c>
      <c r="J43" s="165">
        <v>350</v>
      </c>
      <c r="K43" s="165">
        <v>5009</v>
      </c>
      <c r="L43" s="165">
        <v>100.18</v>
      </c>
      <c r="M43" s="165">
        <v>310.56</v>
      </c>
      <c r="N43" s="165">
        <v>2500</v>
      </c>
      <c r="O43" s="165">
        <v>7</v>
      </c>
      <c r="P43" s="165">
        <v>2200</v>
      </c>
      <c r="Q43" s="165">
        <v>11</v>
      </c>
      <c r="R43" s="165">
        <v>22</v>
      </c>
      <c r="S43" s="165">
        <v>2500</v>
      </c>
      <c r="T43" s="165">
        <v>11.25</v>
      </c>
      <c r="U43" s="165" t="s">
        <v>363</v>
      </c>
    </row>
    <row r="44" spans="1:21">
      <c r="A44" s="165">
        <v>39</v>
      </c>
      <c r="B44" s="165" t="s">
        <v>479</v>
      </c>
      <c r="C44" s="165" t="s">
        <v>45</v>
      </c>
      <c r="D44" s="165" t="s">
        <v>480</v>
      </c>
      <c r="E44" s="165">
        <v>986.99</v>
      </c>
      <c r="F44" s="229">
        <v>311.18</v>
      </c>
      <c r="G44" s="165">
        <v>675.81</v>
      </c>
      <c r="H44" s="165">
        <v>2500</v>
      </c>
      <c r="I44" s="165">
        <v>200</v>
      </c>
      <c r="J44" s="165">
        <v>325</v>
      </c>
      <c r="K44" s="165">
        <v>5009</v>
      </c>
      <c r="L44" s="165">
        <v>100.18</v>
      </c>
      <c r="M44" s="165">
        <v>310.56</v>
      </c>
      <c r="N44" s="165">
        <v>2500</v>
      </c>
      <c r="O44" s="165">
        <v>7</v>
      </c>
      <c r="P44" s="165">
        <v>2200</v>
      </c>
      <c r="Q44" s="165">
        <v>11</v>
      </c>
      <c r="R44" s="165">
        <v>22</v>
      </c>
      <c r="S44" s="165">
        <v>2500</v>
      </c>
      <c r="T44" s="165">
        <v>11.25</v>
      </c>
      <c r="U44" s="165" t="s">
        <v>363</v>
      </c>
    </row>
    <row r="45" spans="1:21">
      <c r="A45" s="165">
        <v>40</v>
      </c>
      <c r="B45" s="165" t="s">
        <v>481</v>
      </c>
      <c r="C45" s="165" t="s">
        <v>142</v>
      </c>
      <c r="D45" s="165" t="s">
        <v>482</v>
      </c>
      <c r="E45" s="165">
        <v>986.99</v>
      </c>
      <c r="F45" s="229">
        <v>311.18</v>
      </c>
      <c r="G45" s="165">
        <v>675.81</v>
      </c>
      <c r="H45" s="165">
        <v>2500</v>
      </c>
      <c r="I45" s="165">
        <v>200</v>
      </c>
      <c r="J45" s="165">
        <v>325</v>
      </c>
      <c r="K45" s="165">
        <v>5009</v>
      </c>
      <c r="L45" s="165">
        <v>100.18</v>
      </c>
      <c r="M45" s="165">
        <v>310.56</v>
      </c>
      <c r="N45" s="165">
        <v>2500</v>
      </c>
      <c r="O45" s="165">
        <v>7</v>
      </c>
      <c r="P45" s="165">
        <v>2200</v>
      </c>
      <c r="Q45" s="165">
        <v>11</v>
      </c>
      <c r="R45" s="165">
        <v>22</v>
      </c>
      <c r="S45" s="165">
        <v>2500</v>
      </c>
      <c r="T45" s="165">
        <v>11.25</v>
      </c>
      <c r="U45" s="165" t="s">
        <v>363</v>
      </c>
    </row>
    <row r="46" spans="1:21">
      <c r="A46" s="165">
        <v>41</v>
      </c>
      <c r="B46" s="165" t="s">
        <v>483</v>
      </c>
      <c r="C46" s="165" t="s">
        <v>15</v>
      </c>
      <c r="D46" s="165" t="s">
        <v>484</v>
      </c>
      <c r="E46" s="165">
        <v>921.8</v>
      </c>
      <c r="F46" s="229">
        <v>287.18</v>
      </c>
      <c r="G46" s="165">
        <v>634.62</v>
      </c>
      <c r="H46" s="165">
        <v>2200</v>
      </c>
      <c r="I46" s="165">
        <v>176</v>
      </c>
      <c r="J46" s="165">
        <v>286</v>
      </c>
      <c r="K46" s="165">
        <v>5009</v>
      </c>
      <c r="L46" s="165">
        <v>100.18</v>
      </c>
      <c r="M46" s="165">
        <v>310.56</v>
      </c>
      <c r="N46" s="165">
        <v>2200</v>
      </c>
      <c r="O46" s="165">
        <v>6.16</v>
      </c>
      <c r="P46" s="165">
        <v>2200</v>
      </c>
      <c r="Q46" s="165">
        <v>11</v>
      </c>
      <c r="R46" s="165">
        <v>22</v>
      </c>
      <c r="S46" s="165">
        <v>2200</v>
      </c>
      <c r="T46" s="165">
        <v>9.9</v>
      </c>
      <c r="U46" s="165" t="s">
        <v>363</v>
      </c>
    </row>
    <row r="47" spans="1:21">
      <c r="A47" s="165">
        <v>42</v>
      </c>
      <c r="B47" s="165" t="s">
        <v>485</v>
      </c>
      <c r="C47" s="165" t="s">
        <v>20</v>
      </c>
      <c r="D47" s="165" t="s">
        <v>486</v>
      </c>
      <c r="E47" s="165">
        <v>921.8</v>
      </c>
      <c r="F47" s="229">
        <v>287.18</v>
      </c>
      <c r="G47" s="165">
        <v>634.62</v>
      </c>
      <c r="H47" s="165">
        <v>2200</v>
      </c>
      <c r="I47" s="165">
        <v>176</v>
      </c>
      <c r="J47" s="165">
        <v>286</v>
      </c>
      <c r="K47" s="165">
        <v>5009</v>
      </c>
      <c r="L47" s="165">
        <v>100.18</v>
      </c>
      <c r="M47" s="165">
        <v>310.56</v>
      </c>
      <c r="N47" s="165">
        <v>2200</v>
      </c>
      <c r="O47" s="165">
        <v>6.16</v>
      </c>
      <c r="P47" s="165">
        <v>2200</v>
      </c>
      <c r="Q47" s="165">
        <v>11</v>
      </c>
      <c r="R47" s="165">
        <v>22</v>
      </c>
      <c r="S47" s="165">
        <v>2200</v>
      </c>
      <c r="T47" s="165">
        <v>9.9</v>
      </c>
      <c r="U47" s="165" t="s">
        <v>363</v>
      </c>
    </row>
    <row r="48" spans="1:21">
      <c r="A48" s="165">
        <v>43</v>
      </c>
      <c r="B48" s="165" t="s">
        <v>487</v>
      </c>
      <c r="C48" s="165" t="s">
        <v>230</v>
      </c>
      <c r="D48" s="165" t="s">
        <v>488</v>
      </c>
      <c r="E48" s="165">
        <v>921.8</v>
      </c>
      <c r="F48" s="229">
        <v>287.18</v>
      </c>
      <c r="G48" s="165">
        <v>634.62</v>
      </c>
      <c r="H48" s="165">
        <v>2200</v>
      </c>
      <c r="I48" s="165">
        <v>176</v>
      </c>
      <c r="J48" s="165">
        <v>286</v>
      </c>
      <c r="K48" s="165">
        <v>5009</v>
      </c>
      <c r="L48" s="165">
        <v>100.18</v>
      </c>
      <c r="M48" s="165">
        <v>310.56</v>
      </c>
      <c r="N48" s="165">
        <v>2200</v>
      </c>
      <c r="O48" s="165">
        <v>6.16</v>
      </c>
      <c r="P48" s="165">
        <v>2200</v>
      </c>
      <c r="Q48" s="165">
        <v>11</v>
      </c>
      <c r="R48" s="165">
        <v>22</v>
      </c>
      <c r="S48" s="165">
        <v>2200</v>
      </c>
      <c r="T48" s="165">
        <v>9.9</v>
      </c>
      <c r="U48" s="165" t="s">
        <v>363</v>
      </c>
    </row>
    <row r="49" spans="1:21">
      <c r="A49" s="165">
        <v>44</v>
      </c>
      <c r="B49" s="165" t="s">
        <v>489</v>
      </c>
      <c r="C49" s="165" t="s">
        <v>187</v>
      </c>
      <c r="D49" s="165" t="s">
        <v>490</v>
      </c>
      <c r="E49" s="165">
        <v>921.8</v>
      </c>
      <c r="F49" s="229">
        <v>287.18</v>
      </c>
      <c r="G49" s="165">
        <v>634.62</v>
      </c>
      <c r="H49" s="165">
        <v>2200</v>
      </c>
      <c r="I49" s="165">
        <v>176</v>
      </c>
      <c r="J49" s="165">
        <v>286</v>
      </c>
      <c r="K49" s="165">
        <v>5009</v>
      </c>
      <c r="L49" s="165">
        <v>100.18</v>
      </c>
      <c r="M49" s="165">
        <v>310.56</v>
      </c>
      <c r="N49" s="165">
        <v>2200</v>
      </c>
      <c r="O49" s="165">
        <v>6.16</v>
      </c>
      <c r="P49" s="165">
        <v>2200</v>
      </c>
      <c r="Q49" s="165">
        <v>11</v>
      </c>
      <c r="R49" s="165">
        <v>22</v>
      </c>
      <c r="S49" s="165">
        <v>2200</v>
      </c>
      <c r="T49" s="165">
        <v>9.9</v>
      </c>
      <c r="U49" s="165" t="s">
        <v>363</v>
      </c>
    </row>
    <row r="50" spans="1:21">
      <c r="A50" s="165">
        <v>45</v>
      </c>
      <c r="B50" s="165" t="s">
        <v>491</v>
      </c>
      <c r="C50" s="165" t="s">
        <v>29</v>
      </c>
      <c r="D50" s="165" t="s">
        <v>492</v>
      </c>
      <c r="E50" s="165">
        <v>943.8</v>
      </c>
      <c r="F50" s="229">
        <v>287.18</v>
      </c>
      <c r="G50" s="165">
        <v>656.62</v>
      </c>
      <c r="H50" s="165">
        <v>2200</v>
      </c>
      <c r="I50" s="165">
        <v>176</v>
      </c>
      <c r="J50" s="165">
        <v>308</v>
      </c>
      <c r="K50" s="165">
        <v>5009</v>
      </c>
      <c r="L50" s="165">
        <v>100.18</v>
      </c>
      <c r="M50" s="165">
        <v>310.56</v>
      </c>
      <c r="N50" s="165">
        <v>2200</v>
      </c>
      <c r="O50" s="165">
        <v>6.16</v>
      </c>
      <c r="P50" s="165">
        <v>2200</v>
      </c>
      <c r="Q50" s="165">
        <v>11</v>
      </c>
      <c r="R50" s="165">
        <v>22</v>
      </c>
      <c r="S50" s="165">
        <v>2200</v>
      </c>
      <c r="T50" s="165">
        <v>9.9</v>
      </c>
      <c r="U50" s="165" t="s">
        <v>363</v>
      </c>
    </row>
    <row r="51" spans="1:21">
      <c r="A51" s="165">
        <v>46</v>
      </c>
      <c r="B51" s="165" t="s">
        <v>493</v>
      </c>
      <c r="C51" s="165" t="s">
        <v>207</v>
      </c>
      <c r="D51" s="165" t="s">
        <v>494</v>
      </c>
      <c r="E51" s="165">
        <v>921.8</v>
      </c>
      <c r="F51" s="229">
        <v>287.18</v>
      </c>
      <c r="G51" s="165">
        <v>634.62</v>
      </c>
      <c r="H51" s="165">
        <v>2200</v>
      </c>
      <c r="I51" s="165">
        <v>176</v>
      </c>
      <c r="J51" s="165">
        <v>286</v>
      </c>
      <c r="K51" s="165">
        <v>5009</v>
      </c>
      <c r="L51" s="165">
        <v>100.18</v>
      </c>
      <c r="M51" s="165">
        <v>310.56</v>
      </c>
      <c r="N51" s="165">
        <v>2200</v>
      </c>
      <c r="O51" s="165">
        <v>6.16</v>
      </c>
      <c r="P51" s="165">
        <v>2200</v>
      </c>
      <c r="Q51" s="165">
        <v>11</v>
      </c>
      <c r="R51" s="165">
        <v>22</v>
      </c>
      <c r="S51" s="165">
        <v>2200</v>
      </c>
      <c r="T51" s="165">
        <v>9.9</v>
      </c>
      <c r="U51" s="165" t="s">
        <v>363</v>
      </c>
    </row>
    <row r="52" spans="1:21">
      <c r="A52" s="165">
        <v>47</v>
      </c>
      <c r="B52" s="165" t="s">
        <v>495</v>
      </c>
      <c r="C52" s="165" t="s">
        <v>146</v>
      </c>
      <c r="D52" s="165" t="s">
        <v>496</v>
      </c>
      <c r="E52" s="165">
        <v>921.8</v>
      </c>
      <c r="F52" s="229">
        <v>287.18</v>
      </c>
      <c r="G52" s="165">
        <v>634.62</v>
      </c>
      <c r="H52" s="165">
        <v>2200</v>
      </c>
      <c r="I52" s="165">
        <v>176</v>
      </c>
      <c r="J52" s="165">
        <v>286</v>
      </c>
      <c r="K52" s="165">
        <v>5009</v>
      </c>
      <c r="L52" s="165">
        <v>100.18</v>
      </c>
      <c r="M52" s="165">
        <v>310.56</v>
      </c>
      <c r="N52" s="165">
        <v>2200</v>
      </c>
      <c r="O52" s="165">
        <v>6.16</v>
      </c>
      <c r="P52" s="165">
        <v>2200</v>
      </c>
      <c r="Q52" s="165">
        <v>11</v>
      </c>
      <c r="R52" s="165">
        <v>22</v>
      </c>
      <c r="S52" s="165">
        <v>2200</v>
      </c>
      <c r="T52" s="165">
        <v>9.9</v>
      </c>
      <c r="U52" s="165" t="s">
        <v>363</v>
      </c>
    </row>
    <row r="53" spans="1:21">
      <c r="A53" s="165">
        <v>48</v>
      </c>
      <c r="B53" s="165" t="s">
        <v>497</v>
      </c>
      <c r="C53" s="165" t="s">
        <v>185</v>
      </c>
      <c r="D53" s="165" t="s">
        <v>498</v>
      </c>
      <c r="E53" s="165">
        <v>943.8</v>
      </c>
      <c r="F53" s="229">
        <v>287.18</v>
      </c>
      <c r="G53" s="165">
        <v>656.62</v>
      </c>
      <c r="H53" s="165">
        <v>2200</v>
      </c>
      <c r="I53" s="165">
        <v>176</v>
      </c>
      <c r="J53" s="165">
        <v>308</v>
      </c>
      <c r="K53" s="165">
        <v>5009</v>
      </c>
      <c r="L53" s="165">
        <v>100.18</v>
      </c>
      <c r="M53" s="165">
        <v>310.56</v>
      </c>
      <c r="N53" s="165">
        <v>2200</v>
      </c>
      <c r="O53" s="165">
        <v>6.16</v>
      </c>
      <c r="P53" s="165">
        <v>2200</v>
      </c>
      <c r="Q53" s="165">
        <v>11</v>
      </c>
      <c r="R53" s="165">
        <v>22</v>
      </c>
      <c r="S53" s="165">
        <v>2200</v>
      </c>
      <c r="T53" s="165">
        <v>9.9</v>
      </c>
      <c r="U53" s="165" t="s">
        <v>363</v>
      </c>
    </row>
    <row r="54" spans="1:21">
      <c r="A54" s="165">
        <v>49</v>
      </c>
      <c r="B54" s="165" t="s">
        <v>908</v>
      </c>
      <c r="C54" s="165" t="s">
        <v>879</v>
      </c>
      <c r="D54" s="165" t="s">
        <v>878</v>
      </c>
      <c r="E54" s="165">
        <v>577.84</v>
      </c>
      <c r="F54" s="229">
        <v>203.7</v>
      </c>
      <c r="G54" s="165">
        <v>374.14</v>
      </c>
      <c r="H54" s="165">
        <v>2200</v>
      </c>
      <c r="I54" s="165">
        <v>176</v>
      </c>
      <c r="J54" s="165">
        <v>286</v>
      </c>
      <c r="K54" s="165">
        <v>8348</v>
      </c>
      <c r="L54" s="165">
        <v>16.7</v>
      </c>
      <c r="M54" s="165">
        <v>50.08</v>
      </c>
      <c r="N54" s="165">
        <v>2200</v>
      </c>
      <c r="O54" s="165">
        <v>6.16</v>
      </c>
      <c r="P54" s="165">
        <v>2200</v>
      </c>
      <c r="Q54" s="165">
        <v>11</v>
      </c>
      <c r="R54" s="165">
        <v>22</v>
      </c>
      <c r="S54" s="165">
        <v>2200</v>
      </c>
      <c r="T54" s="165">
        <v>9.9</v>
      </c>
      <c r="U54" s="165" t="s">
        <v>132</v>
      </c>
    </row>
    <row r="55" spans="1:21">
      <c r="A55" s="165">
        <v>50</v>
      </c>
      <c r="B55" s="165" t="s">
        <v>499</v>
      </c>
      <c r="C55" s="165" t="s">
        <v>57</v>
      </c>
      <c r="D55" s="165" t="s">
        <v>500</v>
      </c>
      <c r="E55" s="165">
        <v>921.8</v>
      </c>
      <c r="F55" s="229">
        <v>287.18</v>
      </c>
      <c r="G55" s="165">
        <v>634.62</v>
      </c>
      <c r="H55" s="165">
        <v>2200</v>
      </c>
      <c r="I55" s="165">
        <v>176</v>
      </c>
      <c r="J55" s="165">
        <v>286</v>
      </c>
      <c r="K55" s="165">
        <v>5009</v>
      </c>
      <c r="L55" s="165">
        <v>100.18</v>
      </c>
      <c r="M55" s="165">
        <v>310.56</v>
      </c>
      <c r="N55" s="165">
        <v>2200</v>
      </c>
      <c r="O55" s="165">
        <v>6.16</v>
      </c>
      <c r="P55" s="165">
        <v>2200</v>
      </c>
      <c r="Q55" s="165">
        <v>11</v>
      </c>
      <c r="R55" s="165">
        <v>22</v>
      </c>
      <c r="S55" s="165">
        <v>2200</v>
      </c>
      <c r="T55" s="165">
        <v>9.9</v>
      </c>
      <c r="U55" s="165" t="s">
        <v>363</v>
      </c>
    </row>
    <row r="56" spans="1:21">
      <c r="A56" s="165">
        <v>51</v>
      </c>
      <c r="B56" s="165" t="s">
        <v>501</v>
      </c>
      <c r="C56" s="165" t="s">
        <v>23</v>
      </c>
      <c r="D56" s="165" t="s">
        <v>502</v>
      </c>
      <c r="E56" s="165">
        <v>921.8</v>
      </c>
      <c r="F56" s="229">
        <v>287.18</v>
      </c>
      <c r="G56" s="165">
        <v>634.62</v>
      </c>
      <c r="H56" s="165">
        <v>2200</v>
      </c>
      <c r="I56" s="165">
        <v>176</v>
      </c>
      <c r="J56" s="165">
        <v>286</v>
      </c>
      <c r="K56" s="165">
        <v>5009</v>
      </c>
      <c r="L56" s="165">
        <v>100.18</v>
      </c>
      <c r="M56" s="165">
        <v>310.56</v>
      </c>
      <c r="N56" s="165">
        <v>2200</v>
      </c>
      <c r="O56" s="165">
        <v>6.16</v>
      </c>
      <c r="P56" s="165">
        <v>2200</v>
      </c>
      <c r="Q56" s="165">
        <v>11</v>
      </c>
      <c r="R56" s="165">
        <v>22</v>
      </c>
      <c r="S56" s="165">
        <v>2200</v>
      </c>
      <c r="T56" s="165">
        <v>9.9</v>
      </c>
      <c r="U56" s="165" t="s">
        <v>135</v>
      </c>
    </row>
    <row r="57" spans="1:21">
      <c r="A57" s="165">
        <v>52</v>
      </c>
      <c r="B57" s="165" t="s">
        <v>503</v>
      </c>
      <c r="C57" s="165" t="s">
        <v>157</v>
      </c>
      <c r="D57" s="165" t="s">
        <v>504</v>
      </c>
      <c r="E57" s="165">
        <v>986.99</v>
      </c>
      <c r="F57" s="229">
        <v>311.18</v>
      </c>
      <c r="G57" s="165">
        <v>675.81</v>
      </c>
      <c r="H57" s="165">
        <v>2500</v>
      </c>
      <c r="I57" s="165">
        <v>200</v>
      </c>
      <c r="J57" s="165">
        <v>325</v>
      </c>
      <c r="K57" s="165">
        <v>5009</v>
      </c>
      <c r="L57" s="165">
        <v>100.18</v>
      </c>
      <c r="M57" s="165">
        <v>310.56</v>
      </c>
      <c r="N57" s="165">
        <v>2500</v>
      </c>
      <c r="O57" s="165">
        <v>7</v>
      </c>
      <c r="P57" s="165">
        <v>2200</v>
      </c>
      <c r="Q57" s="165">
        <v>11</v>
      </c>
      <c r="R57" s="165">
        <v>22</v>
      </c>
      <c r="S57" s="165">
        <v>2500</v>
      </c>
      <c r="T57" s="165">
        <v>11.25</v>
      </c>
      <c r="U57" s="165" t="s">
        <v>363</v>
      </c>
    </row>
    <row r="58" spans="1:21">
      <c r="A58" s="165">
        <v>53</v>
      </c>
      <c r="B58" s="165" t="s">
        <v>505</v>
      </c>
      <c r="C58" s="165" t="s">
        <v>195</v>
      </c>
      <c r="D58" s="165" t="s">
        <v>506</v>
      </c>
      <c r="E58" s="165">
        <v>921.8</v>
      </c>
      <c r="F58" s="229">
        <v>287.18</v>
      </c>
      <c r="G58" s="165">
        <v>634.62</v>
      </c>
      <c r="H58" s="165">
        <v>2200</v>
      </c>
      <c r="I58" s="165">
        <v>176</v>
      </c>
      <c r="J58" s="165">
        <v>286</v>
      </c>
      <c r="K58" s="165">
        <v>5009</v>
      </c>
      <c r="L58" s="165">
        <v>100.18</v>
      </c>
      <c r="M58" s="165">
        <v>310.56</v>
      </c>
      <c r="N58" s="165">
        <v>2200</v>
      </c>
      <c r="O58" s="165">
        <v>6.16</v>
      </c>
      <c r="P58" s="165">
        <v>2200</v>
      </c>
      <c r="Q58" s="165">
        <v>11</v>
      </c>
      <c r="R58" s="165">
        <v>22</v>
      </c>
      <c r="S58" s="165">
        <v>2200</v>
      </c>
      <c r="T58" s="165">
        <v>9.9</v>
      </c>
      <c r="U58" s="165" t="s">
        <v>363</v>
      </c>
    </row>
    <row r="59" spans="1:21">
      <c r="A59" s="165">
        <v>54</v>
      </c>
      <c r="B59" s="165" t="s">
        <v>507</v>
      </c>
      <c r="C59" s="165" t="s">
        <v>112</v>
      </c>
      <c r="D59" s="165" t="s">
        <v>508</v>
      </c>
      <c r="E59" s="165">
        <v>986.99</v>
      </c>
      <c r="F59" s="229">
        <v>311.18</v>
      </c>
      <c r="G59" s="165">
        <v>675.81</v>
      </c>
      <c r="H59" s="165">
        <v>2500</v>
      </c>
      <c r="I59" s="165">
        <v>200</v>
      </c>
      <c r="J59" s="165">
        <v>325</v>
      </c>
      <c r="K59" s="165">
        <v>5009</v>
      </c>
      <c r="L59" s="165">
        <v>100.18</v>
      </c>
      <c r="M59" s="165">
        <v>310.56</v>
      </c>
      <c r="N59" s="165">
        <v>2500</v>
      </c>
      <c r="O59" s="165">
        <v>7</v>
      </c>
      <c r="P59" s="165">
        <v>2200</v>
      </c>
      <c r="Q59" s="165">
        <v>11</v>
      </c>
      <c r="R59" s="165">
        <v>22</v>
      </c>
      <c r="S59" s="165">
        <v>2500</v>
      </c>
      <c r="T59" s="165">
        <v>11.25</v>
      </c>
      <c r="U59" s="165" t="s">
        <v>363</v>
      </c>
    </row>
    <row r="60" spans="1:21">
      <c r="A60" s="165">
        <v>55</v>
      </c>
      <c r="B60" s="165" t="s">
        <v>509</v>
      </c>
      <c r="C60" s="165" t="s">
        <v>175</v>
      </c>
      <c r="D60" s="165" t="s">
        <v>510</v>
      </c>
      <c r="E60" s="165">
        <v>986.99</v>
      </c>
      <c r="F60" s="229">
        <v>311.18</v>
      </c>
      <c r="G60" s="165">
        <v>675.81</v>
      </c>
      <c r="H60" s="165">
        <v>2500</v>
      </c>
      <c r="I60" s="165">
        <v>200</v>
      </c>
      <c r="J60" s="165">
        <v>325</v>
      </c>
      <c r="K60" s="165">
        <v>5009</v>
      </c>
      <c r="L60" s="165">
        <v>100.18</v>
      </c>
      <c r="M60" s="165">
        <v>310.56</v>
      </c>
      <c r="N60" s="165">
        <v>2500</v>
      </c>
      <c r="O60" s="165">
        <v>7</v>
      </c>
      <c r="P60" s="165">
        <v>2200</v>
      </c>
      <c r="Q60" s="165">
        <v>11</v>
      </c>
      <c r="R60" s="165">
        <v>22</v>
      </c>
      <c r="S60" s="165">
        <v>2500</v>
      </c>
      <c r="T60" s="165">
        <v>11.25</v>
      </c>
      <c r="U60" s="165" t="s">
        <v>363</v>
      </c>
    </row>
    <row r="61" spans="1:21">
      <c r="A61" s="165">
        <v>56</v>
      </c>
      <c r="B61" s="165" t="s">
        <v>511</v>
      </c>
      <c r="C61" s="165" t="s">
        <v>138</v>
      </c>
      <c r="D61" s="165" t="s">
        <v>512</v>
      </c>
      <c r="E61" s="165">
        <v>921.8</v>
      </c>
      <c r="F61" s="229">
        <v>287.18</v>
      </c>
      <c r="G61" s="165">
        <v>634.62</v>
      </c>
      <c r="H61" s="165">
        <v>2200</v>
      </c>
      <c r="I61" s="165">
        <v>176</v>
      </c>
      <c r="J61" s="165">
        <v>286</v>
      </c>
      <c r="K61" s="165">
        <v>5009</v>
      </c>
      <c r="L61" s="165">
        <v>100.18</v>
      </c>
      <c r="M61" s="165">
        <v>310.56</v>
      </c>
      <c r="N61" s="165">
        <v>2200</v>
      </c>
      <c r="O61" s="165">
        <v>6.16</v>
      </c>
      <c r="P61" s="165">
        <v>2200</v>
      </c>
      <c r="Q61" s="165">
        <v>11</v>
      </c>
      <c r="R61" s="165">
        <v>22</v>
      </c>
      <c r="S61" s="165">
        <v>2200</v>
      </c>
      <c r="T61" s="165">
        <v>9.9</v>
      </c>
      <c r="U61" s="165" t="s">
        <v>363</v>
      </c>
    </row>
    <row r="62" spans="1:21">
      <c r="A62" s="165">
        <v>57</v>
      </c>
      <c r="B62" s="165" t="s">
        <v>513</v>
      </c>
      <c r="C62" s="165" t="s">
        <v>220</v>
      </c>
      <c r="D62" s="165" t="s">
        <v>514</v>
      </c>
      <c r="E62" s="165">
        <v>1095.6400000000001</v>
      </c>
      <c r="F62" s="229">
        <v>351.18</v>
      </c>
      <c r="G62" s="165">
        <v>744.46</v>
      </c>
      <c r="H62" s="165">
        <v>3000</v>
      </c>
      <c r="I62" s="165">
        <v>240</v>
      </c>
      <c r="J62" s="165">
        <v>390</v>
      </c>
      <c r="K62" s="165">
        <v>5009</v>
      </c>
      <c r="L62" s="165">
        <v>100.18</v>
      </c>
      <c r="M62" s="165">
        <v>310.56</v>
      </c>
      <c r="N62" s="165">
        <v>3000</v>
      </c>
      <c r="O62" s="165">
        <v>8.4</v>
      </c>
      <c r="P62" s="165">
        <v>2200</v>
      </c>
      <c r="Q62" s="165">
        <v>11</v>
      </c>
      <c r="R62" s="165">
        <v>22</v>
      </c>
      <c r="S62" s="165">
        <v>3000</v>
      </c>
      <c r="T62" s="165">
        <v>13.5</v>
      </c>
      <c r="U62" s="165" t="s">
        <v>363</v>
      </c>
    </row>
    <row r="63" spans="1:21">
      <c r="A63" s="165">
        <v>58</v>
      </c>
      <c r="B63" s="165" t="s">
        <v>515</v>
      </c>
      <c r="C63" s="165" t="s">
        <v>201</v>
      </c>
      <c r="D63" s="165" t="s">
        <v>516</v>
      </c>
      <c r="E63" s="165">
        <v>921.8</v>
      </c>
      <c r="F63" s="229">
        <v>287.18</v>
      </c>
      <c r="G63" s="165">
        <v>634.62</v>
      </c>
      <c r="H63" s="165">
        <v>2200</v>
      </c>
      <c r="I63" s="165">
        <v>176</v>
      </c>
      <c r="J63" s="165">
        <v>286</v>
      </c>
      <c r="K63" s="165">
        <v>5009</v>
      </c>
      <c r="L63" s="165">
        <v>100.18</v>
      </c>
      <c r="M63" s="165">
        <v>310.56</v>
      </c>
      <c r="N63" s="165">
        <v>2200</v>
      </c>
      <c r="O63" s="165">
        <v>6.16</v>
      </c>
      <c r="P63" s="165">
        <v>2200</v>
      </c>
      <c r="Q63" s="165">
        <v>11</v>
      </c>
      <c r="R63" s="165">
        <v>22</v>
      </c>
      <c r="S63" s="165">
        <v>2200</v>
      </c>
      <c r="T63" s="165">
        <v>9.9</v>
      </c>
      <c r="U63" s="165" t="s">
        <v>363</v>
      </c>
    </row>
    <row r="64" spans="1:21">
      <c r="A64" s="165">
        <v>59</v>
      </c>
      <c r="B64" s="165" t="s">
        <v>907</v>
      </c>
      <c r="C64" s="165" t="s">
        <v>35</v>
      </c>
      <c r="D64" s="165" t="s">
        <v>870</v>
      </c>
      <c r="E64" s="165">
        <v>577.84</v>
      </c>
      <c r="F64" s="229">
        <v>203.7</v>
      </c>
      <c r="G64" s="165">
        <v>374.14</v>
      </c>
      <c r="H64" s="165">
        <v>2200</v>
      </c>
      <c r="I64" s="165">
        <v>176</v>
      </c>
      <c r="J64" s="165">
        <v>286</v>
      </c>
      <c r="K64" s="165">
        <v>8348</v>
      </c>
      <c r="L64" s="165">
        <v>16.7</v>
      </c>
      <c r="M64" s="165">
        <v>50.08</v>
      </c>
      <c r="N64" s="165">
        <v>2200</v>
      </c>
      <c r="O64" s="165">
        <v>6.16</v>
      </c>
      <c r="P64" s="165">
        <v>2200</v>
      </c>
      <c r="Q64" s="165">
        <v>11</v>
      </c>
      <c r="R64" s="165">
        <v>22</v>
      </c>
      <c r="S64" s="165">
        <v>2200</v>
      </c>
      <c r="T64" s="165">
        <v>9.9</v>
      </c>
      <c r="U64" s="165" t="s">
        <v>363</v>
      </c>
    </row>
    <row r="65" spans="1:21">
      <c r="A65" s="165">
        <v>60</v>
      </c>
      <c r="B65" s="165" t="s">
        <v>517</v>
      </c>
      <c r="C65" s="165" t="s">
        <v>120</v>
      </c>
      <c r="D65" s="165" t="s">
        <v>518</v>
      </c>
      <c r="E65" s="165">
        <v>1095.6400000000001</v>
      </c>
      <c r="F65" s="229">
        <v>351.18</v>
      </c>
      <c r="G65" s="165">
        <v>744.46</v>
      </c>
      <c r="H65" s="165">
        <v>3000</v>
      </c>
      <c r="I65" s="165">
        <v>240</v>
      </c>
      <c r="J65" s="165">
        <v>390</v>
      </c>
      <c r="K65" s="165">
        <v>5009</v>
      </c>
      <c r="L65" s="165">
        <v>100.18</v>
      </c>
      <c r="M65" s="165">
        <v>310.56</v>
      </c>
      <c r="N65" s="165">
        <v>3000</v>
      </c>
      <c r="O65" s="165">
        <v>8.4</v>
      </c>
      <c r="P65" s="165">
        <v>2200</v>
      </c>
      <c r="Q65" s="165">
        <v>11</v>
      </c>
      <c r="R65" s="165">
        <v>22</v>
      </c>
      <c r="S65" s="165">
        <v>3000</v>
      </c>
      <c r="T65" s="165">
        <v>13.5</v>
      </c>
      <c r="U65" s="165" t="s">
        <v>363</v>
      </c>
    </row>
    <row r="66" spans="1:21">
      <c r="A66" s="165">
        <v>61</v>
      </c>
      <c r="B66" s="165" t="s">
        <v>519</v>
      </c>
      <c r="C66" s="165" t="s">
        <v>199</v>
      </c>
      <c r="D66" s="165" t="s">
        <v>520</v>
      </c>
      <c r="E66" s="165">
        <v>921.8</v>
      </c>
      <c r="F66" s="229">
        <v>287.18</v>
      </c>
      <c r="G66" s="165">
        <v>634.62</v>
      </c>
      <c r="H66" s="165">
        <v>2200</v>
      </c>
      <c r="I66" s="165">
        <v>176</v>
      </c>
      <c r="J66" s="165">
        <v>286</v>
      </c>
      <c r="K66" s="165">
        <v>5009</v>
      </c>
      <c r="L66" s="165">
        <v>100.18</v>
      </c>
      <c r="M66" s="165">
        <v>310.56</v>
      </c>
      <c r="N66" s="165">
        <v>2200</v>
      </c>
      <c r="O66" s="165">
        <v>6.16</v>
      </c>
      <c r="P66" s="165">
        <v>2200</v>
      </c>
      <c r="Q66" s="165">
        <v>11</v>
      </c>
      <c r="R66" s="165">
        <v>22</v>
      </c>
      <c r="S66" s="165">
        <v>2200</v>
      </c>
      <c r="T66" s="165">
        <v>9.9</v>
      </c>
      <c r="U66" s="165" t="s">
        <v>363</v>
      </c>
    </row>
    <row r="67" spans="1:21">
      <c r="A67" s="165">
        <v>62</v>
      </c>
      <c r="B67" s="165" t="s">
        <v>521</v>
      </c>
      <c r="C67" s="165" t="s">
        <v>99</v>
      </c>
      <c r="D67" s="165" t="s">
        <v>522</v>
      </c>
      <c r="E67" s="165">
        <v>1095.6400000000001</v>
      </c>
      <c r="F67" s="229">
        <v>351.18</v>
      </c>
      <c r="G67" s="165">
        <v>744.46</v>
      </c>
      <c r="H67" s="165">
        <v>3000</v>
      </c>
      <c r="I67" s="165">
        <v>240</v>
      </c>
      <c r="J67" s="165">
        <v>390</v>
      </c>
      <c r="K67" s="165">
        <v>5009</v>
      </c>
      <c r="L67" s="165">
        <v>100.18</v>
      </c>
      <c r="M67" s="165">
        <v>310.56</v>
      </c>
      <c r="N67" s="165">
        <v>3000</v>
      </c>
      <c r="O67" s="165">
        <v>8.4</v>
      </c>
      <c r="P67" s="165">
        <v>2200</v>
      </c>
      <c r="Q67" s="165">
        <v>11</v>
      </c>
      <c r="R67" s="165">
        <v>22</v>
      </c>
      <c r="S67" s="165">
        <v>3000</v>
      </c>
      <c r="T67" s="165">
        <v>13.5</v>
      </c>
      <c r="U67" s="165" t="s">
        <v>363</v>
      </c>
    </row>
    <row r="68" spans="1:21">
      <c r="A68" s="165">
        <v>63</v>
      </c>
      <c r="B68" s="165" t="s">
        <v>523</v>
      </c>
      <c r="C68" s="165" t="s">
        <v>214</v>
      </c>
      <c r="D68" s="165" t="s">
        <v>524</v>
      </c>
      <c r="E68" s="165">
        <v>921.8</v>
      </c>
      <c r="F68" s="229">
        <v>287.18</v>
      </c>
      <c r="G68" s="165">
        <v>634.62</v>
      </c>
      <c r="H68" s="165">
        <v>2200</v>
      </c>
      <c r="I68" s="165">
        <v>176</v>
      </c>
      <c r="J68" s="165">
        <v>286</v>
      </c>
      <c r="K68" s="165">
        <v>5009</v>
      </c>
      <c r="L68" s="165">
        <v>100.18</v>
      </c>
      <c r="M68" s="165">
        <v>310.56</v>
      </c>
      <c r="N68" s="165">
        <v>2200</v>
      </c>
      <c r="O68" s="165">
        <v>6.16</v>
      </c>
      <c r="P68" s="165">
        <v>2200</v>
      </c>
      <c r="Q68" s="165">
        <v>11</v>
      </c>
      <c r="R68" s="165">
        <v>22</v>
      </c>
      <c r="S68" s="165">
        <v>2200</v>
      </c>
      <c r="T68" s="165">
        <v>9.9</v>
      </c>
      <c r="U68" s="165" t="s">
        <v>363</v>
      </c>
    </row>
    <row r="69" spans="1:21">
      <c r="A69" s="165">
        <v>64</v>
      </c>
      <c r="B69" s="165" t="s">
        <v>525</v>
      </c>
      <c r="C69" s="165" t="s">
        <v>181</v>
      </c>
      <c r="D69" s="165" t="s">
        <v>526</v>
      </c>
      <c r="E69" s="165">
        <v>1011.99</v>
      </c>
      <c r="F69" s="229">
        <v>311.18</v>
      </c>
      <c r="G69" s="165">
        <v>700.81</v>
      </c>
      <c r="H69" s="165">
        <v>2500</v>
      </c>
      <c r="I69" s="165">
        <v>200</v>
      </c>
      <c r="J69" s="165">
        <v>350</v>
      </c>
      <c r="K69" s="165">
        <v>5009</v>
      </c>
      <c r="L69" s="165">
        <v>100.18</v>
      </c>
      <c r="M69" s="165">
        <v>310.56</v>
      </c>
      <c r="N69" s="165">
        <v>2500</v>
      </c>
      <c r="O69" s="165">
        <v>7</v>
      </c>
      <c r="P69" s="165">
        <v>2200</v>
      </c>
      <c r="Q69" s="165">
        <v>11</v>
      </c>
      <c r="R69" s="165">
        <v>22</v>
      </c>
      <c r="S69" s="165">
        <v>2500</v>
      </c>
      <c r="T69" s="165">
        <v>11.25</v>
      </c>
      <c r="U69" s="165" t="s">
        <v>363</v>
      </c>
    </row>
    <row r="70" spans="1:21">
      <c r="A70" s="165">
        <v>65</v>
      </c>
      <c r="B70" s="165" t="s">
        <v>527</v>
      </c>
      <c r="C70" s="165" t="s">
        <v>183</v>
      </c>
      <c r="D70" s="165" t="s">
        <v>528</v>
      </c>
      <c r="E70" s="165">
        <v>986.99</v>
      </c>
      <c r="F70" s="229">
        <v>311.18</v>
      </c>
      <c r="G70" s="165">
        <v>675.81</v>
      </c>
      <c r="H70" s="165">
        <v>2500</v>
      </c>
      <c r="I70" s="165">
        <v>200</v>
      </c>
      <c r="J70" s="165">
        <v>325</v>
      </c>
      <c r="K70" s="165">
        <v>5009</v>
      </c>
      <c r="L70" s="165">
        <v>100.18</v>
      </c>
      <c r="M70" s="165">
        <v>310.56</v>
      </c>
      <c r="N70" s="165">
        <v>2500</v>
      </c>
      <c r="O70" s="165">
        <v>7</v>
      </c>
      <c r="P70" s="165">
        <v>2200</v>
      </c>
      <c r="Q70" s="165">
        <v>11</v>
      </c>
      <c r="R70" s="165">
        <v>22</v>
      </c>
      <c r="S70" s="165">
        <v>2500</v>
      </c>
      <c r="T70" s="165">
        <v>11.25</v>
      </c>
      <c r="U70" s="165" t="s">
        <v>363</v>
      </c>
    </row>
    <row r="71" spans="1:21">
      <c r="A71" s="165">
        <v>66</v>
      </c>
      <c r="B71" s="165" t="s">
        <v>529</v>
      </c>
      <c r="C71" s="165" t="s">
        <v>50</v>
      </c>
      <c r="D71" s="165" t="s">
        <v>530</v>
      </c>
      <c r="E71" s="165">
        <v>921.8</v>
      </c>
      <c r="F71" s="229">
        <v>287.18</v>
      </c>
      <c r="G71" s="165">
        <v>634.62</v>
      </c>
      <c r="H71" s="165">
        <v>2200</v>
      </c>
      <c r="I71" s="165">
        <v>176</v>
      </c>
      <c r="J71" s="165">
        <v>286</v>
      </c>
      <c r="K71" s="165">
        <v>5009</v>
      </c>
      <c r="L71" s="165">
        <v>100.18</v>
      </c>
      <c r="M71" s="165">
        <v>310.56</v>
      </c>
      <c r="N71" s="165">
        <v>2200</v>
      </c>
      <c r="O71" s="165">
        <v>6.16</v>
      </c>
      <c r="P71" s="165">
        <v>2200</v>
      </c>
      <c r="Q71" s="165">
        <v>11</v>
      </c>
      <c r="R71" s="165">
        <v>22</v>
      </c>
      <c r="S71" s="165">
        <v>2200</v>
      </c>
      <c r="T71" s="165">
        <v>9.9</v>
      </c>
      <c r="U71" s="165" t="s">
        <v>363</v>
      </c>
    </row>
    <row r="72" spans="1:21">
      <c r="A72" s="165">
        <v>67</v>
      </c>
      <c r="B72" s="165" t="s">
        <v>531</v>
      </c>
      <c r="C72" s="165" t="s">
        <v>197</v>
      </c>
      <c r="D72" s="165" t="s">
        <v>532</v>
      </c>
      <c r="E72" s="165">
        <v>921.8</v>
      </c>
      <c r="F72" s="229">
        <v>287.18</v>
      </c>
      <c r="G72" s="165">
        <v>634.62</v>
      </c>
      <c r="H72" s="165">
        <v>2200</v>
      </c>
      <c r="I72" s="165">
        <v>176</v>
      </c>
      <c r="J72" s="165">
        <v>286</v>
      </c>
      <c r="K72" s="165">
        <v>5009</v>
      </c>
      <c r="L72" s="165">
        <v>100.18</v>
      </c>
      <c r="M72" s="165">
        <v>310.56</v>
      </c>
      <c r="N72" s="165">
        <v>2200</v>
      </c>
      <c r="O72" s="165">
        <v>6.16</v>
      </c>
      <c r="P72" s="165">
        <v>2200</v>
      </c>
      <c r="Q72" s="165">
        <v>11</v>
      </c>
      <c r="R72" s="165">
        <v>22</v>
      </c>
      <c r="S72" s="165">
        <v>2200</v>
      </c>
      <c r="T72" s="165">
        <v>9.9</v>
      </c>
      <c r="U72" s="165" t="s">
        <v>363</v>
      </c>
    </row>
    <row r="73" spans="1:21">
      <c r="A73" s="165">
        <v>68</v>
      </c>
      <c r="B73" s="165" t="s">
        <v>533</v>
      </c>
      <c r="C73" s="165" t="s">
        <v>46</v>
      </c>
      <c r="D73" s="165" t="s">
        <v>534</v>
      </c>
      <c r="E73" s="165">
        <v>921.8</v>
      </c>
      <c r="F73" s="229">
        <v>287.18</v>
      </c>
      <c r="G73" s="165">
        <v>634.62</v>
      </c>
      <c r="H73" s="165">
        <v>2200</v>
      </c>
      <c r="I73" s="165">
        <v>176</v>
      </c>
      <c r="J73" s="165">
        <v>286</v>
      </c>
      <c r="K73" s="165">
        <v>5009</v>
      </c>
      <c r="L73" s="165">
        <v>100.18</v>
      </c>
      <c r="M73" s="165">
        <v>310.56</v>
      </c>
      <c r="N73" s="165">
        <v>2200</v>
      </c>
      <c r="O73" s="165">
        <v>6.16</v>
      </c>
      <c r="P73" s="165">
        <v>2200</v>
      </c>
      <c r="Q73" s="165">
        <v>11</v>
      </c>
      <c r="R73" s="165">
        <v>22</v>
      </c>
      <c r="S73" s="165">
        <v>2200</v>
      </c>
      <c r="T73" s="165">
        <v>9.9</v>
      </c>
      <c r="U73" s="165" t="s">
        <v>363</v>
      </c>
    </row>
    <row r="74" spans="1:21">
      <c r="A74" s="165">
        <v>69</v>
      </c>
      <c r="B74" s="165" t="s">
        <v>535</v>
      </c>
      <c r="C74" s="165" t="s">
        <v>109</v>
      </c>
      <c r="D74" s="165" t="s">
        <v>536</v>
      </c>
      <c r="E74" s="165">
        <v>921.8</v>
      </c>
      <c r="F74" s="229">
        <v>287.18</v>
      </c>
      <c r="G74" s="165">
        <v>634.62</v>
      </c>
      <c r="H74" s="165">
        <v>2200</v>
      </c>
      <c r="I74" s="165">
        <v>176</v>
      </c>
      <c r="J74" s="165">
        <v>286</v>
      </c>
      <c r="K74" s="165">
        <v>5009</v>
      </c>
      <c r="L74" s="165">
        <v>100.18</v>
      </c>
      <c r="M74" s="165">
        <v>310.56</v>
      </c>
      <c r="N74" s="165">
        <v>2200</v>
      </c>
      <c r="O74" s="165">
        <v>6.16</v>
      </c>
      <c r="P74" s="165">
        <v>2200</v>
      </c>
      <c r="Q74" s="165">
        <v>11</v>
      </c>
      <c r="R74" s="165">
        <v>22</v>
      </c>
      <c r="S74" s="165">
        <v>2200</v>
      </c>
      <c r="T74" s="165">
        <v>9.9</v>
      </c>
      <c r="U74" s="165" t="s">
        <v>363</v>
      </c>
    </row>
    <row r="75" spans="1:21">
      <c r="A75" s="165">
        <v>70</v>
      </c>
      <c r="B75" s="165" t="s">
        <v>537</v>
      </c>
      <c r="C75" s="165" t="s">
        <v>103</v>
      </c>
      <c r="D75" s="165" t="s">
        <v>538</v>
      </c>
      <c r="E75" s="165">
        <v>921.8</v>
      </c>
      <c r="F75" s="229">
        <v>287.18</v>
      </c>
      <c r="G75" s="165">
        <v>634.62</v>
      </c>
      <c r="H75" s="165">
        <v>2200</v>
      </c>
      <c r="I75" s="165">
        <v>176</v>
      </c>
      <c r="J75" s="165">
        <v>286</v>
      </c>
      <c r="K75" s="165">
        <v>5009</v>
      </c>
      <c r="L75" s="165">
        <v>100.18</v>
      </c>
      <c r="M75" s="165">
        <v>310.56</v>
      </c>
      <c r="N75" s="165">
        <v>2200</v>
      </c>
      <c r="O75" s="165">
        <v>6.16</v>
      </c>
      <c r="P75" s="165">
        <v>2200</v>
      </c>
      <c r="Q75" s="165">
        <v>11</v>
      </c>
      <c r="R75" s="165">
        <v>22</v>
      </c>
      <c r="S75" s="165">
        <v>2200</v>
      </c>
      <c r="T75" s="165">
        <v>9.9</v>
      </c>
      <c r="U75" s="165" t="s">
        <v>363</v>
      </c>
    </row>
    <row r="76" spans="1:21">
      <c r="A76" s="165">
        <v>71</v>
      </c>
      <c r="B76" s="165" t="s">
        <v>539</v>
      </c>
      <c r="C76" s="165" t="s">
        <v>205</v>
      </c>
      <c r="D76" s="165" t="s">
        <v>540</v>
      </c>
      <c r="E76" s="165">
        <v>921.8</v>
      </c>
      <c r="F76" s="229">
        <v>287.18</v>
      </c>
      <c r="G76" s="165">
        <v>634.62</v>
      </c>
      <c r="H76" s="165">
        <v>2200</v>
      </c>
      <c r="I76" s="165">
        <v>176</v>
      </c>
      <c r="J76" s="165">
        <v>286</v>
      </c>
      <c r="K76" s="165">
        <v>5009</v>
      </c>
      <c r="L76" s="165">
        <v>100.18</v>
      </c>
      <c r="M76" s="165">
        <v>310.56</v>
      </c>
      <c r="N76" s="165">
        <v>2200</v>
      </c>
      <c r="O76" s="165">
        <v>6.16</v>
      </c>
      <c r="P76" s="165">
        <v>2200</v>
      </c>
      <c r="Q76" s="165">
        <v>11</v>
      </c>
      <c r="R76" s="165">
        <v>22</v>
      </c>
      <c r="S76" s="165">
        <v>2200</v>
      </c>
      <c r="T76" s="165">
        <v>9.9</v>
      </c>
      <c r="U76" s="165" t="s">
        <v>363</v>
      </c>
    </row>
    <row r="77" spans="1:21">
      <c r="A77" s="165">
        <v>72</v>
      </c>
      <c r="B77" s="165" t="s">
        <v>541</v>
      </c>
      <c r="C77" s="165" t="s">
        <v>125</v>
      </c>
      <c r="D77" s="165" t="s">
        <v>542</v>
      </c>
      <c r="E77" s="165">
        <v>943.8</v>
      </c>
      <c r="F77" s="229">
        <v>287.18</v>
      </c>
      <c r="G77" s="165">
        <v>656.62</v>
      </c>
      <c r="H77" s="165">
        <v>2200</v>
      </c>
      <c r="I77" s="165">
        <v>176</v>
      </c>
      <c r="J77" s="165">
        <v>308</v>
      </c>
      <c r="K77" s="165">
        <v>5009</v>
      </c>
      <c r="L77" s="165">
        <v>100.18</v>
      </c>
      <c r="M77" s="165">
        <v>310.56</v>
      </c>
      <c r="N77" s="165">
        <v>2200</v>
      </c>
      <c r="O77" s="165">
        <v>6.16</v>
      </c>
      <c r="P77" s="165">
        <v>2200</v>
      </c>
      <c r="Q77" s="165">
        <v>11</v>
      </c>
      <c r="R77" s="165">
        <v>22</v>
      </c>
      <c r="S77" s="165">
        <v>2200</v>
      </c>
      <c r="T77" s="165">
        <v>9.9</v>
      </c>
      <c r="U77" s="165" t="s">
        <v>363</v>
      </c>
    </row>
    <row r="78" spans="1:21">
      <c r="A78" s="165">
        <v>73</v>
      </c>
      <c r="B78" s="165" t="s">
        <v>543</v>
      </c>
      <c r="C78" s="165" t="s">
        <v>248</v>
      </c>
      <c r="D78" s="165" t="s">
        <v>544</v>
      </c>
      <c r="E78" s="165">
        <v>921.8</v>
      </c>
      <c r="F78" s="229">
        <v>287.18</v>
      </c>
      <c r="G78" s="165">
        <v>634.62</v>
      </c>
      <c r="H78" s="165">
        <v>2200</v>
      </c>
      <c r="I78" s="165">
        <v>176</v>
      </c>
      <c r="J78" s="165">
        <v>286</v>
      </c>
      <c r="K78" s="165">
        <v>5009</v>
      </c>
      <c r="L78" s="165">
        <v>100.18</v>
      </c>
      <c r="M78" s="165">
        <v>310.56</v>
      </c>
      <c r="N78" s="165">
        <v>2200</v>
      </c>
      <c r="O78" s="165">
        <v>6.16</v>
      </c>
      <c r="P78" s="165">
        <v>2200</v>
      </c>
      <c r="Q78" s="165">
        <v>11</v>
      </c>
      <c r="R78" s="165">
        <v>22</v>
      </c>
      <c r="S78" s="165">
        <v>2200</v>
      </c>
      <c r="T78" s="165">
        <v>9.9</v>
      </c>
      <c r="U78" s="165" t="s">
        <v>363</v>
      </c>
    </row>
    <row r="79" spans="1:21">
      <c r="A79" s="165">
        <v>74</v>
      </c>
      <c r="B79" s="165" t="s">
        <v>545</v>
      </c>
      <c r="C79" s="165" t="s">
        <v>161</v>
      </c>
      <c r="D79" s="165" t="s">
        <v>546</v>
      </c>
      <c r="E79" s="165">
        <v>921.8</v>
      </c>
      <c r="F79" s="229">
        <v>287.18</v>
      </c>
      <c r="G79" s="165">
        <v>634.62</v>
      </c>
      <c r="H79" s="165">
        <v>2200</v>
      </c>
      <c r="I79" s="165">
        <v>176</v>
      </c>
      <c r="J79" s="165">
        <v>286</v>
      </c>
      <c r="K79" s="165">
        <v>5009</v>
      </c>
      <c r="L79" s="165">
        <v>100.18</v>
      </c>
      <c r="M79" s="165">
        <v>310.56</v>
      </c>
      <c r="N79" s="165">
        <v>2200</v>
      </c>
      <c r="O79" s="165">
        <v>6.16</v>
      </c>
      <c r="P79" s="165">
        <v>2200</v>
      </c>
      <c r="Q79" s="165">
        <v>11</v>
      </c>
      <c r="R79" s="165">
        <v>22</v>
      </c>
      <c r="S79" s="165">
        <v>2200</v>
      </c>
      <c r="T79" s="165">
        <v>9.9</v>
      </c>
      <c r="U79" s="165" t="s">
        <v>363</v>
      </c>
    </row>
    <row r="80" spans="1:21">
      <c r="A80" s="165">
        <v>75</v>
      </c>
      <c r="B80" s="165" t="s">
        <v>547</v>
      </c>
      <c r="C80" s="165" t="s">
        <v>193</v>
      </c>
      <c r="D80" s="165" t="s">
        <v>548</v>
      </c>
      <c r="E80" s="165">
        <v>921.8</v>
      </c>
      <c r="F80" s="229">
        <v>287.18</v>
      </c>
      <c r="G80" s="165">
        <v>634.62</v>
      </c>
      <c r="H80" s="165">
        <v>2200</v>
      </c>
      <c r="I80" s="165">
        <v>176</v>
      </c>
      <c r="J80" s="165">
        <v>286</v>
      </c>
      <c r="K80" s="165">
        <v>5009</v>
      </c>
      <c r="L80" s="165">
        <v>100.18</v>
      </c>
      <c r="M80" s="165">
        <v>310.56</v>
      </c>
      <c r="N80" s="165">
        <v>2200</v>
      </c>
      <c r="O80" s="165">
        <v>6.16</v>
      </c>
      <c r="P80" s="165">
        <v>2200</v>
      </c>
      <c r="Q80" s="165">
        <v>11</v>
      </c>
      <c r="R80" s="165">
        <v>22</v>
      </c>
      <c r="S80" s="165">
        <v>2200</v>
      </c>
      <c r="T80" s="165">
        <v>9.9</v>
      </c>
      <c r="U80" s="165" t="s">
        <v>363</v>
      </c>
    </row>
    <row r="81" spans="1:21">
      <c r="A81" s="165">
        <v>76</v>
      </c>
      <c r="B81" s="165" t="s">
        <v>549</v>
      </c>
      <c r="C81" s="165" t="s">
        <v>280</v>
      </c>
      <c r="D81" s="165" t="s">
        <v>550</v>
      </c>
      <c r="E81" s="165">
        <v>943.8</v>
      </c>
      <c r="F81" s="229">
        <v>287.18</v>
      </c>
      <c r="G81" s="165">
        <v>656.62</v>
      </c>
      <c r="H81" s="165">
        <v>2200</v>
      </c>
      <c r="I81" s="165">
        <v>176</v>
      </c>
      <c r="J81" s="165">
        <v>308</v>
      </c>
      <c r="K81" s="165">
        <v>5009</v>
      </c>
      <c r="L81" s="165">
        <v>100.18</v>
      </c>
      <c r="M81" s="165">
        <v>310.56</v>
      </c>
      <c r="N81" s="165">
        <v>2200</v>
      </c>
      <c r="O81" s="165">
        <v>6.16</v>
      </c>
      <c r="P81" s="165">
        <v>2200</v>
      </c>
      <c r="Q81" s="165">
        <v>11</v>
      </c>
      <c r="R81" s="165">
        <v>22</v>
      </c>
      <c r="S81" s="165">
        <v>2200</v>
      </c>
      <c r="T81" s="165">
        <v>9.9</v>
      </c>
      <c r="U81" s="165" t="s">
        <v>363</v>
      </c>
    </row>
    <row r="82" spans="1:21">
      <c r="A82" s="165">
        <v>77</v>
      </c>
      <c r="B82" s="165" t="s">
        <v>906</v>
      </c>
      <c r="C82" s="165" t="s">
        <v>31</v>
      </c>
      <c r="D82" s="165" t="s">
        <v>866</v>
      </c>
      <c r="E82" s="165">
        <v>577.84</v>
      </c>
      <c r="F82" s="229">
        <v>203.7</v>
      </c>
      <c r="G82" s="165">
        <v>374.14</v>
      </c>
      <c r="H82" s="165">
        <v>2200</v>
      </c>
      <c r="I82" s="165">
        <v>176</v>
      </c>
      <c r="J82" s="165">
        <v>286</v>
      </c>
      <c r="K82" s="165">
        <v>8348</v>
      </c>
      <c r="L82" s="165">
        <v>16.7</v>
      </c>
      <c r="M82" s="165">
        <v>50.08</v>
      </c>
      <c r="N82" s="165">
        <v>2200</v>
      </c>
      <c r="O82" s="165">
        <v>6.16</v>
      </c>
      <c r="P82" s="165">
        <v>2200</v>
      </c>
      <c r="Q82" s="165">
        <v>11</v>
      </c>
      <c r="R82" s="165">
        <v>22</v>
      </c>
      <c r="S82" s="165">
        <v>2200</v>
      </c>
      <c r="T82" s="165">
        <v>9.9</v>
      </c>
      <c r="U82" s="165" t="s">
        <v>363</v>
      </c>
    </row>
    <row r="83" spans="1:21">
      <c r="A83" s="165">
        <v>78</v>
      </c>
      <c r="B83" s="165" t="s">
        <v>551</v>
      </c>
      <c r="C83" s="165" t="s">
        <v>16</v>
      </c>
      <c r="D83" s="165" t="s">
        <v>552</v>
      </c>
      <c r="E83" s="165">
        <v>943.8</v>
      </c>
      <c r="F83" s="229">
        <v>287.18</v>
      </c>
      <c r="G83" s="165">
        <v>656.62</v>
      </c>
      <c r="H83" s="165">
        <v>2200</v>
      </c>
      <c r="I83" s="165">
        <v>176</v>
      </c>
      <c r="J83" s="165">
        <v>308</v>
      </c>
      <c r="K83" s="165">
        <v>5009</v>
      </c>
      <c r="L83" s="165">
        <v>100.18</v>
      </c>
      <c r="M83" s="165">
        <v>310.56</v>
      </c>
      <c r="N83" s="165">
        <v>2200</v>
      </c>
      <c r="O83" s="165">
        <v>6.16</v>
      </c>
      <c r="P83" s="165">
        <v>2200</v>
      </c>
      <c r="Q83" s="165">
        <v>11</v>
      </c>
      <c r="R83" s="165">
        <v>22</v>
      </c>
      <c r="S83" s="165">
        <v>2200</v>
      </c>
      <c r="T83" s="165">
        <v>9.9</v>
      </c>
      <c r="U83" s="165" t="s">
        <v>363</v>
      </c>
    </row>
    <row r="84" spans="1:21">
      <c r="A84" s="165">
        <v>79</v>
      </c>
      <c r="B84" s="165" t="s">
        <v>553</v>
      </c>
      <c r="C84" s="165" t="s">
        <v>136</v>
      </c>
      <c r="D84" s="165" t="s">
        <v>554</v>
      </c>
      <c r="E84" s="165">
        <v>921.8</v>
      </c>
      <c r="F84" s="229">
        <v>287.18</v>
      </c>
      <c r="G84" s="165">
        <v>634.62</v>
      </c>
      <c r="H84" s="165">
        <v>2200</v>
      </c>
      <c r="I84" s="165">
        <v>176</v>
      </c>
      <c r="J84" s="165">
        <v>286</v>
      </c>
      <c r="K84" s="165">
        <v>5009</v>
      </c>
      <c r="L84" s="165">
        <v>100.18</v>
      </c>
      <c r="M84" s="165">
        <v>310.56</v>
      </c>
      <c r="N84" s="165">
        <v>2200</v>
      </c>
      <c r="O84" s="165">
        <v>6.16</v>
      </c>
      <c r="P84" s="165">
        <v>2200</v>
      </c>
      <c r="Q84" s="165">
        <v>11</v>
      </c>
      <c r="R84" s="165">
        <v>22</v>
      </c>
      <c r="S84" s="165">
        <v>2200</v>
      </c>
      <c r="T84" s="165">
        <v>9.9</v>
      </c>
      <c r="U84" s="165" t="s">
        <v>363</v>
      </c>
    </row>
    <row r="85" spans="1:21">
      <c r="A85" s="165">
        <v>80</v>
      </c>
      <c r="B85" s="165" t="s">
        <v>555</v>
      </c>
      <c r="C85" s="165" t="s">
        <v>22</v>
      </c>
      <c r="D85" s="165" t="s">
        <v>556</v>
      </c>
      <c r="E85" s="165">
        <v>921.8</v>
      </c>
      <c r="F85" s="229">
        <v>287.18</v>
      </c>
      <c r="G85" s="165">
        <v>634.62</v>
      </c>
      <c r="H85" s="165">
        <v>2200</v>
      </c>
      <c r="I85" s="165">
        <v>176</v>
      </c>
      <c r="J85" s="165">
        <v>286</v>
      </c>
      <c r="K85" s="165">
        <v>5009</v>
      </c>
      <c r="L85" s="165">
        <v>100.18</v>
      </c>
      <c r="M85" s="165">
        <v>310.56</v>
      </c>
      <c r="N85" s="165">
        <v>2200</v>
      </c>
      <c r="O85" s="165">
        <v>6.16</v>
      </c>
      <c r="P85" s="165">
        <v>2200</v>
      </c>
      <c r="Q85" s="165">
        <v>11</v>
      </c>
      <c r="R85" s="165">
        <v>22</v>
      </c>
      <c r="S85" s="165">
        <v>2200</v>
      </c>
      <c r="T85" s="165">
        <v>9.9</v>
      </c>
      <c r="U85" s="165" t="s">
        <v>363</v>
      </c>
    </row>
    <row r="86" spans="1:21">
      <c r="A86" s="165">
        <v>81</v>
      </c>
      <c r="B86" s="165" t="s">
        <v>557</v>
      </c>
      <c r="C86" s="165" t="s">
        <v>226</v>
      </c>
      <c r="D86" s="165" t="s">
        <v>558</v>
      </c>
      <c r="E86" s="165">
        <v>921.8</v>
      </c>
      <c r="F86" s="229">
        <v>287.18</v>
      </c>
      <c r="G86" s="165">
        <v>634.62</v>
      </c>
      <c r="H86" s="165">
        <v>2200</v>
      </c>
      <c r="I86" s="165">
        <v>176</v>
      </c>
      <c r="J86" s="165">
        <v>286</v>
      </c>
      <c r="K86" s="165">
        <v>5009</v>
      </c>
      <c r="L86" s="165">
        <v>100.18</v>
      </c>
      <c r="M86" s="165">
        <v>310.56</v>
      </c>
      <c r="N86" s="165">
        <v>2200</v>
      </c>
      <c r="O86" s="165">
        <v>6.16</v>
      </c>
      <c r="P86" s="165">
        <v>2200</v>
      </c>
      <c r="Q86" s="165">
        <v>11</v>
      </c>
      <c r="R86" s="165">
        <v>22</v>
      </c>
      <c r="S86" s="165">
        <v>2200</v>
      </c>
      <c r="T86" s="165">
        <v>9.9</v>
      </c>
      <c r="U86" s="165" t="s">
        <v>363</v>
      </c>
    </row>
    <row r="87" spans="1:21">
      <c r="A87" s="165">
        <v>82</v>
      </c>
      <c r="B87" s="165" t="s">
        <v>559</v>
      </c>
      <c r="C87" s="165" t="s">
        <v>242</v>
      </c>
      <c r="D87" s="165" t="s">
        <v>560</v>
      </c>
      <c r="E87" s="165">
        <v>921.8</v>
      </c>
      <c r="F87" s="229">
        <v>287.18</v>
      </c>
      <c r="G87" s="165">
        <v>634.62</v>
      </c>
      <c r="H87" s="165">
        <v>2200</v>
      </c>
      <c r="I87" s="165">
        <v>176</v>
      </c>
      <c r="J87" s="165">
        <v>286</v>
      </c>
      <c r="K87" s="165">
        <v>5009</v>
      </c>
      <c r="L87" s="165">
        <v>100.18</v>
      </c>
      <c r="M87" s="165">
        <v>310.56</v>
      </c>
      <c r="N87" s="165">
        <v>2200</v>
      </c>
      <c r="O87" s="165">
        <v>6.16</v>
      </c>
      <c r="P87" s="165">
        <v>2200</v>
      </c>
      <c r="Q87" s="165">
        <v>11</v>
      </c>
      <c r="R87" s="165">
        <v>22</v>
      </c>
      <c r="S87" s="165">
        <v>2200</v>
      </c>
      <c r="T87" s="165">
        <v>9.9</v>
      </c>
      <c r="U87" s="165" t="s">
        <v>363</v>
      </c>
    </row>
    <row r="88" spans="1:21">
      <c r="A88" s="165">
        <v>83</v>
      </c>
      <c r="B88" s="165" t="s">
        <v>561</v>
      </c>
      <c r="C88" s="165" t="s">
        <v>26</v>
      </c>
      <c r="D88" s="165" t="s">
        <v>562</v>
      </c>
      <c r="E88" s="165">
        <v>577.84</v>
      </c>
      <c r="F88" s="229">
        <v>203.7</v>
      </c>
      <c r="G88" s="165">
        <v>374.14</v>
      </c>
      <c r="H88" s="165">
        <v>2200</v>
      </c>
      <c r="I88" s="165">
        <v>176</v>
      </c>
      <c r="J88" s="165">
        <v>286</v>
      </c>
      <c r="K88" s="165">
        <v>8348</v>
      </c>
      <c r="L88" s="165">
        <v>16.7</v>
      </c>
      <c r="M88" s="165">
        <v>50.08</v>
      </c>
      <c r="N88" s="165">
        <v>2200</v>
      </c>
      <c r="O88" s="165">
        <v>6.16</v>
      </c>
      <c r="P88" s="165">
        <v>2200</v>
      </c>
      <c r="Q88" s="165">
        <v>11</v>
      </c>
      <c r="R88" s="165">
        <v>22</v>
      </c>
      <c r="S88" s="165">
        <v>2200</v>
      </c>
      <c r="T88" s="165">
        <v>9.9</v>
      </c>
      <c r="U88" s="165" t="s">
        <v>363</v>
      </c>
    </row>
    <row r="89" spans="1:21">
      <c r="A89" s="165">
        <v>84</v>
      </c>
      <c r="B89" s="165" t="s">
        <v>563</v>
      </c>
      <c r="C89" s="165" t="s">
        <v>48</v>
      </c>
      <c r="D89" s="165" t="s">
        <v>564</v>
      </c>
      <c r="E89" s="165">
        <v>921.8</v>
      </c>
      <c r="F89" s="229">
        <v>287.18</v>
      </c>
      <c r="G89" s="165">
        <v>634.62</v>
      </c>
      <c r="H89" s="165">
        <v>2200</v>
      </c>
      <c r="I89" s="165">
        <v>176</v>
      </c>
      <c r="J89" s="165">
        <v>286</v>
      </c>
      <c r="K89" s="165">
        <v>5009</v>
      </c>
      <c r="L89" s="165">
        <v>100.18</v>
      </c>
      <c r="M89" s="165">
        <v>310.56</v>
      </c>
      <c r="N89" s="165">
        <v>2200</v>
      </c>
      <c r="O89" s="165">
        <v>6.16</v>
      </c>
      <c r="P89" s="165">
        <v>2200</v>
      </c>
      <c r="Q89" s="165">
        <v>11</v>
      </c>
      <c r="R89" s="165">
        <v>22</v>
      </c>
      <c r="S89" s="165">
        <v>2200</v>
      </c>
      <c r="T89" s="165">
        <v>9.9</v>
      </c>
      <c r="U89" s="165" t="s">
        <v>363</v>
      </c>
    </row>
    <row r="90" spans="1:21">
      <c r="A90" s="165">
        <v>85</v>
      </c>
      <c r="B90" s="165" t="s">
        <v>565</v>
      </c>
      <c r="C90" s="165" t="s">
        <v>123</v>
      </c>
      <c r="D90" s="165" t="s">
        <v>566</v>
      </c>
      <c r="E90" s="165">
        <v>921.8</v>
      </c>
      <c r="F90" s="229">
        <v>287.18</v>
      </c>
      <c r="G90" s="165">
        <v>634.62</v>
      </c>
      <c r="H90" s="165">
        <v>2200</v>
      </c>
      <c r="I90" s="165">
        <v>176</v>
      </c>
      <c r="J90" s="165">
        <v>286</v>
      </c>
      <c r="K90" s="165">
        <v>5009</v>
      </c>
      <c r="L90" s="165">
        <v>100.18</v>
      </c>
      <c r="M90" s="165">
        <v>310.56</v>
      </c>
      <c r="N90" s="165">
        <v>2200</v>
      </c>
      <c r="O90" s="165">
        <v>6.16</v>
      </c>
      <c r="P90" s="165">
        <v>2200</v>
      </c>
      <c r="Q90" s="165">
        <v>11</v>
      </c>
      <c r="R90" s="165">
        <v>22</v>
      </c>
      <c r="S90" s="165">
        <v>2200</v>
      </c>
      <c r="T90" s="165">
        <v>9.9</v>
      </c>
      <c r="U90" s="165" t="s">
        <v>363</v>
      </c>
    </row>
    <row r="91" spans="1:21">
      <c r="A91" s="165">
        <v>86</v>
      </c>
      <c r="B91" s="165" t="s">
        <v>567</v>
      </c>
      <c r="C91" s="165" t="s">
        <v>24</v>
      </c>
      <c r="D91" s="165" t="s">
        <v>568</v>
      </c>
      <c r="E91" s="165">
        <v>577.84</v>
      </c>
      <c r="F91" s="229">
        <v>203.7</v>
      </c>
      <c r="G91" s="165">
        <v>374.14</v>
      </c>
      <c r="H91" s="165">
        <v>2200</v>
      </c>
      <c r="I91" s="165">
        <v>176</v>
      </c>
      <c r="J91" s="165">
        <v>286</v>
      </c>
      <c r="K91" s="165">
        <v>8348</v>
      </c>
      <c r="L91" s="165">
        <v>16.7</v>
      </c>
      <c r="M91" s="165">
        <v>50.08</v>
      </c>
      <c r="N91" s="165">
        <v>2200</v>
      </c>
      <c r="O91" s="165">
        <v>6.16</v>
      </c>
      <c r="P91" s="165">
        <v>2200</v>
      </c>
      <c r="Q91" s="165">
        <v>11</v>
      </c>
      <c r="R91" s="165">
        <v>22</v>
      </c>
      <c r="S91" s="165">
        <v>2200</v>
      </c>
      <c r="T91" s="165">
        <v>9.9</v>
      </c>
      <c r="U91" s="165" t="s">
        <v>363</v>
      </c>
    </row>
    <row r="92" spans="1:21">
      <c r="A92" s="165">
        <v>87</v>
      </c>
      <c r="B92" s="165" t="s">
        <v>569</v>
      </c>
      <c r="C92" s="165" t="s">
        <v>18</v>
      </c>
      <c r="D92" s="165" t="s">
        <v>570</v>
      </c>
      <c r="E92" s="165">
        <v>921.8</v>
      </c>
      <c r="F92" s="229">
        <v>287.18</v>
      </c>
      <c r="G92" s="165">
        <v>634.62</v>
      </c>
      <c r="H92" s="165">
        <v>2200</v>
      </c>
      <c r="I92" s="165">
        <v>176</v>
      </c>
      <c r="J92" s="165">
        <v>286</v>
      </c>
      <c r="K92" s="165">
        <v>5009</v>
      </c>
      <c r="L92" s="165">
        <v>100.18</v>
      </c>
      <c r="M92" s="165">
        <v>310.56</v>
      </c>
      <c r="N92" s="165">
        <v>2200</v>
      </c>
      <c r="O92" s="165">
        <v>6.16</v>
      </c>
      <c r="P92" s="165">
        <v>2200</v>
      </c>
      <c r="Q92" s="165">
        <v>11</v>
      </c>
      <c r="R92" s="165">
        <v>22</v>
      </c>
      <c r="S92" s="165">
        <v>2200</v>
      </c>
      <c r="T92" s="165">
        <v>9.9</v>
      </c>
      <c r="U92" s="165" t="s">
        <v>363</v>
      </c>
    </row>
    <row r="93" spans="1:21">
      <c r="A93" s="165">
        <v>88</v>
      </c>
      <c r="B93" s="165" t="s">
        <v>905</v>
      </c>
      <c r="C93" s="165" t="s">
        <v>30</v>
      </c>
      <c r="D93" s="165" t="s">
        <v>868</v>
      </c>
      <c r="E93" s="165">
        <v>577.84</v>
      </c>
      <c r="F93" s="229">
        <v>203.7</v>
      </c>
      <c r="G93" s="165">
        <v>374.14</v>
      </c>
      <c r="H93" s="165">
        <v>2200</v>
      </c>
      <c r="I93" s="165">
        <v>176</v>
      </c>
      <c r="J93" s="165">
        <v>286</v>
      </c>
      <c r="K93" s="165">
        <v>8348</v>
      </c>
      <c r="L93" s="165">
        <v>16.7</v>
      </c>
      <c r="M93" s="165">
        <v>50.08</v>
      </c>
      <c r="N93" s="165">
        <v>2200</v>
      </c>
      <c r="O93" s="165">
        <v>6.16</v>
      </c>
      <c r="P93" s="165">
        <v>2200</v>
      </c>
      <c r="Q93" s="165">
        <v>11</v>
      </c>
      <c r="R93" s="165">
        <v>22</v>
      </c>
      <c r="S93" s="165">
        <v>2200</v>
      </c>
      <c r="T93" s="165">
        <v>9.9</v>
      </c>
      <c r="U93" s="165" t="s">
        <v>363</v>
      </c>
    </row>
    <row r="94" spans="1:21">
      <c r="A94" s="165">
        <v>89</v>
      </c>
      <c r="B94" s="165" t="s">
        <v>904</v>
      </c>
      <c r="C94" s="165" t="s">
        <v>32</v>
      </c>
      <c r="D94" s="165" t="s">
        <v>864</v>
      </c>
      <c r="E94" s="165">
        <v>577.84</v>
      </c>
      <c r="F94" s="229">
        <v>203.7</v>
      </c>
      <c r="G94" s="165">
        <v>374.14</v>
      </c>
      <c r="H94" s="165">
        <v>2200</v>
      </c>
      <c r="I94" s="165">
        <v>176</v>
      </c>
      <c r="J94" s="165">
        <v>286</v>
      </c>
      <c r="K94" s="165">
        <v>8348</v>
      </c>
      <c r="L94" s="165">
        <v>16.7</v>
      </c>
      <c r="M94" s="165">
        <v>50.08</v>
      </c>
      <c r="N94" s="165">
        <v>2200</v>
      </c>
      <c r="O94" s="165">
        <v>6.16</v>
      </c>
      <c r="P94" s="165">
        <v>2200</v>
      </c>
      <c r="Q94" s="165">
        <v>11</v>
      </c>
      <c r="R94" s="165">
        <v>22</v>
      </c>
      <c r="S94" s="165">
        <v>2200</v>
      </c>
      <c r="T94" s="165">
        <v>9.9</v>
      </c>
      <c r="U94" s="165" t="s">
        <v>363</v>
      </c>
    </row>
    <row r="95" spans="1:21">
      <c r="A95" s="165">
        <v>90</v>
      </c>
      <c r="B95" s="165" t="s">
        <v>903</v>
      </c>
      <c r="C95" s="165" t="s">
        <v>33</v>
      </c>
      <c r="D95" s="165" t="s">
        <v>861</v>
      </c>
      <c r="E95" s="165">
        <v>577.84</v>
      </c>
      <c r="F95" s="229">
        <v>203.7</v>
      </c>
      <c r="G95" s="165">
        <v>374.14</v>
      </c>
      <c r="H95" s="165">
        <v>2200</v>
      </c>
      <c r="I95" s="165">
        <v>176</v>
      </c>
      <c r="J95" s="165">
        <v>286</v>
      </c>
      <c r="K95" s="165">
        <v>8348</v>
      </c>
      <c r="L95" s="165">
        <v>16.7</v>
      </c>
      <c r="M95" s="165">
        <v>50.08</v>
      </c>
      <c r="N95" s="165">
        <v>2200</v>
      </c>
      <c r="O95" s="165">
        <v>6.16</v>
      </c>
      <c r="P95" s="165">
        <v>2200</v>
      </c>
      <c r="Q95" s="165">
        <v>11</v>
      </c>
      <c r="R95" s="165">
        <v>22</v>
      </c>
      <c r="S95" s="165">
        <v>2200</v>
      </c>
      <c r="T95" s="165">
        <v>9.9</v>
      </c>
      <c r="U95" s="165" t="s">
        <v>363</v>
      </c>
    </row>
    <row r="97" spans="1:20">
      <c r="A97" s="165" t="s">
        <v>337</v>
      </c>
      <c r="E97" s="165">
        <v>82609.170000000042</v>
      </c>
      <c r="F97" s="229">
        <v>25870.880000000023</v>
      </c>
      <c r="G97" s="165">
        <v>56738.290000000037</v>
      </c>
      <c r="I97" s="165">
        <v>16616</v>
      </c>
      <c r="J97" s="165">
        <v>27636</v>
      </c>
      <c r="L97" s="165">
        <v>8264.8800000000101</v>
      </c>
      <c r="M97" s="165">
        <v>25606.080000000042</v>
      </c>
      <c r="O97" s="165">
        <v>581.56000000000029</v>
      </c>
      <c r="Q97" s="165">
        <v>990</v>
      </c>
      <c r="R97" s="165">
        <v>1980</v>
      </c>
      <c r="T97" s="165">
        <v>934.64999999999895</v>
      </c>
    </row>
    <row r="98" spans="1:20">
      <c r="F98" s="326">
        <f>知识科技工资!N112</f>
        <v>25519.700000000023</v>
      </c>
    </row>
    <row r="99" spans="1:20">
      <c r="F99" s="326">
        <f>F97-F98</f>
        <v>351.18000000000029</v>
      </c>
    </row>
    <row r="100" spans="1:20">
      <c r="C100" s="165" t="s">
        <v>902</v>
      </c>
      <c r="G100" s="165" t="s">
        <v>901</v>
      </c>
      <c r="K100" s="165" t="s">
        <v>900</v>
      </c>
    </row>
    <row r="101" spans="1:20">
      <c r="C101" s="165" t="s">
        <v>899</v>
      </c>
      <c r="G101" s="165" t="s">
        <v>898</v>
      </c>
      <c r="K101" s="165" t="s">
        <v>897</v>
      </c>
    </row>
    <row r="102" spans="1:20">
      <c r="C102" s="165" t="s">
        <v>896</v>
      </c>
      <c r="G102" s="165" t="s">
        <v>369</v>
      </c>
    </row>
    <row r="104" spans="1:20" ht="15">
      <c r="H104" s="166" t="s">
        <v>370</v>
      </c>
    </row>
    <row r="106" spans="1:20">
      <c r="A106" s="167" t="s">
        <v>0</v>
      </c>
      <c r="B106" s="167" t="s">
        <v>352</v>
      </c>
      <c r="C106" s="167" t="s">
        <v>1</v>
      </c>
      <c r="D106" s="167" t="s">
        <v>371</v>
      </c>
      <c r="E106" s="167" t="s">
        <v>372</v>
      </c>
      <c r="F106" s="325" t="s">
        <v>373</v>
      </c>
      <c r="G106" s="167" t="s">
        <v>374</v>
      </c>
      <c r="H106" s="167" t="s">
        <v>358</v>
      </c>
      <c r="I106" s="167" t="s">
        <v>359</v>
      </c>
    </row>
    <row r="108" spans="1:20">
      <c r="C108" s="165" t="s">
        <v>375</v>
      </c>
      <c r="G108" s="165" t="s">
        <v>376</v>
      </c>
      <c r="K108" s="165" t="s">
        <v>377</v>
      </c>
    </row>
    <row r="110" spans="1:20" ht="15">
      <c r="H110" s="166" t="s">
        <v>378</v>
      </c>
    </row>
    <row r="112" spans="1:20">
      <c r="C112" s="165" t="s">
        <v>895</v>
      </c>
      <c r="G112" s="165" t="s">
        <v>894</v>
      </c>
      <c r="K112" s="165" t="s">
        <v>893</v>
      </c>
    </row>
  </sheetData>
  <autoFilter ref="A5:U95"/>
  <phoneticPr fontId="17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40" sqref="B40"/>
    </sheetView>
  </sheetViews>
  <sheetFormatPr defaultColWidth="9" defaultRowHeight="13.5"/>
  <cols>
    <col min="1" max="1" width="9" style="165"/>
    <col min="2" max="2" width="16.125" style="165" bestFit="1" customWidth="1"/>
    <col min="3" max="3" width="9" style="165"/>
    <col min="4" max="4" width="18.5" style="165" customWidth="1"/>
    <col min="5" max="7" width="9" style="165"/>
    <col min="8" max="8" width="10.25" style="229" customWidth="1"/>
    <col min="9" max="10" width="9" style="165"/>
    <col min="11" max="11" width="12.75" style="165" bestFit="1" customWidth="1"/>
    <col min="12" max="16384" width="9" style="165"/>
  </cols>
  <sheetData>
    <row r="1" spans="1:11" ht="15" customHeight="1">
      <c r="A1" s="165" t="s">
        <v>0</v>
      </c>
      <c r="B1" s="165" t="s">
        <v>379</v>
      </c>
      <c r="C1" s="165" t="s">
        <v>1</v>
      </c>
      <c r="D1" s="165" t="s">
        <v>380</v>
      </c>
      <c r="E1" s="165" t="s">
        <v>381</v>
      </c>
      <c r="F1" s="165" t="s">
        <v>382</v>
      </c>
      <c r="G1" s="165" t="s">
        <v>383</v>
      </c>
      <c r="H1" s="229" t="s">
        <v>384</v>
      </c>
      <c r="I1" s="165" t="s">
        <v>385</v>
      </c>
    </row>
    <row r="2" spans="1:11" ht="30.95" customHeight="1">
      <c r="A2" s="165" t="s">
        <v>70</v>
      </c>
      <c r="B2" s="165" t="s">
        <v>571</v>
      </c>
      <c r="C2" s="165" t="s">
        <v>72</v>
      </c>
      <c r="D2" s="165" t="s">
        <v>432</v>
      </c>
      <c r="E2" s="165">
        <v>2222</v>
      </c>
      <c r="F2" s="165" t="s">
        <v>388</v>
      </c>
      <c r="G2" s="165" t="s">
        <v>388</v>
      </c>
      <c r="H2" s="230">
        <v>1900</v>
      </c>
      <c r="I2" s="165" t="s">
        <v>858</v>
      </c>
      <c r="K2" s="165">
        <f>H2/2</f>
        <v>950</v>
      </c>
    </row>
    <row r="3" spans="1:11" ht="23.1" customHeight="1">
      <c r="A3" s="165" t="s">
        <v>137</v>
      </c>
      <c r="B3" s="165" t="s">
        <v>572</v>
      </c>
      <c r="C3" s="165" t="s">
        <v>140</v>
      </c>
      <c r="D3" s="165" t="s">
        <v>450</v>
      </c>
      <c r="E3" s="165">
        <v>2222</v>
      </c>
      <c r="F3" s="165" t="s">
        <v>388</v>
      </c>
      <c r="G3" s="165" t="s">
        <v>388</v>
      </c>
      <c r="H3" s="230">
        <v>250</v>
      </c>
      <c r="I3" s="165" t="s">
        <v>858</v>
      </c>
      <c r="K3" s="165">
        <f t="shared" ref="K3:K66" si="0">H3/2</f>
        <v>125</v>
      </c>
    </row>
    <row r="4" spans="1:11" ht="24" customHeight="1">
      <c r="A4" s="165" t="s">
        <v>89</v>
      </c>
      <c r="B4" s="165" t="s">
        <v>573</v>
      </c>
      <c r="C4" s="165" t="s">
        <v>101</v>
      </c>
      <c r="D4" s="165" t="s">
        <v>426</v>
      </c>
      <c r="E4" s="165">
        <v>2222</v>
      </c>
      <c r="F4" s="165" t="s">
        <v>388</v>
      </c>
      <c r="G4" s="165" t="s">
        <v>388</v>
      </c>
      <c r="H4" s="230">
        <v>220</v>
      </c>
      <c r="I4" s="165" t="s">
        <v>858</v>
      </c>
      <c r="K4" s="165">
        <f t="shared" si="0"/>
        <v>110</v>
      </c>
    </row>
    <row r="5" spans="1:11">
      <c r="A5" s="165" t="s">
        <v>71</v>
      </c>
      <c r="B5" s="165" t="s">
        <v>575</v>
      </c>
      <c r="C5" s="165" t="s">
        <v>190</v>
      </c>
      <c r="D5" s="165" t="s">
        <v>448</v>
      </c>
      <c r="E5" s="165">
        <v>2222</v>
      </c>
      <c r="F5" s="165" t="s">
        <v>388</v>
      </c>
      <c r="G5" s="165" t="s">
        <v>388</v>
      </c>
      <c r="H5" s="230">
        <v>220</v>
      </c>
      <c r="I5" s="165" t="s">
        <v>858</v>
      </c>
      <c r="K5" s="165">
        <f t="shared" si="0"/>
        <v>110</v>
      </c>
    </row>
    <row r="6" spans="1:11">
      <c r="A6" s="165" t="s">
        <v>132</v>
      </c>
      <c r="B6" s="165" t="s">
        <v>576</v>
      </c>
      <c r="C6" s="165" t="s">
        <v>116</v>
      </c>
      <c r="D6" s="165" t="s">
        <v>577</v>
      </c>
      <c r="E6" s="165">
        <v>2222</v>
      </c>
      <c r="F6" s="165" t="s">
        <v>388</v>
      </c>
      <c r="G6" s="165" t="s">
        <v>388</v>
      </c>
      <c r="H6" s="230">
        <v>220</v>
      </c>
      <c r="I6" s="165" t="s">
        <v>858</v>
      </c>
      <c r="K6" s="165">
        <f t="shared" si="0"/>
        <v>110</v>
      </c>
    </row>
    <row r="7" spans="1:11">
      <c r="A7" s="165" t="s">
        <v>574</v>
      </c>
      <c r="B7" s="165" t="s">
        <v>579</v>
      </c>
      <c r="C7" s="165" t="s">
        <v>55</v>
      </c>
      <c r="D7" s="165" t="s">
        <v>474</v>
      </c>
      <c r="E7" s="165">
        <v>2222</v>
      </c>
      <c r="F7" s="165" t="s">
        <v>388</v>
      </c>
      <c r="G7" s="165" t="s">
        <v>388</v>
      </c>
      <c r="H7" s="230">
        <v>220</v>
      </c>
      <c r="I7" s="165" t="s">
        <v>858</v>
      </c>
      <c r="K7" s="165">
        <f t="shared" si="0"/>
        <v>110</v>
      </c>
    </row>
    <row r="8" spans="1:11">
      <c r="A8" s="165" t="s">
        <v>84</v>
      </c>
      <c r="B8" s="165" t="s">
        <v>580</v>
      </c>
      <c r="C8" s="165" t="s">
        <v>250</v>
      </c>
      <c r="D8" s="165" t="s">
        <v>456</v>
      </c>
      <c r="E8" s="165">
        <v>2222</v>
      </c>
      <c r="F8" s="165" t="s">
        <v>388</v>
      </c>
      <c r="G8" s="165" t="s">
        <v>388</v>
      </c>
      <c r="H8" s="230">
        <v>220</v>
      </c>
      <c r="I8" s="165" t="s">
        <v>858</v>
      </c>
      <c r="K8" s="165">
        <f t="shared" si="0"/>
        <v>110</v>
      </c>
    </row>
    <row r="9" spans="1:11">
      <c r="A9" s="165" t="s">
        <v>127</v>
      </c>
      <c r="B9" s="165" t="s">
        <v>581</v>
      </c>
      <c r="C9" s="165" t="s">
        <v>85</v>
      </c>
      <c r="D9" s="165" t="s">
        <v>410</v>
      </c>
      <c r="E9" s="165">
        <v>2222</v>
      </c>
      <c r="F9" s="165" t="s">
        <v>388</v>
      </c>
      <c r="G9" s="165" t="s">
        <v>388</v>
      </c>
      <c r="H9" s="230">
        <v>220</v>
      </c>
      <c r="I9" s="165" t="s">
        <v>858</v>
      </c>
      <c r="K9" s="165">
        <f t="shared" si="0"/>
        <v>110</v>
      </c>
    </row>
    <row r="10" spans="1:11">
      <c r="A10" s="165" t="s">
        <v>578</v>
      </c>
      <c r="B10" s="165" t="s">
        <v>582</v>
      </c>
      <c r="C10" s="165" t="s">
        <v>74</v>
      </c>
      <c r="D10" s="165" t="s">
        <v>434</v>
      </c>
      <c r="E10" s="165">
        <v>2222</v>
      </c>
      <c r="F10" s="165" t="s">
        <v>388</v>
      </c>
      <c r="G10" s="165" t="s">
        <v>388</v>
      </c>
      <c r="H10" s="230">
        <v>220</v>
      </c>
      <c r="I10" s="165" t="s">
        <v>858</v>
      </c>
      <c r="K10" s="165">
        <f t="shared" si="0"/>
        <v>110</v>
      </c>
    </row>
    <row r="11" spans="1:11">
      <c r="A11" s="165" t="s">
        <v>67</v>
      </c>
      <c r="B11" s="165" t="s">
        <v>585</v>
      </c>
      <c r="C11" s="165" t="s">
        <v>118</v>
      </c>
      <c r="D11" s="165" t="s">
        <v>586</v>
      </c>
      <c r="E11" s="165">
        <v>2222</v>
      </c>
      <c r="F11" s="165" t="s">
        <v>388</v>
      </c>
      <c r="G11" s="165" t="s">
        <v>388</v>
      </c>
      <c r="H11" s="230">
        <v>220</v>
      </c>
      <c r="I11" s="165" t="s">
        <v>858</v>
      </c>
      <c r="K11" s="165">
        <f t="shared" si="0"/>
        <v>110</v>
      </c>
    </row>
    <row r="12" spans="1:11">
      <c r="A12" s="165" t="s">
        <v>178</v>
      </c>
      <c r="B12" s="165" t="s">
        <v>587</v>
      </c>
      <c r="C12" s="165" t="s">
        <v>159</v>
      </c>
      <c r="D12" s="165" t="s">
        <v>440</v>
      </c>
      <c r="E12" s="165">
        <v>2222</v>
      </c>
      <c r="F12" s="165" t="s">
        <v>388</v>
      </c>
      <c r="G12" s="165" t="s">
        <v>388</v>
      </c>
      <c r="H12" s="230">
        <v>220</v>
      </c>
      <c r="I12" s="165" t="s">
        <v>858</v>
      </c>
      <c r="K12" s="165">
        <f t="shared" si="0"/>
        <v>110</v>
      </c>
    </row>
    <row r="13" spans="1:11">
      <c r="A13" s="165" t="s">
        <v>115</v>
      </c>
      <c r="B13" s="165" t="s">
        <v>588</v>
      </c>
      <c r="C13" s="165" t="s">
        <v>105</v>
      </c>
      <c r="D13" s="165" t="s">
        <v>444</v>
      </c>
      <c r="E13" s="165">
        <v>2222</v>
      </c>
      <c r="F13" s="165" t="s">
        <v>388</v>
      </c>
      <c r="G13" s="165" t="s">
        <v>388</v>
      </c>
      <c r="H13" s="230">
        <v>220</v>
      </c>
      <c r="I13" s="165" t="s">
        <v>858</v>
      </c>
      <c r="K13" s="165">
        <f t="shared" si="0"/>
        <v>110</v>
      </c>
    </row>
    <row r="14" spans="1:11">
      <c r="A14" s="165" t="s">
        <v>133</v>
      </c>
      <c r="B14" s="165" t="s">
        <v>589</v>
      </c>
      <c r="C14" s="165" t="s">
        <v>179</v>
      </c>
      <c r="D14" s="165" t="s">
        <v>436</v>
      </c>
      <c r="E14" s="165">
        <v>2222</v>
      </c>
      <c r="F14" s="165" t="s">
        <v>388</v>
      </c>
      <c r="G14" s="165" t="s">
        <v>388</v>
      </c>
      <c r="H14" s="230">
        <v>220</v>
      </c>
      <c r="I14" s="165" t="s">
        <v>858</v>
      </c>
      <c r="K14" s="165">
        <f t="shared" si="0"/>
        <v>110</v>
      </c>
    </row>
    <row r="15" spans="1:11">
      <c r="A15" s="165" t="s">
        <v>583</v>
      </c>
      <c r="B15" s="165" t="s">
        <v>591</v>
      </c>
      <c r="C15" s="165" t="s">
        <v>152</v>
      </c>
      <c r="D15" s="165" t="s">
        <v>446</v>
      </c>
      <c r="E15" s="165">
        <v>2222</v>
      </c>
      <c r="F15" s="165" t="s">
        <v>388</v>
      </c>
      <c r="G15" s="165" t="s">
        <v>388</v>
      </c>
      <c r="H15" s="230">
        <v>220</v>
      </c>
      <c r="I15" s="165" t="s">
        <v>858</v>
      </c>
      <c r="K15" s="165">
        <f t="shared" si="0"/>
        <v>110</v>
      </c>
    </row>
    <row r="16" spans="1:11">
      <c r="A16" s="165" t="s">
        <v>584</v>
      </c>
      <c r="B16" s="165" t="s">
        <v>593</v>
      </c>
      <c r="C16" s="165" t="s">
        <v>252</v>
      </c>
      <c r="D16" s="165" t="s">
        <v>454</v>
      </c>
      <c r="E16" s="165">
        <v>2222</v>
      </c>
      <c r="F16" s="165" t="s">
        <v>388</v>
      </c>
      <c r="G16" s="165" t="s">
        <v>388</v>
      </c>
      <c r="H16" s="230">
        <v>220</v>
      </c>
      <c r="I16" s="165" t="s">
        <v>858</v>
      </c>
      <c r="K16" s="165">
        <f t="shared" si="0"/>
        <v>110</v>
      </c>
    </row>
    <row r="17" spans="1:11">
      <c r="A17" s="165" t="s">
        <v>82</v>
      </c>
      <c r="B17" s="165" t="s">
        <v>594</v>
      </c>
      <c r="C17" s="165" t="s">
        <v>44</v>
      </c>
      <c r="D17" s="165" t="s">
        <v>438</v>
      </c>
      <c r="E17" s="165">
        <v>2222</v>
      </c>
      <c r="F17" s="165" t="s">
        <v>388</v>
      </c>
      <c r="G17" s="165" t="s">
        <v>388</v>
      </c>
      <c r="H17" s="230">
        <v>220</v>
      </c>
      <c r="I17" s="165" t="s">
        <v>858</v>
      </c>
      <c r="K17" s="165">
        <f t="shared" si="0"/>
        <v>110</v>
      </c>
    </row>
    <row r="18" spans="1:11">
      <c r="A18" s="165" t="s">
        <v>135</v>
      </c>
      <c r="B18" s="165" t="s">
        <v>595</v>
      </c>
      <c r="C18" s="165" t="s">
        <v>155</v>
      </c>
      <c r="D18" s="165" t="s">
        <v>442</v>
      </c>
      <c r="E18" s="165">
        <v>2222</v>
      </c>
      <c r="F18" s="165" t="s">
        <v>388</v>
      </c>
      <c r="G18" s="165" t="s">
        <v>388</v>
      </c>
      <c r="H18" s="230">
        <v>250</v>
      </c>
      <c r="I18" s="165" t="s">
        <v>858</v>
      </c>
      <c r="K18" s="165">
        <f t="shared" si="0"/>
        <v>125</v>
      </c>
    </row>
    <row r="19" spans="1:11">
      <c r="A19" s="165" t="s">
        <v>108</v>
      </c>
      <c r="B19" s="165" t="s">
        <v>596</v>
      </c>
      <c r="C19" s="165" t="s">
        <v>220</v>
      </c>
      <c r="D19" s="165" t="s">
        <v>514</v>
      </c>
      <c r="E19" s="165">
        <v>2222</v>
      </c>
      <c r="F19" s="165" t="s">
        <v>388</v>
      </c>
      <c r="G19" s="165" t="s">
        <v>388</v>
      </c>
      <c r="H19" s="230">
        <v>2200</v>
      </c>
      <c r="I19" s="165" t="s">
        <v>858</v>
      </c>
      <c r="K19" s="165">
        <f t="shared" si="0"/>
        <v>1100</v>
      </c>
    </row>
    <row r="20" spans="1:11">
      <c r="A20" s="165" t="s">
        <v>590</v>
      </c>
      <c r="B20" s="165" t="s">
        <v>598</v>
      </c>
      <c r="C20" s="165" t="s">
        <v>218</v>
      </c>
      <c r="D20" s="165" t="s">
        <v>424</v>
      </c>
      <c r="E20" s="165">
        <v>2222</v>
      </c>
      <c r="F20" s="165" t="s">
        <v>388</v>
      </c>
      <c r="G20" s="165" t="s">
        <v>388</v>
      </c>
      <c r="H20" s="230">
        <v>2200</v>
      </c>
      <c r="I20" s="165" t="s">
        <v>858</v>
      </c>
      <c r="K20" s="165">
        <f t="shared" si="0"/>
        <v>1100</v>
      </c>
    </row>
    <row r="21" spans="1:11">
      <c r="A21" s="165" t="s">
        <v>592</v>
      </c>
      <c r="B21" s="165" t="s">
        <v>600</v>
      </c>
      <c r="C21" s="165" t="s">
        <v>254</v>
      </c>
      <c r="D21" s="165" t="s">
        <v>462</v>
      </c>
      <c r="E21" s="165">
        <v>2222</v>
      </c>
      <c r="F21" s="165" t="s">
        <v>388</v>
      </c>
      <c r="G21" s="165" t="s">
        <v>388</v>
      </c>
      <c r="H21" s="230">
        <v>220</v>
      </c>
      <c r="I21" s="165" t="s">
        <v>858</v>
      </c>
      <c r="K21" s="165">
        <f t="shared" si="0"/>
        <v>110</v>
      </c>
    </row>
    <row r="22" spans="1:11">
      <c r="A22" s="165" t="s">
        <v>236</v>
      </c>
      <c r="B22" s="165" t="s">
        <v>601</v>
      </c>
      <c r="C22" s="165" t="s">
        <v>244</v>
      </c>
      <c r="D22" s="165" t="s">
        <v>464</v>
      </c>
      <c r="E22" s="165">
        <v>2222</v>
      </c>
      <c r="F22" s="165" t="s">
        <v>388</v>
      </c>
      <c r="G22" s="165" t="s">
        <v>388</v>
      </c>
      <c r="H22" s="230">
        <v>220</v>
      </c>
      <c r="I22" s="165" t="s">
        <v>858</v>
      </c>
      <c r="K22" s="165">
        <f t="shared" si="0"/>
        <v>110</v>
      </c>
    </row>
    <row r="23" spans="1:11">
      <c r="A23" s="165" t="s">
        <v>80</v>
      </c>
      <c r="B23" s="165" t="s">
        <v>602</v>
      </c>
      <c r="C23" s="165" t="s">
        <v>58</v>
      </c>
      <c r="D23" s="165" t="s">
        <v>428</v>
      </c>
      <c r="E23" s="165">
        <v>2222</v>
      </c>
      <c r="F23" s="165" t="s">
        <v>388</v>
      </c>
      <c r="G23" s="165" t="s">
        <v>388</v>
      </c>
      <c r="H23" s="230">
        <v>220</v>
      </c>
      <c r="I23" s="165" t="s">
        <v>858</v>
      </c>
      <c r="K23" s="165">
        <f t="shared" si="0"/>
        <v>110</v>
      </c>
    </row>
    <row r="24" spans="1:11">
      <c r="A24" s="165" t="s">
        <v>93</v>
      </c>
      <c r="B24" s="165" t="s">
        <v>603</v>
      </c>
      <c r="C24" s="165" t="s">
        <v>222</v>
      </c>
      <c r="D24" s="165" t="s">
        <v>466</v>
      </c>
      <c r="E24" s="165">
        <v>2222</v>
      </c>
      <c r="F24" s="165" t="s">
        <v>388</v>
      </c>
      <c r="G24" s="165" t="s">
        <v>388</v>
      </c>
      <c r="H24" s="230">
        <v>1800</v>
      </c>
      <c r="I24" s="165" t="s">
        <v>858</v>
      </c>
      <c r="K24" s="165">
        <f t="shared" si="0"/>
        <v>900</v>
      </c>
    </row>
    <row r="25" spans="1:11">
      <c r="A25" s="165" t="s">
        <v>597</v>
      </c>
      <c r="B25" s="165" t="s">
        <v>605</v>
      </c>
      <c r="C25" s="165" t="s">
        <v>128</v>
      </c>
      <c r="D25" s="165" t="s">
        <v>418</v>
      </c>
      <c r="E25" s="165">
        <v>2222</v>
      </c>
      <c r="F25" s="165" t="s">
        <v>388</v>
      </c>
      <c r="G25" s="165" t="s">
        <v>388</v>
      </c>
      <c r="H25" s="230">
        <v>220</v>
      </c>
      <c r="I25" s="165" t="s">
        <v>858</v>
      </c>
      <c r="K25" s="165">
        <f t="shared" si="0"/>
        <v>110</v>
      </c>
    </row>
    <row r="26" spans="1:11">
      <c r="A26" s="165" t="s">
        <v>599</v>
      </c>
      <c r="B26" s="165" t="s">
        <v>607</v>
      </c>
      <c r="C26" s="165" t="s">
        <v>150</v>
      </c>
      <c r="D26" s="165" t="s">
        <v>468</v>
      </c>
      <c r="E26" s="165">
        <v>2222</v>
      </c>
      <c r="F26" s="165" t="s">
        <v>388</v>
      </c>
      <c r="G26" s="165" t="s">
        <v>388</v>
      </c>
      <c r="H26" s="230">
        <v>220</v>
      </c>
      <c r="I26" s="165" t="s">
        <v>858</v>
      </c>
      <c r="K26" s="165">
        <f t="shared" si="0"/>
        <v>110</v>
      </c>
    </row>
    <row r="27" spans="1:11">
      <c r="A27" s="165" t="s">
        <v>172</v>
      </c>
      <c r="B27" s="165" t="s">
        <v>608</v>
      </c>
      <c r="C27" s="165" t="s">
        <v>53</v>
      </c>
      <c r="D27" s="165" t="s">
        <v>458</v>
      </c>
      <c r="E27" s="165">
        <v>2222</v>
      </c>
      <c r="F27" s="165" t="s">
        <v>388</v>
      </c>
      <c r="G27" s="165" t="s">
        <v>388</v>
      </c>
      <c r="H27" s="230">
        <v>220</v>
      </c>
      <c r="I27" s="165" t="s">
        <v>858</v>
      </c>
      <c r="K27" s="165">
        <f t="shared" si="0"/>
        <v>110</v>
      </c>
    </row>
    <row r="28" spans="1:11">
      <c r="A28" s="165" t="s">
        <v>78</v>
      </c>
      <c r="B28" s="165" t="s">
        <v>610</v>
      </c>
      <c r="C28" s="165" t="s">
        <v>167</v>
      </c>
      <c r="D28" s="165" t="s">
        <v>422</v>
      </c>
      <c r="E28" s="165">
        <v>2222</v>
      </c>
      <c r="F28" s="165" t="s">
        <v>388</v>
      </c>
      <c r="G28" s="165" t="s">
        <v>388</v>
      </c>
      <c r="H28" s="230">
        <v>1300</v>
      </c>
      <c r="I28" s="165" t="s">
        <v>858</v>
      </c>
      <c r="K28" s="165">
        <f t="shared" si="0"/>
        <v>650</v>
      </c>
    </row>
    <row r="29" spans="1:11">
      <c r="A29" s="165" t="s">
        <v>210</v>
      </c>
      <c r="B29" s="165" t="s">
        <v>612</v>
      </c>
      <c r="C29" s="165" t="s">
        <v>164</v>
      </c>
      <c r="D29" s="165" t="s">
        <v>472</v>
      </c>
      <c r="E29" s="165">
        <v>2222</v>
      </c>
      <c r="F29" s="165" t="s">
        <v>388</v>
      </c>
      <c r="G29" s="165" t="s">
        <v>388</v>
      </c>
      <c r="H29" s="230">
        <v>1300</v>
      </c>
      <c r="I29" s="165" t="s">
        <v>858</v>
      </c>
      <c r="K29" s="165">
        <f t="shared" si="0"/>
        <v>650</v>
      </c>
    </row>
    <row r="30" spans="1:11">
      <c r="A30" s="165" t="s">
        <v>604</v>
      </c>
      <c r="B30" s="165" t="s">
        <v>614</v>
      </c>
      <c r="C30" s="165" t="s">
        <v>256</v>
      </c>
      <c r="D30" s="165" t="s">
        <v>416</v>
      </c>
      <c r="E30" s="165">
        <v>2222</v>
      </c>
      <c r="F30" s="165" t="s">
        <v>388</v>
      </c>
      <c r="G30" s="165" t="s">
        <v>388</v>
      </c>
      <c r="H30" s="230">
        <v>220</v>
      </c>
      <c r="I30" s="165" t="s">
        <v>858</v>
      </c>
      <c r="K30" s="165">
        <f t="shared" si="0"/>
        <v>110</v>
      </c>
    </row>
    <row r="31" spans="1:11">
      <c r="A31" s="165" t="s">
        <v>606</v>
      </c>
      <c r="B31" s="165" t="s">
        <v>616</v>
      </c>
      <c r="C31" s="165" t="s">
        <v>144</v>
      </c>
      <c r="D31" s="165" t="s">
        <v>460</v>
      </c>
      <c r="E31" s="165">
        <v>2222</v>
      </c>
      <c r="F31" s="165" t="s">
        <v>388</v>
      </c>
      <c r="G31" s="165" t="s">
        <v>388</v>
      </c>
      <c r="H31" s="230">
        <v>250</v>
      </c>
      <c r="I31" s="165" t="s">
        <v>858</v>
      </c>
      <c r="K31" s="165">
        <f t="shared" si="0"/>
        <v>125</v>
      </c>
    </row>
    <row r="32" spans="1:11">
      <c r="A32" s="165" t="s">
        <v>65</v>
      </c>
      <c r="B32" s="165" t="s">
        <v>618</v>
      </c>
      <c r="C32" s="165" t="s">
        <v>238</v>
      </c>
      <c r="D32" s="165" t="s">
        <v>452</v>
      </c>
      <c r="E32" s="165">
        <v>2222</v>
      </c>
      <c r="F32" s="165" t="s">
        <v>388</v>
      </c>
      <c r="G32" s="165" t="s">
        <v>388</v>
      </c>
      <c r="H32" s="230">
        <v>220</v>
      </c>
      <c r="I32" s="165" t="s">
        <v>858</v>
      </c>
      <c r="K32" s="165">
        <f t="shared" si="0"/>
        <v>110</v>
      </c>
    </row>
    <row r="33" spans="1:11">
      <c r="A33" s="165" t="s">
        <v>609</v>
      </c>
      <c r="B33" s="165" t="s">
        <v>620</v>
      </c>
      <c r="C33" s="165" t="s">
        <v>54</v>
      </c>
      <c r="D33" s="165" t="s">
        <v>412</v>
      </c>
      <c r="E33" s="165">
        <v>2222</v>
      </c>
      <c r="F33" s="165" t="s">
        <v>388</v>
      </c>
      <c r="G33" s="165" t="s">
        <v>388</v>
      </c>
      <c r="H33" s="230">
        <v>220</v>
      </c>
      <c r="I33" s="165" t="s">
        <v>858</v>
      </c>
      <c r="K33" s="165">
        <f t="shared" si="0"/>
        <v>110</v>
      </c>
    </row>
    <row r="34" spans="1:11">
      <c r="A34" s="165" t="s">
        <v>611</v>
      </c>
      <c r="B34" s="165" t="s">
        <v>622</v>
      </c>
      <c r="C34" s="165" t="s">
        <v>19</v>
      </c>
      <c r="D34" s="165" t="s">
        <v>478</v>
      </c>
      <c r="E34" s="165">
        <v>2222</v>
      </c>
      <c r="F34" s="165" t="s">
        <v>388</v>
      </c>
      <c r="G34" s="165" t="s">
        <v>388</v>
      </c>
      <c r="H34" s="230">
        <v>250</v>
      </c>
      <c r="I34" s="165" t="s">
        <v>858</v>
      </c>
      <c r="K34" s="165">
        <f t="shared" si="0"/>
        <v>125</v>
      </c>
    </row>
    <row r="35" spans="1:11">
      <c r="A35" s="165" t="s">
        <v>613</v>
      </c>
      <c r="B35" s="165" t="s">
        <v>624</v>
      </c>
      <c r="C35" s="165" t="s">
        <v>142</v>
      </c>
      <c r="D35" s="165" t="s">
        <v>482</v>
      </c>
      <c r="E35" s="165">
        <v>2222</v>
      </c>
      <c r="F35" s="165" t="s">
        <v>388</v>
      </c>
      <c r="G35" s="165" t="s">
        <v>388</v>
      </c>
      <c r="H35" s="230">
        <v>250</v>
      </c>
      <c r="I35" s="165" t="s">
        <v>858</v>
      </c>
      <c r="K35" s="165">
        <f t="shared" si="0"/>
        <v>125</v>
      </c>
    </row>
    <row r="36" spans="1:11">
      <c r="A36" s="165" t="s">
        <v>615</v>
      </c>
      <c r="B36" s="165" t="s">
        <v>626</v>
      </c>
      <c r="C36" s="165" t="s">
        <v>45</v>
      </c>
      <c r="D36" s="165" t="s">
        <v>480</v>
      </c>
      <c r="E36" s="165">
        <v>2222</v>
      </c>
      <c r="F36" s="165" t="s">
        <v>388</v>
      </c>
      <c r="G36" s="165" t="s">
        <v>388</v>
      </c>
      <c r="H36" s="230">
        <v>250</v>
      </c>
      <c r="I36" s="165" t="s">
        <v>858</v>
      </c>
      <c r="K36" s="165">
        <f t="shared" si="0"/>
        <v>125</v>
      </c>
    </row>
    <row r="37" spans="1:11">
      <c r="A37" s="165" t="s">
        <v>617</v>
      </c>
      <c r="B37" s="165" t="s">
        <v>628</v>
      </c>
      <c r="C37" s="165" t="s">
        <v>20</v>
      </c>
      <c r="D37" s="165" t="s">
        <v>486</v>
      </c>
      <c r="E37" s="165">
        <v>2222</v>
      </c>
      <c r="F37" s="165" t="s">
        <v>388</v>
      </c>
      <c r="G37" s="165" t="s">
        <v>388</v>
      </c>
      <c r="H37" s="230">
        <v>220</v>
      </c>
      <c r="I37" s="165" t="s">
        <v>858</v>
      </c>
      <c r="K37" s="165">
        <f t="shared" si="0"/>
        <v>110</v>
      </c>
    </row>
    <row r="38" spans="1:11">
      <c r="A38" s="165" t="s">
        <v>619</v>
      </c>
      <c r="B38" s="165" t="s">
        <v>630</v>
      </c>
      <c r="C38" s="165" t="s">
        <v>15</v>
      </c>
      <c r="D38" s="165" t="s">
        <v>484</v>
      </c>
      <c r="E38" s="165">
        <v>2222</v>
      </c>
      <c r="F38" s="165" t="s">
        <v>388</v>
      </c>
      <c r="G38" s="165" t="s">
        <v>388</v>
      </c>
      <c r="H38" s="230">
        <v>220</v>
      </c>
      <c r="I38" s="165" t="s">
        <v>858</v>
      </c>
      <c r="K38" s="165">
        <f t="shared" si="0"/>
        <v>110</v>
      </c>
    </row>
    <row r="39" spans="1:11">
      <c r="A39" s="165" t="s">
        <v>621</v>
      </c>
      <c r="B39" s="165" t="s">
        <v>632</v>
      </c>
      <c r="C39" s="165" t="s">
        <v>211</v>
      </c>
      <c r="D39" s="165" t="s">
        <v>470</v>
      </c>
      <c r="E39" s="165">
        <v>2222</v>
      </c>
      <c r="F39" s="165" t="s">
        <v>388</v>
      </c>
      <c r="G39" s="165" t="s">
        <v>388</v>
      </c>
      <c r="H39" s="230">
        <v>220</v>
      </c>
      <c r="I39" s="165" t="s">
        <v>858</v>
      </c>
      <c r="K39" s="165">
        <f t="shared" si="0"/>
        <v>110</v>
      </c>
    </row>
    <row r="40" spans="1:11">
      <c r="A40" s="165" t="s">
        <v>623</v>
      </c>
      <c r="B40" s="165" t="s">
        <v>634</v>
      </c>
      <c r="C40" s="165" t="s">
        <v>187</v>
      </c>
      <c r="D40" s="165" t="s">
        <v>490</v>
      </c>
      <c r="E40" s="165">
        <v>2222</v>
      </c>
      <c r="F40" s="165" t="s">
        <v>388</v>
      </c>
      <c r="G40" s="165" t="s">
        <v>388</v>
      </c>
      <c r="H40" s="230">
        <v>220</v>
      </c>
      <c r="I40" s="165" t="s">
        <v>858</v>
      </c>
      <c r="K40" s="165">
        <f t="shared" si="0"/>
        <v>110</v>
      </c>
    </row>
    <row r="41" spans="1:11">
      <c r="A41" s="165" t="s">
        <v>625</v>
      </c>
      <c r="B41" s="165" t="s">
        <v>636</v>
      </c>
      <c r="C41" s="165" t="s">
        <v>43</v>
      </c>
      <c r="D41" s="165" t="s">
        <v>408</v>
      </c>
      <c r="E41" s="165">
        <v>2222</v>
      </c>
      <c r="F41" s="165" t="s">
        <v>388</v>
      </c>
      <c r="G41" s="165" t="s">
        <v>388</v>
      </c>
      <c r="H41" s="230">
        <v>220</v>
      </c>
      <c r="I41" s="165" t="s">
        <v>858</v>
      </c>
      <c r="K41" s="165">
        <f t="shared" si="0"/>
        <v>110</v>
      </c>
    </row>
    <row r="42" spans="1:11">
      <c r="A42" s="165" t="s">
        <v>627</v>
      </c>
      <c r="B42" s="165" t="s">
        <v>882</v>
      </c>
      <c r="C42" s="165" t="s">
        <v>34</v>
      </c>
      <c r="D42" s="165" t="s">
        <v>881</v>
      </c>
      <c r="E42" s="165">
        <v>2222</v>
      </c>
      <c r="F42" s="165" t="s">
        <v>388</v>
      </c>
      <c r="G42" s="165" t="s">
        <v>388</v>
      </c>
      <c r="H42" s="230">
        <v>220</v>
      </c>
      <c r="I42" s="165" t="s">
        <v>858</v>
      </c>
      <c r="K42" s="165">
        <f t="shared" si="0"/>
        <v>110</v>
      </c>
    </row>
    <row r="43" spans="1:11">
      <c r="A43" s="165" t="s">
        <v>629</v>
      </c>
      <c r="B43" s="165" t="s">
        <v>638</v>
      </c>
      <c r="C43" s="165" t="s">
        <v>29</v>
      </c>
      <c r="D43" s="165" t="s">
        <v>492</v>
      </c>
      <c r="E43" s="165">
        <v>2222</v>
      </c>
      <c r="F43" s="165" t="s">
        <v>388</v>
      </c>
      <c r="G43" s="165" t="s">
        <v>388</v>
      </c>
      <c r="H43" s="230">
        <v>220</v>
      </c>
      <c r="I43" s="165" t="s">
        <v>858</v>
      </c>
      <c r="K43" s="165">
        <f t="shared" si="0"/>
        <v>110</v>
      </c>
    </row>
    <row r="44" spans="1:11">
      <c r="A44" s="165" t="s">
        <v>631</v>
      </c>
      <c r="B44" s="165" t="s">
        <v>640</v>
      </c>
      <c r="C44" s="165" t="s">
        <v>185</v>
      </c>
      <c r="D44" s="165" t="s">
        <v>498</v>
      </c>
      <c r="E44" s="165">
        <v>2222</v>
      </c>
      <c r="F44" s="165" t="s">
        <v>388</v>
      </c>
      <c r="G44" s="165" t="s">
        <v>388</v>
      </c>
      <c r="H44" s="230">
        <v>220</v>
      </c>
      <c r="I44" s="165" t="s">
        <v>858</v>
      </c>
      <c r="K44" s="165">
        <f t="shared" si="0"/>
        <v>110</v>
      </c>
    </row>
    <row r="45" spans="1:11">
      <c r="A45" s="165" t="s">
        <v>633</v>
      </c>
      <c r="B45" s="165" t="s">
        <v>642</v>
      </c>
      <c r="C45" s="165" t="s">
        <v>203</v>
      </c>
      <c r="D45" s="165" t="s">
        <v>414</v>
      </c>
      <c r="E45" s="165">
        <v>2222</v>
      </c>
      <c r="F45" s="165" t="s">
        <v>388</v>
      </c>
      <c r="G45" s="165" t="s">
        <v>388</v>
      </c>
      <c r="H45" s="230">
        <v>220</v>
      </c>
      <c r="I45" s="165" t="s">
        <v>858</v>
      </c>
      <c r="K45" s="165">
        <f t="shared" si="0"/>
        <v>110</v>
      </c>
    </row>
    <row r="46" spans="1:11">
      <c r="A46" s="165" t="s">
        <v>635</v>
      </c>
      <c r="B46" s="165" t="s">
        <v>880</v>
      </c>
      <c r="C46" s="165" t="s">
        <v>879</v>
      </c>
      <c r="D46" s="165" t="s">
        <v>878</v>
      </c>
      <c r="E46" s="165">
        <v>2222</v>
      </c>
      <c r="F46" s="165" t="s">
        <v>388</v>
      </c>
      <c r="G46" s="165" t="s">
        <v>388</v>
      </c>
      <c r="H46" s="230">
        <v>220</v>
      </c>
      <c r="I46" s="165" t="s">
        <v>858</v>
      </c>
      <c r="K46" s="165">
        <f t="shared" si="0"/>
        <v>110</v>
      </c>
    </row>
    <row r="47" spans="1:11">
      <c r="A47" s="165" t="s">
        <v>637</v>
      </c>
      <c r="B47" s="165" t="s">
        <v>644</v>
      </c>
      <c r="C47" s="165" t="s">
        <v>146</v>
      </c>
      <c r="D47" s="165" t="s">
        <v>496</v>
      </c>
      <c r="E47" s="165">
        <v>2222</v>
      </c>
      <c r="F47" s="165" t="s">
        <v>388</v>
      </c>
      <c r="G47" s="165" t="s">
        <v>388</v>
      </c>
      <c r="H47" s="230">
        <v>220</v>
      </c>
      <c r="I47" s="165" t="s">
        <v>858</v>
      </c>
      <c r="K47" s="165">
        <f t="shared" si="0"/>
        <v>110</v>
      </c>
    </row>
    <row r="48" spans="1:11">
      <c r="A48" s="165" t="s">
        <v>639</v>
      </c>
      <c r="B48" s="165" t="s">
        <v>647</v>
      </c>
      <c r="C48" s="165" t="s">
        <v>157</v>
      </c>
      <c r="D48" s="165" t="s">
        <v>504</v>
      </c>
      <c r="E48" s="165">
        <v>2222</v>
      </c>
      <c r="F48" s="165" t="s">
        <v>388</v>
      </c>
      <c r="G48" s="165" t="s">
        <v>388</v>
      </c>
      <c r="H48" s="230">
        <v>250</v>
      </c>
      <c r="I48" s="165" t="s">
        <v>858</v>
      </c>
      <c r="K48" s="165">
        <f t="shared" si="0"/>
        <v>125</v>
      </c>
    </row>
    <row r="49" spans="1:11">
      <c r="A49" s="165" t="s">
        <v>641</v>
      </c>
      <c r="B49" s="165" t="s">
        <v>649</v>
      </c>
      <c r="C49" s="165" t="s">
        <v>195</v>
      </c>
      <c r="D49" s="165" t="s">
        <v>506</v>
      </c>
      <c r="E49" s="165">
        <v>2222</v>
      </c>
      <c r="F49" s="165" t="s">
        <v>388</v>
      </c>
      <c r="G49" s="165" t="s">
        <v>388</v>
      </c>
      <c r="H49" s="230">
        <v>220</v>
      </c>
      <c r="I49" s="165" t="s">
        <v>858</v>
      </c>
      <c r="K49" s="165">
        <f t="shared" si="0"/>
        <v>110</v>
      </c>
    </row>
    <row r="50" spans="1:11">
      <c r="A50" s="165" t="s">
        <v>643</v>
      </c>
      <c r="B50" s="165" t="s">
        <v>651</v>
      </c>
      <c r="C50" s="165" t="s">
        <v>112</v>
      </c>
      <c r="D50" s="165" t="s">
        <v>508</v>
      </c>
      <c r="E50" s="165">
        <v>2222</v>
      </c>
      <c r="F50" s="165" t="s">
        <v>388</v>
      </c>
      <c r="G50" s="165" t="s">
        <v>388</v>
      </c>
      <c r="H50" s="230">
        <v>250</v>
      </c>
      <c r="I50" s="165" t="s">
        <v>858</v>
      </c>
      <c r="K50" s="165">
        <f t="shared" si="0"/>
        <v>125</v>
      </c>
    </row>
    <row r="51" spans="1:11">
      <c r="A51" s="165" t="s">
        <v>645</v>
      </c>
      <c r="B51" s="165" t="s">
        <v>653</v>
      </c>
      <c r="C51" s="165" t="s">
        <v>57</v>
      </c>
      <c r="D51" s="165" t="s">
        <v>500</v>
      </c>
      <c r="E51" s="165">
        <v>2222</v>
      </c>
      <c r="F51" s="165" t="s">
        <v>388</v>
      </c>
      <c r="G51" s="165" t="s">
        <v>388</v>
      </c>
      <c r="H51" s="230">
        <v>220</v>
      </c>
      <c r="I51" s="165" t="s">
        <v>858</v>
      </c>
      <c r="K51" s="165">
        <f t="shared" si="0"/>
        <v>110</v>
      </c>
    </row>
    <row r="52" spans="1:11">
      <c r="A52" s="165" t="s">
        <v>646</v>
      </c>
      <c r="B52" s="165" t="s">
        <v>655</v>
      </c>
      <c r="C52" s="165" t="s">
        <v>175</v>
      </c>
      <c r="D52" s="165" t="s">
        <v>510</v>
      </c>
      <c r="E52" s="165">
        <v>2222</v>
      </c>
      <c r="F52" s="165" t="s">
        <v>388</v>
      </c>
      <c r="G52" s="165" t="s">
        <v>388</v>
      </c>
      <c r="H52" s="230">
        <v>250</v>
      </c>
      <c r="I52" s="165" t="s">
        <v>858</v>
      </c>
      <c r="K52" s="165">
        <f t="shared" si="0"/>
        <v>125</v>
      </c>
    </row>
    <row r="53" spans="1:11">
      <c r="A53" s="165" t="s">
        <v>648</v>
      </c>
      <c r="B53" s="165" t="s">
        <v>877</v>
      </c>
      <c r="C53" s="165" t="s">
        <v>876</v>
      </c>
      <c r="D53" s="165" t="s">
        <v>875</v>
      </c>
      <c r="E53" s="165">
        <v>2222</v>
      </c>
      <c r="F53" s="165" t="s">
        <v>388</v>
      </c>
      <c r="G53" s="165" t="s">
        <v>388</v>
      </c>
      <c r="H53" s="230">
        <v>220</v>
      </c>
      <c r="I53" s="165" t="s">
        <v>858</v>
      </c>
      <c r="K53" s="165">
        <f t="shared" si="0"/>
        <v>110</v>
      </c>
    </row>
    <row r="54" spans="1:11">
      <c r="A54" s="165" t="s">
        <v>650</v>
      </c>
      <c r="B54" s="165" t="s">
        <v>657</v>
      </c>
      <c r="C54" s="165" t="s">
        <v>120</v>
      </c>
      <c r="D54" s="165" t="s">
        <v>518</v>
      </c>
      <c r="E54" s="165">
        <v>2222</v>
      </c>
      <c r="F54" s="165" t="s">
        <v>388</v>
      </c>
      <c r="G54" s="165" t="s">
        <v>388</v>
      </c>
      <c r="H54" s="230">
        <v>1800</v>
      </c>
      <c r="I54" s="165" t="s">
        <v>858</v>
      </c>
      <c r="K54" s="165">
        <f t="shared" si="0"/>
        <v>900</v>
      </c>
    </row>
    <row r="55" spans="1:11">
      <c r="A55" s="165" t="s">
        <v>652</v>
      </c>
      <c r="B55" s="165" t="s">
        <v>874</v>
      </c>
      <c r="C55" s="165" t="s">
        <v>873</v>
      </c>
      <c r="D55" s="165" t="s">
        <v>872</v>
      </c>
      <c r="E55" s="165">
        <v>2222</v>
      </c>
      <c r="F55" s="165" t="s">
        <v>388</v>
      </c>
      <c r="G55" s="165" t="s">
        <v>388</v>
      </c>
      <c r="H55" s="230">
        <v>220</v>
      </c>
      <c r="I55" s="165" t="s">
        <v>858</v>
      </c>
      <c r="K55" s="165">
        <f t="shared" si="0"/>
        <v>110</v>
      </c>
    </row>
    <row r="56" spans="1:11">
      <c r="A56" s="165" t="s">
        <v>654</v>
      </c>
      <c r="B56" s="165" t="s">
        <v>659</v>
      </c>
      <c r="C56" s="165" t="s">
        <v>199</v>
      </c>
      <c r="D56" s="165" t="s">
        <v>520</v>
      </c>
      <c r="E56" s="165">
        <v>2222</v>
      </c>
      <c r="F56" s="165" t="s">
        <v>388</v>
      </c>
      <c r="G56" s="165" t="s">
        <v>388</v>
      </c>
      <c r="H56" s="230">
        <v>220</v>
      </c>
      <c r="I56" s="165" t="s">
        <v>858</v>
      </c>
      <c r="K56" s="165">
        <f t="shared" si="0"/>
        <v>110</v>
      </c>
    </row>
    <row r="57" spans="1:11">
      <c r="A57" s="165" t="s">
        <v>656</v>
      </c>
      <c r="B57" s="165" t="s">
        <v>661</v>
      </c>
      <c r="C57" s="165" t="s">
        <v>99</v>
      </c>
      <c r="D57" s="165" t="s">
        <v>522</v>
      </c>
      <c r="E57" s="165">
        <v>2222</v>
      </c>
      <c r="F57" s="165" t="s">
        <v>388</v>
      </c>
      <c r="G57" s="165" t="s">
        <v>388</v>
      </c>
      <c r="H57" s="230">
        <v>2200</v>
      </c>
      <c r="I57" s="165" t="s">
        <v>858</v>
      </c>
      <c r="K57" s="165">
        <f t="shared" si="0"/>
        <v>1100</v>
      </c>
    </row>
    <row r="58" spans="1:11">
      <c r="A58" s="165" t="s">
        <v>658</v>
      </c>
      <c r="B58" s="165" t="s">
        <v>663</v>
      </c>
      <c r="C58" s="165" t="s">
        <v>181</v>
      </c>
      <c r="D58" s="165" t="s">
        <v>526</v>
      </c>
      <c r="E58" s="165">
        <v>2222</v>
      </c>
      <c r="F58" s="165" t="s">
        <v>388</v>
      </c>
      <c r="G58" s="165" t="s">
        <v>388</v>
      </c>
      <c r="H58" s="230">
        <v>250</v>
      </c>
      <c r="I58" s="165" t="s">
        <v>858</v>
      </c>
      <c r="K58" s="165">
        <f t="shared" si="0"/>
        <v>125</v>
      </c>
    </row>
    <row r="59" spans="1:11">
      <c r="A59" s="165" t="s">
        <v>660</v>
      </c>
      <c r="B59" s="165" t="s">
        <v>665</v>
      </c>
      <c r="C59" s="165" t="s">
        <v>183</v>
      </c>
      <c r="D59" s="165" t="s">
        <v>528</v>
      </c>
      <c r="E59" s="165">
        <v>2222</v>
      </c>
      <c r="F59" s="165" t="s">
        <v>388</v>
      </c>
      <c r="G59" s="165" t="s">
        <v>388</v>
      </c>
      <c r="H59" s="230">
        <v>250</v>
      </c>
      <c r="I59" s="165" t="s">
        <v>858</v>
      </c>
      <c r="K59" s="165">
        <f t="shared" si="0"/>
        <v>125</v>
      </c>
    </row>
    <row r="60" spans="1:11">
      <c r="A60" s="165" t="s">
        <v>662</v>
      </c>
      <c r="B60" s="165" t="s">
        <v>667</v>
      </c>
      <c r="C60" s="165" t="s">
        <v>148</v>
      </c>
      <c r="D60" s="165" t="s">
        <v>476</v>
      </c>
      <c r="E60" s="165">
        <v>2222</v>
      </c>
      <c r="F60" s="165" t="s">
        <v>388</v>
      </c>
      <c r="G60" s="165" t="s">
        <v>388</v>
      </c>
      <c r="H60" s="230">
        <v>220</v>
      </c>
      <c r="I60" s="165" t="s">
        <v>858</v>
      </c>
      <c r="K60" s="165">
        <f t="shared" si="0"/>
        <v>110</v>
      </c>
    </row>
    <row r="61" spans="1:11">
      <c r="A61" s="165" t="s">
        <v>664</v>
      </c>
      <c r="B61" s="165" t="s">
        <v>669</v>
      </c>
      <c r="C61" s="165" t="s">
        <v>50</v>
      </c>
      <c r="D61" s="165" t="s">
        <v>530</v>
      </c>
      <c r="E61" s="165">
        <v>2222</v>
      </c>
      <c r="F61" s="165" t="s">
        <v>388</v>
      </c>
      <c r="G61" s="165" t="s">
        <v>388</v>
      </c>
      <c r="H61" s="230">
        <v>220</v>
      </c>
      <c r="I61" s="165" t="s">
        <v>858</v>
      </c>
      <c r="K61" s="165">
        <f t="shared" si="0"/>
        <v>110</v>
      </c>
    </row>
    <row r="62" spans="1:11">
      <c r="A62" s="165" t="s">
        <v>666</v>
      </c>
      <c r="B62" s="165" t="s">
        <v>871</v>
      </c>
      <c r="C62" s="165" t="s">
        <v>35</v>
      </c>
      <c r="D62" s="165" t="s">
        <v>870</v>
      </c>
      <c r="E62" s="165">
        <v>2222</v>
      </c>
      <c r="F62" s="165" t="s">
        <v>388</v>
      </c>
      <c r="G62" s="165" t="s">
        <v>388</v>
      </c>
      <c r="H62" s="230">
        <v>220</v>
      </c>
      <c r="I62" s="165" t="s">
        <v>858</v>
      </c>
      <c r="K62" s="165">
        <f t="shared" si="0"/>
        <v>110</v>
      </c>
    </row>
    <row r="63" spans="1:11">
      <c r="A63" s="165" t="s">
        <v>668</v>
      </c>
      <c r="B63" s="165" t="s">
        <v>671</v>
      </c>
      <c r="C63" s="165" t="s">
        <v>23</v>
      </c>
      <c r="D63" s="165" t="s">
        <v>502</v>
      </c>
      <c r="E63" s="165">
        <v>2222</v>
      </c>
      <c r="F63" s="165" t="s">
        <v>388</v>
      </c>
      <c r="G63" s="165" t="s">
        <v>388</v>
      </c>
      <c r="H63" s="230">
        <v>220</v>
      </c>
      <c r="I63" s="165" t="s">
        <v>858</v>
      </c>
      <c r="K63" s="165">
        <f t="shared" si="0"/>
        <v>110</v>
      </c>
    </row>
    <row r="64" spans="1:11">
      <c r="A64" s="165" t="s">
        <v>670</v>
      </c>
      <c r="B64" s="165" t="s">
        <v>673</v>
      </c>
      <c r="C64" s="165" t="s">
        <v>197</v>
      </c>
      <c r="D64" s="165" t="s">
        <v>532</v>
      </c>
      <c r="E64" s="165">
        <v>2222</v>
      </c>
      <c r="F64" s="165" t="s">
        <v>388</v>
      </c>
      <c r="G64" s="165" t="s">
        <v>388</v>
      </c>
      <c r="H64" s="230">
        <v>220</v>
      </c>
      <c r="I64" s="165" t="s">
        <v>858</v>
      </c>
      <c r="K64" s="165">
        <f t="shared" si="0"/>
        <v>110</v>
      </c>
    </row>
    <row r="65" spans="1:11">
      <c r="A65" s="165" t="s">
        <v>672</v>
      </c>
      <c r="B65" s="165" t="s">
        <v>675</v>
      </c>
      <c r="C65" s="165" t="s">
        <v>230</v>
      </c>
      <c r="D65" s="165" t="s">
        <v>488</v>
      </c>
      <c r="E65" s="165">
        <v>2222</v>
      </c>
      <c r="F65" s="165" t="s">
        <v>388</v>
      </c>
      <c r="G65" s="165" t="s">
        <v>388</v>
      </c>
      <c r="H65" s="230">
        <v>220</v>
      </c>
      <c r="I65" s="165" t="s">
        <v>858</v>
      </c>
      <c r="K65" s="165">
        <f t="shared" si="0"/>
        <v>110</v>
      </c>
    </row>
    <row r="66" spans="1:11">
      <c r="A66" s="165" t="s">
        <v>674</v>
      </c>
      <c r="B66" s="165" t="s">
        <v>677</v>
      </c>
      <c r="C66" s="165" t="s">
        <v>46</v>
      </c>
      <c r="D66" s="165" t="s">
        <v>534</v>
      </c>
      <c r="E66" s="165">
        <v>2222</v>
      </c>
      <c r="F66" s="165" t="s">
        <v>388</v>
      </c>
      <c r="G66" s="165" t="s">
        <v>388</v>
      </c>
      <c r="H66" s="230">
        <v>220</v>
      </c>
      <c r="I66" s="165" t="s">
        <v>858</v>
      </c>
      <c r="K66" s="165">
        <f t="shared" si="0"/>
        <v>110</v>
      </c>
    </row>
    <row r="67" spans="1:11">
      <c r="A67" s="165" t="s">
        <v>676</v>
      </c>
      <c r="B67" s="165" t="s">
        <v>679</v>
      </c>
      <c r="C67" s="165" t="s">
        <v>103</v>
      </c>
      <c r="D67" s="165" t="s">
        <v>538</v>
      </c>
      <c r="E67" s="165">
        <v>2222</v>
      </c>
      <c r="F67" s="165" t="s">
        <v>388</v>
      </c>
      <c r="G67" s="165" t="s">
        <v>388</v>
      </c>
      <c r="H67" s="230">
        <v>220</v>
      </c>
      <c r="I67" s="165" t="s">
        <v>858</v>
      </c>
      <c r="K67" s="165">
        <f t="shared" ref="K67:K92" si="1">H67/2</f>
        <v>110</v>
      </c>
    </row>
    <row r="68" spans="1:11">
      <c r="A68" s="165" t="s">
        <v>678</v>
      </c>
      <c r="B68" s="165" t="s">
        <v>681</v>
      </c>
      <c r="C68" s="165" t="s">
        <v>109</v>
      </c>
      <c r="D68" s="165" t="s">
        <v>536</v>
      </c>
      <c r="E68" s="165">
        <v>2222</v>
      </c>
      <c r="F68" s="165" t="s">
        <v>388</v>
      </c>
      <c r="G68" s="165" t="s">
        <v>388</v>
      </c>
      <c r="H68" s="230">
        <v>220</v>
      </c>
      <c r="I68" s="165" t="s">
        <v>858</v>
      </c>
      <c r="K68" s="165">
        <f t="shared" si="1"/>
        <v>110</v>
      </c>
    </row>
    <row r="69" spans="1:11">
      <c r="A69" s="165" t="s">
        <v>680</v>
      </c>
      <c r="B69" s="165" t="s">
        <v>684</v>
      </c>
      <c r="C69" s="165" t="s">
        <v>125</v>
      </c>
      <c r="D69" s="165" t="s">
        <v>542</v>
      </c>
      <c r="E69" s="165">
        <v>2222</v>
      </c>
      <c r="F69" s="165" t="s">
        <v>388</v>
      </c>
      <c r="G69" s="165" t="s">
        <v>388</v>
      </c>
      <c r="H69" s="230">
        <v>220</v>
      </c>
      <c r="I69" s="165" t="s">
        <v>858</v>
      </c>
      <c r="K69" s="165">
        <f t="shared" si="1"/>
        <v>110</v>
      </c>
    </row>
    <row r="70" spans="1:11">
      <c r="A70" s="165" t="s">
        <v>682</v>
      </c>
      <c r="B70" s="165" t="s">
        <v>686</v>
      </c>
      <c r="C70" s="165" t="s">
        <v>161</v>
      </c>
      <c r="D70" s="165" t="s">
        <v>546</v>
      </c>
      <c r="E70" s="165">
        <v>2222</v>
      </c>
      <c r="F70" s="165" t="s">
        <v>388</v>
      </c>
      <c r="G70" s="165" t="s">
        <v>388</v>
      </c>
      <c r="H70" s="230">
        <v>220</v>
      </c>
      <c r="I70" s="165" t="s">
        <v>858</v>
      </c>
      <c r="K70" s="165">
        <f t="shared" si="1"/>
        <v>110</v>
      </c>
    </row>
    <row r="71" spans="1:11">
      <c r="A71" s="165" t="s">
        <v>683</v>
      </c>
      <c r="B71" s="165" t="s">
        <v>688</v>
      </c>
      <c r="C71" s="165" t="s">
        <v>248</v>
      </c>
      <c r="D71" s="165" t="s">
        <v>544</v>
      </c>
      <c r="E71" s="165">
        <v>2222</v>
      </c>
      <c r="F71" s="165" t="s">
        <v>388</v>
      </c>
      <c r="G71" s="165" t="s">
        <v>388</v>
      </c>
      <c r="H71" s="230">
        <v>220</v>
      </c>
      <c r="I71" s="165" t="s">
        <v>858</v>
      </c>
      <c r="K71" s="165">
        <f t="shared" si="1"/>
        <v>110</v>
      </c>
    </row>
    <row r="72" spans="1:11">
      <c r="A72" s="165" t="s">
        <v>685</v>
      </c>
      <c r="B72" s="165" t="s">
        <v>690</v>
      </c>
      <c r="C72" s="165" t="s">
        <v>193</v>
      </c>
      <c r="D72" s="165" t="s">
        <v>548</v>
      </c>
      <c r="E72" s="165">
        <v>2222</v>
      </c>
      <c r="F72" s="165" t="s">
        <v>388</v>
      </c>
      <c r="G72" s="165" t="s">
        <v>388</v>
      </c>
      <c r="H72" s="230">
        <v>220</v>
      </c>
      <c r="I72" s="165" t="s">
        <v>858</v>
      </c>
      <c r="K72" s="165">
        <f t="shared" si="1"/>
        <v>110</v>
      </c>
    </row>
    <row r="73" spans="1:11">
      <c r="A73" s="165" t="s">
        <v>687</v>
      </c>
      <c r="B73" s="165" t="s">
        <v>691</v>
      </c>
      <c r="C73" s="165" t="s">
        <v>240</v>
      </c>
      <c r="D73" s="165" t="s">
        <v>550</v>
      </c>
      <c r="E73" s="165">
        <v>2222</v>
      </c>
      <c r="F73" s="165" t="s">
        <v>388</v>
      </c>
      <c r="G73" s="165" t="s">
        <v>388</v>
      </c>
      <c r="H73" s="230">
        <v>220</v>
      </c>
      <c r="I73" s="165" t="s">
        <v>858</v>
      </c>
      <c r="K73" s="165">
        <f t="shared" si="1"/>
        <v>110</v>
      </c>
    </row>
    <row r="74" spans="1:11">
      <c r="A74" s="165" t="s">
        <v>689</v>
      </c>
      <c r="B74" s="165" t="s">
        <v>693</v>
      </c>
      <c r="C74" s="165" t="s">
        <v>136</v>
      </c>
      <c r="D74" s="165" t="s">
        <v>554</v>
      </c>
      <c r="E74" s="165">
        <v>2222</v>
      </c>
      <c r="F74" s="165" t="s">
        <v>388</v>
      </c>
      <c r="G74" s="165" t="s">
        <v>388</v>
      </c>
      <c r="H74" s="230">
        <v>220</v>
      </c>
      <c r="I74" s="165" t="s">
        <v>858</v>
      </c>
      <c r="K74" s="165">
        <f t="shared" si="1"/>
        <v>110</v>
      </c>
    </row>
    <row r="75" spans="1:11">
      <c r="A75" s="165" t="s">
        <v>692</v>
      </c>
      <c r="B75" s="165" t="s">
        <v>696</v>
      </c>
      <c r="C75" s="165" t="s">
        <v>242</v>
      </c>
      <c r="D75" s="165" t="s">
        <v>560</v>
      </c>
      <c r="E75" s="165">
        <v>2222</v>
      </c>
      <c r="F75" s="165" t="s">
        <v>388</v>
      </c>
      <c r="G75" s="165" t="s">
        <v>388</v>
      </c>
      <c r="H75" s="230">
        <v>220</v>
      </c>
      <c r="I75" s="165" t="s">
        <v>858</v>
      </c>
      <c r="K75" s="165">
        <f t="shared" si="1"/>
        <v>110</v>
      </c>
    </row>
    <row r="76" spans="1:11">
      <c r="A76" s="165" t="s">
        <v>694</v>
      </c>
      <c r="B76" s="165" t="s">
        <v>698</v>
      </c>
      <c r="C76" s="165" t="s">
        <v>138</v>
      </c>
      <c r="D76" s="165" t="s">
        <v>512</v>
      </c>
      <c r="E76" s="165">
        <v>2222</v>
      </c>
      <c r="F76" s="165" t="s">
        <v>388</v>
      </c>
      <c r="G76" s="165" t="s">
        <v>388</v>
      </c>
      <c r="H76" s="230">
        <v>220</v>
      </c>
      <c r="I76" s="165" t="s">
        <v>858</v>
      </c>
      <c r="K76" s="165">
        <f t="shared" si="1"/>
        <v>110</v>
      </c>
    </row>
    <row r="77" spans="1:11">
      <c r="A77" s="165" t="s">
        <v>695</v>
      </c>
      <c r="B77" s="165" t="s">
        <v>700</v>
      </c>
      <c r="C77" s="165" t="s">
        <v>48</v>
      </c>
      <c r="D77" s="165" t="s">
        <v>564</v>
      </c>
      <c r="E77" s="165">
        <v>2222</v>
      </c>
      <c r="F77" s="165" t="s">
        <v>388</v>
      </c>
      <c r="G77" s="165" t="s">
        <v>388</v>
      </c>
      <c r="H77" s="230">
        <v>220</v>
      </c>
      <c r="I77" s="165" t="s">
        <v>858</v>
      </c>
      <c r="K77" s="165">
        <f t="shared" si="1"/>
        <v>110</v>
      </c>
    </row>
    <row r="78" spans="1:11">
      <c r="A78" s="165" t="s">
        <v>697</v>
      </c>
      <c r="B78" s="165" t="s">
        <v>702</v>
      </c>
      <c r="C78" s="165" t="s">
        <v>123</v>
      </c>
      <c r="D78" s="165" t="s">
        <v>566</v>
      </c>
      <c r="E78" s="165">
        <v>2222</v>
      </c>
      <c r="F78" s="165" t="s">
        <v>388</v>
      </c>
      <c r="G78" s="165" t="s">
        <v>388</v>
      </c>
      <c r="H78" s="230">
        <v>220</v>
      </c>
      <c r="I78" s="165" t="s">
        <v>858</v>
      </c>
      <c r="K78" s="165">
        <f t="shared" si="1"/>
        <v>110</v>
      </c>
    </row>
    <row r="79" spans="1:11" s="229" customFormat="1">
      <c r="A79" s="229" t="s">
        <v>699</v>
      </c>
      <c r="B79" s="229" t="s">
        <v>705</v>
      </c>
      <c r="C79" s="229" t="s">
        <v>326</v>
      </c>
      <c r="D79" s="229" t="s">
        <v>420</v>
      </c>
      <c r="E79" s="165">
        <v>2222</v>
      </c>
      <c r="F79" s="229" t="s">
        <v>388</v>
      </c>
      <c r="G79" s="229" t="s">
        <v>388</v>
      </c>
      <c r="H79" s="230">
        <v>300</v>
      </c>
      <c r="I79" s="229" t="s">
        <v>858</v>
      </c>
      <c r="K79" s="229">
        <f t="shared" si="1"/>
        <v>150</v>
      </c>
    </row>
    <row r="80" spans="1:11">
      <c r="A80" s="165" t="s">
        <v>701</v>
      </c>
      <c r="B80" s="165" t="s">
        <v>707</v>
      </c>
      <c r="C80" s="165" t="s">
        <v>214</v>
      </c>
      <c r="D80" s="165" t="s">
        <v>524</v>
      </c>
      <c r="E80" s="165">
        <v>2222</v>
      </c>
      <c r="F80" s="165" t="s">
        <v>388</v>
      </c>
      <c r="G80" s="165" t="s">
        <v>388</v>
      </c>
      <c r="H80" s="230">
        <v>220</v>
      </c>
      <c r="I80" s="165" t="s">
        <v>858</v>
      </c>
      <c r="K80" s="165">
        <f t="shared" si="1"/>
        <v>110</v>
      </c>
    </row>
    <row r="81" spans="1:11">
      <c r="A81" s="165" t="s">
        <v>703</v>
      </c>
      <c r="B81" s="165" t="s">
        <v>709</v>
      </c>
      <c r="C81" s="165" t="s">
        <v>201</v>
      </c>
      <c r="D81" s="165" t="s">
        <v>516</v>
      </c>
      <c r="E81" s="165">
        <v>2222</v>
      </c>
      <c r="F81" s="165" t="s">
        <v>388</v>
      </c>
      <c r="G81" s="165" t="s">
        <v>388</v>
      </c>
      <c r="H81" s="230">
        <v>220</v>
      </c>
      <c r="I81" s="165" t="s">
        <v>858</v>
      </c>
      <c r="K81" s="165">
        <f t="shared" si="1"/>
        <v>110</v>
      </c>
    </row>
    <row r="82" spans="1:11">
      <c r="A82" s="165" t="s">
        <v>704</v>
      </c>
      <c r="B82" s="165" t="s">
        <v>711</v>
      </c>
      <c r="C82" s="165" t="s">
        <v>205</v>
      </c>
      <c r="D82" s="165" t="s">
        <v>540</v>
      </c>
      <c r="E82" s="165">
        <v>2222</v>
      </c>
      <c r="F82" s="165" t="s">
        <v>388</v>
      </c>
      <c r="G82" s="165" t="s">
        <v>388</v>
      </c>
      <c r="H82" s="230">
        <v>220</v>
      </c>
      <c r="I82" s="165" t="s">
        <v>858</v>
      </c>
      <c r="K82" s="165">
        <f t="shared" si="1"/>
        <v>110</v>
      </c>
    </row>
    <row r="83" spans="1:11">
      <c r="A83" s="165" t="s">
        <v>706</v>
      </c>
      <c r="B83" s="165" t="s">
        <v>713</v>
      </c>
      <c r="C83" s="165" t="s">
        <v>207</v>
      </c>
      <c r="D83" s="165" t="s">
        <v>494</v>
      </c>
      <c r="E83" s="165">
        <v>2222</v>
      </c>
      <c r="F83" s="165" t="s">
        <v>388</v>
      </c>
      <c r="G83" s="165" t="s">
        <v>388</v>
      </c>
      <c r="H83" s="230">
        <v>220</v>
      </c>
      <c r="I83" s="165" t="s">
        <v>858</v>
      </c>
      <c r="K83" s="165">
        <f t="shared" si="1"/>
        <v>110</v>
      </c>
    </row>
    <row r="84" spans="1:11">
      <c r="A84" s="165" t="s">
        <v>708</v>
      </c>
      <c r="B84" s="165" t="s">
        <v>715</v>
      </c>
      <c r="C84" s="165" t="s">
        <v>16</v>
      </c>
      <c r="D84" s="165" t="s">
        <v>552</v>
      </c>
      <c r="E84" s="165">
        <v>2222</v>
      </c>
      <c r="F84" s="165" t="s">
        <v>388</v>
      </c>
      <c r="G84" s="165" t="s">
        <v>388</v>
      </c>
      <c r="H84" s="230">
        <v>220</v>
      </c>
      <c r="I84" s="165" t="s">
        <v>858</v>
      </c>
      <c r="K84" s="165">
        <f t="shared" si="1"/>
        <v>110</v>
      </c>
    </row>
    <row r="85" spans="1:11">
      <c r="A85" s="165" t="s">
        <v>710</v>
      </c>
      <c r="B85" s="165" t="s">
        <v>717</v>
      </c>
      <c r="C85" s="165" t="s">
        <v>22</v>
      </c>
      <c r="D85" s="165" t="s">
        <v>556</v>
      </c>
      <c r="E85" s="165">
        <v>2222</v>
      </c>
      <c r="F85" s="165" t="s">
        <v>388</v>
      </c>
      <c r="G85" s="165" t="s">
        <v>388</v>
      </c>
      <c r="H85" s="230">
        <v>220</v>
      </c>
      <c r="I85" s="165" t="s">
        <v>858</v>
      </c>
      <c r="K85" s="165">
        <f t="shared" si="1"/>
        <v>110</v>
      </c>
    </row>
    <row r="86" spans="1:11">
      <c r="A86" s="165" t="s">
        <v>712</v>
      </c>
      <c r="B86" s="165" t="s">
        <v>719</v>
      </c>
      <c r="C86" s="165" t="s">
        <v>24</v>
      </c>
      <c r="D86" s="165" t="s">
        <v>568</v>
      </c>
      <c r="E86" s="165">
        <v>2222</v>
      </c>
      <c r="F86" s="165" t="s">
        <v>388</v>
      </c>
      <c r="G86" s="165" t="s">
        <v>388</v>
      </c>
      <c r="H86" s="230">
        <v>220</v>
      </c>
      <c r="I86" s="165" t="s">
        <v>858</v>
      </c>
      <c r="K86" s="165">
        <f t="shared" si="1"/>
        <v>110</v>
      </c>
    </row>
    <row r="87" spans="1:11">
      <c r="A87" s="165" t="s">
        <v>714</v>
      </c>
      <c r="B87" s="165" t="s">
        <v>721</v>
      </c>
      <c r="C87" s="165" t="s">
        <v>26</v>
      </c>
      <c r="D87" s="165" t="s">
        <v>562</v>
      </c>
      <c r="E87" s="165">
        <v>2222</v>
      </c>
      <c r="F87" s="165" t="s">
        <v>388</v>
      </c>
      <c r="G87" s="165" t="s">
        <v>388</v>
      </c>
      <c r="H87" s="230">
        <v>220</v>
      </c>
      <c r="I87" s="165" t="s">
        <v>858</v>
      </c>
      <c r="K87" s="165">
        <f t="shared" si="1"/>
        <v>110</v>
      </c>
    </row>
    <row r="88" spans="1:11">
      <c r="A88" s="165" t="s">
        <v>716</v>
      </c>
      <c r="B88" s="165" t="s">
        <v>723</v>
      </c>
      <c r="C88" s="165" t="s">
        <v>18</v>
      </c>
      <c r="D88" s="165" t="s">
        <v>570</v>
      </c>
      <c r="E88" s="165">
        <v>2222</v>
      </c>
      <c r="F88" s="165" t="s">
        <v>388</v>
      </c>
      <c r="G88" s="165" t="s">
        <v>388</v>
      </c>
      <c r="H88" s="230">
        <v>220</v>
      </c>
      <c r="I88" s="165" t="s">
        <v>858</v>
      </c>
      <c r="K88" s="165">
        <f t="shared" si="1"/>
        <v>110</v>
      </c>
    </row>
    <row r="89" spans="1:11">
      <c r="A89" s="165" t="s">
        <v>718</v>
      </c>
      <c r="B89" s="165" t="s">
        <v>869</v>
      </c>
      <c r="C89" s="165" t="s">
        <v>30</v>
      </c>
      <c r="D89" s="165" t="s">
        <v>868</v>
      </c>
      <c r="E89" s="165">
        <v>2222</v>
      </c>
      <c r="F89" s="165" t="s">
        <v>388</v>
      </c>
      <c r="G89" s="165" t="s">
        <v>388</v>
      </c>
      <c r="H89" s="230">
        <v>220</v>
      </c>
      <c r="I89" s="165" t="s">
        <v>858</v>
      </c>
      <c r="K89" s="165">
        <f t="shared" si="1"/>
        <v>110</v>
      </c>
    </row>
    <row r="90" spans="1:11">
      <c r="A90" s="165" t="s">
        <v>720</v>
      </c>
      <c r="B90" s="165" t="s">
        <v>867</v>
      </c>
      <c r="C90" s="165" t="s">
        <v>31</v>
      </c>
      <c r="D90" s="165" t="s">
        <v>866</v>
      </c>
      <c r="E90" s="165">
        <v>2222</v>
      </c>
      <c r="F90" s="165" t="s">
        <v>388</v>
      </c>
      <c r="G90" s="165" t="s">
        <v>388</v>
      </c>
      <c r="H90" s="230">
        <v>220</v>
      </c>
      <c r="I90" s="165" t="s">
        <v>858</v>
      </c>
      <c r="K90" s="165">
        <f t="shared" si="1"/>
        <v>110</v>
      </c>
    </row>
    <row r="91" spans="1:11">
      <c r="A91" s="165" t="s">
        <v>722</v>
      </c>
      <c r="B91" s="165" t="s">
        <v>865</v>
      </c>
      <c r="C91" s="165" t="s">
        <v>32</v>
      </c>
      <c r="D91" s="165" t="s">
        <v>864</v>
      </c>
      <c r="E91" s="165">
        <v>2222</v>
      </c>
      <c r="F91" s="165" t="s">
        <v>388</v>
      </c>
      <c r="G91" s="165" t="s">
        <v>388</v>
      </c>
      <c r="H91" s="230">
        <v>220</v>
      </c>
      <c r="I91" s="165" t="s">
        <v>858</v>
      </c>
      <c r="K91" s="165">
        <f t="shared" si="1"/>
        <v>110</v>
      </c>
    </row>
    <row r="92" spans="1:11">
      <c r="A92" s="165" t="s">
        <v>863</v>
      </c>
      <c r="B92" s="165" t="s">
        <v>862</v>
      </c>
      <c r="C92" s="165" t="s">
        <v>33</v>
      </c>
      <c r="D92" s="165" t="s">
        <v>861</v>
      </c>
      <c r="E92" s="165">
        <v>2222</v>
      </c>
      <c r="F92" s="165" t="s">
        <v>388</v>
      </c>
      <c r="G92" s="165" t="s">
        <v>388</v>
      </c>
      <c r="H92" s="230">
        <v>220</v>
      </c>
      <c r="I92" s="165" t="s">
        <v>858</v>
      </c>
      <c r="K92" s="165">
        <f t="shared" si="1"/>
        <v>110</v>
      </c>
    </row>
    <row r="93" spans="1:11">
      <c r="H93" s="229">
        <f>SUM(H2:H92)</f>
        <v>33370</v>
      </c>
      <c r="K93" s="165">
        <f>SUM(K2:K92)</f>
        <v>16685</v>
      </c>
    </row>
    <row r="94" spans="1:11">
      <c r="K94" s="228">
        <f>知识科技工资!O112</f>
        <v>16535</v>
      </c>
    </row>
    <row r="95" spans="1:11">
      <c r="K95" s="228">
        <f>K93-K94</f>
        <v>150</v>
      </c>
    </row>
  </sheetData>
  <autoFilter ref="A1:K95"/>
  <phoneticPr fontId="17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V201"/>
  <sheetViews>
    <sheetView workbookViewId="0">
      <pane xSplit="3" ySplit="4" topLeftCell="E11" activePane="bottomRight" state="frozen"/>
      <selection pane="topRight" activeCell="D1" sqref="D1"/>
      <selection pane="bottomLeft" activeCell="A5" sqref="A5"/>
      <selection pane="bottomRight" activeCell="Q5" sqref="Q5"/>
    </sheetView>
  </sheetViews>
  <sheetFormatPr defaultColWidth="9" defaultRowHeight="27.95" customHeight="1"/>
  <cols>
    <col min="4" max="4" width="15.25" style="11" customWidth="1"/>
    <col min="5" max="5" width="12.375" style="11" customWidth="1"/>
    <col min="6" max="6" width="15" style="11" customWidth="1"/>
    <col min="7" max="7" width="9" style="11"/>
    <col min="8" max="8" width="16.125" style="11" bestFit="1" customWidth="1"/>
    <col min="9" max="9" width="11.625" style="11" customWidth="1"/>
    <col min="10" max="10" width="11" style="11" customWidth="1"/>
    <col min="11" max="12" width="9.125" style="11" customWidth="1"/>
    <col min="13" max="13" width="16.125" style="11" customWidth="1"/>
    <col min="14" max="14" width="12.625" style="11" customWidth="1"/>
    <col min="15" max="15" width="12.125" style="61" customWidth="1"/>
    <col min="16" max="16" width="16.125" style="11" customWidth="1"/>
    <col min="17" max="17" width="12.75" style="11" customWidth="1"/>
    <col min="18" max="19" width="9.125" style="11" customWidth="1"/>
    <col min="20" max="20" width="9.5" style="11" customWidth="1"/>
    <col min="21" max="22" width="13.875" style="11" customWidth="1"/>
  </cols>
  <sheetData>
    <row r="1" spans="1:22" ht="27.95" customHeight="1">
      <c r="A1" s="294" t="s">
        <v>724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</row>
    <row r="2" spans="1:22" ht="27.95" customHeight="1">
      <c r="A2" s="295" t="s">
        <v>912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</row>
    <row r="3" spans="1:22" s="141" customFormat="1" ht="22.5" customHeight="1">
      <c r="A3" s="292" t="s">
        <v>0</v>
      </c>
      <c r="B3" s="293" t="s">
        <v>2</v>
      </c>
      <c r="C3" s="293" t="s">
        <v>1</v>
      </c>
      <c r="D3" s="286" t="s">
        <v>40</v>
      </c>
      <c r="E3" s="286" t="s">
        <v>41</v>
      </c>
      <c r="F3" s="312" t="s">
        <v>259</v>
      </c>
      <c r="G3" s="314" t="s">
        <v>391</v>
      </c>
      <c r="H3" s="288" t="s">
        <v>392</v>
      </c>
      <c r="I3" s="289"/>
      <c r="J3" s="289"/>
      <c r="K3" s="289"/>
      <c r="L3" s="289"/>
      <c r="M3" s="290"/>
      <c r="N3" s="297" t="s">
        <v>393</v>
      </c>
      <c r="O3" s="298"/>
      <c r="P3" s="297"/>
      <c r="Q3" s="297"/>
      <c r="R3" s="297"/>
      <c r="S3" s="297"/>
      <c r="T3" s="297"/>
      <c r="U3" s="297"/>
      <c r="V3" s="315" t="s">
        <v>394</v>
      </c>
    </row>
    <row r="4" spans="1:22" s="141" customFormat="1" ht="22.5" customHeight="1">
      <c r="A4" s="292"/>
      <c r="B4" s="293"/>
      <c r="C4" s="293"/>
      <c r="D4" s="287"/>
      <c r="E4" s="287"/>
      <c r="F4" s="313"/>
      <c r="G4" s="314"/>
      <c r="H4" s="143" t="s">
        <v>40</v>
      </c>
      <c r="I4" s="143" t="s">
        <v>42</v>
      </c>
      <c r="J4" s="143" t="s">
        <v>277</v>
      </c>
      <c r="K4" s="143" t="s">
        <v>395</v>
      </c>
      <c r="L4" s="143" t="s">
        <v>396</v>
      </c>
      <c r="M4" s="144" t="s">
        <v>279</v>
      </c>
      <c r="N4" s="143" t="s">
        <v>397</v>
      </c>
      <c r="O4" s="145" t="s">
        <v>398</v>
      </c>
      <c r="P4" s="143" t="s">
        <v>399</v>
      </c>
      <c r="Q4" s="143" t="s">
        <v>400</v>
      </c>
      <c r="R4" s="143" t="s">
        <v>401</v>
      </c>
      <c r="S4" s="143" t="s">
        <v>402</v>
      </c>
      <c r="T4" s="143" t="s">
        <v>396</v>
      </c>
      <c r="U4" s="144" t="s">
        <v>403</v>
      </c>
      <c r="V4" s="316"/>
    </row>
    <row r="5" spans="1:22" s="141" customFormat="1" ht="22.5" customHeight="1">
      <c r="A5" s="1">
        <v>1</v>
      </c>
      <c r="B5" s="320" t="s">
        <v>217</v>
      </c>
      <c r="C5" s="146" t="s">
        <v>218</v>
      </c>
      <c r="D5" s="147">
        <v>10000</v>
      </c>
      <c r="E5" s="147">
        <v>0</v>
      </c>
      <c r="F5" s="147">
        <f>F7</f>
        <v>10000</v>
      </c>
      <c r="G5" s="155">
        <f>IFERROR(VLOOKUP(C5,'8月考勤表'!B:E,4,FALSE),0)</f>
        <v>31</v>
      </c>
      <c r="H5" s="147">
        <f>ROUND(F5/31*G5,2)</f>
        <v>10000</v>
      </c>
      <c r="I5" s="147">
        <v>0</v>
      </c>
      <c r="J5" s="147">
        <v>0</v>
      </c>
      <c r="K5" s="147">
        <v>0</v>
      </c>
      <c r="L5" s="147">
        <v>0</v>
      </c>
      <c r="M5" s="147">
        <f>SUM(H5:L5)</f>
        <v>10000</v>
      </c>
      <c r="N5" s="148">
        <f>IFERROR(VLOOKUP(C5,知识科技社保!C:F,4,0),0)</f>
        <v>351.18</v>
      </c>
      <c r="O5" s="149">
        <f>IFERROR(VLOOKUP(C5,知识科技公积金!C:H,6,0),0)/2</f>
        <v>1100</v>
      </c>
      <c r="P5" s="147">
        <f t="shared" ref="P5:P36" si="0">M5-N5-O5</f>
        <v>8548.82</v>
      </c>
      <c r="Q5" s="147">
        <f>ROUND(MAX((P5-3500)*{0.03,0.1,0.2,0.25,0.3,0.35,0.45}-{0,105,555,1005,2755,5505,13505},0),2)</f>
        <v>454.76</v>
      </c>
      <c r="R5" s="147">
        <v>0</v>
      </c>
      <c r="S5" s="147">
        <v>0</v>
      </c>
      <c r="T5" s="147">
        <v>0</v>
      </c>
      <c r="U5" s="147">
        <f>N5+O5+Q5+R5+S5+T5</f>
        <v>1905.94</v>
      </c>
      <c r="V5" s="147">
        <f t="shared" ref="V5:V36" si="1">M5-U5</f>
        <v>8094.0599999999995</v>
      </c>
    </row>
    <row r="6" spans="1:22" s="141" customFormat="1" ht="22.5" customHeight="1">
      <c r="A6" s="1">
        <v>2</v>
      </c>
      <c r="B6" s="320"/>
      <c r="C6" s="146" t="s">
        <v>220</v>
      </c>
      <c r="D6" s="147">
        <v>10000</v>
      </c>
      <c r="E6" s="147">
        <v>0</v>
      </c>
      <c r="F6" s="147">
        <f t="shared" ref="F6:F67" si="2">SUM(D6:E6)</f>
        <v>10000</v>
      </c>
      <c r="G6" s="155">
        <f>IFERROR(VLOOKUP(C6,'8月考勤表'!B:E,4,FALSE),0)</f>
        <v>31</v>
      </c>
      <c r="H6" s="147">
        <f t="shared" ref="H6:H67" si="3">ROUND(F6/31*G6,2)</f>
        <v>10000</v>
      </c>
      <c r="I6" s="147">
        <v>0</v>
      </c>
      <c r="J6" s="147">
        <v>0</v>
      </c>
      <c r="K6" s="147">
        <v>0</v>
      </c>
      <c r="L6" s="147">
        <v>0</v>
      </c>
      <c r="M6" s="147">
        <f t="shared" ref="M6:M32" si="4">SUM(H6:L6)</f>
        <v>10000</v>
      </c>
      <c r="N6" s="148">
        <f>IFERROR(VLOOKUP(C6,知识科技社保!C:F,4,0),0)</f>
        <v>351.18</v>
      </c>
      <c r="O6" s="149">
        <f>IFERROR(VLOOKUP(C6,知识科技公积金!C:H,6,0),0)/2</f>
        <v>1100</v>
      </c>
      <c r="P6" s="147">
        <f t="shared" si="0"/>
        <v>8548.82</v>
      </c>
      <c r="Q6" s="147">
        <f>ROUND(MAX((P6-3500)*{0.03,0.1,0.2,0.25,0.3,0.35,0.45}-{0,105,555,1005,2755,5505,13505},0),2)</f>
        <v>454.76</v>
      </c>
      <c r="R6" s="147">
        <v>0</v>
      </c>
      <c r="S6" s="147">
        <v>0</v>
      </c>
      <c r="T6" s="147">
        <v>96</v>
      </c>
      <c r="U6" s="147">
        <f t="shared" ref="U6:U68" si="5">N6+O6+Q6+R6+S6+T6</f>
        <v>2001.94</v>
      </c>
      <c r="V6" s="147">
        <f t="shared" si="1"/>
        <v>7998.0599999999995</v>
      </c>
    </row>
    <row r="7" spans="1:22" s="141" customFormat="1" ht="22.5" customHeight="1">
      <c r="A7" s="1">
        <v>3</v>
      </c>
      <c r="B7" s="320"/>
      <c r="C7" s="146" t="s">
        <v>222</v>
      </c>
      <c r="D7" s="147">
        <v>10000</v>
      </c>
      <c r="E7" s="147">
        <v>0</v>
      </c>
      <c r="F7" s="147">
        <f t="shared" si="2"/>
        <v>10000</v>
      </c>
      <c r="G7" s="155">
        <f>IFERROR(VLOOKUP(C7,'8月考勤表'!B:E,4,FALSE),0)</f>
        <v>31</v>
      </c>
      <c r="H7" s="147">
        <f t="shared" si="3"/>
        <v>10000</v>
      </c>
      <c r="I7" s="147">
        <v>0</v>
      </c>
      <c r="J7" s="147">
        <v>0</v>
      </c>
      <c r="K7" s="147">
        <v>0</v>
      </c>
      <c r="L7" s="147">
        <v>0</v>
      </c>
      <c r="M7" s="147">
        <f t="shared" si="4"/>
        <v>10000</v>
      </c>
      <c r="N7" s="148">
        <f>IFERROR(VLOOKUP(C7,知识科技社保!C:F,4,0),0)</f>
        <v>351.18</v>
      </c>
      <c r="O7" s="149">
        <f>IFERROR(VLOOKUP(C7,知识科技公积金!C:H,6,0),0)/2</f>
        <v>900</v>
      </c>
      <c r="P7" s="147">
        <f t="shared" si="0"/>
        <v>8748.82</v>
      </c>
      <c r="Q7" s="147">
        <f>ROUND(MAX((P7-3500)*{0.03,0.1,0.2,0.25,0.3,0.35,0.45}-{0,105,555,1005,2755,5505,13505},0),2)</f>
        <v>494.76</v>
      </c>
      <c r="R7" s="147">
        <v>0</v>
      </c>
      <c r="S7" s="147">
        <v>0</v>
      </c>
      <c r="T7" s="147">
        <v>0</v>
      </c>
      <c r="U7" s="147">
        <f t="shared" si="5"/>
        <v>1745.94</v>
      </c>
      <c r="V7" s="147">
        <f t="shared" si="1"/>
        <v>8254.06</v>
      </c>
    </row>
    <row r="8" spans="1:22" s="141" customFormat="1" ht="22.5" customHeight="1">
      <c r="A8" s="1">
        <v>4</v>
      </c>
      <c r="B8" s="303" t="s">
        <v>285</v>
      </c>
      <c r="C8" s="146" t="s">
        <v>246</v>
      </c>
      <c r="D8" s="147">
        <v>10000</v>
      </c>
      <c r="E8" s="147">
        <f>VLOOKUP(C8,'[4]6月中力知识工资'!$C$5:$F$127,3,0)</f>
        <v>0</v>
      </c>
      <c r="F8" s="147">
        <f t="shared" si="2"/>
        <v>10000</v>
      </c>
      <c r="G8" s="155">
        <f>IFERROR(VLOOKUP(C8,'8月考勤表'!B:E,4,FALSE),0)</f>
        <v>31</v>
      </c>
      <c r="H8" s="147">
        <f t="shared" si="3"/>
        <v>10000</v>
      </c>
      <c r="I8" s="147">
        <v>0</v>
      </c>
      <c r="J8" s="147">
        <v>0</v>
      </c>
      <c r="K8" s="147">
        <v>0</v>
      </c>
      <c r="L8" s="147">
        <v>0</v>
      </c>
      <c r="M8" s="147">
        <f t="shared" si="4"/>
        <v>10000</v>
      </c>
      <c r="N8" s="148">
        <f>IFERROR(VLOOKUP(C8,知识科技社保!C:F,4,0),0)</f>
        <v>0</v>
      </c>
      <c r="O8" s="149">
        <f>IFERROR(VLOOKUP(C8,知识科技公积金!C:H,6,0),0)/2</f>
        <v>0</v>
      </c>
      <c r="P8" s="147">
        <f t="shared" si="0"/>
        <v>10000</v>
      </c>
      <c r="Q8" s="147">
        <f>ROUND(MAX((P8-3500)*{0.03,0.1,0.2,0.25,0.3,0.35,0.45}-{0,105,555,1005,2755,5505,13505},0),2)</f>
        <v>745</v>
      </c>
      <c r="R8" s="147">
        <v>0</v>
      </c>
      <c r="S8" s="147">
        <v>0</v>
      </c>
      <c r="T8" s="147">
        <v>0</v>
      </c>
      <c r="U8" s="147">
        <f t="shared" si="5"/>
        <v>745</v>
      </c>
      <c r="V8" s="147">
        <f t="shared" si="1"/>
        <v>9255</v>
      </c>
    </row>
    <row r="9" spans="1:22" s="141" customFormat="1" ht="22.5" customHeight="1">
      <c r="A9" s="1">
        <v>5</v>
      </c>
      <c r="B9" s="304"/>
      <c r="C9" s="150" t="s">
        <v>244</v>
      </c>
      <c r="D9" s="147">
        <v>10000</v>
      </c>
      <c r="E9" s="147">
        <v>0</v>
      </c>
      <c r="F9" s="147">
        <f t="shared" si="2"/>
        <v>10000</v>
      </c>
      <c r="G9" s="155">
        <f>IFERROR(VLOOKUP(C9,'8月考勤表'!B:E,4,FALSE),0)</f>
        <v>31</v>
      </c>
      <c r="H9" s="147">
        <f t="shared" si="3"/>
        <v>10000</v>
      </c>
      <c r="I9" s="147">
        <v>0</v>
      </c>
      <c r="J9" s="147">
        <v>0</v>
      </c>
      <c r="K9" s="147">
        <v>0</v>
      </c>
      <c r="L9" s="147">
        <v>0</v>
      </c>
      <c r="M9" s="147">
        <f t="shared" si="4"/>
        <v>10000</v>
      </c>
      <c r="N9" s="148">
        <f>IFERROR(VLOOKUP(C9,知识科技社保!C:F,4,0),0)</f>
        <v>287.18</v>
      </c>
      <c r="O9" s="149">
        <f>IFERROR(VLOOKUP(C9,知识科技公积金!C:H,6,0),0)/2</f>
        <v>110</v>
      </c>
      <c r="P9" s="147">
        <f t="shared" si="0"/>
        <v>9602.82</v>
      </c>
      <c r="Q9" s="147">
        <f>ROUND(MAX((P9-3500)*{0.03,0.1,0.2,0.25,0.3,0.35,0.45}-{0,105,555,1005,2755,5505,13505},0),2)</f>
        <v>665.56</v>
      </c>
      <c r="R9" s="147">
        <v>0</v>
      </c>
      <c r="S9" s="147">
        <v>0</v>
      </c>
      <c r="T9" s="147">
        <v>0</v>
      </c>
      <c r="U9" s="147">
        <f t="shared" si="5"/>
        <v>1062.74</v>
      </c>
      <c r="V9" s="147">
        <f t="shared" si="1"/>
        <v>8937.26</v>
      </c>
    </row>
    <row r="10" spans="1:22" s="141" customFormat="1" ht="22.5" customHeight="1">
      <c r="A10" s="1">
        <v>6</v>
      </c>
      <c r="B10" s="304"/>
      <c r="C10" s="150" t="s">
        <v>248</v>
      </c>
      <c r="D10" s="147">
        <v>10000</v>
      </c>
      <c r="E10" s="147">
        <f>VLOOKUP(C10,'[4]6月中力知识工资'!$C$5:$F$127,3,0)</f>
        <v>0</v>
      </c>
      <c r="F10" s="147">
        <f t="shared" si="2"/>
        <v>10000</v>
      </c>
      <c r="G10" s="155">
        <f>IFERROR(VLOOKUP(C10,'8月考勤表'!B:E,4,FALSE),0)</f>
        <v>30</v>
      </c>
      <c r="H10" s="147">
        <f t="shared" si="3"/>
        <v>9677.42</v>
      </c>
      <c r="I10" s="147">
        <v>0</v>
      </c>
      <c r="J10" s="147">
        <v>0</v>
      </c>
      <c r="K10" s="147">
        <v>0</v>
      </c>
      <c r="L10" s="147">
        <v>0</v>
      </c>
      <c r="M10" s="147">
        <f t="shared" si="4"/>
        <v>9677.42</v>
      </c>
      <c r="N10" s="148">
        <f>IFERROR(VLOOKUP(C10,知识科技社保!C:F,4,0),0)</f>
        <v>287.18</v>
      </c>
      <c r="O10" s="149">
        <f>IFERROR(VLOOKUP(C10,知识科技公积金!C:H,6,0),0)/2</f>
        <v>110</v>
      </c>
      <c r="P10" s="147">
        <f t="shared" si="0"/>
        <v>9280.24</v>
      </c>
      <c r="Q10" s="147">
        <f>ROUND(MAX((P10-3500)*{0.03,0.1,0.2,0.25,0.3,0.35,0.45}-{0,105,555,1005,2755,5505,13505},0),2)</f>
        <v>601.04999999999995</v>
      </c>
      <c r="R10" s="147">
        <v>0</v>
      </c>
      <c r="S10" s="147">
        <v>0</v>
      </c>
      <c r="T10" s="147">
        <v>0</v>
      </c>
      <c r="U10" s="147">
        <f t="shared" si="5"/>
        <v>998.23</v>
      </c>
      <c r="V10" s="147">
        <f t="shared" si="1"/>
        <v>8679.19</v>
      </c>
    </row>
    <row r="11" spans="1:22" s="141" customFormat="1" ht="22.5" customHeight="1">
      <c r="A11" s="1">
        <v>7</v>
      </c>
      <c r="B11" s="304"/>
      <c r="C11" s="150" t="s">
        <v>945</v>
      </c>
      <c r="D11" s="147">
        <v>10000</v>
      </c>
      <c r="E11" s="147">
        <v>0</v>
      </c>
      <c r="F11" s="147">
        <f t="shared" si="2"/>
        <v>10000</v>
      </c>
      <c r="G11" s="155">
        <f>IFERROR(VLOOKUP(C11,'8月考勤表'!B:E,4,FALSE),0)</f>
        <v>12</v>
      </c>
      <c r="H11" s="147">
        <f t="shared" si="3"/>
        <v>3870.97</v>
      </c>
      <c r="I11" s="147">
        <v>0</v>
      </c>
      <c r="J11" s="147">
        <v>0</v>
      </c>
      <c r="K11" s="147">
        <v>0</v>
      </c>
      <c r="L11" s="147">
        <v>0</v>
      </c>
      <c r="M11" s="147">
        <f t="shared" ref="M11:M12" si="6">SUM(H11:L11)</f>
        <v>3870.97</v>
      </c>
      <c r="N11" s="148">
        <f>IFERROR(VLOOKUP(C11,知识科技社保!C:F,4,0),0)</f>
        <v>0</v>
      </c>
      <c r="O11" s="149">
        <f>IFERROR(VLOOKUP(C11,知识科技公积金!C:H,6,0),0)/2</f>
        <v>0</v>
      </c>
      <c r="P11" s="147">
        <f t="shared" si="0"/>
        <v>3870.97</v>
      </c>
      <c r="Q11" s="147">
        <f>ROUND(MAX((P11-3500)*{0.03,0.1,0.2,0.25,0.3,0.35,0.45}-{0,105,555,1005,2755,5505,13505},0),2)</f>
        <v>11.13</v>
      </c>
      <c r="R11" s="147">
        <v>0</v>
      </c>
      <c r="S11" s="147">
        <v>0</v>
      </c>
      <c r="T11" s="147">
        <v>0</v>
      </c>
      <c r="U11" s="147">
        <f t="shared" ref="U11:U12" si="7">N11+O11+Q11+R11+S11+T11</f>
        <v>11.13</v>
      </c>
      <c r="V11" s="147">
        <f t="shared" si="1"/>
        <v>3859.8399999999997</v>
      </c>
    </row>
    <row r="12" spans="1:22" s="141" customFormat="1" ht="22.5" customHeight="1">
      <c r="A12" s="1">
        <v>8</v>
      </c>
      <c r="B12" s="305"/>
      <c r="C12" s="150" t="s">
        <v>952</v>
      </c>
      <c r="D12" s="147">
        <v>10000</v>
      </c>
      <c r="E12" s="147">
        <v>0</v>
      </c>
      <c r="F12" s="147">
        <f t="shared" si="2"/>
        <v>10000</v>
      </c>
      <c r="G12" s="155">
        <f>IFERROR(VLOOKUP(C12,'8月考勤表'!B:E,4,FALSE),0)</f>
        <v>11</v>
      </c>
      <c r="H12" s="147">
        <f t="shared" si="3"/>
        <v>3548.39</v>
      </c>
      <c r="I12" s="147">
        <v>0</v>
      </c>
      <c r="J12" s="147">
        <v>0</v>
      </c>
      <c r="K12" s="147">
        <v>0</v>
      </c>
      <c r="L12" s="147">
        <v>0</v>
      </c>
      <c r="M12" s="147">
        <f t="shared" si="6"/>
        <v>3548.39</v>
      </c>
      <c r="N12" s="148">
        <f>IFERROR(VLOOKUP(C12,知识科技社保!C:F,4,0),0)</f>
        <v>0</v>
      </c>
      <c r="O12" s="149">
        <f>IFERROR(VLOOKUP(C12,知识科技公积金!C:H,6,0),0)/2</f>
        <v>0</v>
      </c>
      <c r="P12" s="147">
        <f t="shared" si="0"/>
        <v>3548.39</v>
      </c>
      <c r="Q12" s="147">
        <f>ROUND(MAX((P12-3500)*{0.03,0.1,0.2,0.25,0.3,0.35,0.45}-{0,105,555,1005,2755,5505,13505},0),2)</f>
        <v>1.45</v>
      </c>
      <c r="R12" s="147">
        <v>0</v>
      </c>
      <c r="S12" s="147">
        <v>0</v>
      </c>
      <c r="T12" s="147">
        <v>0</v>
      </c>
      <c r="U12" s="147">
        <f t="shared" si="7"/>
        <v>1.45</v>
      </c>
      <c r="V12" s="147">
        <f t="shared" si="1"/>
        <v>3546.94</v>
      </c>
    </row>
    <row r="13" spans="1:22" s="141" customFormat="1" ht="22.5" customHeight="1">
      <c r="A13" s="1">
        <v>9</v>
      </c>
      <c r="B13" s="321" t="s">
        <v>237</v>
      </c>
      <c r="C13" s="150" t="s">
        <v>238</v>
      </c>
      <c r="D13" s="147">
        <v>10000</v>
      </c>
      <c r="E13" s="147">
        <v>0</v>
      </c>
      <c r="F13" s="147">
        <f t="shared" si="2"/>
        <v>10000</v>
      </c>
      <c r="G13" s="155">
        <f>IFERROR(VLOOKUP(C13,'8月考勤表'!B:E,4,FALSE),0)</f>
        <v>31</v>
      </c>
      <c r="H13" s="147">
        <f t="shared" si="3"/>
        <v>10000</v>
      </c>
      <c r="I13" s="147">
        <v>0</v>
      </c>
      <c r="J13" s="147">
        <v>0</v>
      </c>
      <c r="K13" s="147">
        <v>0</v>
      </c>
      <c r="L13" s="147">
        <v>0</v>
      </c>
      <c r="M13" s="147">
        <f t="shared" si="4"/>
        <v>10000</v>
      </c>
      <c r="N13" s="148">
        <f>IFERROR(VLOOKUP(C13,知识科技社保!C:F,4,0),0)</f>
        <v>287.18</v>
      </c>
      <c r="O13" s="149">
        <f>IFERROR(VLOOKUP(C13,知识科技公积金!C:H,6,0),0)/2</f>
        <v>110</v>
      </c>
      <c r="P13" s="147">
        <f t="shared" si="0"/>
        <v>9602.82</v>
      </c>
      <c r="Q13" s="147">
        <f>ROUND(MAX((P13-3500)*{0.03,0.1,0.2,0.25,0.3,0.35,0.45}-{0,105,555,1005,2755,5505,13505},0),2)</f>
        <v>665.56</v>
      </c>
      <c r="R13" s="147">
        <v>0</v>
      </c>
      <c r="S13" s="147">
        <v>0</v>
      </c>
      <c r="T13" s="147">
        <v>0</v>
      </c>
      <c r="U13" s="147">
        <f t="shared" si="5"/>
        <v>1062.74</v>
      </c>
      <c r="V13" s="147">
        <f t="shared" si="1"/>
        <v>8937.26</v>
      </c>
    </row>
    <row r="14" spans="1:22" s="141" customFormat="1" ht="22.5" customHeight="1">
      <c r="A14" s="1">
        <v>10</v>
      </c>
      <c r="B14" s="322"/>
      <c r="C14" s="150" t="s">
        <v>240</v>
      </c>
      <c r="D14" s="147">
        <v>10000</v>
      </c>
      <c r="E14" s="147">
        <f>VLOOKUP(C14,'[4]6月中力知识工资'!$C$5:$F$127,3,0)</f>
        <v>0</v>
      </c>
      <c r="F14" s="147">
        <f t="shared" si="2"/>
        <v>10000</v>
      </c>
      <c r="G14" s="155">
        <f>IFERROR(VLOOKUP(C14,'8月考勤表'!B:E,4,FALSE),0)</f>
        <v>31</v>
      </c>
      <c r="H14" s="147">
        <f t="shared" si="3"/>
        <v>10000</v>
      </c>
      <c r="I14" s="147">
        <v>0</v>
      </c>
      <c r="J14" s="147">
        <v>0</v>
      </c>
      <c r="K14" s="147">
        <v>0</v>
      </c>
      <c r="L14" s="147">
        <v>0</v>
      </c>
      <c r="M14" s="147">
        <f t="shared" si="4"/>
        <v>10000</v>
      </c>
      <c r="N14" s="148">
        <v>287.18</v>
      </c>
      <c r="O14" s="149">
        <f>IFERROR(VLOOKUP(C14,知识科技公积金!C:H,6,0),0)/2</f>
        <v>110</v>
      </c>
      <c r="P14" s="147">
        <f t="shared" si="0"/>
        <v>9602.82</v>
      </c>
      <c r="Q14" s="147">
        <f>ROUND(MAX((P14-3500)*{0.03,0.1,0.2,0.25,0.3,0.35,0.45}-{0,105,555,1005,2755,5505,13505},0),2)</f>
        <v>665.56</v>
      </c>
      <c r="R14" s="147">
        <v>0</v>
      </c>
      <c r="S14" s="147">
        <v>0</v>
      </c>
      <c r="T14" s="147">
        <v>0</v>
      </c>
      <c r="U14" s="147">
        <f t="shared" si="5"/>
        <v>1062.74</v>
      </c>
      <c r="V14" s="147">
        <f t="shared" si="1"/>
        <v>8937.26</v>
      </c>
    </row>
    <row r="15" spans="1:22" s="141" customFormat="1" ht="22.5" customHeight="1">
      <c r="A15" s="1">
        <v>11</v>
      </c>
      <c r="B15" s="322"/>
      <c r="C15" s="150" t="s">
        <v>242</v>
      </c>
      <c r="D15" s="147">
        <v>10000</v>
      </c>
      <c r="E15" s="147">
        <f>VLOOKUP(C15,'[4]6月中力知识工资'!$C$5:$F$127,3,0)</f>
        <v>0</v>
      </c>
      <c r="F15" s="147">
        <f t="shared" si="2"/>
        <v>10000</v>
      </c>
      <c r="G15" s="155">
        <f>IFERROR(VLOOKUP(C15,'8月考勤表'!B:E,4,FALSE),0)</f>
        <v>26</v>
      </c>
      <c r="H15" s="147">
        <f t="shared" si="3"/>
        <v>8387.1</v>
      </c>
      <c r="I15" s="147">
        <v>0</v>
      </c>
      <c r="J15" s="147">
        <v>0</v>
      </c>
      <c r="K15" s="147">
        <v>0</v>
      </c>
      <c r="L15" s="147">
        <v>0</v>
      </c>
      <c r="M15" s="147">
        <f t="shared" si="4"/>
        <v>8387.1</v>
      </c>
      <c r="N15" s="148">
        <f>IFERROR(VLOOKUP(C15,知识科技社保!C:F,4,0),0)</f>
        <v>287.18</v>
      </c>
      <c r="O15" s="149">
        <f>IFERROR(VLOOKUP(C15,知识科技公积金!C:H,6,0),0)/2</f>
        <v>110</v>
      </c>
      <c r="P15" s="147">
        <f t="shared" si="0"/>
        <v>7989.92</v>
      </c>
      <c r="Q15" s="147">
        <f>ROUND(MAX((P15-3500)*{0.03,0.1,0.2,0.25,0.3,0.35,0.45}-{0,105,555,1005,2755,5505,13505},0),2)</f>
        <v>343.99</v>
      </c>
      <c r="R15" s="147">
        <v>0</v>
      </c>
      <c r="S15" s="147">
        <v>0</v>
      </c>
      <c r="T15" s="147">
        <v>0</v>
      </c>
      <c r="U15" s="147">
        <f t="shared" si="5"/>
        <v>741.17000000000007</v>
      </c>
      <c r="V15" s="147">
        <f t="shared" si="1"/>
        <v>7645.93</v>
      </c>
    </row>
    <row r="16" spans="1:22" s="141" customFormat="1" ht="22.5" customHeight="1">
      <c r="A16" s="1">
        <v>12</v>
      </c>
      <c r="B16" s="321" t="s">
        <v>290</v>
      </c>
      <c r="C16" s="150" t="s">
        <v>167</v>
      </c>
      <c r="D16" s="147">
        <v>10000</v>
      </c>
      <c r="E16" s="147">
        <v>0</v>
      </c>
      <c r="F16" s="147">
        <f t="shared" si="2"/>
        <v>10000</v>
      </c>
      <c r="G16" s="155">
        <f>IFERROR(VLOOKUP(C16,'8月考勤表'!B:E,4,FALSE),0)</f>
        <v>31</v>
      </c>
      <c r="H16" s="147">
        <f t="shared" si="3"/>
        <v>10000</v>
      </c>
      <c r="I16" s="147">
        <v>0</v>
      </c>
      <c r="J16" s="147">
        <v>0</v>
      </c>
      <c r="K16" s="147">
        <v>0</v>
      </c>
      <c r="L16" s="147">
        <v>0</v>
      </c>
      <c r="M16" s="147">
        <f t="shared" si="4"/>
        <v>10000</v>
      </c>
      <c r="N16" s="148">
        <f>IFERROR(VLOOKUP(C16,知识科技社保!C:F,4,0),0)</f>
        <v>351.18</v>
      </c>
      <c r="O16" s="149">
        <f>IFERROR(VLOOKUP(C16,知识科技公积金!C:H,6,0),0)/2</f>
        <v>650</v>
      </c>
      <c r="P16" s="147">
        <f t="shared" si="0"/>
        <v>8998.82</v>
      </c>
      <c r="Q16" s="147">
        <f>ROUND(MAX((P16-3500)*{0.03,0.1,0.2,0.25,0.3,0.35,0.45}-{0,105,555,1005,2755,5505,13505},0),2)</f>
        <v>544.76</v>
      </c>
      <c r="R16" s="147">
        <v>0</v>
      </c>
      <c r="S16" s="147">
        <v>0</v>
      </c>
      <c r="T16" s="147">
        <v>13</v>
      </c>
      <c r="U16" s="147">
        <f t="shared" si="5"/>
        <v>1558.94</v>
      </c>
      <c r="V16" s="147">
        <f t="shared" si="1"/>
        <v>8441.06</v>
      </c>
    </row>
    <row r="17" spans="1:22" s="141" customFormat="1" ht="22.5" customHeight="1">
      <c r="A17" s="1">
        <v>13</v>
      </c>
      <c r="B17" s="322"/>
      <c r="C17" s="150" t="s">
        <v>46</v>
      </c>
      <c r="D17" s="147">
        <v>10000</v>
      </c>
      <c r="E17" s="147">
        <v>0</v>
      </c>
      <c r="F17" s="147">
        <f t="shared" si="2"/>
        <v>10000</v>
      </c>
      <c r="G17" s="155">
        <f>IFERROR(VLOOKUP(C17,'8月考勤表'!B:E,4,FALSE),0)</f>
        <v>31</v>
      </c>
      <c r="H17" s="147">
        <f t="shared" si="3"/>
        <v>10000</v>
      </c>
      <c r="I17" s="147">
        <v>1000</v>
      </c>
      <c r="J17" s="147">
        <v>0</v>
      </c>
      <c r="K17" s="147">
        <v>0</v>
      </c>
      <c r="L17" s="147">
        <v>0</v>
      </c>
      <c r="M17" s="147">
        <f t="shared" si="4"/>
        <v>11000</v>
      </c>
      <c r="N17" s="148">
        <f>IFERROR(VLOOKUP(C17,知识科技社保!C:F,4,0),0)</f>
        <v>287.18</v>
      </c>
      <c r="O17" s="149">
        <f>IFERROR(VLOOKUP(C17,知识科技公积金!C:H,6,0),0)/2</f>
        <v>110</v>
      </c>
      <c r="P17" s="147">
        <f t="shared" si="0"/>
        <v>10602.82</v>
      </c>
      <c r="Q17" s="147">
        <f>ROUND(MAX((P17-3500)*{0.03,0.1,0.2,0.25,0.3,0.35,0.45}-{0,105,555,1005,2755,5505,13505},0),2)</f>
        <v>865.56</v>
      </c>
      <c r="R17" s="147">
        <v>0</v>
      </c>
      <c r="S17" s="147">
        <v>0</v>
      </c>
      <c r="T17" s="147">
        <v>0</v>
      </c>
      <c r="U17" s="147">
        <f t="shared" si="5"/>
        <v>1262.74</v>
      </c>
      <c r="V17" s="147">
        <f t="shared" si="1"/>
        <v>9737.26</v>
      </c>
    </row>
    <row r="18" spans="1:22" s="141" customFormat="1" ht="22.5" customHeight="1">
      <c r="A18" s="1">
        <v>14</v>
      </c>
      <c r="B18" s="322"/>
      <c r="C18" s="150" t="s">
        <v>164</v>
      </c>
      <c r="D18" s="147">
        <v>10000</v>
      </c>
      <c r="E18" s="147">
        <f>VLOOKUP(C18,'[4]6月中力知识工资'!$C$5:$F$127,3,0)</f>
        <v>0</v>
      </c>
      <c r="F18" s="147">
        <f t="shared" si="2"/>
        <v>10000</v>
      </c>
      <c r="G18" s="155">
        <f>IFERROR(VLOOKUP(C18,'8月考勤表'!B:E,4,FALSE),0)</f>
        <v>31</v>
      </c>
      <c r="H18" s="147">
        <f t="shared" si="3"/>
        <v>10000</v>
      </c>
      <c r="I18" s="147">
        <v>0</v>
      </c>
      <c r="J18" s="147">
        <v>0</v>
      </c>
      <c r="K18" s="147">
        <v>0</v>
      </c>
      <c r="L18" s="147">
        <v>0</v>
      </c>
      <c r="M18" s="147">
        <f t="shared" si="4"/>
        <v>10000</v>
      </c>
      <c r="N18" s="148">
        <f>IFERROR(VLOOKUP(C18,知识科技社保!C:F,4,0),0)</f>
        <v>287.18</v>
      </c>
      <c r="O18" s="149">
        <f>IFERROR(VLOOKUP(C18,知识科技公积金!C:H,6,0),0)/2</f>
        <v>650</v>
      </c>
      <c r="P18" s="147">
        <f t="shared" si="0"/>
        <v>9062.82</v>
      </c>
      <c r="Q18" s="147">
        <f>ROUND(MAX((P18-3500)*{0.03,0.1,0.2,0.25,0.3,0.35,0.45}-{0,105,555,1005,2755,5505,13505},0),2)</f>
        <v>557.55999999999995</v>
      </c>
      <c r="R18" s="147">
        <v>0</v>
      </c>
      <c r="S18" s="147">
        <v>0</v>
      </c>
      <c r="T18" s="147">
        <v>0</v>
      </c>
      <c r="U18" s="147">
        <f t="shared" si="5"/>
        <v>1494.74</v>
      </c>
      <c r="V18" s="147">
        <f t="shared" si="1"/>
        <v>8505.26</v>
      </c>
    </row>
    <row r="19" spans="1:22" s="141" customFormat="1" ht="22.5" customHeight="1">
      <c r="A19" s="1">
        <v>15</v>
      </c>
      <c r="B19" s="322"/>
      <c r="C19" s="150" t="s">
        <v>166</v>
      </c>
      <c r="D19" s="147">
        <v>10000</v>
      </c>
      <c r="E19" s="147">
        <f>VLOOKUP(C19,'[4]6月中力知识工资'!$C$5:$F$127,3,0)</f>
        <v>0</v>
      </c>
      <c r="F19" s="147">
        <f t="shared" si="2"/>
        <v>10000</v>
      </c>
      <c r="G19" s="155">
        <f>IFERROR(VLOOKUP(C19,'8月考勤表'!B:E,4,FALSE),0)</f>
        <v>1</v>
      </c>
      <c r="H19" s="147">
        <f t="shared" si="3"/>
        <v>322.58</v>
      </c>
      <c r="I19" s="147">
        <v>0</v>
      </c>
      <c r="J19" s="147">
        <v>0</v>
      </c>
      <c r="K19" s="147">
        <v>0</v>
      </c>
      <c r="L19" s="147">
        <v>0</v>
      </c>
      <c r="M19" s="147">
        <f t="shared" si="4"/>
        <v>322.58</v>
      </c>
      <c r="N19" s="148">
        <f>IFERROR(VLOOKUP(C19,知识科技社保!C:F,4,0),0)</f>
        <v>0</v>
      </c>
      <c r="O19" s="149">
        <f>IFERROR(VLOOKUP(C19,知识科技公积金!C:H,6,0),0)/2</f>
        <v>0</v>
      </c>
      <c r="P19" s="147">
        <f t="shared" si="0"/>
        <v>322.58</v>
      </c>
      <c r="Q19" s="147">
        <f>ROUND(MAX((P19-3500)*{0.03,0.1,0.2,0.25,0.3,0.35,0.45}-{0,105,555,1005,2755,5505,13505},0),2)</f>
        <v>0</v>
      </c>
      <c r="R19" s="147">
        <v>0</v>
      </c>
      <c r="S19" s="147">
        <v>0</v>
      </c>
      <c r="T19" s="147">
        <v>0</v>
      </c>
      <c r="U19" s="147">
        <f t="shared" si="5"/>
        <v>0</v>
      </c>
      <c r="V19" s="147">
        <f t="shared" si="1"/>
        <v>322.58</v>
      </c>
    </row>
    <row r="20" spans="1:22" s="141" customFormat="1" ht="22.5" customHeight="1">
      <c r="A20" s="1">
        <v>16</v>
      </c>
      <c r="B20" s="322"/>
      <c r="C20" s="150" t="s">
        <v>47</v>
      </c>
      <c r="D20" s="147">
        <v>10000</v>
      </c>
      <c r="E20" s="147">
        <v>0</v>
      </c>
      <c r="F20" s="147">
        <f t="shared" si="2"/>
        <v>10000</v>
      </c>
      <c r="G20" s="155">
        <f>IFERROR(VLOOKUP(C20,'8月考勤表'!B:E,4,FALSE),0)</f>
        <v>31</v>
      </c>
      <c r="H20" s="147">
        <f t="shared" si="3"/>
        <v>10000</v>
      </c>
      <c r="I20" s="147">
        <v>0</v>
      </c>
      <c r="J20" s="147">
        <v>0</v>
      </c>
      <c r="K20" s="147">
        <v>0</v>
      </c>
      <c r="L20" s="147">
        <v>0</v>
      </c>
      <c r="M20" s="147">
        <f t="shared" si="4"/>
        <v>10000</v>
      </c>
      <c r="N20" s="148">
        <f>IFERROR(VLOOKUP(C20,知识科技社保!C:F,4,0),0)</f>
        <v>0</v>
      </c>
      <c r="O20" s="149">
        <f>IFERROR(VLOOKUP(C20,知识科技公积金!C:H,6,0),0)/2</f>
        <v>0</v>
      </c>
      <c r="P20" s="147">
        <f t="shared" si="0"/>
        <v>10000</v>
      </c>
      <c r="Q20" s="147">
        <f>ROUND(MAX((P20-3500)*{0.03,0.1,0.2,0.25,0.3,0.35,0.45}-{0,105,555,1005,2755,5505,13505},0),2)</f>
        <v>745</v>
      </c>
      <c r="R20" s="147">
        <v>0</v>
      </c>
      <c r="S20" s="147">
        <v>0</v>
      </c>
      <c r="T20" s="147">
        <v>8</v>
      </c>
      <c r="U20" s="147">
        <f t="shared" si="5"/>
        <v>753</v>
      </c>
      <c r="V20" s="147">
        <f t="shared" si="1"/>
        <v>9247</v>
      </c>
    </row>
    <row r="21" spans="1:22" s="141" customFormat="1" ht="22.5" customHeight="1">
      <c r="A21" s="1">
        <v>17</v>
      </c>
      <c r="B21" s="322"/>
      <c r="C21" s="150" t="s">
        <v>169</v>
      </c>
      <c r="D21" s="147">
        <v>10000</v>
      </c>
      <c r="E21" s="147">
        <f>VLOOKUP(C21,'[4]6月中力知识工资'!$C$5:$F$127,3,0)</f>
        <v>0</v>
      </c>
      <c r="F21" s="147">
        <f t="shared" si="2"/>
        <v>10000</v>
      </c>
      <c r="G21" s="155">
        <f>IFERROR(VLOOKUP(C21,'8月考勤表'!B:E,4,FALSE),0)</f>
        <v>1</v>
      </c>
      <c r="H21" s="147">
        <f t="shared" si="3"/>
        <v>322.58</v>
      </c>
      <c r="I21" s="147">
        <v>0</v>
      </c>
      <c r="J21" s="147">
        <v>0</v>
      </c>
      <c r="K21" s="147">
        <v>0</v>
      </c>
      <c r="L21" s="147">
        <v>0</v>
      </c>
      <c r="M21" s="147">
        <f t="shared" si="4"/>
        <v>322.58</v>
      </c>
      <c r="N21" s="148">
        <f>IFERROR(VLOOKUP(C21,知识科技社保!C:F,4,0),0)</f>
        <v>0</v>
      </c>
      <c r="O21" s="149">
        <f>IFERROR(VLOOKUP(C21,知识科技公积金!C:H,6,0),0)/2</f>
        <v>0</v>
      </c>
      <c r="P21" s="147">
        <f t="shared" si="0"/>
        <v>322.58</v>
      </c>
      <c r="Q21" s="147">
        <f>ROUND(MAX((P21-3500)*{0.03,0.1,0.2,0.25,0.3,0.35,0.45}-{0,105,555,1005,2755,5505,13505},0),2)</f>
        <v>0</v>
      </c>
      <c r="R21" s="147">
        <v>0</v>
      </c>
      <c r="S21" s="147">
        <v>0</v>
      </c>
      <c r="T21" s="147">
        <v>0</v>
      </c>
      <c r="U21" s="147">
        <f t="shared" si="5"/>
        <v>0</v>
      </c>
      <c r="V21" s="147">
        <f t="shared" si="1"/>
        <v>322.58</v>
      </c>
    </row>
    <row r="22" spans="1:22" s="141" customFormat="1" ht="22.5" customHeight="1">
      <c r="A22" s="1">
        <v>18</v>
      </c>
      <c r="B22" s="321" t="s">
        <v>283</v>
      </c>
      <c r="C22" s="146" t="s">
        <v>226</v>
      </c>
      <c r="D22" s="147">
        <v>10000</v>
      </c>
      <c r="E22" s="147">
        <v>0</v>
      </c>
      <c r="F22" s="147">
        <f t="shared" si="2"/>
        <v>10000</v>
      </c>
      <c r="G22" s="155">
        <f>IFERROR(VLOOKUP(C22,'8月考勤表'!B:E,4,FALSE),0)</f>
        <v>31</v>
      </c>
      <c r="H22" s="147">
        <f t="shared" si="3"/>
        <v>10000</v>
      </c>
      <c r="I22" s="147">
        <v>0</v>
      </c>
      <c r="J22" s="147">
        <v>0</v>
      </c>
      <c r="K22" s="147">
        <v>0</v>
      </c>
      <c r="L22" s="147">
        <v>0</v>
      </c>
      <c r="M22" s="147">
        <f t="shared" si="4"/>
        <v>10000</v>
      </c>
      <c r="N22" s="148">
        <f>IFERROR(VLOOKUP(C22,知识科技社保!C:F,4,0),0)</f>
        <v>287.18</v>
      </c>
      <c r="O22" s="149">
        <f>IFERROR(VLOOKUP(C22,知识科技公积金!C:H,6,0),0)/2</f>
        <v>0</v>
      </c>
      <c r="P22" s="147">
        <f t="shared" si="0"/>
        <v>9712.82</v>
      </c>
      <c r="Q22" s="147">
        <f>ROUND(MAX((P22-3500)*{0.03,0.1,0.2,0.25,0.3,0.35,0.45}-{0,105,555,1005,2755,5505,13505},0),2)</f>
        <v>687.56</v>
      </c>
      <c r="R22" s="147">
        <v>0</v>
      </c>
      <c r="S22" s="147">
        <v>0</v>
      </c>
      <c r="T22" s="147">
        <v>0</v>
      </c>
      <c r="U22" s="147">
        <f t="shared" si="5"/>
        <v>974.74</v>
      </c>
      <c r="V22" s="147">
        <f t="shared" si="1"/>
        <v>9025.26</v>
      </c>
    </row>
    <row r="23" spans="1:22" s="141" customFormat="1" ht="22.5" customHeight="1">
      <c r="A23" s="1">
        <v>19</v>
      </c>
      <c r="B23" s="322"/>
      <c r="C23" s="150" t="s">
        <v>48</v>
      </c>
      <c r="D23" s="147">
        <v>10000</v>
      </c>
      <c r="E23" s="147">
        <f>VLOOKUP(C23,'[4]6月中力知识工资'!$C$5:$F$127,3,0)</f>
        <v>0</v>
      </c>
      <c r="F23" s="147">
        <f t="shared" si="2"/>
        <v>10000</v>
      </c>
      <c r="G23" s="155">
        <f>IFERROR(VLOOKUP(C23,'8月考勤表'!B:E,4,FALSE),0)</f>
        <v>31</v>
      </c>
      <c r="H23" s="147">
        <f t="shared" si="3"/>
        <v>10000</v>
      </c>
      <c r="I23" s="147">
        <v>0</v>
      </c>
      <c r="J23" s="147">
        <v>0</v>
      </c>
      <c r="K23" s="147">
        <v>0</v>
      </c>
      <c r="L23" s="147">
        <v>0</v>
      </c>
      <c r="M23" s="147">
        <f t="shared" si="4"/>
        <v>10000</v>
      </c>
      <c r="N23" s="148">
        <f>IFERROR(VLOOKUP(C23,知识科技社保!C:F,4,0),0)</f>
        <v>287.18</v>
      </c>
      <c r="O23" s="149">
        <f>IFERROR(VLOOKUP(C23,知识科技公积金!C:H,6,0),0)/2</f>
        <v>110</v>
      </c>
      <c r="P23" s="147">
        <f t="shared" si="0"/>
        <v>9602.82</v>
      </c>
      <c r="Q23" s="147">
        <f>ROUND(MAX((P23-3500)*{0.03,0.1,0.2,0.25,0.3,0.35,0.45}-{0,105,555,1005,2755,5505,13505},0),2)</f>
        <v>665.56</v>
      </c>
      <c r="R23" s="147">
        <v>0</v>
      </c>
      <c r="S23" s="147">
        <v>0</v>
      </c>
      <c r="T23" s="147">
        <v>0</v>
      </c>
      <c r="U23" s="147">
        <f t="shared" si="5"/>
        <v>1062.74</v>
      </c>
      <c r="V23" s="147">
        <f t="shared" si="1"/>
        <v>8937.26</v>
      </c>
    </row>
    <row r="24" spans="1:22" s="141" customFormat="1" ht="22.5" customHeight="1">
      <c r="A24" s="1">
        <v>20</v>
      </c>
      <c r="B24" s="306" t="s">
        <v>293</v>
      </c>
      <c r="C24" s="150" t="s">
        <v>45</v>
      </c>
      <c r="D24" s="147">
        <v>10000</v>
      </c>
      <c r="E24" s="147">
        <v>0</v>
      </c>
      <c r="F24" s="147">
        <f t="shared" si="2"/>
        <v>10000</v>
      </c>
      <c r="G24" s="155">
        <f>IFERROR(VLOOKUP(C24,'8月考勤表'!B:E,4,FALSE),0)</f>
        <v>31</v>
      </c>
      <c r="H24" s="147">
        <f t="shared" si="3"/>
        <v>10000</v>
      </c>
      <c r="I24" s="147">
        <v>0</v>
      </c>
      <c r="J24" s="147">
        <v>0</v>
      </c>
      <c r="K24" s="147">
        <v>0</v>
      </c>
      <c r="L24" s="147">
        <v>0</v>
      </c>
      <c r="M24" s="147">
        <f t="shared" si="4"/>
        <v>10000</v>
      </c>
      <c r="N24" s="148">
        <f>IFERROR(VLOOKUP(C24,知识科技社保!C:F,4,0),0)</f>
        <v>311.18</v>
      </c>
      <c r="O24" s="149">
        <f>IFERROR(VLOOKUP(C24,知识科技公积金!C:H,6,0),0)/2</f>
        <v>125</v>
      </c>
      <c r="P24" s="147">
        <f t="shared" si="0"/>
        <v>9563.82</v>
      </c>
      <c r="Q24" s="147">
        <f>ROUND(MAX((P24-3500)*{0.03,0.1,0.2,0.25,0.3,0.35,0.45}-{0,105,555,1005,2755,5505,13505},0),2)</f>
        <v>657.76</v>
      </c>
      <c r="R24" s="147">
        <v>0</v>
      </c>
      <c r="S24" s="147">
        <v>0</v>
      </c>
      <c r="T24" s="147">
        <v>0</v>
      </c>
      <c r="U24" s="147">
        <f t="shared" si="5"/>
        <v>1093.94</v>
      </c>
      <c r="V24" s="147">
        <f t="shared" si="1"/>
        <v>8906.06</v>
      </c>
    </row>
    <row r="25" spans="1:22" s="141" customFormat="1" ht="22.5" customHeight="1">
      <c r="A25" s="1">
        <v>21</v>
      </c>
      <c r="B25" s="307"/>
      <c r="C25" s="146" t="s">
        <v>99</v>
      </c>
      <c r="D25" s="147">
        <v>10000</v>
      </c>
      <c r="E25" s="147">
        <v>0</v>
      </c>
      <c r="F25" s="147">
        <f t="shared" si="2"/>
        <v>10000</v>
      </c>
      <c r="G25" s="155">
        <f>IFERROR(VLOOKUP(C25,'8月考勤表'!B:E,4,FALSE),0)</f>
        <v>31</v>
      </c>
      <c r="H25" s="147">
        <f t="shared" si="3"/>
        <v>10000</v>
      </c>
      <c r="I25" s="147">
        <v>0</v>
      </c>
      <c r="J25" s="147">
        <v>0</v>
      </c>
      <c r="K25" s="147">
        <v>0</v>
      </c>
      <c r="L25" s="147">
        <v>0</v>
      </c>
      <c r="M25" s="147">
        <f t="shared" si="4"/>
        <v>10000</v>
      </c>
      <c r="N25" s="148">
        <f>IFERROR(VLOOKUP(C25,知识科技社保!C:F,4,0),0)</f>
        <v>351.18</v>
      </c>
      <c r="O25" s="149">
        <f>IFERROR(VLOOKUP(C25,知识科技公积金!C:H,6,0),0)/2</f>
        <v>1100</v>
      </c>
      <c r="P25" s="147">
        <f t="shared" si="0"/>
        <v>8548.82</v>
      </c>
      <c r="Q25" s="147">
        <f>ROUND(MAX((P25-3500)*{0.03,0.1,0.2,0.25,0.3,0.35,0.45}-{0,105,555,1005,2755,5505,13505},0),2)</f>
        <v>454.76</v>
      </c>
      <c r="R25" s="147">
        <v>0</v>
      </c>
      <c r="S25" s="147">
        <v>0</v>
      </c>
      <c r="T25" s="147">
        <v>0</v>
      </c>
      <c r="U25" s="147">
        <f t="shared" si="5"/>
        <v>1905.94</v>
      </c>
      <c r="V25" s="147">
        <f t="shared" si="1"/>
        <v>8094.0599999999995</v>
      </c>
    </row>
    <row r="26" spans="1:22" s="141" customFormat="1" ht="22.5" customHeight="1">
      <c r="A26" s="1">
        <v>22</v>
      </c>
      <c r="B26" s="307"/>
      <c r="C26" s="150" t="s">
        <v>101</v>
      </c>
      <c r="D26" s="147">
        <v>10000</v>
      </c>
      <c r="E26" s="147">
        <f>VLOOKUP(C26,'[4]6月中力知识工资'!$C$5:$F$127,3,0)</f>
        <v>0</v>
      </c>
      <c r="F26" s="147">
        <f t="shared" si="2"/>
        <v>10000</v>
      </c>
      <c r="G26" s="155">
        <f>IFERROR(VLOOKUP(C26,'8月考勤表'!B:E,4,FALSE),0)</f>
        <v>31</v>
      </c>
      <c r="H26" s="147">
        <f t="shared" si="3"/>
        <v>10000</v>
      </c>
      <c r="I26" s="147">
        <v>0</v>
      </c>
      <c r="J26" s="147">
        <v>0</v>
      </c>
      <c r="K26" s="147">
        <v>0</v>
      </c>
      <c r="L26" s="147">
        <v>0</v>
      </c>
      <c r="M26" s="147">
        <f t="shared" si="4"/>
        <v>10000</v>
      </c>
      <c r="N26" s="148">
        <f>IFERROR(VLOOKUP(C26,知识科技社保!C:F,4,0),0)</f>
        <v>287.18</v>
      </c>
      <c r="O26" s="149">
        <f>IFERROR(VLOOKUP(C26,知识科技公积金!C:H,6,0),0)/2</f>
        <v>110</v>
      </c>
      <c r="P26" s="147">
        <f t="shared" si="0"/>
        <v>9602.82</v>
      </c>
      <c r="Q26" s="147">
        <f>ROUND(MAX((P26-3500)*{0.03,0.1,0.2,0.25,0.3,0.35,0.45}-{0,105,555,1005,2755,5505,13505},0),2)</f>
        <v>665.56</v>
      </c>
      <c r="R26" s="147">
        <v>0</v>
      </c>
      <c r="S26" s="147">
        <v>0</v>
      </c>
      <c r="T26" s="147">
        <v>0</v>
      </c>
      <c r="U26" s="147">
        <f t="shared" si="5"/>
        <v>1062.74</v>
      </c>
      <c r="V26" s="147">
        <f t="shared" si="1"/>
        <v>8937.26</v>
      </c>
    </row>
    <row r="27" spans="1:22" s="141" customFormat="1" ht="22.5" customHeight="1">
      <c r="A27" s="1">
        <v>23</v>
      </c>
      <c r="B27" s="307"/>
      <c r="C27" s="150" t="s">
        <v>103</v>
      </c>
      <c r="D27" s="147">
        <v>10000</v>
      </c>
      <c r="E27" s="147">
        <f>VLOOKUP(C27,'[4]6月中力知识工资'!$C$5:$F$127,3,0)</f>
        <v>0</v>
      </c>
      <c r="F27" s="147">
        <f t="shared" si="2"/>
        <v>10000</v>
      </c>
      <c r="G27" s="155">
        <f>IFERROR(VLOOKUP(C27,'8月考勤表'!B:E,4,FALSE),0)</f>
        <v>31</v>
      </c>
      <c r="H27" s="147">
        <f t="shared" si="3"/>
        <v>10000</v>
      </c>
      <c r="I27" s="147">
        <v>0</v>
      </c>
      <c r="J27" s="147">
        <v>0</v>
      </c>
      <c r="K27" s="147">
        <v>0</v>
      </c>
      <c r="L27" s="147">
        <v>0</v>
      </c>
      <c r="M27" s="147">
        <f t="shared" si="4"/>
        <v>10000</v>
      </c>
      <c r="N27" s="148">
        <f>IFERROR(VLOOKUP(C27,知识科技社保!C:F,4,0),0)</f>
        <v>287.18</v>
      </c>
      <c r="O27" s="149">
        <f>IFERROR(VLOOKUP(C27,知识科技公积金!C:H,6,0),0)/2</f>
        <v>110</v>
      </c>
      <c r="P27" s="147">
        <f t="shared" si="0"/>
        <v>9602.82</v>
      </c>
      <c r="Q27" s="147">
        <f>ROUND(MAX((P27-3500)*{0.03,0.1,0.2,0.25,0.3,0.35,0.45}-{0,105,555,1005,2755,5505,13505},0),2)</f>
        <v>665.56</v>
      </c>
      <c r="R27" s="147">
        <v>0</v>
      </c>
      <c r="S27" s="147">
        <v>0</v>
      </c>
      <c r="T27" s="147">
        <v>0</v>
      </c>
      <c r="U27" s="147">
        <f t="shared" si="5"/>
        <v>1062.74</v>
      </c>
      <c r="V27" s="147">
        <f t="shared" si="1"/>
        <v>8937.26</v>
      </c>
    </row>
    <row r="28" spans="1:22" s="141" customFormat="1" ht="22.5" customHeight="1">
      <c r="A28" s="1">
        <v>24</v>
      </c>
      <c r="B28" s="307"/>
      <c r="C28" s="150" t="s">
        <v>97</v>
      </c>
      <c r="D28" s="147">
        <v>10000</v>
      </c>
      <c r="E28" s="147">
        <f>VLOOKUP(C28,'[4]6月中力知识工资'!$C$5:$F$127,3,0)</f>
        <v>0</v>
      </c>
      <c r="F28" s="147">
        <f t="shared" si="2"/>
        <v>10000</v>
      </c>
      <c r="G28" s="155">
        <f>IFERROR(VLOOKUP(C28,'8月考勤表'!B:E,4,FALSE),0)</f>
        <v>31</v>
      </c>
      <c r="H28" s="147">
        <f t="shared" si="3"/>
        <v>10000</v>
      </c>
      <c r="I28" s="147">
        <v>0</v>
      </c>
      <c r="J28" s="147">
        <v>0</v>
      </c>
      <c r="K28" s="147">
        <v>0</v>
      </c>
      <c r="L28" s="147">
        <v>0</v>
      </c>
      <c r="M28" s="147">
        <f t="shared" si="4"/>
        <v>10000</v>
      </c>
      <c r="N28" s="148">
        <f>IFERROR(VLOOKUP(C28,知识科技社保!C:F,4,0),0)</f>
        <v>0</v>
      </c>
      <c r="O28" s="149">
        <f>IFERROR(VLOOKUP(C28,知识科技公积金!C:H,6,0),0)/2</f>
        <v>0</v>
      </c>
      <c r="P28" s="147">
        <f t="shared" si="0"/>
        <v>10000</v>
      </c>
      <c r="Q28" s="147">
        <f>ROUND(MAX((P28-3500)*{0.03,0.1,0.2,0.25,0.3,0.35,0.45}-{0,105,555,1005,2755,5505,13505},0),2)</f>
        <v>745</v>
      </c>
      <c r="R28" s="147">
        <v>0</v>
      </c>
      <c r="S28" s="147">
        <v>0</v>
      </c>
      <c r="T28" s="147">
        <v>0</v>
      </c>
      <c r="U28" s="147">
        <f t="shared" si="5"/>
        <v>745</v>
      </c>
      <c r="V28" s="147">
        <f t="shared" si="1"/>
        <v>9255</v>
      </c>
    </row>
    <row r="29" spans="1:22" s="141" customFormat="1" ht="22.5" customHeight="1">
      <c r="A29" s="1">
        <v>25</v>
      </c>
      <c r="B29" s="307"/>
      <c r="C29" s="150" t="s">
        <v>105</v>
      </c>
      <c r="D29" s="147">
        <v>10000</v>
      </c>
      <c r="E29" s="147">
        <f>VLOOKUP(C29,'[4]6月中力知识工资'!$C$5:$F$127,3,0)</f>
        <v>0</v>
      </c>
      <c r="F29" s="147">
        <f t="shared" si="2"/>
        <v>10000</v>
      </c>
      <c r="G29" s="155">
        <f>IFERROR(VLOOKUP(C29,'8月考勤表'!B:E,4,FALSE),0)</f>
        <v>31</v>
      </c>
      <c r="H29" s="147">
        <f t="shared" si="3"/>
        <v>10000</v>
      </c>
      <c r="I29" s="147">
        <v>0</v>
      </c>
      <c r="J29" s="147">
        <v>0</v>
      </c>
      <c r="K29" s="147">
        <v>0</v>
      </c>
      <c r="L29" s="147">
        <v>0</v>
      </c>
      <c r="M29" s="147">
        <f t="shared" si="4"/>
        <v>10000</v>
      </c>
      <c r="N29" s="148">
        <f>IFERROR(VLOOKUP(C29,知识科技社保!C:F,4,0),0)</f>
        <v>287.18</v>
      </c>
      <c r="O29" s="149">
        <f>IFERROR(VLOOKUP(C29,知识科技公积金!C:H,6,0),0)/2</f>
        <v>110</v>
      </c>
      <c r="P29" s="147">
        <f t="shared" si="0"/>
        <v>9602.82</v>
      </c>
      <c r="Q29" s="147">
        <f>ROUND(MAX((P29-3500)*{0.03,0.1,0.2,0.25,0.3,0.35,0.45}-{0,105,555,1005,2755,5505,13505},0),2)</f>
        <v>665.56</v>
      </c>
      <c r="R29" s="147">
        <v>0</v>
      </c>
      <c r="S29" s="147">
        <v>0</v>
      </c>
      <c r="T29" s="147">
        <v>0</v>
      </c>
      <c r="U29" s="147">
        <f t="shared" si="5"/>
        <v>1062.74</v>
      </c>
      <c r="V29" s="147">
        <f t="shared" si="1"/>
        <v>8937.26</v>
      </c>
    </row>
    <row r="30" spans="1:22" s="141" customFormat="1" ht="22.5" customHeight="1">
      <c r="A30" s="1">
        <v>26</v>
      </c>
      <c r="B30" s="307"/>
      <c r="C30" s="150" t="s">
        <v>43</v>
      </c>
      <c r="D30" s="147">
        <v>10000</v>
      </c>
      <c r="E30" s="147">
        <v>0</v>
      </c>
      <c r="F30" s="147">
        <f t="shared" si="2"/>
        <v>10000</v>
      </c>
      <c r="G30" s="155">
        <f>IFERROR(VLOOKUP(C30,'8月考勤表'!B:E,4,FALSE),0)</f>
        <v>31</v>
      </c>
      <c r="H30" s="147">
        <f t="shared" si="3"/>
        <v>10000</v>
      </c>
      <c r="I30" s="147">
        <v>0</v>
      </c>
      <c r="J30" s="147">
        <v>0</v>
      </c>
      <c r="K30" s="147">
        <v>0</v>
      </c>
      <c r="L30" s="147">
        <v>0</v>
      </c>
      <c r="M30" s="147">
        <f t="shared" si="4"/>
        <v>10000</v>
      </c>
      <c r="N30" s="148">
        <f>IFERROR(VLOOKUP(C30,知识科技社保!C:F,4,0),0)</f>
        <v>287.18</v>
      </c>
      <c r="O30" s="149">
        <f>IFERROR(VLOOKUP(C30,知识科技公积金!C:H,6,0),0)/2</f>
        <v>110</v>
      </c>
      <c r="P30" s="147">
        <f t="shared" si="0"/>
        <v>9602.82</v>
      </c>
      <c r="Q30" s="147">
        <f>ROUND(MAX((P30-3500)*{0.03,0.1,0.2,0.25,0.3,0.35,0.45}-{0,105,555,1005,2755,5505,13505},0),2)</f>
        <v>665.56</v>
      </c>
      <c r="R30" s="147">
        <v>0</v>
      </c>
      <c r="S30" s="147">
        <v>0</v>
      </c>
      <c r="T30" s="147">
        <v>0</v>
      </c>
      <c r="U30" s="147">
        <f t="shared" si="5"/>
        <v>1062.74</v>
      </c>
      <c r="V30" s="147">
        <f t="shared" si="1"/>
        <v>8937.26</v>
      </c>
    </row>
    <row r="31" spans="1:22" s="141" customFormat="1" ht="22.5" customHeight="1">
      <c r="A31" s="1">
        <v>27</v>
      </c>
      <c r="B31" s="307"/>
      <c r="C31" s="150" t="s">
        <v>44</v>
      </c>
      <c r="D31" s="147">
        <v>10000</v>
      </c>
      <c r="E31" s="147">
        <v>0</v>
      </c>
      <c r="F31" s="147">
        <f t="shared" si="2"/>
        <v>10000</v>
      </c>
      <c r="G31" s="155">
        <f>IFERROR(VLOOKUP(C31,'8月考勤表'!B:E,4,FALSE),0)</f>
        <v>31</v>
      </c>
      <c r="H31" s="147">
        <f t="shared" si="3"/>
        <v>10000</v>
      </c>
      <c r="I31" s="147">
        <v>0</v>
      </c>
      <c r="J31" s="147">
        <v>0</v>
      </c>
      <c r="K31" s="147">
        <v>0</v>
      </c>
      <c r="L31" s="147">
        <v>0</v>
      </c>
      <c r="M31" s="147">
        <f t="shared" si="4"/>
        <v>10000</v>
      </c>
      <c r="N31" s="148">
        <f>IFERROR(VLOOKUP(C31,知识科技社保!C:F,4,0),0)</f>
        <v>287.18</v>
      </c>
      <c r="O31" s="149">
        <f>IFERROR(VLOOKUP(C31,知识科技公积金!C:H,6,0),0)/2</f>
        <v>110</v>
      </c>
      <c r="P31" s="147">
        <f t="shared" si="0"/>
        <v>9602.82</v>
      </c>
      <c r="Q31" s="147">
        <f>ROUND(MAX((P31-3500)*{0.03,0.1,0.2,0.25,0.3,0.35,0.45}-{0,105,555,1005,2755,5505,13505},0),2)</f>
        <v>665.56</v>
      </c>
      <c r="R31" s="147">
        <v>0</v>
      </c>
      <c r="S31" s="147">
        <v>0</v>
      </c>
      <c r="T31" s="147">
        <v>0</v>
      </c>
      <c r="U31" s="147">
        <f t="shared" si="5"/>
        <v>1062.74</v>
      </c>
      <c r="V31" s="147">
        <f t="shared" si="1"/>
        <v>8937.26</v>
      </c>
    </row>
    <row r="32" spans="1:22" s="141" customFormat="1" ht="22.5" customHeight="1">
      <c r="A32" s="1">
        <v>28</v>
      </c>
      <c r="B32" s="307"/>
      <c r="C32" s="150" t="s">
        <v>109</v>
      </c>
      <c r="D32" s="147">
        <v>10000</v>
      </c>
      <c r="E32" s="147">
        <f>VLOOKUP(C32,'[4]6月中力知识工资'!$C$5:$F$127,3,0)</f>
        <v>0</v>
      </c>
      <c r="F32" s="147">
        <f t="shared" si="2"/>
        <v>10000</v>
      </c>
      <c r="G32" s="155">
        <f>IFERROR(VLOOKUP(C32,'8月考勤表'!B:E,4,FALSE),0)</f>
        <v>31</v>
      </c>
      <c r="H32" s="147">
        <f t="shared" si="3"/>
        <v>10000</v>
      </c>
      <c r="I32" s="147">
        <v>0</v>
      </c>
      <c r="J32" s="147">
        <v>0</v>
      </c>
      <c r="K32" s="147">
        <v>0</v>
      </c>
      <c r="L32" s="147">
        <v>0</v>
      </c>
      <c r="M32" s="147">
        <f t="shared" si="4"/>
        <v>10000</v>
      </c>
      <c r="N32" s="148">
        <f>IFERROR(VLOOKUP(C32,知识科技社保!C:F,4,0),0)</f>
        <v>287.18</v>
      </c>
      <c r="O32" s="149">
        <f>IFERROR(VLOOKUP(C32,知识科技公积金!C:H,6,0),0)/2</f>
        <v>110</v>
      </c>
      <c r="P32" s="147">
        <f t="shared" si="0"/>
        <v>9602.82</v>
      </c>
      <c r="Q32" s="147">
        <f>ROUND(MAX((P32-3500)*{0.03,0.1,0.2,0.25,0.3,0.35,0.45}-{0,105,555,1005,2755,5505,13505},0),2)</f>
        <v>665.56</v>
      </c>
      <c r="R32" s="147">
        <v>0</v>
      </c>
      <c r="S32" s="147">
        <v>0</v>
      </c>
      <c r="T32" s="147">
        <v>0</v>
      </c>
      <c r="U32" s="147">
        <f t="shared" si="5"/>
        <v>1062.74</v>
      </c>
      <c r="V32" s="147">
        <f t="shared" si="1"/>
        <v>8937.26</v>
      </c>
    </row>
    <row r="33" spans="1:22" s="141" customFormat="1" ht="22.5" customHeight="1">
      <c r="A33" s="1">
        <v>29</v>
      </c>
      <c r="B33" s="307"/>
      <c r="C33" s="150" t="s">
        <v>34</v>
      </c>
      <c r="D33" s="147">
        <v>10000</v>
      </c>
      <c r="E33" s="147">
        <v>0</v>
      </c>
      <c r="F33" s="147">
        <f t="shared" si="2"/>
        <v>10000</v>
      </c>
      <c r="G33" s="155">
        <f>IFERROR(VLOOKUP(C33,'8月考勤表'!B:E,4,FALSE),0)</f>
        <v>31</v>
      </c>
      <c r="H33" s="147">
        <f t="shared" si="3"/>
        <v>10000</v>
      </c>
      <c r="I33" s="147">
        <v>0</v>
      </c>
      <c r="J33" s="147">
        <v>0</v>
      </c>
      <c r="K33" s="147">
        <v>0</v>
      </c>
      <c r="L33" s="147">
        <v>0</v>
      </c>
      <c r="M33" s="147">
        <f t="shared" ref="M33:M63" si="8">SUM(H33:L33)</f>
        <v>10000</v>
      </c>
      <c r="N33" s="148">
        <f>IFERROR(VLOOKUP(C33,知识科技社保!C:F,4,0),0)</f>
        <v>287.18</v>
      </c>
      <c r="O33" s="149">
        <f>IFERROR(VLOOKUP(C33,知识科技公积金!C:H,6,0),0)/2</f>
        <v>110</v>
      </c>
      <c r="P33" s="147">
        <f t="shared" si="0"/>
        <v>9602.82</v>
      </c>
      <c r="Q33" s="147">
        <f>ROUND(MAX((P33-3500)*{0.03,0.1,0.2,0.25,0.3,0.35,0.45}-{0,105,555,1005,2755,5505,13505},0),2)</f>
        <v>665.56</v>
      </c>
      <c r="R33" s="147">
        <v>0</v>
      </c>
      <c r="S33" s="147">
        <v>0</v>
      </c>
      <c r="T33" s="147">
        <v>0</v>
      </c>
      <c r="U33" s="147">
        <f t="shared" si="5"/>
        <v>1062.74</v>
      </c>
      <c r="V33" s="147">
        <f t="shared" si="1"/>
        <v>8937.26</v>
      </c>
    </row>
    <row r="34" spans="1:22" s="153" customFormat="1" ht="22.5" customHeight="1">
      <c r="A34" s="1">
        <v>30</v>
      </c>
      <c r="B34" s="307"/>
      <c r="C34" s="151" t="s">
        <v>26</v>
      </c>
      <c r="D34" s="147">
        <v>10000</v>
      </c>
      <c r="E34" s="152">
        <v>0</v>
      </c>
      <c r="F34" s="147">
        <f t="shared" si="2"/>
        <v>10000</v>
      </c>
      <c r="G34" s="155">
        <f>IFERROR(VLOOKUP(C34,'8月考勤表'!B:E,4,FALSE),0)</f>
        <v>31</v>
      </c>
      <c r="H34" s="147">
        <f t="shared" si="3"/>
        <v>10000</v>
      </c>
      <c r="I34" s="152">
        <v>0</v>
      </c>
      <c r="J34" s="152">
        <v>0</v>
      </c>
      <c r="K34" s="152">
        <v>0</v>
      </c>
      <c r="L34" s="152">
        <v>0</v>
      </c>
      <c r="M34" s="152">
        <f t="shared" si="8"/>
        <v>10000</v>
      </c>
      <c r="N34" s="148">
        <f>IFERROR(VLOOKUP(C34,知识科技社保!C:F,4,0),0)</f>
        <v>203.7</v>
      </c>
      <c r="O34" s="149">
        <f>IFERROR(VLOOKUP(C34,知识科技公积金!C:H,6,0),0)/2</f>
        <v>110</v>
      </c>
      <c r="P34" s="152">
        <f t="shared" si="0"/>
        <v>9686.2999999999993</v>
      </c>
      <c r="Q34" s="152">
        <f>ROUND(MAX((P34-3500)*{0.03,0.1,0.2,0.25,0.3,0.35,0.45}-{0,105,555,1005,2755,5505,13505},0),2)</f>
        <v>682.26</v>
      </c>
      <c r="R34" s="152">
        <v>0</v>
      </c>
      <c r="S34" s="152">
        <v>0</v>
      </c>
      <c r="T34" s="152">
        <v>0</v>
      </c>
      <c r="U34" s="147">
        <f t="shared" si="5"/>
        <v>995.96</v>
      </c>
      <c r="V34" s="147">
        <f t="shared" si="1"/>
        <v>9004.0400000000009</v>
      </c>
    </row>
    <row r="35" spans="1:22" s="141" customFormat="1" ht="22.5" customHeight="1">
      <c r="A35" s="1">
        <v>31</v>
      </c>
      <c r="B35" s="307"/>
      <c r="C35" s="150" t="s">
        <v>85</v>
      </c>
      <c r="D35" s="147">
        <v>10000</v>
      </c>
      <c r="E35" s="147">
        <v>0</v>
      </c>
      <c r="F35" s="147">
        <f t="shared" si="2"/>
        <v>10000</v>
      </c>
      <c r="G35" s="155">
        <f>IFERROR(VLOOKUP(C35,'8月考勤表'!B:E,4,FALSE),0)</f>
        <v>31</v>
      </c>
      <c r="H35" s="147">
        <f t="shared" si="3"/>
        <v>10000</v>
      </c>
      <c r="I35" s="147">
        <v>0</v>
      </c>
      <c r="J35" s="147">
        <v>0</v>
      </c>
      <c r="K35" s="147">
        <v>0</v>
      </c>
      <c r="L35" s="147">
        <v>0</v>
      </c>
      <c r="M35" s="147">
        <f t="shared" si="8"/>
        <v>10000</v>
      </c>
      <c r="N35" s="148">
        <f>IFERROR(VLOOKUP(C35,知识科技社保!C:F,4,0),0)</f>
        <v>287.18</v>
      </c>
      <c r="O35" s="149">
        <f>IFERROR(VLOOKUP(C35,知识科技公积金!C:H,6,0),0)/2</f>
        <v>110</v>
      </c>
      <c r="P35" s="147">
        <f t="shared" si="0"/>
        <v>9602.82</v>
      </c>
      <c r="Q35" s="147">
        <f>ROUND(MAX((P35-3500)*{0.03,0.1,0.2,0.25,0.3,0.35,0.45}-{0,105,555,1005,2755,5505,13505},0),2)</f>
        <v>665.56</v>
      </c>
      <c r="R35" s="147">
        <v>0</v>
      </c>
      <c r="S35" s="147">
        <v>0</v>
      </c>
      <c r="T35" s="147">
        <v>0</v>
      </c>
      <c r="U35" s="147">
        <f t="shared" si="5"/>
        <v>1062.74</v>
      </c>
      <c r="V35" s="147">
        <f t="shared" si="1"/>
        <v>8937.26</v>
      </c>
    </row>
    <row r="36" spans="1:22" s="141" customFormat="1" ht="22.5" customHeight="1">
      <c r="A36" s="1">
        <v>32</v>
      </c>
      <c r="B36" s="307"/>
      <c r="C36" s="150" t="s">
        <v>954</v>
      </c>
      <c r="D36" s="147">
        <v>10000</v>
      </c>
      <c r="E36" s="147">
        <v>0</v>
      </c>
      <c r="F36" s="147">
        <f t="shared" si="2"/>
        <v>10000</v>
      </c>
      <c r="G36" s="155">
        <f>IFERROR(VLOOKUP(C36,'8月考勤表'!B:E,4,FALSE),0)</f>
        <v>10</v>
      </c>
      <c r="H36" s="147">
        <f t="shared" si="3"/>
        <v>3225.81</v>
      </c>
      <c r="I36" s="147">
        <v>0</v>
      </c>
      <c r="J36" s="147">
        <v>0</v>
      </c>
      <c r="K36" s="147">
        <v>0</v>
      </c>
      <c r="L36" s="147">
        <v>0</v>
      </c>
      <c r="M36" s="147">
        <f t="shared" ref="M36:M37" si="9">SUM(H36:L36)</f>
        <v>3225.81</v>
      </c>
      <c r="N36" s="148">
        <f>IFERROR(VLOOKUP(C36,知识科技社保!C:F,4,0),0)</f>
        <v>0</v>
      </c>
      <c r="O36" s="149">
        <f>IFERROR(VLOOKUP(C36,知识科技公积金!C:H,6,0),0)/2</f>
        <v>0</v>
      </c>
      <c r="P36" s="147">
        <f t="shared" si="0"/>
        <v>3225.81</v>
      </c>
      <c r="Q36" s="147">
        <f>ROUND(MAX((P36-3500)*{0.03,0.1,0.2,0.25,0.3,0.35,0.45}-{0,105,555,1005,2755,5505,13505},0),2)</f>
        <v>0</v>
      </c>
      <c r="R36" s="147">
        <v>0</v>
      </c>
      <c r="S36" s="147">
        <v>0</v>
      </c>
      <c r="T36" s="147">
        <v>0</v>
      </c>
      <c r="U36" s="147">
        <f t="shared" ref="U36:U37" si="10">N36+O36+Q36+R36+S36+T36</f>
        <v>0</v>
      </c>
      <c r="V36" s="147">
        <f t="shared" si="1"/>
        <v>3225.81</v>
      </c>
    </row>
    <row r="37" spans="1:22" s="141" customFormat="1" ht="22.5" customHeight="1">
      <c r="A37" s="1">
        <v>33</v>
      </c>
      <c r="B37" s="308"/>
      <c r="C37" s="150" t="s">
        <v>955</v>
      </c>
      <c r="D37" s="147">
        <v>10000</v>
      </c>
      <c r="E37" s="147">
        <v>0</v>
      </c>
      <c r="F37" s="147">
        <f t="shared" si="2"/>
        <v>10000</v>
      </c>
      <c r="G37" s="155">
        <f>IFERROR(VLOOKUP(C37,'8月考勤表'!B:E,4,FALSE),0)</f>
        <v>4</v>
      </c>
      <c r="H37" s="147">
        <f t="shared" si="3"/>
        <v>1290.32</v>
      </c>
      <c r="I37" s="147">
        <v>0</v>
      </c>
      <c r="J37" s="147">
        <v>0</v>
      </c>
      <c r="K37" s="147">
        <v>0</v>
      </c>
      <c r="L37" s="147">
        <v>0</v>
      </c>
      <c r="M37" s="147">
        <f t="shared" si="9"/>
        <v>1290.32</v>
      </c>
      <c r="N37" s="148">
        <f>IFERROR(VLOOKUP(C37,知识科技社保!C:F,4,0),0)</f>
        <v>0</v>
      </c>
      <c r="O37" s="149">
        <f>IFERROR(VLOOKUP(C37,知识科技公积金!C:H,6,0),0)/2</f>
        <v>0</v>
      </c>
      <c r="P37" s="147">
        <f t="shared" ref="P37:P68" si="11">M37-N37-O37</f>
        <v>1290.32</v>
      </c>
      <c r="Q37" s="147">
        <f>ROUND(MAX((P37-3500)*{0.03,0.1,0.2,0.25,0.3,0.35,0.45}-{0,105,555,1005,2755,5505,13505},0),2)</f>
        <v>0</v>
      </c>
      <c r="R37" s="147">
        <v>0</v>
      </c>
      <c r="S37" s="147">
        <v>0</v>
      </c>
      <c r="T37" s="147">
        <v>0</v>
      </c>
      <c r="U37" s="147">
        <f t="shared" si="10"/>
        <v>0</v>
      </c>
      <c r="V37" s="147">
        <f t="shared" ref="V37:V68" si="12">M37-U37</f>
        <v>1290.32</v>
      </c>
    </row>
    <row r="38" spans="1:22" s="141" customFormat="1" ht="22.5" customHeight="1">
      <c r="A38" s="1">
        <v>34</v>
      </c>
      <c r="B38" s="309" t="s">
        <v>25</v>
      </c>
      <c r="C38" s="150" t="s">
        <v>175</v>
      </c>
      <c r="D38" s="147">
        <v>10000</v>
      </c>
      <c r="E38" s="147">
        <v>0</v>
      </c>
      <c r="F38" s="147">
        <f t="shared" si="2"/>
        <v>10000</v>
      </c>
      <c r="G38" s="155">
        <f>IFERROR(VLOOKUP(C38,'8月考勤表'!B:E,4,FALSE),0)</f>
        <v>30.88</v>
      </c>
      <c r="H38" s="147">
        <f t="shared" si="3"/>
        <v>9961.2900000000009</v>
      </c>
      <c r="I38" s="147">
        <v>0</v>
      </c>
      <c r="J38" s="147">
        <v>0</v>
      </c>
      <c r="K38" s="147">
        <v>0</v>
      </c>
      <c r="L38" s="147">
        <v>0</v>
      </c>
      <c r="M38" s="147">
        <f t="shared" si="8"/>
        <v>9961.2900000000009</v>
      </c>
      <c r="N38" s="148">
        <f>IFERROR(VLOOKUP(C38,知识科技社保!C:F,4,0),0)</f>
        <v>311.18</v>
      </c>
      <c r="O38" s="149">
        <f>IFERROR(VLOOKUP(C38,知识科技公积金!C:H,6,0),0)/2</f>
        <v>125</v>
      </c>
      <c r="P38" s="147">
        <f t="shared" si="11"/>
        <v>9525.11</v>
      </c>
      <c r="Q38" s="147">
        <f>ROUND(MAX((P38-3500)*{0.03,0.1,0.2,0.25,0.3,0.35,0.45}-{0,105,555,1005,2755,5505,13505},0),2)</f>
        <v>650.02</v>
      </c>
      <c r="R38" s="147">
        <v>0</v>
      </c>
      <c r="S38" s="147">
        <v>0</v>
      </c>
      <c r="T38" s="147">
        <v>0</v>
      </c>
      <c r="U38" s="147">
        <f t="shared" si="5"/>
        <v>1086.2</v>
      </c>
      <c r="V38" s="147">
        <f t="shared" si="12"/>
        <v>8875.09</v>
      </c>
    </row>
    <row r="39" spans="1:22" s="141" customFormat="1" ht="22.5" customHeight="1">
      <c r="A39" s="1">
        <v>35</v>
      </c>
      <c r="B39" s="310"/>
      <c r="C39" s="150" t="s">
        <v>179</v>
      </c>
      <c r="D39" s="147">
        <v>10000</v>
      </c>
      <c r="E39" s="147">
        <f>VLOOKUP(C39,'[4]6月中力知识工资'!$C$5:$F$127,3,0)</f>
        <v>0</v>
      </c>
      <c r="F39" s="147">
        <f t="shared" si="2"/>
        <v>10000</v>
      </c>
      <c r="G39" s="155">
        <f>IFERROR(VLOOKUP(C39,'8月考勤表'!B:E,4,FALSE),0)</f>
        <v>31</v>
      </c>
      <c r="H39" s="147">
        <f t="shared" si="3"/>
        <v>10000</v>
      </c>
      <c r="I39" s="147">
        <v>0</v>
      </c>
      <c r="J39" s="147">
        <v>0</v>
      </c>
      <c r="K39" s="147">
        <v>0</v>
      </c>
      <c r="L39" s="147">
        <v>0</v>
      </c>
      <c r="M39" s="147">
        <f>SUM(H39:L39)</f>
        <v>10000</v>
      </c>
      <c r="N39" s="148">
        <f>IFERROR(VLOOKUP(C39,知识科技社保!C:F,4,0),0)</f>
        <v>287.18</v>
      </c>
      <c r="O39" s="149">
        <f>IFERROR(VLOOKUP(C39,知识科技公积金!C:H,6,0),0)/2</f>
        <v>110</v>
      </c>
      <c r="P39" s="147">
        <f t="shared" si="11"/>
        <v>9602.82</v>
      </c>
      <c r="Q39" s="147">
        <f>ROUND(MAX((P39-3500)*{0.03,0.1,0.2,0.25,0.3,0.35,0.45}-{0,105,555,1005,2755,5505,13505},0),2)</f>
        <v>665.56</v>
      </c>
      <c r="R39" s="147">
        <v>0</v>
      </c>
      <c r="S39" s="147">
        <v>0</v>
      </c>
      <c r="T39" s="147">
        <v>0</v>
      </c>
      <c r="U39" s="147">
        <f t="shared" si="5"/>
        <v>1062.74</v>
      </c>
      <c r="V39" s="147">
        <f t="shared" si="12"/>
        <v>8937.26</v>
      </c>
    </row>
    <row r="40" spans="1:22" s="141" customFormat="1" ht="22.5" customHeight="1">
      <c r="A40" s="1">
        <v>36</v>
      </c>
      <c r="B40" s="310"/>
      <c r="C40" s="150" t="s">
        <v>252</v>
      </c>
      <c r="D40" s="147">
        <v>10000</v>
      </c>
      <c r="E40" s="147">
        <f>VLOOKUP(C40,'[4]6月中力知识工资'!$C$5:$F$127,3,0)</f>
        <v>0</v>
      </c>
      <c r="F40" s="147">
        <f t="shared" si="2"/>
        <v>10000</v>
      </c>
      <c r="G40" s="155">
        <f>IFERROR(VLOOKUP(C40,'8月考勤表'!B:E,4,FALSE),0)</f>
        <v>30.5</v>
      </c>
      <c r="H40" s="147">
        <f t="shared" si="3"/>
        <v>9838.7099999999991</v>
      </c>
      <c r="I40" s="147">
        <v>0</v>
      </c>
      <c r="J40" s="147">
        <v>0</v>
      </c>
      <c r="K40" s="147">
        <v>0</v>
      </c>
      <c r="L40" s="147">
        <v>0</v>
      </c>
      <c r="M40" s="147">
        <f t="shared" si="8"/>
        <v>9838.7099999999991</v>
      </c>
      <c r="N40" s="148">
        <f>IFERROR(VLOOKUP(C40,知识科技社保!C:F,4,0),0)</f>
        <v>287.18</v>
      </c>
      <c r="O40" s="149">
        <f>IFERROR(VLOOKUP(C40,知识科技公积金!C:H,6,0),0)/2</f>
        <v>110</v>
      </c>
      <c r="P40" s="147">
        <f t="shared" si="11"/>
        <v>9441.5299999999988</v>
      </c>
      <c r="Q40" s="147">
        <f>ROUND(MAX((P40-3500)*{0.03,0.1,0.2,0.25,0.3,0.35,0.45}-{0,105,555,1005,2755,5505,13505},0),2)</f>
        <v>633.30999999999995</v>
      </c>
      <c r="R40" s="147">
        <v>0</v>
      </c>
      <c r="S40" s="147">
        <v>0</v>
      </c>
      <c r="T40" s="147">
        <v>0</v>
      </c>
      <c r="U40" s="147">
        <f t="shared" si="5"/>
        <v>1030.49</v>
      </c>
      <c r="V40" s="147">
        <f t="shared" si="12"/>
        <v>8808.2199999999993</v>
      </c>
    </row>
    <row r="41" spans="1:22" s="141" customFormat="1" ht="22.5" customHeight="1">
      <c r="A41" s="1">
        <v>37</v>
      </c>
      <c r="B41" s="310"/>
      <c r="C41" s="150" t="s">
        <v>254</v>
      </c>
      <c r="D41" s="147">
        <v>10000</v>
      </c>
      <c r="E41" s="147">
        <f>VLOOKUP(C41,'[4]6月中力知识工资'!$C$5:$F$127,3,0)</f>
        <v>0</v>
      </c>
      <c r="F41" s="147">
        <f t="shared" si="2"/>
        <v>10000</v>
      </c>
      <c r="G41" s="155">
        <f>IFERROR(VLOOKUP(C41,'8月考勤表'!B:E,4,FALSE),0)</f>
        <v>31</v>
      </c>
      <c r="H41" s="147">
        <f t="shared" si="3"/>
        <v>10000</v>
      </c>
      <c r="I41" s="147">
        <v>0</v>
      </c>
      <c r="J41" s="147">
        <v>0</v>
      </c>
      <c r="K41" s="147">
        <v>0</v>
      </c>
      <c r="L41" s="147">
        <v>0</v>
      </c>
      <c r="M41" s="147">
        <f t="shared" si="8"/>
        <v>10000</v>
      </c>
      <c r="N41" s="148">
        <f>IFERROR(VLOOKUP(C41,知识科技社保!C:F,4,0),0)</f>
        <v>287.18</v>
      </c>
      <c r="O41" s="149">
        <f>IFERROR(VLOOKUP(C41,知识科技公积金!C:H,6,0),0)/2</f>
        <v>110</v>
      </c>
      <c r="P41" s="147">
        <f t="shared" si="11"/>
        <v>9602.82</v>
      </c>
      <c r="Q41" s="147">
        <f>ROUND(MAX((P41-3500)*{0.03,0.1,0.2,0.25,0.3,0.35,0.45}-{0,105,555,1005,2755,5505,13505},0),2)</f>
        <v>665.56</v>
      </c>
      <c r="R41" s="147">
        <v>0</v>
      </c>
      <c r="S41" s="147">
        <v>0</v>
      </c>
      <c r="T41" s="147">
        <v>0</v>
      </c>
      <c r="U41" s="147">
        <f t="shared" si="5"/>
        <v>1062.74</v>
      </c>
      <c r="V41" s="147">
        <f t="shared" si="12"/>
        <v>8937.26</v>
      </c>
    </row>
    <row r="42" spans="1:22" s="141" customFormat="1" ht="22.5" customHeight="1">
      <c r="A42" s="1">
        <v>38</v>
      </c>
      <c r="B42" s="310"/>
      <c r="C42" s="150" t="s">
        <v>250</v>
      </c>
      <c r="D42" s="147">
        <v>10000</v>
      </c>
      <c r="E42" s="147">
        <f>VLOOKUP(C42,'[4]6月中力知识工资'!$C$5:$F$127,3,0)</f>
        <v>0</v>
      </c>
      <c r="F42" s="147">
        <f t="shared" si="2"/>
        <v>10000</v>
      </c>
      <c r="G42" s="155">
        <f>IFERROR(VLOOKUP(C42,'8月考勤表'!B:E,4,FALSE),0)</f>
        <v>31</v>
      </c>
      <c r="H42" s="147">
        <f t="shared" si="3"/>
        <v>10000</v>
      </c>
      <c r="I42" s="147">
        <v>0</v>
      </c>
      <c r="J42" s="147">
        <v>0</v>
      </c>
      <c r="K42" s="147">
        <v>0</v>
      </c>
      <c r="L42" s="147">
        <v>0</v>
      </c>
      <c r="M42" s="147">
        <f t="shared" si="8"/>
        <v>10000</v>
      </c>
      <c r="N42" s="148">
        <f>IFERROR(VLOOKUP(C42,知识科技社保!C:F,4,0),0)</f>
        <v>287.18</v>
      </c>
      <c r="O42" s="149">
        <f>IFERROR(VLOOKUP(C42,知识科技公积金!C:H,6,0),0)/2</f>
        <v>110</v>
      </c>
      <c r="P42" s="147">
        <f t="shared" si="11"/>
        <v>9602.82</v>
      </c>
      <c r="Q42" s="147">
        <f>ROUND(MAX((P42-3500)*{0.03,0.1,0.2,0.25,0.3,0.35,0.45}-{0,105,555,1005,2755,5505,13505},0),2)</f>
        <v>665.56</v>
      </c>
      <c r="R42" s="147">
        <v>0</v>
      </c>
      <c r="S42" s="147">
        <v>0</v>
      </c>
      <c r="T42" s="147">
        <v>0</v>
      </c>
      <c r="U42" s="147">
        <f t="shared" si="5"/>
        <v>1062.74</v>
      </c>
      <c r="V42" s="147">
        <f t="shared" si="12"/>
        <v>8937.26</v>
      </c>
    </row>
    <row r="43" spans="1:22" s="141" customFormat="1" ht="22.5" customHeight="1">
      <c r="A43" s="1">
        <v>39</v>
      </c>
      <c r="B43" s="310"/>
      <c r="C43" s="150" t="s">
        <v>256</v>
      </c>
      <c r="D43" s="147">
        <v>10000</v>
      </c>
      <c r="E43" s="147">
        <f>VLOOKUP(C43,'[4]6月中力知识工资'!$C$5:$F$127,3,0)</f>
        <v>0</v>
      </c>
      <c r="F43" s="147">
        <f t="shared" si="2"/>
        <v>10000</v>
      </c>
      <c r="G43" s="155">
        <f>IFERROR(VLOOKUP(C43,'8月考勤表'!B:E,4,FALSE),0)</f>
        <v>31</v>
      </c>
      <c r="H43" s="147">
        <f t="shared" si="3"/>
        <v>10000</v>
      </c>
      <c r="I43" s="147">
        <v>0</v>
      </c>
      <c r="J43" s="147">
        <v>0</v>
      </c>
      <c r="K43" s="147">
        <v>0</v>
      </c>
      <c r="L43" s="147">
        <v>0</v>
      </c>
      <c r="M43" s="147">
        <f t="shared" si="8"/>
        <v>10000</v>
      </c>
      <c r="N43" s="148">
        <f>IFERROR(VLOOKUP(C43,知识科技社保!C:F,4,0),0)</f>
        <v>287.18</v>
      </c>
      <c r="O43" s="149">
        <f>IFERROR(VLOOKUP(C43,知识科技公积金!C:H,6,0),0)/2</f>
        <v>110</v>
      </c>
      <c r="P43" s="147">
        <f t="shared" si="11"/>
        <v>9602.82</v>
      </c>
      <c r="Q43" s="147">
        <f>ROUND(MAX((P43-3500)*{0.03,0.1,0.2,0.25,0.3,0.35,0.45}-{0,105,555,1005,2755,5505,13505},0),2)</f>
        <v>665.56</v>
      </c>
      <c r="R43" s="147">
        <v>0</v>
      </c>
      <c r="S43" s="147">
        <v>0</v>
      </c>
      <c r="T43" s="147">
        <v>0</v>
      </c>
      <c r="U43" s="147">
        <f t="shared" si="5"/>
        <v>1062.74</v>
      </c>
      <c r="V43" s="147">
        <f t="shared" si="12"/>
        <v>8937.26</v>
      </c>
    </row>
    <row r="44" spans="1:22" s="141" customFormat="1" ht="22.5" customHeight="1">
      <c r="A44" s="1">
        <v>40</v>
      </c>
      <c r="B44" s="310"/>
      <c r="C44" s="150" t="s">
        <v>58</v>
      </c>
      <c r="D44" s="147">
        <v>10000</v>
      </c>
      <c r="E44" s="147">
        <f>VLOOKUP(C44,'[4]6月中力知识工资'!$C$5:$F$127,3,0)</f>
        <v>0</v>
      </c>
      <c r="F44" s="147">
        <f t="shared" si="2"/>
        <v>10000</v>
      </c>
      <c r="G44" s="155">
        <f>IFERROR(VLOOKUP(C44,'8月考勤表'!B:E,4,FALSE),0)</f>
        <v>17</v>
      </c>
      <c r="H44" s="147">
        <f t="shared" si="3"/>
        <v>5483.87</v>
      </c>
      <c r="I44" s="147">
        <v>0</v>
      </c>
      <c r="J44" s="147">
        <v>0</v>
      </c>
      <c r="K44" s="147">
        <v>0</v>
      </c>
      <c r="L44" s="147">
        <v>0</v>
      </c>
      <c r="M44" s="147">
        <f t="shared" si="8"/>
        <v>5483.87</v>
      </c>
      <c r="N44" s="148">
        <f>IFERROR(VLOOKUP(C44,知识科技社保!C:F,4,0),0)</f>
        <v>287.18</v>
      </c>
      <c r="O44" s="149">
        <f>IFERROR(VLOOKUP(C44,知识科技公积金!C:H,6,0),0)/2</f>
        <v>110</v>
      </c>
      <c r="P44" s="147">
        <f t="shared" si="11"/>
        <v>5086.6899999999996</v>
      </c>
      <c r="Q44" s="147">
        <f>ROUND(MAX((P44-3500)*{0.03,0.1,0.2,0.25,0.3,0.35,0.45}-{0,105,555,1005,2755,5505,13505},0),2)</f>
        <v>53.67</v>
      </c>
      <c r="R44" s="147">
        <v>0</v>
      </c>
      <c r="S44" s="147">
        <v>0</v>
      </c>
      <c r="T44" s="147">
        <v>0</v>
      </c>
      <c r="U44" s="147">
        <f t="shared" si="5"/>
        <v>450.85</v>
      </c>
      <c r="V44" s="147">
        <f t="shared" si="12"/>
        <v>5033.0199999999995</v>
      </c>
    </row>
    <row r="45" spans="1:22" s="141" customFormat="1" ht="22.5" customHeight="1">
      <c r="A45" s="1">
        <v>41</v>
      </c>
      <c r="B45" s="310"/>
      <c r="C45" s="150" t="s">
        <v>228</v>
      </c>
      <c r="D45" s="147">
        <v>10000</v>
      </c>
      <c r="E45" s="147">
        <f>VLOOKUP(C45,'[4]6月中力知识工资'!$C$5:$F$127,3,0)</f>
        <v>0</v>
      </c>
      <c r="F45" s="147">
        <f t="shared" si="2"/>
        <v>10000</v>
      </c>
      <c r="G45" s="155">
        <f>IFERROR(VLOOKUP(C45,'8月考勤表'!B:E,4,FALSE),0)</f>
        <v>31</v>
      </c>
      <c r="H45" s="147">
        <f t="shared" si="3"/>
        <v>10000</v>
      </c>
      <c r="I45" s="147">
        <v>0</v>
      </c>
      <c r="J45" s="147">
        <v>0</v>
      </c>
      <c r="K45" s="147">
        <v>0</v>
      </c>
      <c r="L45" s="147">
        <v>0</v>
      </c>
      <c r="M45" s="147">
        <f t="shared" si="8"/>
        <v>10000</v>
      </c>
      <c r="N45" s="148">
        <f>IFERROR(VLOOKUP(C45,知识科技社保!C:F,4,0),0)</f>
        <v>0</v>
      </c>
      <c r="O45" s="149">
        <f>IFERROR(VLOOKUP(C45,知识科技公积金!C:H,6,0),0)/2</f>
        <v>0</v>
      </c>
      <c r="P45" s="147">
        <f t="shared" si="11"/>
        <v>10000</v>
      </c>
      <c r="Q45" s="147">
        <f>ROUND(MAX((P45-3500)*{0.03,0.1,0.2,0.25,0.3,0.35,0.45}-{0,105,555,1005,2755,5505,13505},0),2)</f>
        <v>745</v>
      </c>
      <c r="R45" s="147">
        <v>0</v>
      </c>
      <c r="S45" s="147">
        <v>0</v>
      </c>
      <c r="T45" s="147">
        <v>0</v>
      </c>
      <c r="U45" s="147">
        <f t="shared" si="5"/>
        <v>745</v>
      </c>
      <c r="V45" s="147">
        <f t="shared" si="12"/>
        <v>9255</v>
      </c>
    </row>
    <row r="46" spans="1:22" s="141" customFormat="1" ht="22.5" customHeight="1">
      <c r="A46" s="1">
        <v>42</v>
      </c>
      <c r="B46" s="310"/>
      <c r="C46" s="150" t="s">
        <v>230</v>
      </c>
      <c r="D46" s="147">
        <v>10000</v>
      </c>
      <c r="E46" s="147">
        <f>VLOOKUP(C46,'[4]6月中力知识工资'!$C$5:$F$127,3,0)</f>
        <v>0</v>
      </c>
      <c r="F46" s="147">
        <f t="shared" si="2"/>
        <v>10000</v>
      </c>
      <c r="G46" s="155">
        <f>IFERROR(VLOOKUP(C46,'8月考勤表'!B:E,4,FALSE),0)</f>
        <v>28.88</v>
      </c>
      <c r="H46" s="147">
        <f t="shared" si="3"/>
        <v>9316.1299999999992</v>
      </c>
      <c r="I46" s="147">
        <v>0</v>
      </c>
      <c r="J46" s="147">
        <v>0</v>
      </c>
      <c r="K46" s="147">
        <v>0</v>
      </c>
      <c r="L46" s="147">
        <v>0</v>
      </c>
      <c r="M46" s="147">
        <f t="shared" si="8"/>
        <v>9316.1299999999992</v>
      </c>
      <c r="N46" s="148">
        <f>IFERROR(VLOOKUP(C46,知识科技社保!C:F,4,0),0)</f>
        <v>287.18</v>
      </c>
      <c r="O46" s="149">
        <f>IFERROR(VLOOKUP(C46,知识科技公积金!C:H,6,0),0)/2</f>
        <v>110</v>
      </c>
      <c r="P46" s="147">
        <f t="shared" si="11"/>
        <v>8918.9499999999989</v>
      </c>
      <c r="Q46" s="147">
        <f>ROUND(MAX((P46-3500)*{0.03,0.1,0.2,0.25,0.3,0.35,0.45}-{0,105,555,1005,2755,5505,13505},0),2)</f>
        <v>528.79</v>
      </c>
      <c r="R46" s="147">
        <v>0</v>
      </c>
      <c r="S46" s="147">
        <v>0</v>
      </c>
      <c r="T46" s="147">
        <v>0</v>
      </c>
      <c r="U46" s="147">
        <f t="shared" si="5"/>
        <v>925.97</v>
      </c>
      <c r="V46" s="147">
        <f t="shared" si="12"/>
        <v>8390.16</v>
      </c>
    </row>
    <row r="47" spans="1:22" s="141" customFormat="1" ht="22.5" customHeight="1">
      <c r="A47" s="1">
        <v>43</v>
      </c>
      <c r="B47" s="310"/>
      <c r="C47" s="150" t="s">
        <v>185</v>
      </c>
      <c r="D47" s="147">
        <v>10000</v>
      </c>
      <c r="E47" s="147">
        <v>0</v>
      </c>
      <c r="F47" s="147">
        <f t="shared" si="2"/>
        <v>10000</v>
      </c>
      <c r="G47" s="155">
        <f>IFERROR(VLOOKUP(C47,'8月考勤表'!B:E,4,FALSE),0)</f>
        <v>31</v>
      </c>
      <c r="H47" s="147">
        <f t="shared" si="3"/>
        <v>10000</v>
      </c>
      <c r="I47" s="147">
        <v>0</v>
      </c>
      <c r="J47" s="147">
        <v>0</v>
      </c>
      <c r="K47" s="147">
        <v>0</v>
      </c>
      <c r="L47" s="147">
        <v>0</v>
      </c>
      <c r="M47" s="147">
        <f t="shared" si="8"/>
        <v>10000</v>
      </c>
      <c r="N47" s="148">
        <f>IFERROR(VLOOKUP(C47,知识科技社保!C:F,4,0),0)</f>
        <v>287.18</v>
      </c>
      <c r="O47" s="149">
        <f>IFERROR(VLOOKUP(C47,知识科技公积金!C:H,6,0),0)/2</f>
        <v>110</v>
      </c>
      <c r="P47" s="147">
        <f t="shared" si="11"/>
        <v>9602.82</v>
      </c>
      <c r="Q47" s="147">
        <f>ROUND(MAX((P47-3500)*{0.03,0.1,0.2,0.25,0.3,0.35,0.45}-{0,105,555,1005,2755,5505,13505},0),2)</f>
        <v>665.56</v>
      </c>
      <c r="R47" s="147">
        <v>0</v>
      </c>
      <c r="S47" s="147">
        <v>0</v>
      </c>
      <c r="T47" s="147">
        <v>0</v>
      </c>
      <c r="U47" s="147">
        <f t="shared" si="5"/>
        <v>1062.74</v>
      </c>
      <c r="V47" s="147">
        <f t="shared" si="12"/>
        <v>8937.26</v>
      </c>
    </row>
    <row r="48" spans="1:22" s="141" customFormat="1" ht="22.5" customHeight="1">
      <c r="A48" s="1">
        <v>44</v>
      </c>
      <c r="B48" s="310"/>
      <c r="C48" s="150" t="s">
        <v>18</v>
      </c>
      <c r="D48" s="147">
        <v>10000</v>
      </c>
      <c r="E48" s="147">
        <v>0</v>
      </c>
      <c r="F48" s="147">
        <f t="shared" si="2"/>
        <v>10000</v>
      </c>
      <c r="G48" s="155">
        <f>IFERROR(VLOOKUP(C48,'8月考勤表'!B:E,4,FALSE),0)</f>
        <v>31</v>
      </c>
      <c r="H48" s="147">
        <f t="shared" si="3"/>
        <v>10000</v>
      </c>
      <c r="I48" s="147">
        <v>0</v>
      </c>
      <c r="J48" s="147">
        <v>0</v>
      </c>
      <c r="K48" s="147">
        <v>0</v>
      </c>
      <c r="L48" s="147">
        <v>0</v>
      </c>
      <c r="M48" s="147">
        <f t="shared" si="8"/>
        <v>10000</v>
      </c>
      <c r="N48" s="148">
        <f>IFERROR(VLOOKUP(C48,知识科技社保!C:F,4,0),0)</f>
        <v>287.18</v>
      </c>
      <c r="O48" s="149">
        <f>IFERROR(VLOOKUP(C48,知识科技公积金!C:H,6,0),0)/2</f>
        <v>110</v>
      </c>
      <c r="P48" s="147">
        <f t="shared" si="11"/>
        <v>9602.82</v>
      </c>
      <c r="Q48" s="147">
        <f>ROUND(MAX((P48-3500)*{0.03,0.1,0.2,0.25,0.3,0.35,0.45}-{0,105,555,1005,2755,5505,13505},0),2)</f>
        <v>665.56</v>
      </c>
      <c r="R48" s="147">
        <v>0</v>
      </c>
      <c r="S48" s="147">
        <v>0</v>
      </c>
      <c r="T48" s="147">
        <v>0</v>
      </c>
      <c r="U48" s="147">
        <f t="shared" si="5"/>
        <v>1062.74</v>
      </c>
      <c r="V48" s="147">
        <f t="shared" si="12"/>
        <v>8937.26</v>
      </c>
    </row>
    <row r="49" spans="1:22" s="141" customFormat="1" ht="22.5" customHeight="1">
      <c r="A49" s="1">
        <v>45</v>
      </c>
      <c r="B49" s="310"/>
      <c r="C49" s="150" t="s">
        <v>33</v>
      </c>
      <c r="D49" s="147">
        <v>10000</v>
      </c>
      <c r="E49" s="147">
        <v>0</v>
      </c>
      <c r="F49" s="147">
        <f t="shared" si="2"/>
        <v>10000</v>
      </c>
      <c r="G49" s="155">
        <f>IFERROR(VLOOKUP(C49,'8月考勤表'!B:E,4,FALSE),0)</f>
        <v>31</v>
      </c>
      <c r="H49" s="147">
        <f t="shared" si="3"/>
        <v>10000</v>
      </c>
      <c r="I49" s="147">
        <v>0</v>
      </c>
      <c r="J49" s="147">
        <v>0</v>
      </c>
      <c r="K49" s="147">
        <v>0</v>
      </c>
      <c r="L49" s="147">
        <v>0</v>
      </c>
      <c r="M49" s="147">
        <f t="shared" si="8"/>
        <v>10000</v>
      </c>
      <c r="N49" s="148">
        <f>IFERROR(VLOOKUP(C49,知识科技社保!C:F,4,0),0)</f>
        <v>203.7</v>
      </c>
      <c r="O49" s="149">
        <f>IFERROR(VLOOKUP(C49,知识科技公积金!C:H,6,0),0)/2</f>
        <v>110</v>
      </c>
      <c r="P49" s="147">
        <f t="shared" si="11"/>
        <v>9686.2999999999993</v>
      </c>
      <c r="Q49" s="147">
        <f>ROUND(MAX((P49-3500)*{0.03,0.1,0.2,0.25,0.3,0.35,0.45}-{0,105,555,1005,2755,5505,13505},0),2)</f>
        <v>682.26</v>
      </c>
      <c r="R49" s="147">
        <v>0</v>
      </c>
      <c r="S49" s="147">
        <v>0</v>
      </c>
      <c r="T49" s="147">
        <v>0</v>
      </c>
      <c r="U49" s="147">
        <f t="shared" si="5"/>
        <v>995.96</v>
      </c>
      <c r="V49" s="147">
        <f t="shared" si="12"/>
        <v>9004.0400000000009</v>
      </c>
    </row>
    <row r="50" spans="1:22" s="141" customFormat="1" ht="22.5" customHeight="1">
      <c r="A50" s="1">
        <v>46</v>
      </c>
      <c r="B50" s="310"/>
      <c r="C50" s="150" t="s">
        <v>24</v>
      </c>
      <c r="D50" s="147">
        <v>10000</v>
      </c>
      <c r="E50" s="147">
        <v>0</v>
      </c>
      <c r="F50" s="147">
        <f t="shared" si="2"/>
        <v>10000</v>
      </c>
      <c r="G50" s="155">
        <f>IFERROR(VLOOKUP(C50,'8月考勤表'!B:E,4,FALSE),0)</f>
        <v>31</v>
      </c>
      <c r="H50" s="147">
        <f t="shared" si="3"/>
        <v>10000</v>
      </c>
      <c r="I50" s="147">
        <v>0</v>
      </c>
      <c r="J50" s="147">
        <v>0</v>
      </c>
      <c r="K50" s="147">
        <v>0</v>
      </c>
      <c r="L50" s="147">
        <v>0</v>
      </c>
      <c r="M50" s="147">
        <f t="shared" si="8"/>
        <v>10000</v>
      </c>
      <c r="N50" s="148">
        <f>IFERROR(VLOOKUP(C50,知识科技社保!C:F,4,0),0)</f>
        <v>203.7</v>
      </c>
      <c r="O50" s="149">
        <f>IFERROR(VLOOKUP(C50,知识科技公积金!C:H,6,0),0)/2</f>
        <v>110</v>
      </c>
      <c r="P50" s="147">
        <f t="shared" si="11"/>
        <v>9686.2999999999993</v>
      </c>
      <c r="Q50" s="147">
        <f>ROUND(MAX((P50-3500)*{0.03,0.1,0.2,0.25,0.3,0.35,0.45}-{0,105,555,1005,2755,5505,13505},0),2)</f>
        <v>682.26</v>
      </c>
      <c r="R50" s="147">
        <v>0</v>
      </c>
      <c r="S50" s="147">
        <v>0</v>
      </c>
      <c r="T50" s="147">
        <v>0</v>
      </c>
      <c r="U50" s="147">
        <f t="shared" si="5"/>
        <v>995.96</v>
      </c>
      <c r="V50" s="147">
        <f t="shared" si="12"/>
        <v>9004.0400000000009</v>
      </c>
    </row>
    <row r="51" spans="1:22" s="141" customFormat="1" ht="22.5" customHeight="1">
      <c r="A51" s="1">
        <v>47</v>
      </c>
      <c r="B51" s="311"/>
      <c r="C51" s="150" t="s">
        <v>953</v>
      </c>
      <c r="D51" s="147">
        <v>10000</v>
      </c>
      <c r="E51" s="147">
        <v>0</v>
      </c>
      <c r="F51" s="147">
        <f t="shared" si="2"/>
        <v>10000</v>
      </c>
      <c r="G51" s="155">
        <f>IFERROR(VLOOKUP(C51,'8月考勤表'!B:E,4,FALSE),0)</f>
        <v>10.75</v>
      </c>
      <c r="H51" s="147">
        <f t="shared" si="3"/>
        <v>3467.74</v>
      </c>
      <c r="I51" s="147">
        <v>0</v>
      </c>
      <c r="J51" s="147">
        <v>0</v>
      </c>
      <c r="K51" s="147">
        <v>0</v>
      </c>
      <c r="L51" s="147">
        <v>0</v>
      </c>
      <c r="M51" s="147">
        <f t="shared" ref="M51" si="13">SUM(H51:L51)</f>
        <v>3467.74</v>
      </c>
      <c r="N51" s="148">
        <f>IFERROR(VLOOKUP(C51,知识科技社保!C:F,4,0),0)</f>
        <v>0</v>
      </c>
      <c r="O51" s="149">
        <f>IFERROR(VLOOKUP(C51,知识科技公积金!C:H,6,0),0)/2</f>
        <v>0</v>
      </c>
      <c r="P51" s="147">
        <f t="shared" si="11"/>
        <v>3467.74</v>
      </c>
      <c r="Q51" s="147">
        <f>ROUND(MAX((P51-3500)*{0.03,0.1,0.2,0.25,0.3,0.35,0.45}-{0,105,555,1005,2755,5505,13505},0),2)</f>
        <v>0</v>
      </c>
      <c r="R51" s="147">
        <v>0</v>
      </c>
      <c r="S51" s="147">
        <v>0</v>
      </c>
      <c r="T51" s="147">
        <v>0</v>
      </c>
      <c r="U51" s="147">
        <f t="shared" ref="U51" si="14">N51+O51+Q51+R51+S51+T51</f>
        <v>0</v>
      </c>
      <c r="V51" s="147">
        <f t="shared" si="12"/>
        <v>3467.74</v>
      </c>
    </row>
    <row r="52" spans="1:22" s="141" customFormat="1" ht="22.5" customHeight="1">
      <c r="A52" s="1">
        <v>48</v>
      </c>
      <c r="B52" s="321" t="s">
        <v>12</v>
      </c>
      <c r="C52" s="150" t="s">
        <v>140</v>
      </c>
      <c r="D52" s="147">
        <v>10000</v>
      </c>
      <c r="E52" s="147">
        <f>VLOOKUP(C52,'[4]6月中力知识工资'!$C$5:$F$127,3,0)</f>
        <v>0</v>
      </c>
      <c r="F52" s="147">
        <f t="shared" si="2"/>
        <v>10000</v>
      </c>
      <c r="G52" s="155">
        <f>IFERROR(VLOOKUP(C52,'8月考勤表'!B:E,4,FALSE),0)</f>
        <v>31</v>
      </c>
      <c r="H52" s="147">
        <f t="shared" si="3"/>
        <v>10000</v>
      </c>
      <c r="I52" s="147">
        <v>0</v>
      </c>
      <c r="J52" s="164">
        <v>6674</v>
      </c>
      <c r="K52" s="147">
        <v>0</v>
      </c>
      <c r="L52" s="147">
        <v>0</v>
      </c>
      <c r="M52" s="147">
        <f t="shared" si="8"/>
        <v>16674</v>
      </c>
      <c r="N52" s="148">
        <f>IFERROR(VLOOKUP(C52,知识科技社保!C:F,4,0),0)</f>
        <v>311.18</v>
      </c>
      <c r="O52" s="149">
        <f>IFERROR(VLOOKUP(C52,知识科技公积金!C:H,6,0),0)/2</f>
        <v>125</v>
      </c>
      <c r="P52" s="147">
        <f t="shared" si="11"/>
        <v>16237.82</v>
      </c>
      <c r="Q52" s="147">
        <f>ROUND(MAX((P52-3500)*{0.03,0.1,0.2,0.25,0.3,0.35,0.45}-{0,105,555,1005,2755,5505,13505},0),2)</f>
        <v>2179.46</v>
      </c>
      <c r="R52" s="147">
        <v>0</v>
      </c>
      <c r="S52" s="147">
        <v>0</v>
      </c>
      <c r="T52" s="147">
        <v>0</v>
      </c>
      <c r="U52" s="147">
        <f t="shared" si="5"/>
        <v>2615.64</v>
      </c>
      <c r="V52" s="147">
        <f t="shared" si="12"/>
        <v>14058.36</v>
      </c>
    </row>
    <row r="53" spans="1:22" s="141" customFormat="1" ht="22.5" customHeight="1">
      <c r="A53" s="1">
        <v>49</v>
      </c>
      <c r="B53" s="322"/>
      <c r="C53" s="150" t="s">
        <v>142</v>
      </c>
      <c r="D53" s="147">
        <v>10000</v>
      </c>
      <c r="E53" s="147">
        <f>VLOOKUP(C53,'[4]6月中力知识工资'!$C$5:$F$127,3,0)</f>
        <v>0</v>
      </c>
      <c r="F53" s="147">
        <f t="shared" si="2"/>
        <v>10000</v>
      </c>
      <c r="G53" s="155">
        <f>IFERROR(VLOOKUP(C53,'8月考勤表'!B:E,4,FALSE),0)</f>
        <v>31</v>
      </c>
      <c r="H53" s="147">
        <f t="shared" si="3"/>
        <v>10000</v>
      </c>
      <c r="I53" s="147">
        <v>0</v>
      </c>
      <c r="J53" s="147">
        <v>0</v>
      </c>
      <c r="K53" s="147">
        <v>0</v>
      </c>
      <c r="L53" s="147">
        <v>0</v>
      </c>
      <c r="M53" s="147">
        <f t="shared" si="8"/>
        <v>10000</v>
      </c>
      <c r="N53" s="148">
        <f>IFERROR(VLOOKUP(C53,知识科技社保!C:F,4,0),0)</f>
        <v>311.18</v>
      </c>
      <c r="O53" s="149">
        <f>IFERROR(VLOOKUP(C53,知识科技公积金!C:H,6,0),0)/2</f>
        <v>125</v>
      </c>
      <c r="P53" s="147">
        <f t="shared" si="11"/>
        <v>9563.82</v>
      </c>
      <c r="Q53" s="147">
        <f>ROUND(MAX((P53-3500)*{0.03,0.1,0.2,0.25,0.3,0.35,0.45}-{0,105,555,1005,2755,5505,13505},0),2)</f>
        <v>657.76</v>
      </c>
      <c r="R53" s="147">
        <v>0</v>
      </c>
      <c r="S53" s="147">
        <v>0</v>
      </c>
      <c r="T53" s="147">
        <v>0</v>
      </c>
      <c r="U53" s="147">
        <f t="shared" si="5"/>
        <v>1093.94</v>
      </c>
      <c r="V53" s="147">
        <f t="shared" si="12"/>
        <v>8906.06</v>
      </c>
    </row>
    <row r="54" spans="1:22" s="141" customFormat="1" ht="22.5" customHeight="1">
      <c r="A54" s="1">
        <v>50</v>
      </c>
      <c r="B54" s="322"/>
      <c r="C54" s="150" t="s">
        <v>144</v>
      </c>
      <c r="D54" s="147">
        <v>10000</v>
      </c>
      <c r="E54" s="147">
        <f>VLOOKUP(C54,'[4]6月中力知识工资'!$C$5:$F$127,3,0)</f>
        <v>0</v>
      </c>
      <c r="F54" s="147">
        <f t="shared" si="2"/>
        <v>10000</v>
      </c>
      <c r="G54" s="155">
        <f>IFERROR(VLOOKUP(C54,'8月考勤表'!B:E,4,FALSE),0)</f>
        <v>31</v>
      </c>
      <c r="H54" s="147">
        <f t="shared" si="3"/>
        <v>10000</v>
      </c>
      <c r="I54" s="147">
        <v>0</v>
      </c>
      <c r="J54" s="147">
        <v>0</v>
      </c>
      <c r="K54" s="147">
        <v>0</v>
      </c>
      <c r="L54" s="147">
        <v>0</v>
      </c>
      <c r="M54" s="147">
        <f t="shared" si="8"/>
        <v>10000</v>
      </c>
      <c r="N54" s="148">
        <f>IFERROR(VLOOKUP(C54,知识科技社保!C:F,4,0),0)</f>
        <v>311.18</v>
      </c>
      <c r="O54" s="149">
        <f>IFERROR(VLOOKUP(C54,知识科技公积金!C:H,6,0),0)/2</f>
        <v>125</v>
      </c>
      <c r="P54" s="147">
        <f t="shared" si="11"/>
        <v>9563.82</v>
      </c>
      <c r="Q54" s="147">
        <f>ROUND(MAX((P54-3500)*{0.03,0.1,0.2,0.25,0.3,0.35,0.45}-{0,105,555,1005,2755,5505,13505},0),2)</f>
        <v>657.76</v>
      </c>
      <c r="R54" s="147">
        <v>0</v>
      </c>
      <c r="S54" s="147">
        <v>0</v>
      </c>
      <c r="T54" s="147">
        <v>0</v>
      </c>
      <c r="U54" s="147">
        <f t="shared" si="5"/>
        <v>1093.94</v>
      </c>
      <c r="V54" s="147">
        <f t="shared" si="12"/>
        <v>8906.06</v>
      </c>
    </row>
    <row r="55" spans="1:22" s="141" customFormat="1" ht="22.5" customHeight="1">
      <c r="A55" s="1">
        <v>51</v>
      </c>
      <c r="B55" s="322"/>
      <c r="C55" s="150" t="s">
        <v>150</v>
      </c>
      <c r="D55" s="147">
        <v>10000</v>
      </c>
      <c r="E55" s="147">
        <v>0</v>
      </c>
      <c r="F55" s="147">
        <f t="shared" si="2"/>
        <v>10000</v>
      </c>
      <c r="G55" s="155">
        <f>IFERROR(VLOOKUP(C55,'8月考勤表'!B:E,4,FALSE),0)</f>
        <v>31</v>
      </c>
      <c r="H55" s="147">
        <f t="shared" si="3"/>
        <v>10000</v>
      </c>
      <c r="I55" s="147">
        <v>0</v>
      </c>
      <c r="J55" s="147">
        <v>0</v>
      </c>
      <c r="K55" s="147">
        <v>0</v>
      </c>
      <c r="L55" s="147">
        <v>0</v>
      </c>
      <c r="M55" s="147">
        <f t="shared" si="8"/>
        <v>10000</v>
      </c>
      <c r="N55" s="148">
        <f>IFERROR(VLOOKUP(C55,知识科技社保!C:F,4,0),0)</f>
        <v>287.18</v>
      </c>
      <c r="O55" s="149">
        <f>IFERROR(VLOOKUP(C55,知识科技公积金!C:H,6,0),0)/2</f>
        <v>110</v>
      </c>
      <c r="P55" s="147">
        <f t="shared" si="11"/>
        <v>9602.82</v>
      </c>
      <c r="Q55" s="147">
        <f>ROUND(MAX((P55-3500)*{0.03,0.1,0.2,0.25,0.3,0.35,0.45}-{0,105,555,1005,2755,5505,13505},0),2)</f>
        <v>665.56</v>
      </c>
      <c r="R55" s="147">
        <v>0</v>
      </c>
      <c r="S55" s="147">
        <v>0</v>
      </c>
      <c r="T55" s="147">
        <v>0</v>
      </c>
      <c r="U55" s="147">
        <f t="shared" si="5"/>
        <v>1062.74</v>
      </c>
      <c r="V55" s="147">
        <f t="shared" si="12"/>
        <v>8937.26</v>
      </c>
    </row>
    <row r="56" spans="1:22" s="141" customFormat="1" ht="22.5" customHeight="1">
      <c r="A56" s="1">
        <v>52</v>
      </c>
      <c r="B56" s="322"/>
      <c r="C56" s="150" t="s">
        <v>138</v>
      </c>
      <c r="D56" s="147">
        <v>10000</v>
      </c>
      <c r="E56" s="147">
        <f>VLOOKUP(C56,'[4]6月中力知识工资'!$C$5:$F$127,3,0)</f>
        <v>0</v>
      </c>
      <c r="F56" s="147">
        <f t="shared" si="2"/>
        <v>10000</v>
      </c>
      <c r="G56" s="155">
        <f>IFERROR(VLOOKUP(C56,'8月考勤表'!B:E,4,FALSE),0)</f>
        <v>31</v>
      </c>
      <c r="H56" s="147">
        <f t="shared" si="3"/>
        <v>10000</v>
      </c>
      <c r="I56" s="147">
        <v>0</v>
      </c>
      <c r="J56" s="147">
        <v>0</v>
      </c>
      <c r="K56" s="147">
        <v>0</v>
      </c>
      <c r="L56" s="147">
        <v>0</v>
      </c>
      <c r="M56" s="147">
        <f t="shared" si="8"/>
        <v>10000</v>
      </c>
      <c r="N56" s="148">
        <f>IFERROR(VLOOKUP(C56,知识科技社保!C:F,4,0),0)</f>
        <v>287.18</v>
      </c>
      <c r="O56" s="149">
        <f>IFERROR(VLOOKUP(C56,知识科技公积金!C:H,6,0),0)/2</f>
        <v>110</v>
      </c>
      <c r="P56" s="147">
        <f t="shared" si="11"/>
        <v>9602.82</v>
      </c>
      <c r="Q56" s="147">
        <f>ROUND(MAX((P56-3500)*{0.03,0.1,0.2,0.25,0.3,0.35,0.45}-{0,105,555,1005,2755,5505,13505},0),2)</f>
        <v>665.56</v>
      </c>
      <c r="R56" s="147">
        <v>0</v>
      </c>
      <c r="S56" s="147">
        <v>0</v>
      </c>
      <c r="T56" s="147">
        <v>0</v>
      </c>
      <c r="U56" s="147">
        <f t="shared" si="5"/>
        <v>1062.74</v>
      </c>
      <c r="V56" s="147">
        <f t="shared" si="12"/>
        <v>8937.26</v>
      </c>
    </row>
    <row r="57" spans="1:22" s="141" customFormat="1" ht="22.5" customHeight="1">
      <c r="A57" s="1">
        <v>53</v>
      </c>
      <c r="B57" s="322"/>
      <c r="C57" s="150" t="s">
        <v>148</v>
      </c>
      <c r="D57" s="147">
        <v>10000</v>
      </c>
      <c r="E57" s="147">
        <f>VLOOKUP(C57,'[4]6月中力知识工资'!$C$5:$F$127,3,0)</f>
        <v>0</v>
      </c>
      <c r="F57" s="147">
        <f t="shared" si="2"/>
        <v>10000</v>
      </c>
      <c r="G57" s="155">
        <f>IFERROR(VLOOKUP(C57,'8月考勤表'!B:E,4,FALSE),0)</f>
        <v>31</v>
      </c>
      <c r="H57" s="147">
        <f t="shared" si="3"/>
        <v>10000</v>
      </c>
      <c r="I57" s="147">
        <v>0</v>
      </c>
      <c r="J57" s="147">
        <v>0</v>
      </c>
      <c r="K57" s="147">
        <v>0</v>
      </c>
      <c r="L57" s="147">
        <v>0</v>
      </c>
      <c r="M57" s="147">
        <f t="shared" si="8"/>
        <v>10000</v>
      </c>
      <c r="N57" s="148">
        <f>IFERROR(VLOOKUP(C57,知识科技社保!C:F,4,0),0)</f>
        <v>287.18</v>
      </c>
      <c r="O57" s="149">
        <f>IFERROR(VLOOKUP(C57,知识科技公积金!C:H,6,0),0)/2</f>
        <v>110</v>
      </c>
      <c r="P57" s="147">
        <f t="shared" si="11"/>
        <v>9602.82</v>
      </c>
      <c r="Q57" s="147">
        <f>ROUND(MAX((P57-3500)*{0.03,0.1,0.2,0.25,0.3,0.35,0.45}-{0,105,555,1005,2755,5505,13505},0),2)</f>
        <v>665.56</v>
      </c>
      <c r="R57" s="147">
        <v>0</v>
      </c>
      <c r="S57" s="147">
        <v>0</v>
      </c>
      <c r="T57" s="147">
        <v>0</v>
      </c>
      <c r="U57" s="147">
        <f t="shared" si="5"/>
        <v>1062.74</v>
      </c>
      <c r="V57" s="147">
        <f t="shared" si="12"/>
        <v>8937.26</v>
      </c>
    </row>
    <row r="58" spans="1:22" s="141" customFormat="1" ht="22.5" customHeight="1">
      <c r="A58" s="1">
        <v>54</v>
      </c>
      <c r="B58" s="322"/>
      <c r="C58" s="150" t="s">
        <v>146</v>
      </c>
      <c r="D58" s="147">
        <v>10000</v>
      </c>
      <c r="E58" s="147">
        <f>VLOOKUP(C58,'[4]6月中力知识工资'!$C$5:$F$127,3,0)</f>
        <v>0</v>
      </c>
      <c r="F58" s="147">
        <f t="shared" si="2"/>
        <v>10000</v>
      </c>
      <c r="G58" s="155">
        <f>IFERROR(VLOOKUP(C58,'8月考勤表'!B:E,4,FALSE),0)</f>
        <v>30.5</v>
      </c>
      <c r="H58" s="147">
        <f t="shared" si="3"/>
        <v>9838.7099999999991</v>
      </c>
      <c r="I58" s="147">
        <v>0</v>
      </c>
      <c r="J58" s="147">
        <v>0</v>
      </c>
      <c r="K58" s="147">
        <v>0</v>
      </c>
      <c r="L58" s="147">
        <v>0</v>
      </c>
      <c r="M58" s="147">
        <f t="shared" si="8"/>
        <v>9838.7099999999991</v>
      </c>
      <c r="N58" s="148">
        <f>IFERROR(VLOOKUP(C58,知识科技社保!C:F,4,0),0)</f>
        <v>287.18</v>
      </c>
      <c r="O58" s="149">
        <f>IFERROR(VLOOKUP(C58,知识科技公积金!C:H,6,0),0)/2</f>
        <v>110</v>
      </c>
      <c r="P58" s="147">
        <f t="shared" si="11"/>
        <v>9441.5299999999988</v>
      </c>
      <c r="Q58" s="147">
        <f>ROUND(MAX((P58-3500)*{0.03,0.1,0.2,0.25,0.3,0.35,0.45}-{0,105,555,1005,2755,5505,13505},0),2)</f>
        <v>633.30999999999995</v>
      </c>
      <c r="R58" s="147">
        <v>0</v>
      </c>
      <c r="S58" s="147">
        <v>0</v>
      </c>
      <c r="T58" s="147">
        <v>0</v>
      </c>
      <c r="U58" s="147">
        <f t="shared" si="5"/>
        <v>1030.49</v>
      </c>
      <c r="V58" s="147">
        <f t="shared" si="12"/>
        <v>8808.2199999999993</v>
      </c>
    </row>
    <row r="59" spans="1:22" s="141" customFormat="1" ht="22.5" customHeight="1">
      <c r="A59" s="1">
        <v>55</v>
      </c>
      <c r="B59" s="322"/>
      <c r="C59" s="150" t="s">
        <v>152</v>
      </c>
      <c r="D59" s="147">
        <v>10000</v>
      </c>
      <c r="E59" s="147">
        <f>VLOOKUP(C59,'[4]6月中力知识工资'!$C$5:$F$127,3,0)</f>
        <v>0</v>
      </c>
      <c r="F59" s="147">
        <f t="shared" si="2"/>
        <v>10000</v>
      </c>
      <c r="G59" s="155">
        <f>IFERROR(VLOOKUP(C59,'8月考勤表'!B:E,4,FALSE),0)</f>
        <v>30.75</v>
      </c>
      <c r="H59" s="147">
        <f t="shared" si="3"/>
        <v>9919.35</v>
      </c>
      <c r="I59" s="147">
        <v>0</v>
      </c>
      <c r="J59" s="147">
        <v>0</v>
      </c>
      <c r="K59" s="147">
        <v>0</v>
      </c>
      <c r="L59" s="147">
        <v>0</v>
      </c>
      <c r="M59" s="147">
        <f t="shared" si="8"/>
        <v>9919.35</v>
      </c>
      <c r="N59" s="148">
        <f>IFERROR(VLOOKUP(C59,知识科技社保!C:F,4,0),0)</f>
        <v>287.18</v>
      </c>
      <c r="O59" s="149">
        <f>IFERROR(VLOOKUP(C59,知识科技公积金!C:H,6,0),0)/2</f>
        <v>110</v>
      </c>
      <c r="P59" s="147">
        <f t="shared" si="11"/>
        <v>9522.17</v>
      </c>
      <c r="Q59" s="147">
        <f>ROUND(MAX((P59-3500)*{0.03,0.1,0.2,0.25,0.3,0.35,0.45}-{0,105,555,1005,2755,5505,13505},0),2)</f>
        <v>649.42999999999995</v>
      </c>
      <c r="R59" s="147">
        <v>0</v>
      </c>
      <c r="S59" s="147">
        <v>0</v>
      </c>
      <c r="T59" s="147">
        <v>0</v>
      </c>
      <c r="U59" s="147">
        <f t="shared" si="5"/>
        <v>1046.6099999999999</v>
      </c>
      <c r="V59" s="147">
        <f t="shared" si="12"/>
        <v>8872.74</v>
      </c>
    </row>
    <row r="60" spans="1:22" s="141" customFormat="1" ht="22.5" customHeight="1">
      <c r="A60" s="1">
        <v>56</v>
      </c>
      <c r="B60" s="322"/>
      <c r="C60" s="150" t="s">
        <v>30</v>
      </c>
      <c r="D60" s="147">
        <v>10000</v>
      </c>
      <c r="E60" s="147">
        <v>0</v>
      </c>
      <c r="F60" s="147">
        <f t="shared" si="2"/>
        <v>10000</v>
      </c>
      <c r="G60" s="155">
        <f>IFERROR(VLOOKUP(C60,'8月考勤表'!B:E,4,FALSE),0)</f>
        <v>29.75</v>
      </c>
      <c r="H60" s="147">
        <f>ROUND(F60/31*G60+F60/31*1.25*0.6,2)</f>
        <v>9838.7099999999991</v>
      </c>
      <c r="I60" s="147">
        <v>0</v>
      </c>
      <c r="J60" s="147">
        <v>0</v>
      </c>
      <c r="K60" s="147">
        <v>0</v>
      </c>
      <c r="L60" s="147">
        <v>0</v>
      </c>
      <c r="M60" s="147">
        <f t="shared" si="8"/>
        <v>9838.7099999999991</v>
      </c>
      <c r="N60" s="148">
        <f>IFERROR(VLOOKUP(C60,知识科技社保!C:F,4,0),0)</f>
        <v>203.7</v>
      </c>
      <c r="O60" s="149">
        <f>IFERROR(VLOOKUP(C60,知识科技公积金!C:H,6,0),0)/2</f>
        <v>110</v>
      </c>
      <c r="P60" s="147">
        <f t="shared" si="11"/>
        <v>9525.0099999999984</v>
      </c>
      <c r="Q60" s="147">
        <f>ROUND(MAX((P60-3500)*{0.03,0.1,0.2,0.25,0.3,0.35,0.45}-{0,105,555,1005,2755,5505,13505},0),2)</f>
        <v>650</v>
      </c>
      <c r="R60" s="147">
        <v>0</v>
      </c>
      <c r="S60" s="147">
        <v>0</v>
      </c>
      <c r="T60" s="147">
        <v>0</v>
      </c>
      <c r="U60" s="147">
        <f t="shared" si="5"/>
        <v>963.7</v>
      </c>
      <c r="V60" s="147">
        <f t="shared" si="12"/>
        <v>8875.0099999999984</v>
      </c>
    </row>
    <row r="61" spans="1:22" s="141" customFormat="1" ht="22.5" customHeight="1">
      <c r="A61" s="1">
        <v>57</v>
      </c>
      <c r="B61" s="322"/>
      <c r="C61" s="150" t="s">
        <v>31</v>
      </c>
      <c r="D61" s="147">
        <v>10000</v>
      </c>
      <c r="E61" s="147">
        <v>0</v>
      </c>
      <c r="F61" s="147">
        <f t="shared" si="2"/>
        <v>10000</v>
      </c>
      <c r="G61" s="155">
        <f>IFERROR(VLOOKUP(C61,'8月考勤表'!B:E,4,FALSE),0)</f>
        <v>31</v>
      </c>
      <c r="H61" s="147">
        <f t="shared" si="3"/>
        <v>10000</v>
      </c>
      <c r="I61" s="147">
        <v>0</v>
      </c>
      <c r="J61" s="147">
        <v>0</v>
      </c>
      <c r="K61" s="147">
        <v>0</v>
      </c>
      <c r="L61" s="147">
        <v>0</v>
      </c>
      <c r="M61" s="147">
        <f t="shared" si="8"/>
        <v>10000</v>
      </c>
      <c r="N61" s="148">
        <f>IFERROR(VLOOKUP(C61,知识科技社保!C:F,4,0),0)</f>
        <v>203.7</v>
      </c>
      <c r="O61" s="149">
        <f>IFERROR(VLOOKUP(C61,知识科技公积金!C:H,6,0),0)/2</f>
        <v>110</v>
      </c>
      <c r="P61" s="147">
        <f t="shared" si="11"/>
        <v>9686.2999999999993</v>
      </c>
      <c r="Q61" s="147">
        <f>ROUND(MAX((P61-3500)*{0.03,0.1,0.2,0.25,0.3,0.35,0.45}-{0,105,555,1005,2755,5505,13505},0),2)</f>
        <v>682.26</v>
      </c>
      <c r="R61" s="147">
        <v>0</v>
      </c>
      <c r="S61" s="147">
        <v>0</v>
      </c>
      <c r="T61" s="147">
        <v>0</v>
      </c>
      <c r="U61" s="147">
        <f t="shared" si="5"/>
        <v>995.96</v>
      </c>
      <c r="V61" s="147">
        <f t="shared" si="12"/>
        <v>9004.0400000000009</v>
      </c>
    </row>
    <row r="62" spans="1:22" s="141" customFormat="1" ht="22.5" customHeight="1">
      <c r="A62" s="1">
        <v>58</v>
      </c>
      <c r="B62" s="322"/>
      <c r="C62" s="150" t="s">
        <v>32</v>
      </c>
      <c r="D62" s="147">
        <v>10000</v>
      </c>
      <c r="E62" s="147">
        <v>0</v>
      </c>
      <c r="F62" s="147">
        <f t="shared" si="2"/>
        <v>10000</v>
      </c>
      <c r="G62" s="155">
        <f>IFERROR(VLOOKUP(C62,'8月考勤表'!B:E,4,FALSE),0)</f>
        <v>30</v>
      </c>
      <c r="H62" s="147">
        <f t="shared" si="3"/>
        <v>9677.42</v>
      </c>
      <c r="I62" s="147">
        <v>0</v>
      </c>
      <c r="J62" s="147">
        <v>0</v>
      </c>
      <c r="K62" s="147">
        <v>0</v>
      </c>
      <c r="L62" s="147">
        <v>0</v>
      </c>
      <c r="M62" s="147">
        <f t="shared" si="8"/>
        <v>9677.42</v>
      </c>
      <c r="N62" s="148">
        <f>IFERROR(VLOOKUP(C62,知识科技社保!C:F,4,0),0)</f>
        <v>203.7</v>
      </c>
      <c r="O62" s="149">
        <f>IFERROR(VLOOKUP(C62,知识科技公积金!C:H,6,0),0)/2</f>
        <v>110</v>
      </c>
      <c r="P62" s="147">
        <f t="shared" si="11"/>
        <v>9363.7199999999993</v>
      </c>
      <c r="Q62" s="147">
        <f>ROUND(MAX((P62-3500)*{0.03,0.1,0.2,0.25,0.3,0.35,0.45}-{0,105,555,1005,2755,5505,13505},0),2)</f>
        <v>617.74</v>
      </c>
      <c r="R62" s="147">
        <v>0</v>
      </c>
      <c r="S62" s="147">
        <v>0</v>
      </c>
      <c r="T62" s="147">
        <v>0</v>
      </c>
      <c r="U62" s="147">
        <f t="shared" si="5"/>
        <v>931.44</v>
      </c>
      <c r="V62" s="147">
        <f t="shared" si="12"/>
        <v>8745.98</v>
      </c>
    </row>
    <row r="63" spans="1:22" s="141" customFormat="1" ht="22.5" customHeight="1">
      <c r="A63" s="1">
        <v>59</v>
      </c>
      <c r="B63" s="322"/>
      <c r="C63" s="150" t="s">
        <v>35</v>
      </c>
      <c r="D63" s="147">
        <v>10000</v>
      </c>
      <c r="E63" s="147">
        <v>0</v>
      </c>
      <c r="F63" s="147">
        <f t="shared" si="2"/>
        <v>10000</v>
      </c>
      <c r="G63" s="155">
        <f>IFERROR(VLOOKUP(C63,'8月考勤表'!B:E,4,FALSE),0)</f>
        <v>29.13</v>
      </c>
      <c r="H63" s="147">
        <f>ROUND(F63/31*G63+F63/31*1*0.6,2)</f>
        <v>9590.32</v>
      </c>
      <c r="I63" s="147">
        <v>0</v>
      </c>
      <c r="J63" s="147">
        <v>0</v>
      </c>
      <c r="K63" s="147">
        <v>0</v>
      </c>
      <c r="L63" s="147">
        <v>0</v>
      </c>
      <c r="M63" s="147">
        <f t="shared" si="8"/>
        <v>9590.32</v>
      </c>
      <c r="N63" s="148">
        <f>IFERROR(VLOOKUP(C63,知识科技社保!C:F,4,0),0)</f>
        <v>203.7</v>
      </c>
      <c r="O63" s="149">
        <f>IFERROR(VLOOKUP(C63,知识科技公积金!C:H,6,0),0)/2</f>
        <v>110</v>
      </c>
      <c r="P63" s="147">
        <f t="shared" si="11"/>
        <v>9276.619999999999</v>
      </c>
      <c r="Q63" s="147">
        <f>ROUND(MAX((P63-3500)*{0.03,0.1,0.2,0.25,0.3,0.35,0.45}-{0,105,555,1005,2755,5505,13505},0),2)</f>
        <v>600.32000000000005</v>
      </c>
      <c r="R63" s="147">
        <v>0</v>
      </c>
      <c r="S63" s="147">
        <v>0</v>
      </c>
      <c r="T63" s="147">
        <v>0</v>
      </c>
      <c r="U63" s="147">
        <f t="shared" si="5"/>
        <v>914.02</v>
      </c>
      <c r="V63" s="147">
        <f t="shared" si="12"/>
        <v>8676.2999999999993</v>
      </c>
    </row>
    <row r="64" spans="1:22" s="141" customFormat="1" ht="22.5" customHeight="1">
      <c r="A64" s="1">
        <v>60</v>
      </c>
      <c r="B64" s="322"/>
      <c r="C64" s="150" t="s">
        <v>136</v>
      </c>
      <c r="D64" s="147">
        <v>10000</v>
      </c>
      <c r="E64" s="147">
        <f>VLOOKUP(C64,'[4]6月中力知识工资'!$C$5:$F$127,3,0)</f>
        <v>0</v>
      </c>
      <c r="F64" s="147">
        <f t="shared" si="2"/>
        <v>10000</v>
      </c>
      <c r="G64" s="155">
        <f>IFERROR(VLOOKUP(C64,'8月考勤表'!B:E,4,FALSE),0)</f>
        <v>31</v>
      </c>
      <c r="H64" s="147">
        <f t="shared" si="3"/>
        <v>10000</v>
      </c>
      <c r="I64" s="147">
        <v>0</v>
      </c>
      <c r="J64" s="147">
        <v>0</v>
      </c>
      <c r="K64" s="147">
        <v>0</v>
      </c>
      <c r="L64" s="147">
        <v>0</v>
      </c>
      <c r="M64" s="147">
        <f t="shared" ref="M64:M68" si="15">SUM(H64:L64)</f>
        <v>10000</v>
      </c>
      <c r="N64" s="148">
        <f>IFERROR(VLOOKUP(C64,知识科技社保!C:F,4,0),0)</f>
        <v>287.18</v>
      </c>
      <c r="O64" s="149">
        <f>IFERROR(VLOOKUP(C64,知识科技公积金!C:H,6,0),0)/2</f>
        <v>110</v>
      </c>
      <c r="P64" s="147">
        <f t="shared" si="11"/>
        <v>9602.82</v>
      </c>
      <c r="Q64" s="147">
        <f>ROUND(MAX((P64-3500)*{0.03,0.1,0.2,0.25,0.3,0.35,0.45}-{0,105,555,1005,2755,5505,13505},0),2)</f>
        <v>665.56</v>
      </c>
      <c r="R64" s="147">
        <v>0</v>
      </c>
      <c r="S64" s="147">
        <v>0</v>
      </c>
      <c r="T64" s="147">
        <v>0</v>
      </c>
      <c r="U64" s="147">
        <f t="shared" si="5"/>
        <v>1062.74</v>
      </c>
      <c r="V64" s="147">
        <f t="shared" si="12"/>
        <v>8937.26</v>
      </c>
    </row>
    <row r="65" spans="1:22" s="141" customFormat="1" ht="22.5" customHeight="1">
      <c r="A65" s="1">
        <v>61</v>
      </c>
      <c r="B65" s="169"/>
      <c r="C65" s="150" t="s">
        <v>876</v>
      </c>
      <c r="D65" s="147">
        <v>10000</v>
      </c>
      <c r="E65" s="147">
        <v>0</v>
      </c>
      <c r="F65" s="147">
        <f t="shared" si="2"/>
        <v>10000</v>
      </c>
      <c r="G65" s="155">
        <f>IFERROR(VLOOKUP(C65,'8月考勤表'!B:E,4,FALSE),0)</f>
        <v>18</v>
      </c>
      <c r="H65" s="147">
        <f t="shared" si="3"/>
        <v>5806.45</v>
      </c>
      <c r="I65" s="147"/>
      <c r="J65" s="147"/>
      <c r="K65" s="147"/>
      <c r="L65" s="147"/>
      <c r="M65" s="147">
        <f t="shared" si="15"/>
        <v>5806.45</v>
      </c>
      <c r="N65" s="148">
        <f>IFERROR(VLOOKUP(C65,知识科技社保!C:F,4,0),0)</f>
        <v>203.7</v>
      </c>
      <c r="O65" s="149">
        <f>IFERROR(VLOOKUP(C65,知识科技公积金!C:H,6,0),0)/2</f>
        <v>110</v>
      </c>
      <c r="P65" s="147">
        <f t="shared" si="11"/>
        <v>5492.75</v>
      </c>
      <c r="Q65" s="147">
        <f>ROUND(MAX((P65-3500)*{0.03,0.1,0.2,0.25,0.3,0.35,0.45}-{0,105,555,1005,2755,5505,13505},0),2)</f>
        <v>94.28</v>
      </c>
      <c r="R65" s="147"/>
      <c r="S65" s="147"/>
      <c r="T65" s="147"/>
      <c r="U65" s="147">
        <f t="shared" ref="U65:U66" si="16">N65+O65+Q65+R65+S65+T65</f>
        <v>407.98</v>
      </c>
      <c r="V65" s="147">
        <f t="shared" si="12"/>
        <v>5398.4699999999993</v>
      </c>
    </row>
    <row r="66" spans="1:22" s="141" customFormat="1" ht="22.5" customHeight="1">
      <c r="A66" s="1">
        <v>62</v>
      </c>
      <c r="B66" s="169"/>
      <c r="C66" s="150" t="s">
        <v>957</v>
      </c>
      <c r="D66" s="147">
        <v>10000</v>
      </c>
      <c r="E66" s="147">
        <v>0</v>
      </c>
      <c r="F66" s="147">
        <f t="shared" si="2"/>
        <v>10000</v>
      </c>
      <c r="G66" s="155">
        <f>IFERROR(VLOOKUP(C66,'8月考勤表'!B:E,4,FALSE),0)</f>
        <v>5</v>
      </c>
      <c r="H66" s="147">
        <f t="shared" si="3"/>
        <v>1612.9</v>
      </c>
      <c r="I66" s="147"/>
      <c r="J66" s="147"/>
      <c r="K66" s="147"/>
      <c r="L66" s="147"/>
      <c r="M66" s="147">
        <f t="shared" si="15"/>
        <v>1612.9</v>
      </c>
      <c r="N66" s="148">
        <f>IFERROR(VLOOKUP(C66,知识科技社保!C:F,4,0),0)</f>
        <v>0</v>
      </c>
      <c r="O66" s="149">
        <f>IFERROR(VLOOKUP(C66,知识科技公积金!C:H,6,0),0)/2</f>
        <v>0</v>
      </c>
      <c r="P66" s="147">
        <f t="shared" si="11"/>
        <v>1612.9</v>
      </c>
      <c r="Q66" s="147">
        <f>ROUND(MAX((P66-3500)*{0.03,0.1,0.2,0.25,0.3,0.35,0.45}-{0,105,555,1005,2755,5505,13505},0),2)</f>
        <v>0</v>
      </c>
      <c r="R66" s="147"/>
      <c r="S66" s="147"/>
      <c r="T66" s="147"/>
      <c r="U66" s="147">
        <f t="shared" si="16"/>
        <v>0</v>
      </c>
      <c r="V66" s="147">
        <f t="shared" si="12"/>
        <v>1612.9</v>
      </c>
    </row>
    <row r="67" spans="1:22" s="141" customFormat="1" ht="22.5" customHeight="1">
      <c r="A67" s="1">
        <v>63</v>
      </c>
      <c r="B67" s="301" t="s">
        <v>308</v>
      </c>
      <c r="C67" s="146" t="s">
        <v>72</v>
      </c>
      <c r="D67" s="147">
        <v>10000</v>
      </c>
      <c r="E67" s="147">
        <f>VLOOKUP(C67,'[4]6月中力知识工资'!$C$5:$F$127,3,0)</f>
        <v>0</v>
      </c>
      <c r="F67" s="147">
        <f t="shared" si="2"/>
        <v>10000</v>
      </c>
      <c r="G67" s="155">
        <f>IFERROR(VLOOKUP(C67,'8月考勤表'!B:E,4,FALSE),0)</f>
        <v>31</v>
      </c>
      <c r="H67" s="147">
        <f t="shared" si="3"/>
        <v>10000</v>
      </c>
      <c r="I67" s="147">
        <v>0</v>
      </c>
      <c r="J67" s="147">
        <v>0</v>
      </c>
      <c r="K67" s="147">
        <v>0</v>
      </c>
      <c r="L67" s="147">
        <v>0</v>
      </c>
      <c r="M67" s="147">
        <f t="shared" si="15"/>
        <v>10000</v>
      </c>
      <c r="N67" s="148">
        <f>IFERROR(VLOOKUP(C67,知识科技社保!C:F,4,0),0)</f>
        <v>351.18</v>
      </c>
      <c r="O67" s="149">
        <f>IFERROR(VLOOKUP(C67,知识科技公积金!C:H,6,0),0)/2</f>
        <v>950</v>
      </c>
      <c r="P67" s="147">
        <f t="shared" si="11"/>
        <v>8698.82</v>
      </c>
      <c r="Q67" s="147">
        <f>ROUND(MAX((P67-3500)*{0.03,0.1,0.2,0.25,0.3,0.35,0.45}-{0,105,555,1005,2755,5505,13505},0),2)</f>
        <v>484.76</v>
      </c>
      <c r="R67" s="147">
        <v>0</v>
      </c>
      <c r="S67" s="147">
        <v>0</v>
      </c>
      <c r="T67" s="147">
        <v>0</v>
      </c>
      <c r="U67" s="147">
        <f t="shared" si="5"/>
        <v>1785.94</v>
      </c>
      <c r="V67" s="147">
        <f t="shared" si="12"/>
        <v>8214.06</v>
      </c>
    </row>
    <row r="68" spans="1:22" s="141" customFormat="1" ht="22.5" customHeight="1">
      <c r="A68" s="1">
        <v>64</v>
      </c>
      <c r="B68" s="302"/>
      <c r="C68" s="150" t="s">
        <v>74</v>
      </c>
      <c r="D68" s="147">
        <v>10000</v>
      </c>
      <c r="E68" s="147">
        <f>VLOOKUP(C68,'[4]6月中力知识工资'!$C$5:$F$127,3,0)</f>
        <v>0</v>
      </c>
      <c r="F68" s="147">
        <f t="shared" ref="F68:F111" si="17">SUM(D68:E68)</f>
        <v>10000</v>
      </c>
      <c r="G68" s="155">
        <f>IFERROR(VLOOKUP(C68,'8月考勤表'!B:E,4,FALSE),0)</f>
        <v>30</v>
      </c>
      <c r="H68" s="147">
        <f t="shared" ref="H68:H111" si="18">ROUND(F68/31*G68,2)</f>
        <v>9677.42</v>
      </c>
      <c r="I68" s="147">
        <v>0</v>
      </c>
      <c r="J68" s="147">
        <v>0</v>
      </c>
      <c r="K68" s="147">
        <v>0</v>
      </c>
      <c r="L68" s="147">
        <v>0</v>
      </c>
      <c r="M68" s="147">
        <f t="shared" si="15"/>
        <v>9677.42</v>
      </c>
      <c r="N68" s="148">
        <f>IFERROR(VLOOKUP(C68,知识科技社保!C:F,4,0),0)</f>
        <v>287.18</v>
      </c>
      <c r="O68" s="149">
        <f>IFERROR(VLOOKUP(C68,知识科技公积金!C:H,6,0),0)/2</f>
        <v>110</v>
      </c>
      <c r="P68" s="147">
        <f t="shared" si="11"/>
        <v>9280.24</v>
      </c>
      <c r="Q68" s="147">
        <f>ROUND(MAX((P68-3500)*{0.03,0.1,0.2,0.25,0.3,0.35,0.45}-{0,105,555,1005,2755,5505,13505},0),2)</f>
        <v>601.04999999999995</v>
      </c>
      <c r="R68" s="147">
        <v>0</v>
      </c>
      <c r="S68" s="147">
        <v>0</v>
      </c>
      <c r="T68" s="147">
        <v>0</v>
      </c>
      <c r="U68" s="147">
        <f t="shared" si="5"/>
        <v>998.23</v>
      </c>
      <c r="V68" s="147">
        <f t="shared" si="12"/>
        <v>8679.19</v>
      </c>
    </row>
    <row r="69" spans="1:22" s="141" customFormat="1" ht="22.5" customHeight="1">
      <c r="A69" s="1">
        <v>65</v>
      </c>
      <c r="B69" s="302"/>
      <c r="C69" s="150" t="s">
        <v>16</v>
      </c>
      <c r="D69" s="147">
        <v>10000</v>
      </c>
      <c r="E69" s="147">
        <v>0</v>
      </c>
      <c r="F69" s="147">
        <f t="shared" si="17"/>
        <v>10000</v>
      </c>
      <c r="G69" s="155">
        <f>IFERROR(VLOOKUP(C69,'8月考勤表'!B:E,4,FALSE),0)</f>
        <v>31</v>
      </c>
      <c r="H69" s="147">
        <f t="shared" si="18"/>
        <v>10000</v>
      </c>
      <c r="I69" s="147">
        <v>0</v>
      </c>
      <c r="J69" s="147">
        <v>0</v>
      </c>
      <c r="K69" s="147">
        <v>0</v>
      </c>
      <c r="L69" s="147">
        <v>0</v>
      </c>
      <c r="M69" s="147">
        <f t="shared" ref="M69:M79" si="19">SUM(H69:L69)</f>
        <v>10000</v>
      </c>
      <c r="N69" s="148">
        <f>IFERROR(VLOOKUP(C69,知识科技社保!C:F,4,0),0)</f>
        <v>287.18</v>
      </c>
      <c r="O69" s="149">
        <f>IFERROR(VLOOKUP(C69,知识科技公积金!C:H,6,0),0)/2</f>
        <v>110</v>
      </c>
      <c r="P69" s="147">
        <f t="shared" ref="P69:P100" si="20">M69-N69-O69</f>
        <v>9602.82</v>
      </c>
      <c r="Q69" s="147">
        <f>ROUND(MAX((P69-3500)*{0.03,0.1,0.2,0.25,0.3,0.35,0.45}-{0,105,555,1005,2755,5505,13505},0),2)</f>
        <v>665.56</v>
      </c>
      <c r="R69" s="147">
        <v>0</v>
      </c>
      <c r="S69" s="147">
        <v>0</v>
      </c>
      <c r="T69" s="147">
        <v>0</v>
      </c>
      <c r="U69" s="147">
        <f t="shared" ref="U69:U109" si="21">N69+O69+Q69+R69+S69+T69</f>
        <v>1062.74</v>
      </c>
      <c r="V69" s="147">
        <f t="shared" ref="V69:V100" si="22">M69-U69</f>
        <v>8937.26</v>
      </c>
    </row>
    <row r="70" spans="1:22" s="141" customFormat="1" ht="22.5" customHeight="1">
      <c r="A70" s="1">
        <v>66</v>
      </c>
      <c r="B70" s="302"/>
      <c r="C70" s="150" t="s">
        <v>22</v>
      </c>
      <c r="D70" s="147">
        <v>10000</v>
      </c>
      <c r="E70" s="147">
        <v>0</v>
      </c>
      <c r="F70" s="147">
        <f t="shared" si="17"/>
        <v>10000</v>
      </c>
      <c r="G70" s="155">
        <f>IFERROR(VLOOKUP(C70,'8月考勤表'!B:E,4,FALSE),0)</f>
        <v>31</v>
      </c>
      <c r="H70" s="147">
        <f t="shared" si="18"/>
        <v>10000</v>
      </c>
      <c r="I70" s="147">
        <v>0</v>
      </c>
      <c r="J70" s="147">
        <v>0</v>
      </c>
      <c r="K70" s="147">
        <v>0</v>
      </c>
      <c r="L70" s="147">
        <v>0</v>
      </c>
      <c r="M70" s="147">
        <f t="shared" si="19"/>
        <v>10000</v>
      </c>
      <c r="N70" s="148">
        <f>IFERROR(VLOOKUP(C70,知识科技社保!C:F,4,0),0)</f>
        <v>287.18</v>
      </c>
      <c r="O70" s="149">
        <f>IFERROR(VLOOKUP(C70,知识科技公积金!C:H,6,0),0)/2</f>
        <v>110</v>
      </c>
      <c r="P70" s="147">
        <f t="shared" si="20"/>
        <v>9602.82</v>
      </c>
      <c r="Q70" s="147">
        <f>ROUND(MAX((P70-3500)*{0.03,0.1,0.2,0.25,0.3,0.35,0.45}-{0,105,555,1005,2755,5505,13505},0),2)</f>
        <v>665.56</v>
      </c>
      <c r="R70" s="147">
        <v>0</v>
      </c>
      <c r="S70" s="147">
        <v>0</v>
      </c>
      <c r="T70" s="147">
        <v>0</v>
      </c>
      <c r="U70" s="147">
        <f t="shared" si="21"/>
        <v>1062.74</v>
      </c>
      <c r="V70" s="147">
        <f t="shared" si="22"/>
        <v>8937.26</v>
      </c>
    </row>
    <row r="71" spans="1:22" s="141" customFormat="1" ht="22.5" customHeight="1">
      <c r="A71" s="1">
        <v>67</v>
      </c>
      <c r="B71" s="299" t="s">
        <v>154</v>
      </c>
      <c r="C71" s="150" t="s">
        <v>155</v>
      </c>
      <c r="D71" s="147">
        <v>10000</v>
      </c>
      <c r="E71" s="147">
        <f>VLOOKUP(C71,'[4]6月中力知识工资'!$C$5:$F$127,3,0)</f>
        <v>0</v>
      </c>
      <c r="F71" s="147">
        <f t="shared" si="17"/>
        <v>10000</v>
      </c>
      <c r="G71" s="155">
        <f>IFERROR(VLOOKUP(C71,'8月考勤表'!B:E,4,FALSE),0)</f>
        <v>30</v>
      </c>
      <c r="H71" s="147">
        <f t="shared" si="18"/>
        <v>9677.42</v>
      </c>
      <c r="I71" s="147">
        <v>0</v>
      </c>
      <c r="J71" s="147">
        <v>0</v>
      </c>
      <c r="K71" s="147">
        <v>0</v>
      </c>
      <c r="L71" s="147">
        <v>0</v>
      </c>
      <c r="M71" s="147">
        <f t="shared" si="19"/>
        <v>9677.42</v>
      </c>
      <c r="N71" s="148">
        <f>IFERROR(VLOOKUP(C71,知识科技社保!C:F,4,0),0)</f>
        <v>311.18</v>
      </c>
      <c r="O71" s="149">
        <f>IFERROR(VLOOKUP(C71,知识科技公积金!C:H,6,0),0)/2</f>
        <v>125</v>
      </c>
      <c r="P71" s="147">
        <f t="shared" si="20"/>
        <v>9241.24</v>
      </c>
      <c r="Q71" s="147">
        <f>ROUND(MAX((P71-3500)*{0.03,0.1,0.2,0.25,0.3,0.35,0.45}-{0,105,555,1005,2755,5505,13505},0),2)</f>
        <v>593.25</v>
      </c>
      <c r="R71" s="147">
        <v>0</v>
      </c>
      <c r="S71" s="147">
        <v>0</v>
      </c>
      <c r="T71" s="147">
        <v>0</v>
      </c>
      <c r="U71" s="147">
        <f t="shared" si="21"/>
        <v>1029.43</v>
      </c>
      <c r="V71" s="147">
        <f t="shared" si="22"/>
        <v>8647.99</v>
      </c>
    </row>
    <row r="72" spans="1:22" s="141" customFormat="1" ht="22.5" customHeight="1">
      <c r="A72" s="1">
        <v>68</v>
      </c>
      <c r="B72" s="300"/>
      <c r="C72" s="150" t="s">
        <v>157</v>
      </c>
      <c r="D72" s="147">
        <v>10000</v>
      </c>
      <c r="E72" s="147">
        <f>VLOOKUP(C72,'[4]6月中力知识工资'!$C$5:$F$127,3,0)</f>
        <v>0</v>
      </c>
      <c r="F72" s="147">
        <f t="shared" si="17"/>
        <v>10000</v>
      </c>
      <c r="G72" s="155">
        <f>IFERROR(VLOOKUP(C72,'8月考勤表'!B:E,4,FALSE),0)</f>
        <v>31</v>
      </c>
      <c r="H72" s="147">
        <f t="shared" si="18"/>
        <v>10000</v>
      </c>
      <c r="I72" s="147">
        <v>0</v>
      </c>
      <c r="J72" s="147">
        <v>0</v>
      </c>
      <c r="K72" s="147">
        <v>0</v>
      </c>
      <c r="L72" s="147">
        <v>0</v>
      </c>
      <c r="M72" s="147">
        <f t="shared" si="19"/>
        <v>10000</v>
      </c>
      <c r="N72" s="148">
        <f>IFERROR(VLOOKUP(C72,知识科技社保!C:F,4,0),0)</f>
        <v>311.18</v>
      </c>
      <c r="O72" s="149">
        <f>IFERROR(VLOOKUP(C72,知识科技公积金!C:H,6,0),0)/2</f>
        <v>125</v>
      </c>
      <c r="P72" s="147">
        <f t="shared" si="20"/>
        <v>9563.82</v>
      </c>
      <c r="Q72" s="147">
        <f>ROUND(MAX((P72-3500)*{0.03,0.1,0.2,0.25,0.3,0.35,0.45}-{0,105,555,1005,2755,5505,13505},0),2)</f>
        <v>657.76</v>
      </c>
      <c r="R72" s="147">
        <v>0</v>
      </c>
      <c r="S72" s="147">
        <v>0</v>
      </c>
      <c r="T72" s="147">
        <v>0</v>
      </c>
      <c r="U72" s="147">
        <f t="shared" si="21"/>
        <v>1093.94</v>
      </c>
      <c r="V72" s="147">
        <f t="shared" si="22"/>
        <v>8906.06</v>
      </c>
    </row>
    <row r="73" spans="1:22" s="141" customFormat="1" ht="22.5" customHeight="1">
      <c r="A73" s="1">
        <v>69</v>
      </c>
      <c r="B73" s="300"/>
      <c r="C73" s="150" t="s">
        <v>159</v>
      </c>
      <c r="D73" s="147">
        <v>10000</v>
      </c>
      <c r="E73" s="147">
        <f>VLOOKUP(C73,'[4]6月中力知识工资'!$C$5:$F$127,3,0)</f>
        <v>0</v>
      </c>
      <c r="F73" s="147">
        <f t="shared" si="17"/>
        <v>10000</v>
      </c>
      <c r="G73" s="155">
        <f>IFERROR(VLOOKUP(C73,'8月考勤表'!B:E,4,FALSE),0)</f>
        <v>31</v>
      </c>
      <c r="H73" s="147">
        <f t="shared" si="18"/>
        <v>10000</v>
      </c>
      <c r="I73" s="147">
        <v>0</v>
      </c>
      <c r="J73" s="147">
        <v>0</v>
      </c>
      <c r="K73" s="147">
        <v>0</v>
      </c>
      <c r="L73" s="147">
        <v>0</v>
      </c>
      <c r="M73" s="147">
        <f t="shared" si="19"/>
        <v>10000</v>
      </c>
      <c r="N73" s="148">
        <f>IFERROR(VLOOKUP(C73,知识科技社保!C:F,4,0),0)</f>
        <v>287.18</v>
      </c>
      <c r="O73" s="149">
        <f>IFERROR(VLOOKUP(C73,知识科技公积金!C:H,6,0),0)/2</f>
        <v>110</v>
      </c>
      <c r="P73" s="147">
        <f t="shared" si="20"/>
        <v>9602.82</v>
      </c>
      <c r="Q73" s="147">
        <f>ROUND(MAX((P73-3500)*{0.03,0.1,0.2,0.25,0.3,0.35,0.45}-{0,105,555,1005,2755,5505,13505},0),2)</f>
        <v>665.56</v>
      </c>
      <c r="R73" s="147">
        <v>0</v>
      </c>
      <c r="S73" s="147">
        <v>0</v>
      </c>
      <c r="T73" s="147">
        <v>0</v>
      </c>
      <c r="U73" s="147">
        <f t="shared" si="21"/>
        <v>1062.74</v>
      </c>
      <c r="V73" s="147">
        <f t="shared" si="22"/>
        <v>8937.26</v>
      </c>
    </row>
    <row r="74" spans="1:22" s="141" customFormat="1" ht="22.5" customHeight="1">
      <c r="A74" s="1">
        <v>70</v>
      </c>
      <c r="B74" s="323"/>
      <c r="C74" s="150" t="s">
        <v>161</v>
      </c>
      <c r="D74" s="147">
        <v>10000</v>
      </c>
      <c r="E74" s="147">
        <f>VLOOKUP(C74,'[4]6月中力知识工资'!$C$5:$F$127,3,0)</f>
        <v>0</v>
      </c>
      <c r="F74" s="147">
        <f t="shared" si="17"/>
        <v>10000</v>
      </c>
      <c r="G74" s="155">
        <f>IFERROR(VLOOKUP(C74,'8月考勤表'!B:E,4,FALSE),0)</f>
        <v>31</v>
      </c>
      <c r="H74" s="147">
        <f t="shared" si="18"/>
        <v>10000</v>
      </c>
      <c r="I74" s="147">
        <v>0</v>
      </c>
      <c r="J74" s="147">
        <v>0</v>
      </c>
      <c r="K74" s="147">
        <v>0</v>
      </c>
      <c r="L74" s="147">
        <v>0</v>
      </c>
      <c r="M74" s="147">
        <f t="shared" si="19"/>
        <v>10000</v>
      </c>
      <c r="N74" s="148">
        <f>IFERROR(VLOOKUP(C74,知识科技社保!C:F,4,0),0)</f>
        <v>287.18</v>
      </c>
      <c r="O74" s="149">
        <f>IFERROR(VLOOKUP(C74,知识科技公积金!C:H,6,0),0)/2</f>
        <v>110</v>
      </c>
      <c r="P74" s="147">
        <f t="shared" si="20"/>
        <v>9602.82</v>
      </c>
      <c r="Q74" s="147">
        <f>ROUND(MAX((P74-3500)*{0.03,0.1,0.2,0.25,0.3,0.35,0.45}-{0,105,555,1005,2755,5505,13505},0),2)</f>
        <v>665.56</v>
      </c>
      <c r="R74" s="147">
        <v>0</v>
      </c>
      <c r="S74" s="147">
        <v>0</v>
      </c>
      <c r="T74" s="147">
        <v>0</v>
      </c>
      <c r="U74" s="147">
        <f t="shared" si="21"/>
        <v>1062.74</v>
      </c>
      <c r="V74" s="147">
        <f t="shared" si="22"/>
        <v>8937.26</v>
      </c>
    </row>
    <row r="75" spans="1:22" s="141" customFormat="1" ht="22.5" customHeight="1">
      <c r="A75" s="1">
        <v>71</v>
      </c>
      <c r="B75" s="299" t="s">
        <v>56</v>
      </c>
      <c r="C75" s="146" t="s">
        <v>90</v>
      </c>
      <c r="D75" s="147">
        <v>10000</v>
      </c>
      <c r="E75" s="147">
        <f>VLOOKUP(C75,'[4]6月中力知识工资'!$C$5:$F$127,3,0)</f>
        <v>0</v>
      </c>
      <c r="F75" s="147">
        <f t="shared" si="17"/>
        <v>10000</v>
      </c>
      <c r="G75" s="155">
        <f>IFERROR(VLOOKUP(C75,'8月考勤表'!B:E,4,FALSE),0)</f>
        <v>31</v>
      </c>
      <c r="H75" s="147">
        <f t="shared" si="18"/>
        <v>10000</v>
      </c>
      <c r="I75" s="147">
        <v>0</v>
      </c>
      <c r="J75" s="147">
        <v>0</v>
      </c>
      <c r="K75" s="147">
        <v>0</v>
      </c>
      <c r="L75" s="147">
        <v>0</v>
      </c>
      <c r="M75" s="147">
        <f t="shared" si="19"/>
        <v>10000</v>
      </c>
      <c r="N75" s="148">
        <f>IFERROR(VLOOKUP(C75,知识科技社保!C:F,4,0),0)</f>
        <v>0</v>
      </c>
      <c r="O75" s="149">
        <f>IFERROR(VLOOKUP(C75,知识科技公积金!C:H,6,0),0)/2</f>
        <v>0</v>
      </c>
      <c r="P75" s="147">
        <f t="shared" si="20"/>
        <v>10000</v>
      </c>
      <c r="Q75" s="147">
        <f>ROUND(MAX((P75-3500)*{0.03,0.1,0.2,0.25,0.3,0.35,0.45}-{0,105,555,1005,2755,5505,13505},0),2)</f>
        <v>745</v>
      </c>
      <c r="R75" s="147">
        <v>0</v>
      </c>
      <c r="S75" s="147">
        <v>0</v>
      </c>
      <c r="T75" s="147">
        <v>0</v>
      </c>
      <c r="U75" s="147">
        <f t="shared" si="21"/>
        <v>745</v>
      </c>
      <c r="V75" s="147">
        <f t="shared" si="22"/>
        <v>9255</v>
      </c>
    </row>
    <row r="76" spans="1:22" s="141" customFormat="1" ht="22.5" customHeight="1">
      <c r="A76" s="1">
        <v>72</v>
      </c>
      <c r="B76" s="300"/>
      <c r="C76" s="150" t="s">
        <v>55</v>
      </c>
      <c r="D76" s="147">
        <v>10000</v>
      </c>
      <c r="E76" s="147">
        <f>VLOOKUP(C76,'[4]6月中力知识工资'!$C$5:$F$127,3,0)</f>
        <v>0</v>
      </c>
      <c r="F76" s="147">
        <f t="shared" si="17"/>
        <v>10000</v>
      </c>
      <c r="G76" s="155">
        <f>IFERROR(VLOOKUP(C76,'8月考勤表'!B:E,4,FALSE),0)</f>
        <v>31</v>
      </c>
      <c r="H76" s="147">
        <f t="shared" si="18"/>
        <v>10000</v>
      </c>
      <c r="I76" s="147">
        <v>1650</v>
      </c>
      <c r="J76" s="147">
        <v>0</v>
      </c>
      <c r="K76" s="147">
        <v>0</v>
      </c>
      <c r="L76" s="147">
        <v>0</v>
      </c>
      <c r="M76" s="147">
        <f t="shared" si="19"/>
        <v>11650</v>
      </c>
      <c r="N76" s="148">
        <f>IFERROR(VLOOKUP(C76,知识科技社保!C:F,4,0),0)</f>
        <v>287.18</v>
      </c>
      <c r="O76" s="149">
        <f>IFERROR(VLOOKUP(C76,知识科技公积金!C:H,6,0),0)/2</f>
        <v>110</v>
      </c>
      <c r="P76" s="147">
        <f t="shared" si="20"/>
        <v>11252.82</v>
      </c>
      <c r="Q76" s="147">
        <f>ROUND(MAX((P76-3500)*{0.03,0.1,0.2,0.25,0.3,0.35,0.45}-{0,105,555,1005,2755,5505,13505},0),2)</f>
        <v>995.56</v>
      </c>
      <c r="R76" s="147">
        <v>0</v>
      </c>
      <c r="S76" s="147">
        <v>0</v>
      </c>
      <c r="T76" s="147">
        <v>0</v>
      </c>
      <c r="U76" s="147">
        <f t="shared" si="21"/>
        <v>1392.74</v>
      </c>
      <c r="V76" s="147">
        <f t="shared" si="22"/>
        <v>10257.26</v>
      </c>
    </row>
    <row r="77" spans="1:22" s="141" customFormat="1" ht="22.5" customHeight="1">
      <c r="A77" s="1">
        <v>73</v>
      </c>
      <c r="B77" s="300"/>
      <c r="C77" s="150" t="s">
        <v>23</v>
      </c>
      <c r="D77" s="147">
        <v>10000</v>
      </c>
      <c r="E77" s="147">
        <v>0</v>
      </c>
      <c r="F77" s="147">
        <f t="shared" si="17"/>
        <v>10000</v>
      </c>
      <c r="G77" s="155">
        <f>IFERROR(VLOOKUP(C77,'8月考勤表'!B:E,4,FALSE),0)</f>
        <v>30.5</v>
      </c>
      <c r="H77" s="147">
        <f t="shared" si="18"/>
        <v>9838.7099999999991</v>
      </c>
      <c r="I77" s="147">
        <v>0</v>
      </c>
      <c r="J77" s="147">
        <v>0</v>
      </c>
      <c r="K77" s="147">
        <v>0</v>
      </c>
      <c r="L77" s="147">
        <v>0</v>
      </c>
      <c r="M77" s="147">
        <f t="shared" si="19"/>
        <v>9838.7099999999991</v>
      </c>
      <c r="N77" s="148">
        <f>IFERROR(VLOOKUP(C77,知识科技社保!C:F,4,0),0)</f>
        <v>287.18</v>
      </c>
      <c r="O77" s="149">
        <f>IFERROR(VLOOKUP(C77,知识科技公积金!C:H,6,0),0)/2</f>
        <v>110</v>
      </c>
      <c r="P77" s="147">
        <f t="shared" si="20"/>
        <v>9441.5299999999988</v>
      </c>
      <c r="Q77" s="147">
        <f>ROUND(MAX((P77-3500)*{0.03,0.1,0.2,0.25,0.3,0.35,0.45}-{0,105,555,1005,2755,5505,13505},0),2)</f>
        <v>633.30999999999995</v>
      </c>
      <c r="R77" s="147">
        <v>0</v>
      </c>
      <c r="S77" s="147">
        <v>0</v>
      </c>
      <c r="T77" s="147">
        <v>0</v>
      </c>
      <c r="U77" s="147">
        <f t="shared" si="21"/>
        <v>1030.49</v>
      </c>
      <c r="V77" s="147">
        <f t="shared" si="22"/>
        <v>8808.2199999999993</v>
      </c>
    </row>
    <row r="78" spans="1:22" s="141" customFormat="1" ht="22.5" customHeight="1">
      <c r="A78" s="1">
        <v>74</v>
      </c>
      <c r="B78" s="300"/>
      <c r="C78" s="150" t="s">
        <v>57</v>
      </c>
      <c r="D78" s="147">
        <v>10000</v>
      </c>
      <c r="E78" s="147">
        <f>VLOOKUP(C78,'[4]6月中力知识工资'!$C$5:$F$127,3,0)</f>
        <v>0</v>
      </c>
      <c r="F78" s="147">
        <f t="shared" si="17"/>
        <v>10000</v>
      </c>
      <c r="G78" s="155">
        <f>IFERROR(VLOOKUP(C78,'8月考勤表'!B:E,4,FALSE),0)</f>
        <v>30.88</v>
      </c>
      <c r="H78" s="147">
        <f t="shared" si="18"/>
        <v>9961.2900000000009</v>
      </c>
      <c r="I78" s="147">
        <v>1650</v>
      </c>
      <c r="J78" s="147">
        <v>0</v>
      </c>
      <c r="K78" s="147">
        <v>0</v>
      </c>
      <c r="L78" s="147">
        <v>0</v>
      </c>
      <c r="M78" s="147">
        <f t="shared" si="19"/>
        <v>11611.29</v>
      </c>
      <c r="N78" s="148">
        <f>IFERROR(VLOOKUP(C78,知识科技社保!C:F,4,0),0)</f>
        <v>287.18</v>
      </c>
      <c r="O78" s="149">
        <f>IFERROR(VLOOKUP(C78,知识科技公积金!C:H,6,0),0)/2</f>
        <v>110</v>
      </c>
      <c r="P78" s="147">
        <f t="shared" si="20"/>
        <v>11214.11</v>
      </c>
      <c r="Q78" s="147">
        <f>ROUND(MAX((P78-3500)*{0.03,0.1,0.2,0.25,0.3,0.35,0.45}-{0,105,555,1005,2755,5505,13505},0),2)</f>
        <v>987.82</v>
      </c>
      <c r="R78" s="147">
        <v>0</v>
      </c>
      <c r="S78" s="147">
        <v>0</v>
      </c>
      <c r="T78" s="147">
        <v>0</v>
      </c>
      <c r="U78" s="147">
        <f t="shared" si="21"/>
        <v>1385</v>
      </c>
      <c r="V78" s="147">
        <f t="shared" si="22"/>
        <v>10226.290000000001</v>
      </c>
    </row>
    <row r="79" spans="1:22" s="141" customFormat="1" ht="22.5" customHeight="1">
      <c r="A79" s="1">
        <v>75</v>
      </c>
      <c r="B79" s="306" t="s">
        <v>950</v>
      </c>
      <c r="C79" s="150" t="s">
        <v>183</v>
      </c>
      <c r="D79" s="147">
        <v>10000</v>
      </c>
      <c r="E79" s="147"/>
      <c r="F79" s="147">
        <f t="shared" si="17"/>
        <v>10000</v>
      </c>
      <c r="G79" s="155">
        <f>IFERROR(VLOOKUP(C79,'8月考勤表'!B:E,4,FALSE),0)</f>
        <v>30.88</v>
      </c>
      <c r="H79" s="147">
        <f t="shared" si="18"/>
        <v>9961.2900000000009</v>
      </c>
      <c r="I79" s="147">
        <v>0</v>
      </c>
      <c r="J79" s="147">
        <v>0</v>
      </c>
      <c r="K79" s="147">
        <v>0</v>
      </c>
      <c r="L79" s="147">
        <v>0</v>
      </c>
      <c r="M79" s="147">
        <f t="shared" si="19"/>
        <v>9961.2900000000009</v>
      </c>
      <c r="N79" s="148">
        <f>IFERROR(VLOOKUP(C79,知识科技社保!C:F,4,0),0)</f>
        <v>311.18</v>
      </c>
      <c r="O79" s="149">
        <f>IFERROR(VLOOKUP(C79,知识科技公积金!C:H,6,0),0)/2</f>
        <v>125</v>
      </c>
      <c r="P79" s="147">
        <f t="shared" si="20"/>
        <v>9525.11</v>
      </c>
      <c r="Q79" s="147">
        <f>ROUND(MAX((P79-3500)*{0.03,0.1,0.2,0.25,0.3,0.35,0.45}-{0,105,555,1005,2755,5505,13505},0),2)</f>
        <v>650.02</v>
      </c>
      <c r="R79" s="147">
        <v>0</v>
      </c>
      <c r="S79" s="147">
        <v>0</v>
      </c>
      <c r="T79" s="147">
        <v>0</v>
      </c>
      <c r="U79" s="147">
        <f t="shared" si="21"/>
        <v>1086.2</v>
      </c>
      <c r="V79" s="147">
        <f t="shared" si="22"/>
        <v>8875.09</v>
      </c>
    </row>
    <row r="80" spans="1:22" s="141" customFormat="1" ht="22.5" customHeight="1">
      <c r="A80" s="1">
        <v>76</v>
      </c>
      <c r="B80" s="307"/>
      <c r="C80" s="150" t="s">
        <v>181</v>
      </c>
      <c r="D80" s="147">
        <v>10000</v>
      </c>
      <c r="E80" s="147"/>
      <c r="F80" s="147">
        <f t="shared" si="17"/>
        <v>10000</v>
      </c>
      <c r="G80" s="155">
        <f>IFERROR(VLOOKUP(C80,'8月考勤表'!B:E,4,FALSE),0)</f>
        <v>31</v>
      </c>
      <c r="H80" s="147">
        <f t="shared" si="18"/>
        <v>10000</v>
      </c>
      <c r="I80" s="147">
        <v>0</v>
      </c>
      <c r="J80" s="147">
        <v>0</v>
      </c>
      <c r="K80" s="147">
        <v>0</v>
      </c>
      <c r="L80" s="147">
        <v>0</v>
      </c>
      <c r="M80" s="147">
        <f t="shared" ref="M80:M93" si="23">SUM(H80:L80)</f>
        <v>10000</v>
      </c>
      <c r="N80" s="148">
        <f>IFERROR(VLOOKUP(C80,知识科技社保!C:F,4,0),0)</f>
        <v>311.18</v>
      </c>
      <c r="O80" s="149">
        <f>IFERROR(VLOOKUP(C80,知识科技公积金!C:H,6,0),0)/2</f>
        <v>125</v>
      </c>
      <c r="P80" s="147">
        <f t="shared" si="20"/>
        <v>9563.82</v>
      </c>
      <c r="Q80" s="147">
        <f>ROUND(MAX((P80-3500)*{0.03,0.1,0.2,0.25,0.3,0.35,0.45}-{0,105,555,1005,2755,5505,13505},0),2)</f>
        <v>657.76</v>
      </c>
      <c r="R80" s="147">
        <v>0</v>
      </c>
      <c r="S80" s="147">
        <v>0</v>
      </c>
      <c r="T80" s="147">
        <v>0</v>
      </c>
      <c r="U80" s="147">
        <f t="shared" si="21"/>
        <v>1093.94</v>
      </c>
      <c r="V80" s="147">
        <f t="shared" si="22"/>
        <v>8906.06</v>
      </c>
    </row>
    <row r="81" spans="1:22" s="141" customFormat="1" ht="22.5" customHeight="1">
      <c r="A81" s="1">
        <v>77</v>
      </c>
      <c r="B81" s="307"/>
      <c r="C81" s="150" t="s">
        <v>187</v>
      </c>
      <c r="D81" s="147">
        <v>10000</v>
      </c>
      <c r="E81" s="147">
        <f>VLOOKUP(C81,'[4]6月中力知识工资'!$C$5:$F$127,3,0)</f>
        <v>0</v>
      </c>
      <c r="F81" s="147">
        <f t="shared" si="17"/>
        <v>10000</v>
      </c>
      <c r="G81" s="155">
        <f>IFERROR(VLOOKUP(C81,'8月考勤表'!B:E,4,FALSE),0)</f>
        <v>31</v>
      </c>
      <c r="H81" s="147">
        <f t="shared" si="18"/>
        <v>10000</v>
      </c>
      <c r="I81" s="147">
        <v>0</v>
      </c>
      <c r="J81" s="147">
        <v>0</v>
      </c>
      <c r="K81" s="147">
        <v>0</v>
      </c>
      <c r="L81" s="147">
        <v>0</v>
      </c>
      <c r="M81" s="147">
        <f t="shared" si="23"/>
        <v>10000</v>
      </c>
      <c r="N81" s="148">
        <f>IFERROR(VLOOKUP(C81,知识科技社保!C:F,4,0),0)</f>
        <v>287.18</v>
      </c>
      <c r="O81" s="149">
        <f>IFERROR(VLOOKUP(C81,知识科技公积金!C:H,6,0),0)/2</f>
        <v>110</v>
      </c>
      <c r="P81" s="147">
        <f t="shared" si="20"/>
        <v>9602.82</v>
      </c>
      <c r="Q81" s="147">
        <f>ROUND(MAX((P81-3500)*{0.03,0.1,0.2,0.25,0.3,0.35,0.45}-{0,105,555,1005,2755,5505,13505},0),2)</f>
        <v>665.56</v>
      </c>
      <c r="R81" s="147">
        <v>0</v>
      </c>
      <c r="S81" s="147">
        <v>0</v>
      </c>
      <c r="T81" s="147">
        <v>0</v>
      </c>
      <c r="U81" s="147">
        <f t="shared" si="21"/>
        <v>1062.74</v>
      </c>
      <c r="V81" s="147">
        <f t="shared" si="22"/>
        <v>8937.26</v>
      </c>
    </row>
    <row r="82" spans="1:22" s="141" customFormat="1" ht="22.5" customHeight="1">
      <c r="A82" s="1">
        <v>78</v>
      </c>
      <c r="B82" s="307"/>
      <c r="C82" s="150" t="s">
        <v>50</v>
      </c>
      <c r="D82" s="147">
        <v>10000</v>
      </c>
      <c r="E82" s="147">
        <f>VLOOKUP(C82,'[4]6月中力知识工资'!$C$5:$F$127,3,0)</f>
        <v>0</v>
      </c>
      <c r="F82" s="147">
        <f t="shared" si="17"/>
        <v>10000</v>
      </c>
      <c r="G82" s="155">
        <f>IFERROR(VLOOKUP(C82,'8月考勤表'!B:E,4,FALSE),0)</f>
        <v>31</v>
      </c>
      <c r="H82" s="147">
        <f t="shared" si="18"/>
        <v>10000</v>
      </c>
      <c r="I82" s="147">
        <v>0</v>
      </c>
      <c r="J82" s="147">
        <v>0</v>
      </c>
      <c r="K82" s="147">
        <v>0</v>
      </c>
      <c r="L82" s="147">
        <v>0</v>
      </c>
      <c r="M82" s="147">
        <f t="shared" si="23"/>
        <v>10000</v>
      </c>
      <c r="N82" s="148">
        <f>IFERROR(VLOOKUP(C82,知识科技社保!C:F,4,0),0)</f>
        <v>287.18</v>
      </c>
      <c r="O82" s="149">
        <f>IFERROR(VLOOKUP(C82,知识科技公积金!C:H,6,0),0)/2</f>
        <v>110</v>
      </c>
      <c r="P82" s="147">
        <f t="shared" si="20"/>
        <v>9602.82</v>
      </c>
      <c r="Q82" s="147">
        <f>ROUND(MAX((P82-3500)*{0.03,0.1,0.2,0.25,0.3,0.35,0.45}-{0,105,555,1005,2755,5505,13505},0),2)</f>
        <v>665.56</v>
      </c>
      <c r="R82" s="147">
        <v>0</v>
      </c>
      <c r="S82" s="147">
        <v>0</v>
      </c>
      <c r="T82" s="147">
        <v>0</v>
      </c>
      <c r="U82" s="147">
        <f t="shared" si="21"/>
        <v>1062.74</v>
      </c>
      <c r="V82" s="147">
        <f t="shared" si="22"/>
        <v>8937.26</v>
      </c>
    </row>
    <row r="83" spans="1:22" s="141" customFormat="1" ht="22.5" customHeight="1">
      <c r="A83" s="1">
        <v>79</v>
      </c>
      <c r="B83" s="307"/>
      <c r="C83" s="150" t="s">
        <v>190</v>
      </c>
      <c r="D83" s="147">
        <v>10000</v>
      </c>
      <c r="E83" s="147">
        <f>VLOOKUP(C83,'[4]6月中力知识工资'!$C$5:$F$127,3,0)</f>
        <v>0</v>
      </c>
      <c r="F83" s="147">
        <f t="shared" si="17"/>
        <v>10000</v>
      </c>
      <c r="G83" s="155">
        <f>IFERROR(VLOOKUP(C83,'8月考勤表'!B:E,4,FALSE),0)</f>
        <v>30.75</v>
      </c>
      <c r="H83" s="147">
        <f t="shared" si="18"/>
        <v>9919.35</v>
      </c>
      <c r="I83" s="147">
        <v>0</v>
      </c>
      <c r="J83" s="147">
        <v>0</v>
      </c>
      <c r="K83" s="147">
        <v>0</v>
      </c>
      <c r="L83" s="147">
        <v>0</v>
      </c>
      <c r="M83" s="147">
        <f t="shared" si="23"/>
        <v>9919.35</v>
      </c>
      <c r="N83" s="148">
        <f>IFERROR(VLOOKUP(C83,知识科技社保!C:F,4,0),0)</f>
        <v>287.18</v>
      </c>
      <c r="O83" s="149">
        <f>IFERROR(VLOOKUP(C83,知识科技公积金!C:H,6,0),0)/2</f>
        <v>110</v>
      </c>
      <c r="P83" s="147">
        <f t="shared" si="20"/>
        <v>9522.17</v>
      </c>
      <c r="Q83" s="147">
        <f>ROUND(MAX((P83-3500)*{0.03,0.1,0.2,0.25,0.3,0.35,0.45}-{0,105,555,1005,2755,5505,13505},0),2)</f>
        <v>649.42999999999995</v>
      </c>
      <c r="R83" s="147">
        <v>0</v>
      </c>
      <c r="S83" s="147">
        <v>0</v>
      </c>
      <c r="T83" s="147">
        <v>0</v>
      </c>
      <c r="U83" s="147">
        <f t="shared" si="21"/>
        <v>1046.6099999999999</v>
      </c>
      <c r="V83" s="147">
        <f t="shared" si="22"/>
        <v>8872.74</v>
      </c>
    </row>
    <row r="84" spans="1:22" s="141" customFormat="1" ht="22.5" customHeight="1">
      <c r="A84" s="1">
        <v>80</v>
      </c>
      <c r="B84" s="307"/>
      <c r="C84" s="150" t="s">
        <v>53</v>
      </c>
      <c r="D84" s="147">
        <v>10000</v>
      </c>
      <c r="E84" s="147">
        <f>VLOOKUP(C84,'[4]6月中力知识工资'!$C$5:$F$127,3,0)</f>
        <v>0</v>
      </c>
      <c r="F84" s="147">
        <f t="shared" si="17"/>
        <v>10000</v>
      </c>
      <c r="G84" s="155">
        <f>IFERROR(VLOOKUP(C84,'8月考勤表'!B:E,4,FALSE),0)</f>
        <v>31</v>
      </c>
      <c r="H84" s="147">
        <f t="shared" si="18"/>
        <v>10000</v>
      </c>
      <c r="I84" s="147">
        <v>0</v>
      </c>
      <c r="J84" s="147">
        <v>0</v>
      </c>
      <c r="K84" s="147">
        <v>0</v>
      </c>
      <c r="L84" s="147">
        <v>0</v>
      </c>
      <c r="M84" s="147">
        <f t="shared" si="23"/>
        <v>10000</v>
      </c>
      <c r="N84" s="148">
        <f>IFERROR(VLOOKUP(C84,知识科技社保!C:F,4,0),0)</f>
        <v>287.18</v>
      </c>
      <c r="O84" s="149">
        <f>IFERROR(VLOOKUP(C84,知识科技公积金!C:H,6,0),0)/2</f>
        <v>110</v>
      </c>
      <c r="P84" s="147">
        <f t="shared" si="20"/>
        <v>9602.82</v>
      </c>
      <c r="Q84" s="147">
        <f>ROUND(MAX((P84-3500)*{0.03,0.1,0.2,0.25,0.3,0.35,0.45}-{0,105,555,1005,2755,5505,13505},0),2)</f>
        <v>665.56</v>
      </c>
      <c r="R84" s="147">
        <v>0</v>
      </c>
      <c r="S84" s="147">
        <v>0</v>
      </c>
      <c r="T84" s="147">
        <v>0</v>
      </c>
      <c r="U84" s="147">
        <f t="shared" si="21"/>
        <v>1062.74</v>
      </c>
      <c r="V84" s="147">
        <f t="shared" si="22"/>
        <v>8937.26</v>
      </c>
    </row>
    <row r="85" spans="1:22" s="141" customFormat="1" ht="22.5" customHeight="1">
      <c r="A85" s="1">
        <v>81</v>
      </c>
      <c r="B85" s="307"/>
      <c r="C85" s="150" t="s">
        <v>193</v>
      </c>
      <c r="D85" s="147">
        <v>10000</v>
      </c>
      <c r="E85" s="147">
        <f>VLOOKUP(C85,'[4]6月中力知识工资'!$C$5:$F$127,3,0)</f>
        <v>0</v>
      </c>
      <c r="F85" s="147">
        <f t="shared" si="17"/>
        <v>10000</v>
      </c>
      <c r="G85" s="155">
        <f>IFERROR(VLOOKUP(C85,'8月考勤表'!B:E,4,FALSE),0)</f>
        <v>30.5</v>
      </c>
      <c r="H85" s="147">
        <f>ROUND(12000/31*1+14000/31*30,2)</f>
        <v>13935.48</v>
      </c>
      <c r="I85" s="147">
        <v>0</v>
      </c>
      <c r="J85" s="147">
        <v>0</v>
      </c>
      <c r="K85" s="147">
        <v>0</v>
      </c>
      <c r="L85" s="147">
        <v>0</v>
      </c>
      <c r="M85" s="147">
        <f t="shared" si="23"/>
        <v>13935.48</v>
      </c>
      <c r="N85" s="148">
        <f>IFERROR(VLOOKUP(C85,知识科技社保!C:F,4,0),0)</f>
        <v>287.18</v>
      </c>
      <c r="O85" s="149">
        <f>IFERROR(VLOOKUP(C85,知识科技公积金!C:H,6,0),0)/2</f>
        <v>110</v>
      </c>
      <c r="P85" s="147">
        <f t="shared" si="20"/>
        <v>13538.3</v>
      </c>
      <c r="Q85" s="147">
        <f>ROUND(MAX((P85-3500)*{0.03,0.1,0.2,0.25,0.3,0.35,0.45}-{0,105,555,1005,2755,5505,13505},0),2)</f>
        <v>1504.58</v>
      </c>
      <c r="R85" s="147">
        <v>0</v>
      </c>
      <c r="S85" s="147">
        <v>0</v>
      </c>
      <c r="T85" s="147">
        <v>0</v>
      </c>
      <c r="U85" s="147">
        <f t="shared" si="21"/>
        <v>1901.76</v>
      </c>
      <c r="V85" s="147">
        <f t="shared" si="22"/>
        <v>12033.72</v>
      </c>
    </row>
    <row r="86" spans="1:22" s="141" customFormat="1" ht="22.5" customHeight="1">
      <c r="A86" s="1">
        <v>82</v>
      </c>
      <c r="B86" s="307"/>
      <c r="C86" s="150" t="s">
        <v>195</v>
      </c>
      <c r="D86" s="147">
        <v>10000</v>
      </c>
      <c r="E86" s="147">
        <f>VLOOKUP(C86,'[4]6月中力知识工资'!$C$5:$F$127,3,0)</f>
        <v>0</v>
      </c>
      <c r="F86" s="147">
        <f t="shared" si="17"/>
        <v>10000</v>
      </c>
      <c r="G86" s="155">
        <f>IFERROR(VLOOKUP(C86,'8月考勤表'!B:E,4,FALSE),0)</f>
        <v>30</v>
      </c>
      <c r="H86" s="147">
        <f t="shared" si="18"/>
        <v>9677.42</v>
      </c>
      <c r="I86" s="147">
        <v>0</v>
      </c>
      <c r="J86" s="147">
        <v>0</v>
      </c>
      <c r="K86" s="147">
        <v>0</v>
      </c>
      <c r="L86" s="147">
        <v>0</v>
      </c>
      <c r="M86" s="147">
        <f t="shared" si="23"/>
        <v>9677.42</v>
      </c>
      <c r="N86" s="148">
        <f>IFERROR(VLOOKUP(C86,知识科技社保!C:F,4,0),0)</f>
        <v>287.18</v>
      </c>
      <c r="O86" s="149">
        <f>IFERROR(VLOOKUP(C86,知识科技公积金!C:H,6,0),0)/2</f>
        <v>110</v>
      </c>
      <c r="P86" s="147">
        <f t="shared" si="20"/>
        <v>9280.24</v>
      </c>
      <c r="Q86" s="147">
        <f>ROUND(MAX((P86-3500)*{0.03,0.1,0.2,0.25,0.3,0.35,0.45}-{0,105,555,1005,2755,5505,13505},0),2)</f>
        <v>601.04999999999995</v>
      </c>
      <c r="R86" s="147">
        <v>0</v>
      </c>
      <c r="S86" s="147">
        <v>0</v>
      </c>
      <c r="T86" s="147">
        <v>0</v>
      </c>
      <c r="U86" s="147">
        <f t="shared" si="21"/>
        <v>998.23</v>
      </c>
      <c r="V86" s="147">
        <f t="shared" si="22"/>
        <v>8679.19</v>
      </c>
    </row>
    <row r="87" spans="1:22" s="141" customFormat="1" ht="22.5" customHeight="1">
      <c r="A87" s="1">
        <v>83</v>
      </c>
      <c r="B87" s="307"/>
      <c r="C87" s="150" t="s">
        <v>197</v>
      </c>
      <c r="D87" s="147">
        <v>10000</v>
      </c>
      <c r="E87" s="147">
        <f>VLOOKUP(C87,'[4]6月中力知识工资'!$C$5:$F$127,3,0)</f>
        <v>0</v>
      </c>
      <c r="F87" s="147">
        <f t="shared" si="17"/>
        <v>10000</v>
      </c>
      <c r="G87" s="155">
        <f>IFERROR(VLOOKUP(C87,'8月考勤表'!B:E,4,FALSE),0)</f>
        <v>31</v>
      </c>
      <c r="H87" s="147">
        <f>ROUND(13000/31*19+14000/31*12,2)</f>
        <v>13387.1</v>
      </c>
      <c r="I87" s="147">
        <v>0</v>
      </c>
      <c r="J87" s="147">
        <v>0</v>
      </c>
      <c r="K87" s="147">
        <v>0</v>
      </c>
      <c r="L87" s="147">
        <v>0</v>
      </c>
      <c r="M87" s="147">
        <f t="shared" si="23"/>
        <v>13387.1</v>
      </c>
      <c r="N87" s="148">
        <f>IFERROR(VLOOKUP(C87,知识科技社保!C:F,4,0),0)</f>
        <v>287.18</v>
      </c>
      <c r="O87" s="149">
        <f>IFERROR(VLOOKUP(C87,知识科技公积金!C:H,6,0),0)/2</f>
        <v>110</v>
      </c>
      <c r="P87" s="147">
        <f t="shared" si="20"/>
        <v>12989.92</v>
      </c>
      <c r="Q87" s="147">
        <f>ROUND(MAX((P87-3500)*{0.03,0.1,0.2,0.25,0.3,0.35,0.45}-{0,105,555,1005,2755,5505,13505},0),2)</f>
        <v>1367.48</v>
      </c>
      <c r="R87" s="147">
        <v>0</v>
      </c>
      <c r="S87" s="147">
        <v>0</v>
      </c>
      <c r="T87" s="147">
        <v>0</v>
      </c>
      <c r="U87" s="147">
        <f t="shared" si="21"/>
        <v>1764.66</v>
      </c>
      <c r="V87" s="147">
        <f t="shared" si="22"/>
        <v>11622.44</v>
      </c>
    </row>
    <row r="88" spans="1:22" s="141" customFormat="1" ht="22.5" customHeight="1">
      <c r="A88" s="1">
        <v>84</v>
      </c>
      <c r="B88" s="307"/>
      <c r="C88" s="150" t="s">
        <v>948</v>
      </c>
      <c r="D88" s="147">
        <v>10000</v>
      </c>
      <c r="E88" s="147">
        <f>VLOOKUP(C88,'[4]6月中力知识工资'!$C$5:$F$127,3,0)</f>
        <v>0</v>
      </c>
      <c r="F88" s="147">
        <f t="shared" si="17"/>
        <v>10000</v>
      </c>
      <c r="G88" s="155">
        <f>IFERROR(VLOOKUP(C88,'8月考勤表'!B:E,4,FALSE),0)</f>
        <v>31</v>
      </c>
      <c r="H88" s="147">
        <f>ROUND(14000/31*19+15000/31*12,2)</f>
        <v>14387.1</v>
      </c>
      <c r="I88" s="147">
        <v>0</v>
      </c>
      <c r="J88" s="147">
        <v>0</v>
      </c>
      <c r="K88" s="147">
        <v>0</v>
      </c>
      <c r="L88" s="147">
        <v>0</v>
      </c>
      <c r="M88" s="147">
        <f t="shared" si="23"/>
        <v>14387.1</v>
      </c>
      <c r="N88" s="148">
        <f>IFERROR(VLOOKUP(C88,知识科技社保!C:F,4,0),0)</f>
        <v>287.18</v>
      </c>
      <c r="O88" s="149">
        <f>IFERROR(VLOOKUP(C88,知识科技公积金!C:H,6,0),0)/2</f>
        <v>110</v>
      </c>
      <c r="P88" s="147">
        <f t="shared" si="20"/>
        <v>13989.92</v>
      </c>
      <c r="Q88" s="147">
        <f>ROUND(MAX((P88-3500)*{0.03,0.1,0.2,0.25,0.3,0.35,0.45}-{0,105,555,1005,2755,5505,13505},0),2)</f>
        <v>1617.48</v>
      </c>
      <c r="R88" s="147">
        <v>0</v>
      </c>
      <c r="S88" s="147">
        <v>0</v>
      </c>
      <c r="T88" s="147">
        <v>0</v>
      </c>
      <c r="U88" s="147">
        <f t="shared" si="21"/>
        <v>2014.66</v>
      </c>
      <c r="V88" s="147">
        <f t="shared" si="22"/>
        <v>12372.44</v>
      </c>
    </row>
    <row r="89" spans="1:22" s="141" customFormat="1" ht="22.5" customHeight="1">
      <c r="A89" s="1">
        <v>85</v>
      </c>
      <c r="B89" s="307"/>
      <c r="C89" s="150" t="s">
        <v>949</v>
      </c>
      <c r="D89" s="147">
        <v>10000</v>
      </c>
      <c r="E89" s="147">
        <f>VLOOKUP(C89,'[4]6月中力知识工资'!$C$5:$F$127,3,0)</f>
        <v>0</v>
      </c>
      <c r="F89" s="147">
        <f t="shared" si="17"/>
        <v>10000</v>
      </c>
      <c r="G89" s="155">
        <f>IFERROR(VLOOKUP(C89,'8月考勤表'!B:E,4,FALSE),0)</f>
        <v>31</v>
      </c>
      <c r="H89" s="147">
        <f t="shared" si="18"/>
        <v>10000</v>
      </c>
      <c r="I89" s="147">
        <v>0</v>
      </c>
      <c r="J89" s="147">
        <v>0</v>
      </c>
      <c r="K89" s="147">
        <v>0</v>
      </c>
      <c r="L89" s="147">
        <v>0</v>
      </c>
      <c r="M89" s="147">
        <f t="shared" si="23"/>
        <v>10000</v>
      </c>
      <c r="N89" s="148">
        <f>IFERROR(VLOOKUP(C89,知识科技社保!C:F,4,0),0)</f>
        <v>287.18</v>
      </c>
      <c r="O89" s="149">
        <f>IFERROR(VLOOKUP(C89,知识科技公积金!C:H,6,0),0)/2</f>
        <v>110</v>
      </c>
      <c r="P89" s="147">
        <f t="shared" si="20"/>
        <v>9602.82</v>
      </c>
      <c r="Q89" s="147">
        <f>ROUND(MAX((P89-3500)*{0.03,0.1,0.2,0.25,0.3,0.35,0.45}-{0,105,555,1005,2755,5505,13505},0),2)</f>
        <v>665.56</v>
      </c>
      <c r="R89" s="147">
        <v>0</v>
      </c>
      <c r="S89" s="147">
        <v>0</v>
      </c>
      <c r="T89" s="147">
        <v>0</v>
      </c>
      <c r="U89" s="147">
        <f t="shared" si="21"/>
        <v>1062.74</v>
      </c>
      <c r="V89" s="147">
        <f t="shared" si="22"/>
        <v>8937.26</v>
      </c>
    </row>
    <row r="90" spans="1:22" s="141" customFormat="1" ht="22.5" customHeight="1">
      <c r="A90" s="1">
        <v>86</v>
      </c>
      <c r="B90" s="307"/>
      <c r="C90" s="150" t="s">
        <v>211</v>
      </c>
      <c r="D90" s="147">
        <v>10000</v>
      </c>
      <c r="E90" s="147">
        <f>VLOOKUP(C90,'[4]6月中力知识工资'!$C$5:$F$127,3,0)</f>
        <v>0</v>
      </c>
      <c r="F90" s="147">
        <f t="shared" si="17"/>
        <v>10000</v>
      </c>
      <c r="G90" s="155">
        <f>IFERROR(VLOOKUP(C90,'8月考勤表'!B:E,4,FALSE),0)</f>
        <v>30</v>
      </c>
      <c r="H90" s="147">
        <f t="shared" si="18"/>
        <v>9677.42</v>
      </c>
      <c r="I90" s="147">
        <v>0</v>
      </c>
      <c r="J90" s="147">
        <v>0</v>
      </c>
      <c r="K90" s="147">
        <v>0</v>
      </c>
      <c r="L90" s="147">
        <v>0</v>
      </c>
      <c r="M90" s="147">
        <f t="shared" si="23"/>
        <v>9677.42</v>
      </c>
      <c r="N90" s="148">
        <f>IFERROR(VLOOKUP(C90,知识科技社保!C:F,4,0),0)</f>
        <v>287.18</v>
      </c>
      <c r="O90" s="149">
        <f>IFERROR(VLOOKUP(C90,知识科技公积金!C:H,6,0),0)/2</f>
        <v>110</v>
      </c>
      <c r="P90" s="147">
        <f t="shared" si="20"/>
        <v>9280.24</v>
      </c>
      <c r="Q90" s="147">
        <f>ROUND(MAX((P90-3500)*{0.03,0.1,0.2,0.25,0.3,0.35,0.45}-{0,105,555,1005,2755,5505,13505},0),2)</f>
        <v>601.04999999999995</v>
      </c>
      <c r="R90" s="147">
        <v>0</v>
      </c>
      <c r="S90" s="147">
        <v>0</v>
      </c>
      <c r="T90" s="147">
        <v>0</v>
      </c>
      <c r="U90" s="147">
        <f t="shared" si="21"/>
        <v>998.23</v>
      </c>
      <c r="V90" s="147">
        <f t="shared" si="22"/>
        <v>8679.19</v>
      </c>
    </row>
    <row r="91" spans="1:22" s="141" customFormat="1" ht="22.5" customHeight="1">
      <c r="A91" s="1">
        <v>87</v>
      </c>
      <c r="B91" s="307"/>
      <c r="C91" s="150" t="s">
        <v>203</v>
      </c>
      <c r="D91" s="147">
        <v>10000</v>
      </c>
      <c r="E91" s="147">
        <f>VLOOKUP(C91,'[4]6月中力知识工资'!$C$5:$F$127,3,0)</f>
        <v>0</v>
      </c>
      <c r="F91" s="147">
        <f t="shared" si="17"/>
        <v>10000</v>
      </c>
      <c r="G91" s="155">
        <f>IFERROR(VLOOKUP(C91,'8月考勤表'!B:E,4,FALSE),0)</f>
        <v>31</v>
      </c>
      <c r="H91" s="147">
        <f t="shared" si="18"/>
        <v>10000</v>
      </c>
      <c r="I91" s="147">
        <v>0</v>
      </c>
      <c r="J91" s="147">
        <v>0</v>
      </c>
      <c r="K91" s="147">
        <v>0</v>
      </c>
      <c r="L91" s="147">
        <v>0</v>
      </c>
      <c r="M91" s="147">
        <f t="shared" si="23"/>
        <v>10000</v>
      </c>
      <c r="N91" s="148">
        <f>IFERROR(VLOOKUP(C91,知识科技社保!C:F,4,0),0)</f>
        <v>287.18</v>
      </c>
      <c r="O91" s="149">
        <f>IFERROR(VLOOKUP(C91,知识科技公积金!C:H,6,0),0)/2</f>
        <v>110</v>
      </c>
      <c r="P91" s="147">
        <f t="shared" si="20"/>
        <v>9602.82</v>
      </c>
      <c r="Q91" s="147">
        <f>ROUND(MAX((P91-3500)*{0.03,0.1,0.2,0.25,0.3,0.35,0.45}-{0,105,555,1005,2755,5505,13505},0),2)</f>
        <v>665.56</v>
      </c>
      <c r="R91" s="147">
        <v>0</v>
      </c>
      <c r="S91" s="147">
        <v>0</v>
      </c>
      <c r="T91" s="147">
        <v>0</v>
      </c>
      <c r="U91" s="147">
        <f t="shared" si="21"/>
        <v>1062.74</v>
      </c>
      <c r="V91" s="147">
        <f t="shared" si="22"/>
        <v>8937.26</v>
      </c>
    </row>
    <row r="92" spans="1:22" s="141" customFormat="1" ht="22.5" customHeight="1">
      <c r="A92" s="1">
        <v>88</v>
      </c>
      <c r="B92" s="307"/>
      <c r="C92" s="150" t="s">
        <v>205</v>
      </c>
      <c r="D92" s="147">
        <v>10000</v>
      </c>
      <c r="E92" s="147">
        <f>VLOOKUP(C92,'[4]6月中力知识工资'!$C$5:$F$127,3,0)</f>
        <v>0</v>
      </c>
      <c r="F92" s="147">
        <f t="shared" si="17"/>
        <v>10000</v>
      </c>
      <c r="G92" s="155">
        <f>IFERROR(VLOOKUP(C92,'8月考勤表'!B:E,4,FALSE),0)</f>
        <v>30</v>
      </c>
      <c r="H92" s="147">
        <f t="shared" si="18"/>
        <v>9677.42</v>
      </c>
      <c r="I92" s="147">
        <v>0</v>
      </c>
      <c r="J92" s="147">
        <v>0</v>
      </c>
      <c r="K92" s="147">
        <v>0</v>
      </c>
      <c r="L92" s="147">
        <v>0</v>
      </c>
      <c r="M92" s="147">
        <f t="shared" si="23"/>
        <v>9677.42</v>
      </c>
      <c r="N92" s="148">
        <f>IFERROR(VLOOKUP(C92,知识科技社保!C:F,4,0),0)</f>
        <v>287.18</v>
      </c>
      <c r="O92" s="149">
        <f>IFERROR(VLOOKUP(C92,知识科技公积金!C:H,6,0),0)/2</f>
        <v>110</v>
      </c>
      <c r="P92" s="147">
        <f t="shared" si="20"/>
        <v>9280.24</v>
      </c>
      <c r="Q92" s="147">
        <f>ROUND(MAX((P92-3500)*{0.03,0.1,0.2,0.25,0.3,0.35,0.45}-{0,105,555,1005,2755,5505,13505},0),2)</f>
        <v>601.04999999999995</v>
      </c>
      <c r="R92" s="147">
        <v>0</v>
      </c>
      <c r="S92" s="147">
        <v>0</v>
      </c>
      <c r="T92" s="147">
        <v>0</v>
      </c>
      <c r="U92" s="147">
        <f t="shared" si="21"/>
        <v>998.23</v>
      </c>
      <c r="V92" s="147">
        <f t="shared" si="22"/>
        <v>8679.19</v>
      </c>
    </row>
    <row r="93" spans="1:22" s="141" customFormat="1" ht="22.5" customHeight="1">
      <c r="A93" s="1">
        <v>89</v>
      </c>
      <c r="B93" s="307"/>
      <c r="C93" s="150" t="s">
        <v>207</v>
      </c>
      <c r="D93" s="147">
        <v>10000</v>
      </c>
      <c r="E93" s="147">
        <f>VLOOKUP(C93,'[4]6月中力知识工资'!$C$5:$F$127,3,0)</f>
        <v>0</v>
      </c>
      <c r="F93" s="147">
        <f t="shared" si="17"/>
        <v>10000</v>
      </c>
      <c r="G93" s="155">
        <f>IFERROR(VLOOKUP(C93,'8月考勤表'!B:E,4,FALSE),0)</f>
        <v>31</v>
      </c>
      <c r="H93" s="147">
        <f t="shared" si="18"/>
        <v>10000</v>
      </c>
      <c r="I93" s="147">
        <v>0</v>
      </c>
      <c r="J93" s="147">
        <v>0</v>
      </c>
      <c r="K93" s="147">
        <v>0</v>
      </c>
      <c r="L93" s="147">
        <v>0</v>
      </c>
      <c r="M93" s="147">
        <f t="shared" si="23"/>
        <v>10000</v>
      </c>
      <c r="N93" s="148">
        <f>IFERROR(VLOOKUP(C93,知识科技社保!C:F,4,0),0)</f>
        <v>287.18</v>
      </c>
      <c r="O93" s="149">
        <f>IFERROR(VLOOKUP(C93,知识科技公积金!C:H,6,0),0)/2</f>
        <v>110</v>
      </c>
      <c r="P93" s="147">
        <f t="shared" si="20"/>
        <v>9602.82</v>
      </c>
      <c r="Q93" s="147">
        <f>ROUND(MAX((P93-3500)*{0.03,0.1,0.2,0.25,0.3,0.35,0.45}-{0,105,555,1005,2755,5505,13505},0),2)</f>
        <v>665.56</v>
      </c>
      <c r="R93" s="147">
        <v>0</v>
      </c>
      <c r="S93" s="147">
        <v>0</v>
      </c>
      <c r="T93" s="147">
        <v>0</v>
      </c>
      <c r="U93" s="147">
        <f t="shared" si="21"/>
        <v>1062.74</v>
      </c>
      <c r="V93" s="147">
        <f t="shared" si="22"/>
        <v>8937.26</v>
      </c>
    </row>
    <row r="94" spans="1:22" s="141" customFormat="1" ht="22.5" customHeight="1">
      <c r="A94" s="1">
        <v>90</v>
      </c>
      <c r="B94" s="307"/>
      <c r="C94" s="150" t="s">
        <v>19</v>
      </c>
      <c r="D94" s="147">
        <v>10000</v>
      </c>
      <c r="E94" s="147">
        <v>0</v>
      </c>
      <c r="F94" s="147">
        <f t="shared" si="17"/>
        <v>10000</v>
      </c>
      <c r="G94" s="155">
        <f>IFERROR(VLOOKUP(C94,'8月考勤表'!B:E,4,FALSE),0)</f>
        <v>31</v>
      </c>
      <c r="H94" s="147">
        <f t="shared" si="18"/>
        <v>10000</v>
      </c>
      <c r="I94" s="147">
        <v>0</v>
      </c>
      <c r="J94" s="147">
        <v>0</v>
      </c>
      <c r="K94" s="147">
        <v>0</v>
      </c>
      <c r="L94" s="147">
        <v>0</v>
      </c>
      <c r="M94" s="147">
        <f t="shared" ref="M94:M111" si="24">SUM(H94:L94)</f>
        <v>10000</v>
      </c>
      <c r="N94" s="148">
        <f>IFERROR(VLOOKUP(C94,知识科技社保!C:F,4,0),0)</f>
        <v>311.18</v>
      </c>
      <c r="O94" s="149">
        <f>IFERROR(VLOOKUP(C94,知识科技公积金!C:H,6,0),0)/2</f>
        <v>125</v>
      </c>
      <c r="P94" s="147">
        <f t="shared" si="20"/>
        <v>9563.82</v>
      </c>
      <c r="Q94" s="147">
        <f>ROUND(MAX((P94-3500)*{0.03,0.1,0.2,0.25,0.3,0.35,0.45}-{0,105,555,1005,2755,5505,13505},0),2)</f>
        <v>657.76</v>
      </c>
      <c r="R94" s="147">
        <v>0</v>
      </c>
      <c r="S94" s="147">
        <v>0</v>
      </c>
      <c r="T94" s="147">
        <v>0</v>
      </c>
      <c r="U94" s="147">
        <f t="shared" si="21"/>
        <v>1093.94</v>
      </c>
      <c r="V94" s="147">
        <f t="shared" si="22"/>
        <v>8906.06</v>
      </c>
    </row>
    <row r="95" spans="1:22" s="141" customFormat="1" ht="22.5" customHeight="1">
      <c r="A95" s="1">
        <v>91</v>
      </c>
      <c r="B95" s="307"/>
      <c r="C95" s="150" t="s">
        <v>15</v>
      </c>
      <c r="D95" s="147">
        <v>10000</v>
      </c>
      <c r="E95" s="147">
        <v>0</v>
      </c>
      <c r="F95" s="147">
        <f t="shared" si="17"/>
        <v>10000</v>
      </c>
      <c r="G95" s="155">
        <f>IFERROR(VLOOKUP(C95,'8月考勤表'!B:E,4,FALSE),0)</f>
        <v>31</v>
      </c>
      <c r="H95" s="147">
        <f t="shared" si="18"/>
        <v>10000</v>
      </c>
      <c r="I95" s="147">
        <v>0</v>
      </c>
      <c r="J95" s="147">
        <v>0</v>
      </c>
      <c r="K95" s="147">
        <v>0</v>
      </c>
      <c r="L95" s="147">
        <v>0</v>
      </c>
      <c r="M95" s="147">
        <f t="shared" si="24"/>
        <v>10000</v>
      </c>
      <c r="N95" s="148">
        <f>IFERROR(VLOOKUP(C95,知识科技社保!C:F,4,0),0)</f>
        <v>287.18</v>
      </c>
      <c r="O95" s="149">
        <f>IFERROR(VLOOKUP(C95,知识科技公积金!C:H,6,0),0)/2</f>
        <v>110</v>
      </c>
      <c r="P95" s="147">
        <f t="shared" si="20"/>
        <v>9602.82</v>
      </c>
      <c r="Q95" s="147">
        <f>ROUND(MAX((P95-3500)*{0.03,0.1,0.2,0.25,0.3,0.35,0.45}-{0,105,555,1005,2755,5505,13505},0),2)</f>
        <v>665.56</v>
      </c>
      <c r="R95" s="147">
        <v>0</v>
      </c>
      <c r="S95" s="147">
        <v>0</v>
      </c>
      <c r="T95" s="147">
        <v>0</v>
      </c>
      <c r="U95" s="147">
        <f t="shared" si="21"/>
        <v>1062.74</v>
      </c>
      <c r="V95" s="147">
        <f t="shared" si="22"/>
        <v>8937.26</v>
      </c>
    </row>
    <row r="96" spans="1:22" s="141" customFormat="1" ht="22.5" customHeight="1">
      <c r="A96" s="1">
        <v>92</v>
      </c>
      <c r="B96" s="307"/>
      <c r="C96" s="150" t="s">
        <v>29</v>
      </c>
      <c r="D96" s="147">
        <v>10000</v>
      </c>
      <c r="E96" s="147">
        <v>0</v>
      </c>
      <c r="F96" s="147">
        <f t="shared" si="17"/>
        <v>10000</v>
      </c>
      <c r="G96" s="155">
        <f>IFERROR(VLOOKUP(C96,'8月考勤表'!B:E,4,FALSE),0)</f>
        <v>31</v>
      </c>
      <c r="H96" s="147">
        <f t="shared" si="18"/>
        <v>10000</v>
      </c>
      <c r="I96" s="147">
        <v>0</v>
      </c>
      <c r="J96" s="147">
        <v>0</v>
      </c>
      <c r="K96" s="147">
        <v>0</v>
      </c>
      <c r="L96" s="147">
        <v>0</v>
      </c>
      <c r="M96" s="147">
        <f t="shared" si="24"/>
        <v>10000</v>
      </c>
      <c r="N96" s="148">
        <f>IFERROR(VLOOKUP(C96,知识科技社保!C:F,4,0),0)</f>
        <v>287.18</v>
      </c>
      <c r="O96" s="149">
        <f>IFERROR(VLOOKUP(C96,知识科技公积金!C:H,6,0),0)/2</f>
        <v>110</v>
      </c>
      <c r="P96" s="147">
        <f t="shared" si="20"/>
        <v>9602.82</v>
      </c>
      <c r="Q96" s="147">
        <f>ROUND(MAX((P96-3500)*{0.03,0.1,0.2,0.25,0.3,0.35,0.45}-{0,105,555,1005,2755,5505,13505},0),2)</f>
        <v>665.56</v>
      </c>
      <c r="R96" s="147">
        <v>0</v>
      </c>
      <c r="S96" s="147">
        <v>0</v>
      </c>
      <c r="T96" s="147">
        <v>0</v>
      </c>
      <c r="U96" s="147">
        <f t="shared" si="21"/>
        <v>1062.74</v>
      </c>
      <c r="V96" s="147">
        <f t="shared" si="22"/>
        <v>8937.26</v>
      </c>
    </row>
    <row r="97" spans="1:22" s="141" customFormat="1" ht="22.5" customHeight="1">
      <c r="A97" s="1">
        <v>93</v>
      </c>
      <c r="B97" s="307"/>
      <c r="C97" s="150" t="s">
        <v>214</v>
      </c>
      <c r="D97" s="147">
        <v>10000</v>
      </c>
      <c r="E97" s="147">
        <f>VLOOKUP(C97,'[4]6月中力知识工资'!$C$5:$F$127,3,0)</f>
        <v>0</v>
      </c>
      <c r="F97" s="147">
        <f t="shared" si="17"/>
        <v>10000</v>
      </c>
      <c r="G97" s="155">
        <f>IFERROR(VLOOKUP(C97,'8月考勤表'!B:E,4,FALSE),0)</f>
        <v>30.88</v>
      </c>
      <c r="H97" s="147">
        <f t="shared" si="18"/>
        <v>9961.2900000000009</v>
      </c>
      <c r="I97" s="147">
        <v>0</v>
      </c>
      <c r="J97" s="147">
        <v>0</v>
      </c>
      <c r="K97" s="147">
        <v>0</v>
      </c>
      <c r="L97" s="147">
        <v>0</v>
      </c>
      <c r="M97" s="147">
        <f t="shared" si="24"/>
        <v>9961.2900000000009</v>
      </c>
      <c r="N97" s="148">
        <f>IFERROR(VLOOKUP(C97,知识科技社保!C:F,4,0),0)</f>
        <v>287.18</v>
      </c>
      <c r="O97" s="149">
        <f>IFERROR(VLOOKUP(C97,知识科技公积金!C:H,6,0),0)/2</f>
        <v>110</v>
      </c>
      <c r="P97" s="147">
        <f t="shared" si="20"/>
        <v>9564.11</v>
      </c>
      <c r="Q97" s="147">
        <f>ROUND(MAX((P97-3500)*{0.03,0.1,0.2,0.25,0.3,0.35,0.45}-{0,105,555,1005,2755,5505,13505},0),2)</f>
        <v>657.82</v>
      </c>
      <c r="R97" s="147">
        <v>0</v>
      </c>
      <c r="S97" s="147">
        <v>0</v>
      </c>
      <c r="T97" s="147">
        <v>0</v>
      </c>
      <c r="U97" s="147">
        <f t="shared" si="21"/>
        <v>1055</v>
      </c>
      <c r="V97" s="147">
        <f t="shared" si="22"/>
        <v>8906.2900000000009</v>
      </c>
    </row>
    <row r="98" spans="1:22" s="141" customFormat="1" ht="22.5" customHeight="1">
      <c r="A98" s="1">
        <v>94</v>
      </c>
      <c r="B98" s="307"/>
      <c r="C98" s="150" t="s">
        <v>879</v>
      </c>
      <c r="D98" s="147">
        <v>10000</v>
      </c>
      <c r="E98" s="147">
        <v>0</v>
      </c>
      <c r="F98" s="147">
        <f t="shared" si="17"/>
        <v>10000</v>
      </c>
      <c r="G98" s="155">
        <f>IFERROR(VLOOKUP(C98,'8月考勤表'!B:E,4,FALSE),0)</f>
        <v>23</v>
      </c>
      <c r="H98" s="147">
        <f t="shared" si="18"/>
        <v>7419.35</v>
      </c>
      <c r="I98" s="147">
        <v>0</v>
      </c>
      <c r="J98" s="147">
        <v>0</v>
      </c>
      <c r="K98" s="147">
        <v>0</v>
      </c>
      <c r="L98" s="147">
        <v>0</v>
      </c>
      <c r="M98" s="147">
        <f t="shared" si="24"/>
        <v>7419.35</v>
      </c>
      <c r="N98" s="148">
        <f>IFERROR(VLOOKUP(C98,知识科技社保!C:F,4,0),0)</f>
        <v>203.7</v>
      </c>
      <c r="O98" s="149">
        <f>IFERROR(VLOOKUP(C98,知识科技公积金!C:H,6,0),0)/2</f>
        <v>110</v>
      </c>
      <c r="P98" s="147">
        <f t="shared" si="20"/>
        <v>7105.6500000000005</v>
      </c>
      <c r="Q98" s="147">
        <f>ROUND(MAX((P98-3500)*{0.03,0.1,0.2,0.25,0.3,0.35,0.45}-{0,105,555,1005,2755,5505,13505},0),2)</f>
        <v>255.57</v>
      </c>
      <c r="R98" s="147">
        <v>0</v>
      </c>
      <c r="S98" s="147">
        <v>0</v>
      </c>
      <c r="T98" s="147">
        <v>0</v>
      </c>
      <c r="U98" s="147">
        <f t="shared" ref="U98:U100" si="25">N98+O98+Q98+R98+S98+T98</f>
        <v>569.27</v>
      </c>
      <c r="V98" s="147">
        <f t="shared" si="22"/>
        <v>6850.08</v>
      </c>
    </row>
    <row r="99" spans="1:22" s="141" customFormat="1" ht="22.5" customHeight="1">
      <c r="A99" s="1">
        <v>95</v>
      </c>
      <c r="B99" s="307"/>
      <c r="C99" s="150" t="s">
        <v>873</v>
      </c>
      <c r="D99" s="147">
        <v>10000</v>
      </c>
      <c r="E99" s="147">
        <v>0</v>
      </c>
      <c r="F99" s="147">
        <f t="shared" si="17"/>
        <v>10000</v>
      </c>
      <c r="G99" s="155">
        <f>IFERROR(VLOOKUP(C99,'8月考勤表'!B:E,4,FALSE),0)</f>
        <v>14</v>
      </c>
      <c r="H99" s="147">
        <f t="shared" si="18"/>
        <v>4516.13</v>
      </c>
      <c r="I99" s="147">
        <v>0</v>
      </c>
      <c r="J99" s="147">
        <v>0</v>
      </c>
      <c r="K99" s="147">
        <v>0</v>
      </c>
      <c r="L99" s="147">
        <v>0</v>
      </c>
      <c r="M99" s="147">
        <f t="shared" si="24"/>
        <v>4516.13</v>
      </c>
      <c r="N99" s="148">
        <f>IFERROR(VLOOKUP(C99,知识科技社保!C:F,4,0),0)</f>
        <v>0</v>
      </c>
      <c r="O99" s="149">
        <f>IFERROR(VLOOKUP(C99,知识科技公积金!C:H,6,0),0)/2</f>
        <v>110</v>
      </c>
      <c r="P99" s="147">
        <f t="shared" si="20"/>
        <v>4406.13</v>
      </c>
      <c r="Q99" s="147">
        <f>ROUND(MAX((P99-3500)*{0.03,0.1,0.2,0.25,0.3,0.35,0.45}-{0,105,555,1005,2755,5505,13505},0),2)</f>
        <v>27.18</v>
      </c>
      <c r="R99" s="147">
        <v>0</v>
      </c>
      <c r="S99" s="147">
        <v>0</v>
      </c>
      <c r="T99" s="147">
        <v>0</v>
      </c>
      <c r="U99" s="147">
        <f t="shared" si="25"/>
        <v>137.18</v>
      </c>
      <c r="V99" s="147">
        <f t="shared" si="22"/>
        <v>4378.95</v>
      </c>
    </row>
    <row r="100" spans="1:22" s="141" customFormat="1" ht="22.5" customHeight="1">
      <c r="A100" s="1">
        <v>96</v>
      </c>
      <c r="B100" s="308"/>
      <c r="C100" s="150" t="s">
        <v>933</v>
      </c>
      <c r="D100" s="147">
        <v>10000</v>
      </c>
      <c r="E100" s="147">
        <v>0</v>
      </c>
      <c r="F100" s="147">
        <f t="shared" si="17"/>
        <v>10000</v>
      </c>
      <c r="G100" s="155">
        <f>IFERROR(VLOOKUP(C100,'8月考勤表'!B:E,4,FALSE),0)</f>
        <v>5</v>
      </c>
      <c r="H100" s="147">
        <f t="shared" si="18"/>
        <v>1612.9</v>
      </c>
      <c r="I100" s="147">
        <v>0</v>
      </c>
      <c r="J100" s="147">
        <v>0</v>
      </c>
      <c r="K100" s="147">
        <v>0</v>
      </c>
      <c r="L100" s="147">
        <v>0</v>
      </c>
      <c r="M100" s="147">
        <f t="shared" si="24"/>
        <v>1612.9</v>
      </c>
      <c r="N100" s="148">
        <f>IFERROR(VLOOKUP(C100,知识科技社保!C:F,4,0),0)</f>
        <v>0</v>
      </c>
      <c r="O100" s="149">
        <f>IFERROR(VLOOKUP(C100,知识科技公积金!C:H,6,0),0)/2</f>
        <v>0</v>
      </c>
      <c r="P100" s="147">
        <f t="shared" si="20"/>
        <v>1612.9</v>
      </c>
      <c r="Q100" s="147">
        <f>ROUND(MAX((P100-3500)*{0.03,0.1,0.2,0.25,0.3,0.35,0.45}-{0,105,555,1005,2755,5505,13505},0),2)</f>
        <v>0</v>
      </c>
      <c r="R100" s="147">
        <v>0</v>
      </c>
      <c r="S100" s="147">
        <v>0</v>
      </c>
      <c r="T100" s="147">
        <v>0</v>
      </c>
      <c r="U100" s="147">
        <f t="shared" si="25"/>
        <v>0</v>
      </c>
      <c r="V100" s="147">
        <f t="shared" si="22"/>
        <v>1612.9</v>
      </c>
    </row>
    <row r="101" spans="1:22" s="141" customFormat="1" ht="22.5" customHeight="1">
      <c r="A101" s="1">
        <v>97</v>
      </c>
      <c r="B101" s="324" t="s">
        <v>21</v>
      </c>
      <c r="C101" s="200" t="s">
        <v>120</v>
      </c>
      <c r="D101" s="147">
        <v>10000</v>
      </c>
      <c r="E101" s="147">
        <v>0</v>
      </c>
      <c r="F101" s="147">
        <f t="shared" si="17"/>
        <v>10000</v>
      </c>
      <c r="G101" s="155">
        <f>IFERROR(VLOOKUP(C101,'8月考勤表'!B:E,4,FALSE),0)</f>
        <v>31</v>
      </c>
      <c r="H101" s="147">
        <f t="shared" si="18"/>
        <v>10000</v>
      </c>
      <c r="I101" s="147">
        <v>0</v>
      </c>
      <c r="J101" s="147">
        <v>0</v>
      </c>
      <c r="K101" s="147">
        <v>0</v>
      </c>
      <c r="L101" s="147">
        <v>0</v>
      </c>
      <c r="M101" s="147">
        <f t="shared" si="24"/>
        <v>10000</v>
      </c>
      <c r="N101" s="148">
        <f>IFERROR(VLOOKUP(C101,知识科技社保!C:F,4,0),0)</f>
        <v>351.18</v>
      </c>
      <c r="O101" s="149">
        <f>IFERROR(VLOOKUP(C101,知识科技公积金!C:H,6,0),0)/2</f>
        <v>900</v>
      </c>
      <c r="P101" s="147">
        <f t="shared" ref="P101:P111" si="26">M101-N101-O101</f>
        <v>8748.82</v>
      </c>
      <c r="Q101" s="147">
        <f>ROUND(MAX((P101-3500)*{0.03,0.1,0.2,0.25,0.3,0.35,0.45}-{0,105,555,1005,2755,5505,13505},0),2)</f>
        <v>494.76</v>
      </c>
      <c r="R101" s="147">
        <v>0</v>
      </c>
      <c r="S101" s="147">
        <v>0</v>
      </c>
      <c r="T101" s="147">
        <v>0</v>
      </c>
      <c r="U101" s="147">
        <f t="shared" si="21"/>
        <v>1745.94</v>
      </c>
      <c r="V101" s="147">
        <f t="shared" ref="V101:V111" si="27">M101-U101</f>
        <v>8254.06</v>
      </c>
    </row>
    <row r="102" spans="1:22" s="141" customFormat="1" ht="22.5" customHeight="1">
      <c r="A102" s="1">
        <v>98</v>
      </c>
      <c r="B102" s="324"/>
      <c r="C102" s="201" t="s">
        <v>112</v>
      </c>
      <c r="D102" s="147">
        <v>10000</v>
      </c>
      <c r="E102" s="147">
        <f>VLOOKUP(C102,'[4]6月中力知识工资'!$C$5:$F$127,3,0)</f>
        <v>0</v>
      </c>
      <c r="F102" s="147">
        <f t="shared" si="17"/>
        <v>10000</v>
      </c>
      <c r="G102" s="155">
        <f>IFERROR(VLOOKUP(C102,'8月考勤表'!B:E,4,FALSE),0)</f>
        <v>31</v>
      </c>
      <c r="H102" s="147">
        <f t="shared" si="18"/>
        <v>10000</v>
      </c>
      <c r="I102" s="147">
        <v>0</v>
      </c>
      <c r="J102" s="147">
        <v>0</v>
      </c>
      <c r="K102" s="147">
        <v>0</v>
      </c>
      <c r="L102" s="147">
        <v>0</v>
      </c>
      <c r="M102" s="147">
        <f t="shared" si="24"/>
        <v>10000</v>
      </c>
      <c r="N102" s="148">
        <f>IFERROR(VLOOKUP(C102,知识科技社保!C:F,4,0),0)</f>
        <v>311.18</v>
      </c>
      <c r="O102" s="149">
        <f>IFERROR(VLOOKUP(C102,知识科技公积金!C:H,6,0),0)/2</f>
        <v>125</v>
      </c>
      <c r="P102" s="147">
        <f t="shared" si="26"/>
        <v>9563.82</v>
      </c>
      <c r="Q102" s="147">
        <f>ROUND(MAX((P102-3500)*{0.03,0.1,0.2,0.25,0.3,0.35,0.45}-{0,105,555,1005,2755,5505,13505},0),2)</f>
        <v>657.76</v>
      </c>
      <c r="R102" s="147">
        <v>0</v>
      </c>
      <c r="S102" s="147">
        <v>0</v>
      </c>
      <c r="T102" s="147">
        <v>0</v>
      </c>
      <c r="U102" s="147">
        <f t="shared" si="21"/>
        <v>1093.94</v>
      </c>
      <c r="V102" s="147">
        <f t="shared" si="27"/>
        <v>8906.06</v>
      </c>
    </row>
    <row r="103" spans="1:22" s="141" customFormat="1" ht="22.5" customHeight="1">
      <c r="A103" s="1">
        <v>99</v>
      </c>
      <c r="B103" s="324"/>
      <c r="C103" s="201" t="s">
        <v>54</v>
      </c>
      <c r="D103" s="147">
        <v>10000</v>
      </c>
      <c r="E103" s="147">
        <f>VLOOKUP(C103,'[4]6月中力知识工资'!$C$5:$F$127,3,0)</f>
        <v>0</v>
      </c>
      <c r="F103" s="147">
        <f t="shared" si="17"/>
        <v>10000</v>
      </c>
      <c r="G103" s="155">
        <f>IFERROR(VLOOKUP(C103,'8月考勤表'!B:E,4,FALSE),0)</f>
        <v>31</v>
      </c>
      <c r="H103" s="147">
        <f t="shared" si="18"/>
        <v>10000</v>
      </c>
      <c r="I103" s="147">
        <v>0</v>
      </c>
      <c r="J103" s="147">
        <v>0</v>
      </c>
      <c r="K103" s="147">
        <v>0</v>
      </c>
      <c r="L103" s="147">
        <v>0</v>
      </c>
      <c r="M103" s="147">
        <f t="shared" si="24"/>
        <v>10000</v>
      </c>
      <c r="N103" s="148">
        <f>IFERROR(VLOOKUP(C103,知识科技社保!C:F,4,0),0)</f>
        <v>287.18</v>
      </c>
      <c r="O103" s="149">
        <f>IFERROR(VLOOKUP(C103,知识科技公积金!C:H,6,0),0)/2</f>
        <v>110</v>
      </c>
      <c r="P103" s="147">
        <f t="shared" si="26"/>
        <v>9602.82</v>
      </c>
      <c r="Q103" s="147">
        <f>ROUND(MAX((P103-3500)*{0.03,0.1,0.2,0.25,0.3,0.35,0.45}-{0,105,555,1005,2755,5505,13505},0),2)</f>
        <v>665.56</v>
      </c>
      <c r="R103" s="147">
        <v>0</v>
      </c>
      <c r="S103" s="147">
        <v>0</v>
      </c>
      <c r="T103" s="147">
        <v>0</v>
      </c>
      <c r="U103" s="147">
        <f t="shared" si="21"/>
        <v>1062.74</v>
      </c>
      <c r="V103" s="147">
        <f t="shared" si="27"/>
        <v>8937.26</v>
      </c>
    </row>
    <row r="104" spans="1:22" s="141" customFormat="1" ht="22.5" customHeight="1">
      <c r="A104" s="1">
        <v>100</v>
      </c>
      <c r="B104" s="324"/>
      <c r="C104" s="201" t="s">
        <v>123</v>
      </c>
      <c r="D104" s="147">
        <v>10000</v>
      </c>
      <c r="E104" s="147">
        <f>VLOOKUP(C104,'[4]6月中力知识工资'!$C$5:$F$127,3,0)</f>
        <v>0</v>
      </c>
      <c r="F104" s="147">
        <f t="shared" si="17"/>
        <v>10000</v>
      </c>
      <c r="G104" s="155">
        <f>IFERROR(VLOOKUP(C104,'8月考勤表'!B:E,4,FALSE),0)</f>
        <v>31</v>
      </c>
      <c r="H104" s="147">
        <f t="shared" si="18"/>
        <v>10000</v>
      </c>
      <c r="I104" s="147">
        <v>0</v>
      </c>
      <c r="J104" s="147">
        <v>0</v>
      </c>
      <c r="K104" s="147">
        <v>0</v>
      </c>
      <c r="L104" s="147">
        <v>0</v>
      </c>
      <c r="M104" s="147">
        <f t="shared" si="24"/>
        <v>10000</v>
      </c>
      <c r="N104" s="148">
        <f>IFERROR(VLOOKUP(C104,知识科技社保!C:F,4,0),0)</f>
        <v>287.18</v>
      </c>
      <c r="O104" s="149">
        <f>IFERROR(VLOOKUP(C104,知识科技公积金!C:H,6,0),0)/2</f>
        <v>110</v>
      </c>
      <c r="P104" s="147">
        <f t="shared" si="26"/>
        <v>9602.82</v>
      </c>
      <c r="Q104" s="147">
        <f>ROUND(MAX((P104-3500)*{0.03,0.1,0.2,0.25,0.3,0.35,0.45}-{0,105,555,1005,2755,5505,13505},0),2)</f>
        <v>665.56</v>
      </c>
      <c r="R104" s="147">
        <v>0</v>
      </c>
      <c r="S104" s="147">
        <v>0</v>
      </c>
      <c r="T104" s="147">
        <v>0</v>
      </c>
      <c r="U104" s="147">
        <f t="shared" si="21"/>
        <v>1062.74</v>
      </c>
      <c r="V104" s="147">
        <f t="shared" si="27"/>
        <v>8937.26</v>
      </c>
    </row>
    <row r="105" spans="1:22" s="141" customFormat="1" ht="22.5" customHeight="1">
      <c r="A105" s="1">
        <v>101</v>
      </c>
      <c r="B105" s="324"/>
      <c r="C105" s="201" t="s">
        <v>118</v>
      </c>
      <c r="D105" s="147">
        <v>10000</v>
      </c>
      <c r="E105" s="147">
        <f>VLOOKUP(C105,'[4]6月中力知识工资'!$C$5:$F$127,3,0)</f>
        <v>0</v>
      </c>
      <c r="F105" s="147">
        <f t="shared" si="17"/>
        <v>10000</v>
      </c>
      <c r="G105" s="155">
        <f>IFERROR(VLOOKUP(C105,'8月考勤表'!B:E,4,FALSE),0)</f>
        <v>28</v>
      </c>
      <c r="H105" s="147">
        <f t="shared" si="18"/>
        <v>9032.26</v>
      </c>
      <c r="I105" s="147">
        <v>0</v>
      </c>
      <c r="J105" s="147">
        <v>0</v>
      </c>
      <c r="K105" s="147">
        <v>0</v>
      </c>
      <c r="L105" s="147">
        <v>0</v>
      </c>
      <c r="M105" s="147">
        <f t="shared" si="24"/>
        <v>9032.26</v>
      </c>
      <c r="N105" s="148">
        <f>IFERROR(VLOOKUP(C105,知识科技社保!C:F,4,0),0)</f>
        <v>0</v>
      </c>
      <c r="O105" s="149">
        <f>IFERROR(VLOOKUP(C105,知识科技公积金!C:H,6,0),0)/2</f>
        <v>110</v>
      </c>
      <c r="P105" s="147">
        <f t="shared" si="26"/>
        <v>8922.26</v>
      </c>
      <c r="Q105" s="147">
        <f>ROUND(MAX((P105-3500)*{0.03,0.1,0.2,0.25,0.3,0.35,0.45}-{0,105,555,1005,2755,5505,13505},0),2)</f>
        <v>529.45000000000005</v>
      </c>
      <c r="R105" s="147">
        <v>0</v>
      </c>
      <c r="S105" s="147">
        <v>0</v>
      </c>
      <c r="T105" s="147">
        <v>0</v>
      </c>
      <c r="U105" s="147">
        <f t="shared" si="21"/>
        <v>639.45000000000005</v>
      </c>
      <c r="V105" s="147">
        <f t="shared" si="27"/>
        <v>8392.81</v>
      </c>
    </row>
    <row r="106" spans="1:22" s="141" customFormat="1" ht="22.5" customHeight="1">
      <c r="A106" s="1">
        <v>102</v>
      </c>
      <c r="B106" s="324"/>
      <c r="C106" s="201" t="s">
        <v>116</v>
      </c>
      <c r="D106" s="147">
        <v>10000</v>
      </c>
      <c r="E106" s="147">
        <f>VLOOKUP(C106,'[4]6月中力知识工资'!$C$5:$F$127,3,0)</f>
        <v>0</v>
      </c>
      <c r="F106" s="147">
        <f t="shared" si="17"/>
        <v>10000</v>
      </c>
      <c r="G106" s="155">
        <f>IFERROR(VLOOKUP(C106,'8月考勤表'!B:E,4,FALSE),0)</f>
        <v>31</v>
      </c>
      <c r="H106" s="147">
        <f t="shared" si="18"/>
        <v>10000</v>
      </c>
      <c r="I106" s="147">
        <v>0</v>
      </c>
      <c r="J106" s="147">
        <v>0</v>
      </c>
      <c r="K106" s="147">
        <v>0</v>
      </c>
      <c r="L106" s="147">
        <v>0</v>
      </c>
      <c r="M106" s="147">
        <f t="shared" si="24"/>
        <v>10000</v>
      </c>
      <c r="N106" s="148">
        <f>IFERROR(VLOOKUP(C106,知识科技社保!C:F,4,0),0)</f>
        <v>287.18</v>
      </c>
      <c r="O106" s="149">
        <f>IFERROR(VLOOKUP(C106,知识科技公积金!C:H,6,0),0)/2</f>
        <v>110</v>
      </c>
      <c r="P106" s="147">
        <f t="shared" si="26"/>
        <v>9602.82</v>
      </c>
      <c r="Q106" s="147">
        <f>ROUND(MAX((P106-3500)*{0.03,0.1,0.2,0.25,0.3,0.35,0.45}-{0,105,555,1005,2755,5505,13505},0),2)</f>
        <v>665.56</v>
      </c>
      <c r="R106" s="147">
        <v>0</v>
      </c>
      <c r="S106" s="147">
        <v>0</v>
      </c>
      <c r="T106" s="147">
        <v>0</v>
      </c>
      <c r="U106" s="147">
        <f t="shared" si="21"/>
        <v>1062.74</v>
      </c>
      <c r="V106" s="147">
        <f t="shared" si="27"/>
        <v>8937.26</v>
      </c>
    </row>
    <row r="107" spans="1:22" s="141" customFormat="1" ht="22.5" customHeight="1">
      <c r="A107" s="1">
        <v>103</v>
      </c>
      <c r="B107" s="324"/>
      <c r="C107" s="201" t="s">
        <v>125</v>
      </c>
      <c r="D107" s="147">
        <v>10000</v>
      </c>
      <c r="E107" s="147">
        <f>VLOOKUP(C107,'[4]6月中力知识工资'!$C$5:$F$127,3,0)</f>
        <v>0</v>
      </c>
      <c r="F107" s="147">
        <f t="shared" si="17"/>
        <v>10000</v>
      </c>
      <c r="G107" s="155">
        <f>IFERROR(VLOOKUP(C107,'8月考勤表'!B:E,4,FALSE),0)</f>
        <v>31</v>
      </c>
      <c r="H107" s="147">
        <f>ROUND(F107/31*2+7000/31*29,2)</f>
        <v>7193.55</v>
      </c>
      <c r="I107" s="147">
        <v>0</v>
      </c>
      <c r="J107" s="147">
        <v>0</v>
      </c>
      <c r="K107" s="147">
        <v>0</v>
      </c>
      <c r="L107" s="147">
        <v>0</v>
      </c>
      <c r="M107" s="147">
        <f t="shared" si="24"/>
        <v>7193.55</v>
      </c>
      <c r="N107" s="148">
        <f>IFERROR(VLOOKUP(C107,知识科技社保!C:F,4,0),0)</f>
        <v>287.18</v>
      </c>
      <c r="O107" s="149">
        <f>IFERROR(VLOOKUP(C107,知识科技公积金!C:H,6,0),0)/2</f>
        <v>110</v>
      </c>
      <c r="P107" s="147">
        <f t="shared" si="26"/>
        <v>6796.37</v>
      </c>
      <c r="Q107" s="147">
        <f>ROUND(MAX((P107-3500)*{0.03,0.1,0.2,0.25,0.3,0.35,0.45}-{0,105,555,1005,2755,5505,13505},0),2)</f>
        <v>224.64</v>
      </c>
      <c r="R107" s="147">
        <v>0</v>
      </c>
      <c r="S107" s="147">
        <v>0</v>
      </c>
      <c r="T107" s="147">
        <v>0</v>
      </c>
      <c r="U107" s="147">
        <f t="shared" si="21"/>
        <v>621.81999999999994</v>
      </c>
      <c r="V107" s="147">
        <f t="shared" si="27"/>
        <v>6571.7300000000005</v>
      </c>
    </row>
    <row r="108" spans="1:22" s="141" customFormat="1" ht="22.5" customHeight="1">
      <c r="A108" s="1">
        <v>104</v>
      </c>
      <c r="B108" s="324"/>
      <c r="C108" s="201" t="s">
        <v>128</v>
      </c>
      <c r="D108" s="147">
        <v>10000</v>
      </c>
      <c r="E108" s="147">
        <f>VLOOKUP(C108,'[4]6月中力知识工资'!$C$5:$F$127,3,0)</f>
        <v>0</v>
      </c>
      <c r="F108" s="147">
        <f t="shared" si="17"/>
        <v>10000</v>
      </c>
      <c r="G108" s="155">
        <f>IFERROR(VLOOKUP(C108,'8月考勤表'!B:E,4,FALSE),0)</f>
        <v>30</v>
      </c>
      <c r="H108" s="147">
        <f>ROUND(7000/31*19+8000/31*12,2)</f>
        <v>7387.1</v>
      </c>
      <c r="I108" s="147">
        <v>0</v>
      </c>
      <c r="J108" s="147">
        <v>0</v>
      </c>
      <c r="K108" s="147">
        <v>0</v>
      </c>
      <c r="L108" s="147">
        <v>0</v>
      </c>
      <c r="M108" s="147">
        <f t="shared" si="24"/>
        <v>7387.1</v>
      </c>
      <c r="N108" s="148">
        <f>IFERROR(VLOOKUP(C108,知识科技社保!C:F,4,0),0)</f>
        <v>287.18</v>
      </c>
      <c r="O108" s="149">
        <f>IFERROR(VLOOKUP(C108,知识科技公积金!C:H,6,0),0)/2</f>
        <v>110</v>
      </c>
      <c r="P108" s="147">
        <f t="shared" si="26"/>
        <v>6989.92</v>
      </c>
      <c r="Q108" s="147">
        <f>ROUND(MAX((P108-3500)*{0.03,0.1,0.2,0.25,0.3,0.35,0.45}-{0,105,555,1005,2755,5505,13505},0),2)</f>
        <v>243.99</v>
      </c>
      <c r="R108" s="147">
        <v>0</v>
      </c>
      <c r="S108" s="147">
        <v>0</v>
      </c>
      <c r="T108" s="147">
        <v>0</v>
      </c>
      <c r="U108" s="147">
        <f t="shared" si="21"/>
        <v>641.17000000000007</v>
      </c>
      <c r="V108" s="147">
        <f t="shared" si="27"/>
        <v>6745.93</v>
      </c>
    </row>
    <row r="109" spans="1:22" s="141" customFormat="1" ht="22.5" customHeight="1">
      <c r="A109" s="1">
        <v>105</v>
      </c>
      <c r="B109" s="324"/>
      <c r="C109" s="182" t="s">
        <v>20</v>
      </c>
      <c r="D109" s="147">
        <v>10000</v>
      </c>
      <c r="E109" s="154">
        <v>0</v>
      </c>
      <c r="F109" s="147">
        <f t="shared" si="17"/>
        <v>10000</v>
      </c>
      <c r="G109" s="155">
        <f>IFERROR(VLOOKUP(C109,'8月考勤表'!B:E,4,FALSE),0)</f>
        <v>29</v>
      </c>
      <c r="H109" s="147">
        <f t="shared" si="18"/>
        <v>9354.84</v>
      </c>
      <c r="I109" s="154">
        <v>0</v>
      </c>
      <c r="J109" s="147">
        <v>0</v>
      </c>
      <c r="K109" s="147">
        <v>0</v>
      </c>
      <c r="L109" s="147">
        <v>0</v>
      </c>
      <c r="M109" s="154">
        <f t="shared" si="24"/>
        <v>9354.84</v>
      </c>
      <c r="N109" s="148">
        <f>IFERROR(VLOOKUP(C109,知识科技社保!C:F,4,0),0)</f>
        <v>287.18</v>
      </c>
      <c r="O109" s="149">
        <f>IFERROR(VLOOKUP(C109,知识科技公积金!C:H,6,0),0)/2</f>
        <v>110</v>
      </c>
      <c r="P109" s="154">
        <f t="shared" si="26"/>
        <v>8957.66</v>
      </c>
      <c r="Q109" s="154">
        <f>ROUND(MAX((P109-3500)*{0.03,0.1,0.2,0.25,0.3,0.35,0.45}-{0,105,555,1005,2755,5505,13505},0),2)</f>
        <v>536.53</v>
      </c>
      <c r="R109" s="147">
        <v>0</v>
      </c>
      <c r="S109" s="147">
        <v>0</v>
      </c>
      <c r="T109" s="147">
        <v>0</v>
      </c>
      <c r="U109" s="147">
        <f t="shared" si="21"/>
        <v>933.71</v>
      </c>
      <c r="V109" s="147">
        <f t="shared" si="27"/>
        <v>8421.130000000001</v>
      </c>
    </row>
    <row r="110" spans="1:22" s="141" customFormat="1" ht="22.5" customHeight="1">
      <c r="A110" s="1">
        <v>106</v>
      </c>
      <c r="B110" s="324"/>
      <c r="C110" s="182" t="s">
        <v>917</v>
      </c>
      <c r="D110" s="147">
        <v>10000</v>
      </c>
      <c r="E110" s="154">
        <v>0</v>
      </c>
      <c r="F110" s="147">
        <f t="shared" si="17"/>
        <v>10000</v>
      </c>
      <c r="G110" s="155">
        <f>IFERROR(VLOOKUP(C110,'8月考勤表'!B:E,4,FALSE),0)</f>
        <v>12</v>
      </c>
      <c r="H110" s="147">
        <f t="shared" si="18"/>
        <v>3870.97</v>
      </c>
      <c r="I110" s="147">
        <v>0</v>
      </c>
      <c r="J110" s="147">
        <v>0</v>
      </c>
      <c r="K110" s="147">
        <v>0</v>
      </c>
      <c r="L110" s="147">
        <v>0</v>
      </c>
      <c r="M110" s="154">
        <f t="shared" si="24"/>
        <v>3870.97</v>
      </c>
      <c r="N110" s="148">
        <f>IFERROR(VLOOKUP(C110,知识科技社保!C:F,4,0),0)</f>
        <v>0</v>
      </c>
      <c r="O110" s="149">
        <f>IFERROR(VLOOKUP(C110,知识科技公积金!C:H,6,0),0)/2</f>
        <v>0</v>
      </c>
      <c r="P110" s="154">
        <f t="shared" si="26"/>
        <v>3870.97</v>
      </c>
      <c r="Q110" s="154">
        <f>ROUND(MAX((P110-3500)*{0.03,0.1,0.2,0.25,0.3,0.35,0.45}-{0,105,555,1005,2755,5505,13505},0),2)</f>
        <v>11.13</v>
      </c>
      <c r="R110" s="147">
        <v>0</v>
      </c>
      <c r="S110" s="147">
        <v>0</v>
      </c>
      <c r="T110" s="147">
        <v>0</v>
      </c>
      <c r="U110" s="147">
        <f t="shared" ref="U110:U111" si="28">N110+O110+Q110+R110+S110+T110</f>
        <v>11.13</v>
      </c>
      <c r="V110" s="147">
        <f t="shared" si="27"/>
        <v>3859.8399999999997</v>
      </c>
    </row>
    <row r="111" spans="1:22" s="141" customFormat="1" ht="22.5" customHeight="1">
      <c r="A111" s="1">
        <v>107</v>
      </c>
      <c r="B111" s="324"/>
      <c r="C111" s="182" t="s">
        <v>956</v>
      </c>
      <c r="D111" s="147">
        <v>10000</v>
      </c>
      <c r="E111" s="154">
        <v>0</v>
      </c>
      <c r="F111" s="147">
        <f t="shared" si="17"/>
        <v>10000</v>
      </c>
      <c r="G111" s="155">
        <f>IFERROR(VLOOKUP(C111,'8月考勤表'!B:E,4,FALSE),0)</f>
        <v>3</v>
      </c>
      <c r="H111" s="147">
        <f t="shared" si="18"/>
        <v>967.74</v>
      </c>
      <c r="I111" s="154">
        <v>0</v>
      </c>
      <c r="J111" s="147">
        <v>0</v>
      </c>
      <c r="K111" s="147">
        <v>0</v>
      </c>
      <c r="L111" s="147">
        <v>0</v>
      </c>
      <c r="M111" s="154">
        <f t="shared" si="24"/>
        <v>967.74</v>
      </c>
      <c r="N111" s="148">
        <f>IFERROR(VLOOKUP(C111,知识科技社保!C:F,4,0),0)</f>
        <v>0</v>
      </c>
      <c r="O111" s="149">
        <f>IFERROR(VLOOKUP(C111,知识科技公积金!C:H,6,0),0)/2</f>
        <v>0</v>
      </c>
      <c r="P111" s="154">
        <f t="shared" si="26"/>
        <v>967.74</v>
      </c>
      <c r="Q111" s="154">
        <f>ROUND(MAX((P111-3500)*{0.03,0.1,0.2,0.25,0.3,0.35,0.45}-{0,105,555,1005,2755,5505,13505},0),2)</f>
        <v>0</v>
      </c>
      <c r="R111" s="147">
        <v>0</v>
      </c>
      <c r="S111" s="147">
        <v>0</v>
      </c>
      <c r="T111" s="147">
        <v>0</v>
      </c>
      <c r="U111" s="147">
        <f t="shared" si="28"/>
        <v>0</v>
      </c>
      <c r="V111" s="147">
        <f t="shared" si="27"/>
        <v>967.74</v>
      </c>
    </row>
    <row r="112" spans="1:22" s="141" customFormat="1" ht="22.5" customHeight="1">
      <c r="A112" s="317" t="s">
        <v>38</v>
      </c>
      <c r="B112" s="318"/>
      <c r="C112" s="319"/>
      <c r="D112" s="147">
        <f>SUM(D5:D111)</f>
        <v>1070000</v>
      </c>
      <c r="E112" s="147">
        <f>SUM(E5:E111)</f>
        <v>0</v>
      </c>
      <c r="F112" s="147">
        <f>SUM(F5:F111)</f>
        <v>1070000</v>
      </c>
      <c r="G112" s="147"/>
      <c r="H112" s="147">
        <f>SUM(H5:H111)</f>
        <v>966090.32000000018</v>
      </c>
      <c r="I112" s="147">
        <f t="shared" ref="I112:L112" si="29">SUM(I5:I109)</f>
        <v>4300</v>
      </c>
      <c r="J112" s="147">
        <f>SUM(J5:J111)</f>
        <v>6674</v>
      </c>
      <c r="K112" s="147">
        <f t="shared" si="29"/>
        <v>0</v>
      </c>
      <c r="L112" s="147">
        <f t="shared" si="29"/>
        <v>0</v>
      </c>
      <c r="M112" s="147">
        <f t="shared" ref="M112:V112" si="30">SUM(M5:M111)</f>
        <v>977064.32000000018</v>
      </c>
      <c r="N112" s="147">
        <f t="shared" si="30"/>
        <v>25519.700000000023</v>
      </c>
      <c r="O112" s="155">
        <f t="shared" si="30"/>
        <v>16535</v>
      </c>
      <c r="P112" s="147">
        <f t="shared" si="30"/>
        <v>935009.61999999906</v>
      </c>
      <c r="Q112" s="147">
        <f t="shared" si="30"/>
        <v>63315.469999999979</v>
      </c>
      <c r="R112" s="147">
        <f t="shared" si="30"/>
        <v>0</v>
      </c>
      <c r="S112" s="147">
        <f t="shared" si="30"/>
        <v>0</v>
      </c>
      <c r="T112" s="147">
        <f t="shared" si="30"/>
        <v>117</v>
      </c>
      <c r="U112" s="147">
        <f t="shared" si="30"/>
        <v>105487.17000000007</v>
      </c>
      <c r="V112" s="147">
        <f t="shared" si="30"/>
        <v>871577.15</v>
      </c>
    </row>
    <row r="113" spans="3:3" ht="27.95" customHeight="1">
      <c r="C113" s="165"/>
    </row>
    <row r="114" spans="3:3" ht="27.95" customHeight="1">
      <c r="C114" s="165"/>
    </row>
    <row r="115" spans="3:3" ht="27.95" customHeight="1">
      <c r="C115" s="165"/>
    </row>
    <row r="116" spans="3:3" ht="27.95" customHeight="1">
      <c r="C116" s="165"/>
    </row>
    <row r="117" spans="3:3" ht="27.95" customHeight="1">
      <c r="C117" s="165"/>
    </row>
    <row r="118" spans="3:3" ht="27.95" customHeight="1">
      <c r="C118" s="165"/>
    </row>
    <row r="119" spans="3:3" ht="27.95" customHeight="1">
      <c r="C119" s="165"/>
    </row>
    <row r="120" spans="3:3" ht="27.95" customHeight="1">
      <c r="C120" s="165"/>
    </row>
    <row r="121" spans="3:3" ht="27.95" customHeight="1">
      <c r="C121" s="165"/>
    </row>
    <row r="122" spans="3:3" ht="27.95" customHeight="1">
      <c r="C122" s="165"/>
    </row>
    <row r="123" spans="3:3" ht="27.95" customHeight="1">
      <c r="C123" s="165"/>
    </row>
    <row r="124" spans="3:3" ht="27.95" customHeight="1">
      <c r="C124" s="165"/>
    </row>
    <row r="125" spans="3:3" ht="27.95" customHeight="1">
      <c r="C125" s="165"/>
    </row>
    <row r="126" spans="3:3" ht="27.95" customHeight="1">
      <c r="C126" s="165"/>
    </row>
    <row r="127" spans="3:3" ht="27.95" customHeight="1">
      <c r="C127" s="165"/>
    </row>
    <row r="128" spans="3:3" ht="27.95" customHeight="1">
      <c r="C128" s="165"/>
    </row>
    <row r="129" spans="3:3" ht="27.95" customHeight="1">
      <c r="C129" s="165"/>
    </row>
    <row r="130" spans="3:3" ht="27.95" customHeight="1">
      <c r="C130" s="165"/>
    </row>
    <row r="131" spans="3:3" ht="27.95" customHeight="1">
      <c r="C131" s="165"/>
    </row>
    <row r="132" spans="3:3" ht="27.95" customHeight="1">
      <c r="C132" s="165"/>
    </row>
    <row r="133" spans="3:3" ht="27.95" customHeight="1">
      <c r="C133" s="165"/>
    </row>
    <row r="134" spans="3:3" ht="27.95" customHeight="1">
      <c r="C134" s="165"/>
    </row>
    <row r="135" spans="3:3" ht="27.95" customHeight="1">
      <c r="C135" s="165"/>
    </row>
    <row r="136" spans="3:3" ht="27.95" customHeight="1">
      <c r="C136" s="165"/>
    </row>
    <row r="137" spans="3:3" ht="27.95" customHeight="1">
      <c r="C137" s="165"/>
    </row>
    <row r="138" spans="3:3" ht="27.95" customHeight="1">
      <c r="C138" s="165"/>
    </row>
    <row r="139" spans="3:3" ht="27.95" customHeight="1">
      <c r="C139" s="165"/>
    </row>
    <row r="140" spans="3:3" ht="27.95" customHeight="1">
      <c r="C140" s="165"/>
    </row>
    <row r="141" spans="3:3" ht="27.95" customHeight="1">
      <c r="C141" s="165"/>
    </row>
    <row r="142" spans="3:3" ht="27.95" customHeight="1">
      <c r="C142" s="165"/>
    </row>
    <row r="143" spans="3:3" ht="27.95" customHeight="1">
      <c r="C143" s="165"/>
    </row>
    <row r="144" spans="3:3" ht="27.95" customHeight="1">
      <c r="C144" s="165"/>
    </row>
    <row r="145" spans="3:3" ht="27.95" customHeight="1">
      <c r="C145" s="165"/>
    </row>
    <row r="146" spans="3:3" ht="27.95" customHeight="1">
      <c r="C146" s="165"/>
    </row>
    <row r="147" spans="3:3" ht="27.95" customHeight="1">
      <c r="C147" s="165"/>
    </row>
    <row r="148" spans="3:3" ht="27.95" customHeight="1">
      <c r="C148" s="165"/>
    </row>
    <row r="149" spans="3:3" ht="27.95" customHeight="1">
      <c r="C149" s="165"/>
    </row>
    <row r="150" spans="3:3" ht="27.95" customHeight="1">
      <c r="C150" s="165"/>
    </row>
    <row r="151" spans="3:3" ht="27.95" customHeight="1">
      <c r="C151" s="165"/>
    </row>
    <row r="152" spans="3:3" ht="27.95" customHeight="1">
      <c r="C152" s="165"/>
    </row>
    <row r="153" spans="3:3" ht="27.95" customHeight="1">
      <c r="C153" s="165"/>
    </row>
    <row r="154" spans="3:3" ht="27.95" customHeight="1">
      <c r="C154" s="165"/>
    </row>
    <row r="155" spans="3:3" ht="27.95" customHeight="1">
      <c r="C155" s="165"/>
    </row>
    <row r="156" spans="3:3" ht="27.95" customHeight="1">
      <c r="C156" s="165"/>
    </row>
    <row r="157" spans="3:3" ht="27.95" customHeight="1">
      <c r="C157" s="165"/>
    </row>
    <row r="158" spans="3:3" ht="27.95" customHeight="1">
      <c r="C158" s="165"/>
    </row>
    <row r="159" spans="3:3" ht="27.95" customHeight="1">
      <c r="C159" s="165"/>
    </row>
    <row r="160" spans="3:3" ht="27.95" customHeight="1">
      <c r="C160" s="165"/>
    </row>
    <row r="161" spans="3:3" ht="27.95" customHeight="1">
      <c r="C161" s="165"/>
    </row>
    <row r="162" spans="3:3" ht="27.95" customHeight="1">
      <c r="C162" s="165"/>
    </row>
    <row r="163" spans="3:3" ht="27.95" customHeight="1">
      <c r="C163" s="165"/>
    </row>
    <row r="164" spans="3:3" ht="27.95" customHeight="1">
      <c r="C164" s="165"/>
    </row>
    <row r="165" spans="3:3" ht="27.95" customHeight="1">
      <c r="C165" s="165"/>
    </row>
    <row r="166" spans="3:3" ht="27.95" customHeight="1">
      <c r="C166" s="165"/>
    </row>
    <row r="167" spans="3:3" ht="27.95" customHeight="1">
      <c r="C167" s="165"/>
    </row>
    <row r="168" spans="3:3" ht="27.95" customHeight="1">
      <c r="C168" s="165"/>
    </row>
    <row r="169" spans="3:3" ht="27.95" customHeight="1">
      <c r="C169" s="165"/>
    </row>
    <row r="170" spans="3:3" ht="27.95" customHeight="1">
      <c r="C170" s="165"/>
    </row>
    <row r="171" spans="3:3" ht="27.95" customHeight="1">
      <c r="C171" s="165"/>
    </row>
    <row r="172" spans="3:3" ht="27.95" customHeight="1">
      <c r="C172" s="165"/>
    </row>
    <row r="173" spans="3:3" ht="27.95" customHeight="1">
      <c r="C173" s="165"/>
    </row>
    <row r="174" spans="3:3" ht="27.95" customHeight="1">
      <c r="C174" s="165"/>
    </row>
    <row r="175" spans="3:3" ht="27.95" customHeight="1">
      <c r="C175" s="165"/>
    </row>
    <row r="176" spans="3:3" ht="27.95" customHeight="1">
      <c r="C176" s="165"/>
    </row>
    <row r="177" spans="3:3" ht="27.95" customHeight="1">
      <c r="C177" s="165"/>
    </row>
    <row r="178" spans="3:3" ht="27.95" customHeight="1">
      <c r="C178" s="165"/>
    </row>
    <row r="179" spans="3:3" ht="27.95" customHeight="1">
      <c r="C179" s="165"/>
    </row>
    <row r="180" spans="3:3" ht="27.95" customHeight="1">
      <c r="C180" s="165"/>
    </row>
    <row r="181" spans="3:3" ht="27.95" customHeight="1">
      <c r="C181" s="165"/>
    </row>
    <row r="182" spans="3:3" ht="27.95" customHeight="1">
      <c r="C182" s="165"/>
    </row>
    <row r="183" spans="3:3" ht="27.95" customHeight="1">
      <c r="C183" s="165"/>
    </row>
    <row r="184" spans="3:3" ht="27.95" customHeight="1">
      <c r="C184" s="165"/>
    </row>
    <row r="185" spans="3:3" ht="27.95" customHeight="1">
      <c r="C185" s="165"/>
    </row>
    <row r="186" spans="3:3" ht="27.95" customHeight="1">
      <c r="C186" s="165"/>
    </row>
    <row r="187" spans="3:3" ht="27.95" customHeight="1">
      <c r="C187" s="165"/>
    </row>
    <row r="188" spans="3:3" ht="27.95" customHeight="1">
      <c r="C188" s="165"/>
    </row>
    <row r="189" spans="3:3" ht="27.95" customHeight="1">
      <c r="C189" s="165"/>
    </row>
    <row r="190" spans="3:3" ht="27.95" customHeight="1">
      <c r="C190" s="165"/>
    </row>
    <row r="191" spans="3:3" ht="27.95" customHeight="1">
      <c r="C191" s="165"/>
    </row>
    <row r="192" spans="3:3" ht="27.95" customHeight="1">
      <c r="C192" s="165"/>
    </row>
    <row r="193" spans="3:3" ht="27.95" customHeight="1">
      <c r="C193" s="165"/>
    </row>
    <row r="194" spans="3:3" ht="27.95" customHeight="1">
      <c r="C194" s="165"/>
    </row>
    <row r="195" spans="3:3" ht="27.95" customHeight="1">
      <c r="C195" s="165"/>
    </row>
    <row r="196" spans="3:3" ht="27.95" customHeight="1">
      <c r="C196" s="165"/>
    </row>
    <row r="197" spans="3:3" ht="27.95" customHeight="1">
      <c r="C197" s="165"/>
    </row>
    <row r="198" spans="3:3" ht="27.95" customHeight="1">
      <c r="C198" s="165"/>
    </row>
    <row r="199" spans="3:3" ht="27.95" customHeight="1">
      <c r="C199" s="165"/>
    </row>
    <row r="200" spans="3:3" ht="27.95" customHeight="1">
      <c r="C200" s="165"/>
    </row>
    <row r="201" spans="3:3" ht="27.95" customHeight="1">
      <c r="C201" s="165"/>
    </row>
  </sheetData>
  <autoFilter ref="A4:V112">
    <filterColumn colId="4"/>
  </autoFilter>
  <mergeCells count="26">
    <mergeCell ref="A112:C112"/>
    <mergeCell ref="A3:A4"/>
    <mergeCell ref="B3:B4"/>
    <mergeCell ref="B5:B7"/>
    <mergeCell ref="B13:B15"/>
    <mergeCell ref="B16:B21"/>
    <mergeCell ref="B22:B23"/>
    <mergeCell ref="B52:B64"/>
    <mergeCell ref="B71:B74"/>
    <mergeCell ref="B101:B111"/>
    <mergeCell ref="B79:B100"/>
    <mergeCell ref="A1:V1"/>
    <mergeCell ref="A2:V2"/>
    <mergeCell ref="H3:M3"/>
    <mergeCell ref="N3:U3"/>
    <mergeCell ref="B75:B78"/>
    <mergeCell ref="C3:C4"/>
    <mergeCell ref="B67:B70"/>
    <mergeCell ref="B8:B12"/>
    <mergeCell ref="B24:B37"/>
    <mergeCell ref="B38:B51"/>
    <mergeCell ref="D3:D4"/>
    <mergeCell ref="E3:E4"/>
    <mergeCell ref="F3:F4"/>
    <mergeCell ref="G3:G4"/>
    <mergeCell ref="V3:V4"/>
  </mergeCells>
  <phoneticPr fontId="17" type="noConversion"/>
  <conditionalFormatting sqref="C1:C1048576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8月新入职及工资调整信息</vt:lpstr>
      <vt:lpstr>8月考勤表</vt:lpstr>
      <vt:lpstr>8月集团工资汇总表</vt:lpstr>
      <vt:lpstr>8月税筹表</vt:lpstr>
      <vt:lpstr>京鹏基金社保</vt:lpstr>
      <vt:lpstr>京鹏基金公积金</vt:lpstr>
      <vt:lpstr>知识科技社保</vt:lpstr>
      <vt:lpstr>知识科技公积金</vt:lpstr>
      <vt:lpstr>知识科技工资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</dc:creator>
  <cp:lastModifiedBy>AutoBVT</cp:lastModifiedBy>
  <dcterms:created xsi:type="dcterms:W3CDTF">2018-07-29T05:18:00Z</dcterms:created>
  <dcterms:modified xsi:type="dcterms:W3CDTF">2018-09-04T13:27:37Z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