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Zecao\Dropbox\0doutorado\"/>
    </mc:Choice>
  </mc:AlternateContent>
  <xr:revisionPtr revIDLastSave="0" documentId="13_ncr:1_{D0FC988E-8454-44F8-9B7C-6CB9D63A8B8C}" xr6:coauthVersionLast="47" xr6:coauthVersionMax="47" xr10:uidLastSave="{00000000-0000-0000-0000-000000000000}"/>
  <bookViews>
    <workbookView xWindow="28680" yWindow="-120" windowWidth="21840" windowHeight="13140" tabRatio="671" activeTab="2" xr2:uid="{00000000-000D-0000-FFFF-FFFF00000000}"/>
  </bookViews>
  <sheets>
    <sheet name="t1.PerdasReg_2023" sheetId="56" r:id="rId1"/>
    <sheet name="t1.PerdasReg_OLD" sheetId="9" r:id="rId2"/>
    <sheet name="t.modeloSDEE" sheetId="57" r:id="rId3"/>
    <sheet name="t8.Arranjos" sheetId="18" r:id="rId4"/>
    <sheet name="t9.KmdeRede" sheetId="25" r:id="rId5"/>
    <sheet name="t16.Carga" sheetId="16" r:id="rId6"/>
    <sheet name="t14.valOpenDSS" sheetId="27" r:id="rId7"/>
    <sheet name="pesquisadoresRevBib" sheetId="33" r:id="rId8"/>
    <sheet name="Carson" sheetId="10" r:id="rId9"/>
    <sheet name="t.Carson2" sheetId="35" r:id="rId10"/>
    <sheet name="t.alocacaoPNT" sheetId="15" r:id="rId11"/>
    <sheet name="projetoReconf" sheetId="29" r:id="rId12"/>
    <sheet name="t.m89_2024" sheetId="77" r:id="rId13"/>
    <sheet name="verif" sheetId="78" r:id="rId14"/>
    <sheet name="t.m_Cemig_Artigo" sheetId="50" r:id="rId15"/>
    <sheet name="codINtCompact" sheetId="34" r:id="rId16"/>
    <sheet name="fig24" sheetId="36" r:id="rId17"/>
    <sheet name="IndividuosMST" sheetId="37" r:id="rId18"/>
    <sheet name="p33" sheetId="43" r:id="rId19"/>
    <sheet name="p84" sheetId="48" r:id="rId20"/>
    <sheet name="p70" sheetId="45" r:id="rId21"/>
    <sheet name="compTensao" sheetId="76" r:id="rId22"/>
    <sheet name="taxasReliability" sheetId="51" r:id="rId23"/>
    <sheet name="reliability" sheetId="52" r:id="rId24"/>
    <sheet name="33_branch" sheetId="75" r:id="rId25"/>
    <sheet name="IIGD210" sheetId="72" r:id="rId26"/>
    <sheet name="CETU04" sheetId="71" r:id="rId27"/>
    <sheet name="IIGU115" sheetId="73" r:id="rId28"/>
    <sheet name="sint" sheetId="69" r:id="rId29"/>
  </sheets>
  <definedNames>
    <definedName name="_xlnm._FilterDatabase" localSheetId="26" hidden="1">CETU04!$A$1:$H$1</definedName>
    <definedName name="_xlnm._FilterDatabase" localSheetId="25" hidden="1">IIGD210!$A$1:$L$1</definedName>
    <definedName name="_xlnm._FilterDatabase" localSheetId="7" hidden="1">pesquisadoresRevBib!$A$1:$G$1</definedName>
    <definedName name="_xlnm._FilterDatabase" localSheetId="12" hidden="1">t.m89_2024!$A$2:$X$92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57" l="1"/>
  <c r="I20" i="57" s="1"/>
  <c r="H19" i="57"/>
  <c r="I19" i="57" s="1"/>
  <c r="H27" i="57"/>
  <c r="I27" i="57" s="1"/>
  <c r="H31" i="57"/>
  <c r="I31" i="57" s="1"/>
  <c r="H29" i="57"/>
  <c r="I29" i="57" s="1"/>
  <c r="H5" i="77"/>
  <c r="H7" i="77"/>
  <c r="H9" i="77"/>
  <c r="H13" i="77"/>
  <c r="H17" i="77"/>
  <c r="H19" i="77"/>
  <c r="H23" i="77"/>
  <c r="H35" i="77"/>
  <c r="H37" i="77"/>
  <c r="H39" i="77"/>
  <c r="H43" i="77"/>
  <c r="H55" i="77"/>
  <c r="H57" i="77"/>
  <c r="H59" i="77"/>
  <c r="H65" i="77"/>
  <c r="H67" i="77"/>
  <c r="H71" i="77"/>
  <c r="H73" i="77"/>
  <c r="H75" i="77"/>
  <c r="H77" i="77"/>
  <c r="H79" i="77"/>
  <c r="H83" i="77"/>
  <c r="H85" i="77"/>
  <c r="H91" i="77"/>
  <c r="G8" i="77"/>
  <c r="G10" i="77"/>
  <c r="G12" i="77"/>
  <c r="G16" i="77"/>
  <c r="G18" i="77"/>
  <c r="G26" i="77"/>
  <c r="G28" i="77"/>
  <c r="G30" i="77"/>
  <c r="G34" i="77"/>
  <c r="G36" i="77"/>
  <c r="G38" i="77"/>
  <c r="G40" i="77"/>
  <c r="G42" i="77"/>
  <c r="G44" i="77"/>
  <c r="G48" i="77"/>
  <c r="G50" i="77"/>
  <c r="G52" i="77"/>
  <c r="G56" i="77"/>
  <c r="G58" i="77"/>
  <c r="G66" i="77"/>
  <c r="G74" i="77"/>
  <c r="G76" i="77"/>
  <c r="G78" i="77"/>
  <c r="G80" i="77"/>
  <c r="G82" i="77"/>
  <c r="G84" i="77"/>
  <c r="G88" i="77"/>
  <c r="G90" i="77"/>
  <c r="G3" i="77"/>
  <c r="F9" i="77"/>
  <c r="F11" i="77"/>
  <c r="F15" i="77"/>
  <c r="F17" i="77"/>
  <c r="F21" i="77"/>
  <c r="F25" i="77"/>
  <c r="F27" i="77"/>
  <c r="F29" i="77"/>
  <c r="F31" i="77"/>
  <c r="F33" i="77"/>
  <c r="F41" i="77"/>
  <c r="F45" i="77"/>
  <c r="F47" i="77"/>
  <c r="F49" i="77"/>
  <c r="F51" i="77"/>
  <c r="F53" i="77"/>
  <c r="F57" i="77"/>
  <c r="F61" i="77"/>
  <c r="F63" i="77"/>
  <c r="F65" i="77"/>
  <c r="F69" i="77"/>
  <c r="F73" i="77"/>
  <c r="F81" i="77"/>
  <c r="F83" i="77"/>
  <c r="F87" i="77"/>
  <c r="F89" i="77"/>
  <c r="J92" i="78"/>
  <c r="K92" i="78"/>
  <c r="G87" i="77" s="1"/>
  <c r="L92" i="78"/>
  <c r="H87" i="77" s="1"/>
  <c r="L2" i="78"/>
  <c r="H41" i="77" s="1"/>
  <c r="L3" i="78"/>
  <c r="L4" i="78"/>
  <c r="H6" i="77" s="1"/>
  <c r="L5" i="78"/>
  <c r="H26" i="77" s="1"/>
  <c r="L6" i="78"/>
  <c r="H24" i="77" s="1"/>
  <c r="L7" i="78"/>
  <c r="L8" i="78"/>
  <c r="L9" i="78"/>
  <c r="H16" i="77" s="1"/>
  <c r="L10" i="78"/>
  <c r="H34" i="77" s="1"/>
  <c r="L11" i="78"/>
  <c r="H84" i="77" s="1"/>
  <c r="L12" i="78"/>
  <c r="H33" i="77" s="1"/>
  <c r="L13" i="78"/>
  <c r="L14" i="78"/>
  <c r="H69" i="77" s="1"/>
  <c r="L15" i="78"/>
  <c r="L16" i="78"/>
  <c r="H22" i="77" s="1"/>
  <c r="L17" i="78"/>
  <c r="L18" i="78"/>
  <c r="H14" i="77" s="1"/>
  <c r="L19" i="78"/>
  <c r="L20" i="78"/>
  <c r="H49" i="77" s="1"/>
  <c r="L21" i="78"/>
  <c r="H40" i="77" s="1"/>
  <c r="L22" i="78"/>
  <c r="H32" i="77" s="1"/>
  <c r="L23" i="78"/>
  <c r="H12" i="77" s="1"/>
  <c r="L24" i="78"/>
  <c r="H29" i="77" s="1"/>
  <c r="L25" i="78"/>
  <c r="L26" i="78"/>
  <c r="H27" i="77" s="1"/>
  <c r="L27" i="78"/>
  <c r="L28" i="78"/>
  <c r="H11" i="77" s="1"/>
  <c r="L29" i="78"/>
  <c r="H52" i="77" s="1"/>
  <c r="L30" i="78"/>
  <c r="H4" i="77" s="1"/>
  <c r="L31" i="78"/>
  <c r="L32" i="78"/>
  <c r="L33" i="78"/>
  <c r="L34" i="78"/>
  <c r="H72" i="77" s="1"/>
  <c r="L35" i="78"/>
  <c r="H8" i="77" s="1"/>
  <c r="L36" i="78"/>
  <c r="H18" i="77" s="1"/>
  <c r="L37" i="78"/>
  <c r="L38" i="78"/>
  <c r="H21" i="77" s="1"/>
  <c r="L39" i="78"/>
  <c r="L40" i="78"/>
  <c r="H70" i="77" s="1"/>
  <c r="L41" i="78"/>
  <c r="H30" i="77" s="1"/>
  <c r="L42" i="78"/>
  <c r="H60" i="77" s="1"/>
  <c r="L43" i="78"/>
  <c r="H38" i="77" s="1"/>
  <c r="L44" i="78"/>
  <c r="H15" i="77" s="1"/>
  <c r="L45" i="78"/>
  <c r="H82" i="77" s="1"/>
  <c r="L46" i="78"/>
  <c r="H45" i="77" s="1"/>
  <c r="L47" i="78"/>
  <c r="L48" i="78"/>
  <c r="H10" i="77" s="1"/>
  <c r="L49" i="78"/>
  <c r="L50" i="78"/>
  <c r="H58" i="77" s="1"/>
  <c r="L51" i="78"/>
  <c r="L52" i="78"/>
  <c r="H47" i="77" s="1"/>
  <c r="L53" i="78"/>
  <c r="H76" i="77" s="1"/>
  <c r="L54" i="78"/>
  <c r="L55" i="78"/>
  <c r="L56" i="78"/>
  <c r="H25" i="77" s="1"/>
  <c r="L57" i="78"/>
  <c r="L58" i="78"/>
  <c r="H20" i="77" s="1"/>
  <c r="L59" i="78"/>
  <c r="H3" i="77" s="1"/>
  <c r="L60" i="78"/>
  <c r="H46" i="77" s="1"/>
  <c r="L61" i="78"/>
  <c r="L62" i="78"/>
  <c r="H53" i="77" s="1"/>
  <c r="L63" i="78"/>
  <c r="H80" i="77" s="1"/>
  <c r="L64" i="78"/>
  <c r="H68" i="77" s="1"/>
  <c r="L65" i="78"/>
  <c r="L66" i="78"/>
  <c r="H64" i="77" s="1"/>
  <c r="L67" i="78"/>
  <c r="H56" i="77" s="1"/>
  <c r="L68" i="78"/>
  <c r="H31" i="77" s="1"/>
  <c r="L69" i="78"/>
  <c r="H44" i="77" s="1"/>
  <c r="L70" i="78"/>
  <c r="H90" i="77" s="1"/>
  <c r="L71" i="78"/>
  <c r="L72" i="78"/>
  <c r="H61" i="77" s="1"/>
  <c r="L73" i="78"/>
  <c r="L74" i="78"/>
  <c r="H42" i="77" s="1"/>
  <c r="L75" i="78"/>
  <c r="L76" i="78"/>
  <c r="H86" i="77" s="1"/>
  <c r="L77" i="78"/>
  <c r="H78" i="77" s="1"/>
  <c r="L78" i="78"/>
  <c r="H89" i="77" s="1"/>
  <c r="L79" i="78"/>
  <c r="L80" i="78"/>
  <c r="H81" i="77" s="1"/>
  <c r="L81" i="78"/>
  <c r="L82" i="78"/>
  <c r="L83" i="78"/>
  <c r="H48" i="77" s="1"/>
  <c r="L84" i="78"/>
  <c r="L85" i="78"/>
  <c r="L86" i="78"/>
  <c r="H51" i="77" s="1"/>
  <c r="L87" i="78"/>
  <c r="H28" i="77" s="1"/>
  <c r="L88" i="78"/>
  <c r="H63" i="77" s="1"/>
  <c r="L89" i="78"/>
  <c r="H50" i="77" s="1"/>
  <c r="L90" i="78"/>
  <c r="H62" i="77" s="1"/>
  <c r="L91" i="78"/>
  <c r="K2" i="78"/>
  <c r="K3" i="78"/>
  <c r="M3" i="78" s="1"/>
  <c r="K4" i="78"/>
  <c r="G6" i="77" s="1"/>
  <c r="K5" i="78"/>
  <c r="K6" i="78"/>
  <c r="M6" i="78" s="1"/>
  <c r="K7" i="78"/>
  <c r="M7" i="78" s="1"/>
  <c r="K8" i="78"/>
  <c r="M8" i="78" s="1"/>
  <c r="K9" i="78"/>
  <c r="K10" i="78"/>
  <c r="M10" i="78" s="1"/>
  <c r="K11" i="78"/>
  <c r="M11" i="78" s="1"/>
  <c r="K12" i="78"/>
  <c r="K13" i="78"/>
  <c r="G23" i="77" s="1"/>
  <c r="K14" i="78"/>
  <c r="K15" i="78"/>
  <c r="M15" i="78" s="1"/>
  <c r="K16" i="78"/>
  <c r="G22" i="77" s="1"/>
  <c r="K17" i="78"/>
  <c r="G5" i="77" s="1"/>
  <c r="K18" i="78"/>
  <c r="M18" i="78" s="1"/>
  <c r="K19" i="78"/>
  <c r="M19" i="78" s="1"/>
  <c r="K20" i="78"/>
  <c r="K21" i="78"/>
  <c r="K22" i="78"/>
  <c r="G32" i="77" s="1"/>
  <c r="K23" i="78"/>
  <c r="M23" i="78" s="1"/>
  <c r="K24" i="78"/>
  <c r="K25" i="78"/>
  <c r="G85" i="77" s="1"/>
  <c r="K26" i="78"/>
  <c r="K27" i="78"/>
  <c r="G79" i="77" s="1"/>
  <c r="K28" i="78"/>
  <c r="K29" i="78"/>
  <c r="K30" i="78"/>
  <c r="M30" i="78" s="1"/>
  <c r="K31" i="78"/>
  <c r="M31" i="78" s="1"/>
  <c r="K32" i="78"/>
  <c r="M32" i="78" s="1"/>
  <c r="K33" i="78"/>
  <c r="K34" i="78"/>
  <c r="M34" i="78" s="1"/>
  <c r="K35" i="78"/>
  <c r="K36" i="78"/>
  <c r="K37" i="78"/>
  <c r="G39" i="77" s="1"/>
  <c r="K38" i="78"/>
  <c r="K39" i="78"/>
  <c r="M39" i="78" s="1"/>
  <c r="K40" i="78"/>
  <c r="G70" i="77" s="1"/>
  <c r="K41" i="78"/>
  <c r="K42" i="78"/>
  <c r="M42" i="78" s="1"/>
  <c r="K43" i="78"/>
  <c r="M43" i="78" s="1"/>
  <c r="K44" i="78"/>
  <c r="K45" i="78"/>
  <c r="K46" i="78"/>
  <c r="K47" i="78"/>
  <c r="M47" i="78" s="1"/>
  <c r="K48" i="78"/>
  <c r="M48" i="78" s="1"/>
  <c r="K49" i="78"/>
  <c r="G9" i="77" s="1"/>
  <c r="K50" i="78"/>
  <c r="M50" i="78" s="1"/>
  <c r="K51" i="78"/>
  <c r="M51" i="78" s="1"/>
  <c r="K52" i="78"/>
  <c r="K53" i="78"/>
  <c r="K54" i="78"/>
  <c r="K55" i="78"/>
  <c r="G13" i="77" s="1"/>
  <c r="K56" i="78"/>
  <c r="G25" i="77" s="1"/>
  <c r="K57" i="78"/>
  <c r="G19" i="77" s="1"/>
  <c r="K58" i="78"/>
  <c r="M58" i="78" s="1"/>
  <c r="K59" i="78"/>
  <c r="M59" i="78" s="1"/>
  <c r="K60" i="78"/>
  <c r="M60" i="78" s="1"/>
  <c r="K61" i="78"/>
  <c r="G67" i="77" s="1"/>
  <c r="K62" i="78"/>
  <c r="K63" i="78"/>
  <c r="K64" i="78"/>
  <c r="M64" i="78" s="1"/>
  <c r="K65" i="78"/>
  <c r="K66" i="78"/>
  <c r="M66" i="78" s="1"/>
  <c r="K67" i="78"/>
  <c r="M67" i="78" s="1"/>
  <c r="K68" i="78"/>
  <c r="G31" i="77" s="1"/>
  <c r="K69" i="78"/>
  <c r="K70" i="78"/>
  <c r="M70" i="78" s="1"/>
  <c r="K71" i="78"/>
  <c r="M71" i="78" s="1"/>
  <c r="K72" i="78"/>
  <c r="G61" i="77" s="1"/>
  <c r="K73" i="78"/>
  <c r="G55" i="77" s="1"/>
  <c r="K74" i="78"/>
  <c r="M74" i="78" s="1"/>
  <c r="K75" i="78"/>
  <c r="M75" i="78" s="1"/>
  <c r="K76" i="78"/>
  <c r="M76" i="78" s="1"/>
  <c r="K77" i="78"/>
  <c r="K78" i="78"/>
  <c r="K79" i="78"/>
  <c r="M79" i="78" s="1"/>
  <c r="K80" i="78"/>
  <c r="G81" i="77" s="1"/>
  <c r="K81" i="78"/>
  <c r="M81" i="78" s="1"/>
  <c r="K82" i="78"/>
  <c r="M82" i="78" s="1"/>
  <c r="K83" i="78"/>
  <c r="M83" i="78" s="1"/>
  <c r="K84" i="78"/>
  <c r="G54" i="77" s="1"/>
  <c r="K85" i="78"/>
  <c r="G7" i="77" s="1"/>
  <c r="K86" i="78"/>
  <c r="G51" i="77" s="1"/>
  <c r="K87" i="78"/>
  <c r="M87" i="78" s="1"/>
  <c r="K88" i="78"/>
  <c r="K89" i="78"/>
  <c r="K90" i="78"/>
  <c r="M90" i="78" s="1"/>
  <c r="K91" i="78"/>
  <c r="G43" i="77" s="1"/>
  <c r="M4" i="78"/>
  <c r="M16" i="78"/>
  <c r="M22" i="78"/>
  <c r="M27" i="78"/>
  <c r="M35" i="78"/>
  <c r="M36" i="78"/>
  <c r="M40" i="78"/>
  <c r="M54" i="78"/>
  <c r="M55" i="78"/>
  <c r="M56" i="78"/>
  <c r="M63" i="78"/>
  <c r="M68" i="78"/>
  <c r="M72" i="78"/>
  <c r="M80" i="78"/>
  <c r="M91" i="78"/>
  <c r="J2" i="78"/>
  <c r="J3" i="78"/>
  <c r="F35" i="77" s="1"/>
  <c r="J4" i="78"/>
  <c r="F6" i="77" s="1"/>
  <c r="J5" i="78"/>
  <c r="F26" i="77" s="1"/>
  <c r="J6" i="78"/>
  <c r="F24" i="77" s="1"/>
  <c r="J7" i="78"/>
  <c r="J8" i="78"/>
  <c r="J9" i="78"/>
  <c r="F16" i="77" s="1"/>
  <c r="J10" i="78"/>
  <c r="F34" i="77" s="1"/>
  <c r="J11" i="78"/>
  <c r="F84" i="77" s="1"/>
  <c r="J12" i="78"/>
  <c r="J13" i="78"/>
  <c r="F23" i="77" s="1"/>
  <c r="J14" i="78"/>
  <c r="J15" i="78"/>
  <c r="J16" i="78"/>
  <c r="F22" i="77" s="1"/>
  <c r="J17" i="78"/>
  <c r="F5" i="77" s="1"/>
  <c r="J18" i="78"/>
  <c r="F14" i="77" s="1"/>
  <c r="J19" i="78"/>
  <c r="F91" i="77" s="1"/>
  <c r="J20" i="78"/>
  <c r="J21" i="78"/>
  <c r="F40" i="77" s="1"/>
  <c r="J22" i="78"/>
  <c r="F32" i="77" s="1"/>
  <c r="J23" i="78"/>
  <c r="F12" i="77" s="1"/>
  <c r="J24" i="78"/>
  <c r="J25" i="78"/>
  <c r="F85" i="77" s="1"/>
  <c r="J26" i="78"/>
  <c r="J27" i="78"/>
  <c r="F79" i="77" s="1"/>
  <c r="J28" i="78"/>
  <c r="J29" i="78"/>
  <c r="F52" i="77" s="1"/>
  <c r="J30" i="78"/>
  <c r="F4" i="77" s="1"/>
  <c r="J31" i="78"/>
  <c r="F59" i="77" s="1"/>
  <c r="J32" i="78"/>
  <c r="J33" i="78"/>
  <c r="F74" i="77" s="1"/>
  <c r="J34" i="78"/>
  <c r="F72" i="77" s="1"/>
  <c r="J35" i="78"/>
  <c r="F8" i="77" s="1"/>
  <c r="J36" i="78"/>
  <c r="F18" i="77" s="1"/>
  <c r="J37" i="78"/>
  <c r="F39" i="77" s="1"/>
  <c r="J38" i="78"/>
  <c r="J39" i="78"/>
  <c r="F77" i="77" s="1"/>
  <c r="J40" i="78"/>
  <c r="F70" i="77" s="1"/>
  <c r="J41" i="78"/>
  <c r="F30" i="77" s="1"/>
  <c r="J42" i="78"/>
  <c r="F60" i="77" s="1"/>
  <c r="J43" i="78"/>
  <c r="F38" i="77" s="1"/>
  <c r="J44" i="78"/>
  <c r="J45" i="78"/>
  <c r="F82" i="77" s="1"/>
  <c r="J46" i="78"/>
  <c r="J47" i="78"/>
  <c r="F37" i="77" s="1"/>
  <c r="J48" i="78"/>
  <c r="F10" i="77" s="1"/>
  <c r="J49" i="78"/>
  <c r="J50" i="78"/>
  <c r="F58" i="77" s="1"/>
  <c r="J51" i="78"/>
  <c r="F71" i="77" s="1"/>
  <c r="J52" i="78"/>
  <c r="J53" i="78"/>
  <c r="F76" i="77" s="1"/>
  <c r="J54" i="78"/>
  <c r="J55" i="78"/>
  <c r="F13" i="77" s="1"/>
  <c r="J56" i="78"/>
  <c r="J57" i="78"/>
  <c r="F19" i="77" s="1"/>
  <c r="J58" i="78"/>
  <c r="F20" i="77" s="1"/>
  <c r="J59" i="78"/>
  <c r="F3" i="77" s="1"/>
  <c r="J60" i="78"/>
  <c r="F46" i="77" s="1"/>
  <c r="J61" i="78"/>
  <c r="F67" i="77" s="1"/>
  <c r="J62" i="78"/>
  <c r="J63" i="78"/>
  <c r="F80" i="77" s="1"/>
  <c r="J64" i="78"/>
  <c r="F68" i="77" s="1"/>
  <c r="J65" i="78"/>
  <c r="F88" i="77" s="1"/>
  <c r="J66" i="78"/>
  <c r="F64" i="77" s="1"/>
  <c r="J67" i="78"/>
  <c r="F56" i="77" s="1"/>
  <c r="J68" i="78"/>
  <c r="J69" i="78"/>
  <c r="F44" i="77" s="1"/>
  <c r="J70" i="78"/>
  <c r="F90" i="77" s="1"/>
  <c r="J71" i="78"/>
  <c r="F75" i="77" s="1"/>
  <c r="J72" i="78"/>
  <c r="J73" i="78"/>
  <c r="F55" i="77" s="1"/>
  <c r="J74" i="78"/>
  <c r="F42" i="77" s="1"/>
  <c r="J75" i="78"/>
  <c r="J76" i="78"/>
  <c r="F86" i="77" s="1"/>
  <c r="J77" i="78"/>
  <c r="F78" i="77" s="1"/>
  <c r="J78" i="78"/>
  <c r="J79" i="78"/>
  <c r="J80" i="78"/>
  <c r="J81" i="78"/>
  <c r="J82" i="78"/>
  <c r="J83" i="78"/>
  <c r="F48" i="77" s="1"/>
  <c r="J84" i="78"/>
  <c r="F54" i="77" s="1"/>
  <c r="J85" i="78"/>
  <c r="F7" i="77" s="1"/>
  <c r="J86" i="78"/>
  <c r="J87" i="78"/>
  <c r="J88" i="78"/>
  <c r="J89" i="78"/>
  <c r="F50" i="77" s="1"/>
  <c r="J90" i="78"/>
  <c r="F62" i="77" s="1"/>
  <c r="J91" i="78"/>
  <c r="F43" i="77" s="1"/>
  <c r="M78" i="78" l="1"/>
  <c r="G89" i="77"/>
  <c r="M62" i="78"/>
  <c r="G53" i="77"/>
  <c r="M46" i="78"/>
  <c r="G45" i="77"/>
  <c r="M38" i="78"/>
  <c r="G21" i="77"/>
  <c r="M26" i="78"/>
  <c r="G27" i="77"/>
  <c r="M14" i="78"/>
  <c r="G69" i="77"/>
  <c r="M2" i="78"/>
  <c r="G41" i="77"/>
  <c r="H54" i="77"/>
  <c r="H66" i="77"/>
  <c r="G72" i="77"/>
  <c r="G64" i="77"/>
  <c r="G24" i="77"/>
  <c r="M86" i="78"/>
  <c r="G86" i="77"/>
  <c r="G62" i="77"/>
  <c r="G46" i="77"/>
  <c r="G14" i="77"/>
  <c r="F28" i="77"/>
  <c r="F36" i="77"/>
  <c r="G63" i="77"/>
  <c r="M88" i="78"/>
  <c r="G83" i="77"/>
  <c r="M84" i="78"/>
  <c r="G47" i="77"/>
  <c r="M52" i="78"/>
  <c r="G15" i="77"/>
  <c r="M44" i="78"/>
  <c r="G11" i="77"/>
  <c r="M28" i="78"/>
  <c r="G29" i="77"/>
  <c r="M24" i="78"/>
  <c r="M20" i="78"/>
  <c r="G49" i="77"/>
  <c r="G33" i="77"/>
  <c r="M12" i="78"/>
  <c r="G68" i="77"/>
  <c r="G60" i="77"/>
  <c r="G20" i="77"/>
  <c r="G4" i="77"/>
  <c r="M65" i="78"/>
  <c r="M49" i="78"/>
  <c r="M33" i="78"/>
  <c r="M17" i="78"/>
  <c r="M92" i="78"/>
  <c r="G77" i="77"/>
  <c r="G73" i="77"/>
  <c r="G65" i="77"/>
  <c r="G57" i="77"/>
  <c r="G37" i="77"/>
  <c r="G17" i="77"/>
  <c r="H74" i="77"/>
  <c r="F66" i="77"/>
  <c r="G91" i="77"/>
  <c r="G75" i="77"/>
  <c r="G71" i="77"/>
  <c r="G59" i="77"/>
  <c r="G35" i="77"/>
  <c r="H88" i="77"/>
  <c r="H36" i="77"/>
  <c r="M89" i="78"/>
  <c r="M85" i="78"/>
  <c r="M77" i="78"/>
  <c r="M73" i="78"/>
  <c r="M69" i="78"/>
  <c r="M61" i="78"/>
  <c r="M57" i="78"/>
  <c r="M53" i="78"/>
  <c r="M45" i="78"/>
  <c r="M41" i="78"/>
  <c r="M37" i="78"/>
  <c r="M29" i="78"/>
  <c r="M25" i="78"/>
  <c r="M21" i="78"/>
  <c r="M13" i="78"/>
  <c r="M9" i="78"/>
  <c r="M5" i="78"/>
  <c r="I97" i="77" l="1"/>
  <c r="N97" i="77" s="1"/>
  <c r="I96" i="77"/>
  <c r="N96" i="77" s="1"/>
  <c r="N95" i="77"/>
  <c r="K95" i="77"/>
  <c r="I91" i="77"/>
  <c r="O91" i="77" s="1"/>
  <c r="I90" i="77"/>
  <c r="O90" i="77" s="1"/>
  <c r="I89" i="77"/>
  <c r="O89" i="77" s="1"/>
  <c r="I88" i="77"/>
  <c r="O88" i="77" s="1"/>
  <c r="I87" i="77"/>
  <c r="O87" i="77" s="1"/>
  <c r="I86" i="77"/>
  <c r="O86" i="77" s="1"/>
  <c r="I85" i="77"/>
  <c r="J85" i="77" s="1"/>
  <c r="I84" i="77"/>
  <c r="J84" i="77" s="1"/>
  <c r="I83" i="77"/>
  <c r="I82" i="77"/>
  <c r="J82" i="77" s="1"/>
  <c r="I81" i="77"/>
  <c r="J81" i="77" s="1"/>
  <c r="I80" i="77"/>
  <c r="J80" i="77" s="1"/>
  <c r="I79" i="77"/>
  <c r="I78" i="77"/>
  <c r="I77" i="77"/>
  <c r="J77" i="77" s="1"/>
  <c r="I76" i="77"/>
  <c r="J76" i="77" s="1"/>
  <c r="I75" i="77"/>
  <c r="I74" i="77"/>
  <c r="J74" i="77" s="1"/>
  <c r="I73" i="77"/>
  <c r="J73" i="77" s="1"/>
  <c r="I72" i="77"/>
  <c r="J72" i="77" s="1"/>
  <c r="I71" i="77"/>
  <c r="I70" i="77"/>
  <c r="J70" i="77" s="1"/>
  <c r="I69" i="77"/>
  <c r="J69" i="77" s="1"/>
  <c r="I68" i="77"/>
  <c r="J68" i="77" s="1"/>
  <c r="I67" i="77"/>
  <c r="I66" i="77"/>
  <c r="J66" i="77" s="1"/>
  <c r="I65" i="77"/>
  <c r="J65" i="77" s="1"/>
  <c r="I64" i="77"/>
  <c r="J64" i="77" s="1"/>
  <c r="I63" i="77"/>
  <c r="I62" i="77"/>
  <c r="I61" i="77"/>
  <c r="J61" i="77" s="1"/>
  <c r="I60" i="77"/>
  <c r="J60" i="77" s="1"/>
  <c r="I59" i="77"/>
  <c r="I58" i="77"/>
  <c r="J58" i="77" s="1"/>
  <c r="I57" i="77"/>
  <c r="J57" i="77" s="1"/>
  <c r="I56" i="77"/>
  <c r="J56" i="77" s="1"/>
  <c r="I55" i="77"/>
  <c r="I54" i="77"/>
  <c r="J54" i="77" s="1"/>
  <c r="I53" i="77"/>
  <c r="J53" i="77" s="1"/>
  <c r="I52" i="77"/>
  <c r="J52" i="77" s="1"/>
  <c r="P51" i="77"/>
  <c r="I51" i="77"/>
  <c r="J51" i="77" s="1"/>
  <c r="I50" i="77"/>
  <c r="I49" i="77"/>
  <c r="J49" i="77" s="1"/>
  <c r="I48" i="77"/>
  <c r="J48" i="77" s="1"/>
  <c r="I47" i="77"/>
  <c r="J47" i="77" s="1"/>
  <c r="I46" i="77"/>
  <c r="I45" i="77"/>
  <c r="J45" i="77" s="1"/>
  <c r="I44" i="77"/>
  <c r="J44" i="77" s="1"/>
  <c r="I43" i="77"/>
  <c r="J43" i="77" s="1"/>
  <c r="I42" i="77"/>
  <c r="I41" i="77"/>
  <c r="J41" i="77" s="1"/>
  <c r="I40" i="77"/>
  <c r="J40" i="77" s="1"/>
  <c r="I39" i="77"/>
  <c r="J39" i="77" s="1"/>
  <c r="I38" i="77"/>
  <c r="I37" i="77"/>
  <c r="J37" i="77" s="1"/>
  <c r="P36" i="77"/>
  <c r="I36" i="77"/>
  <c r="J36" i="77" s="1"/>
  <c r="I35" i="77"/>
  <c r="J35" i="77" s="1"/>
  <c r="I34" i="77"/>
  <c r="J34" i="77" s="1"/>
  <c r="I33" i="77"/>
  <c r="I32" i="77"/>
  <c r="J32" i="77" s="1"/>
  <c r="I31" i="77"/>
  <c r="J31" i="77" s="1"/>
  <c r="I30" i="77"/>
  <c r="J30" i="77" s="1"/>
  <c r="I29" i="77"/>
  <c r="I28" i="77"/>
  <c r="J28" i="77" s="1"/>
  <c r="I27" i="77"/>
  <c r="J27" i="77" s="1"/>
  <c r="I26" i="77"/>
  <c r="J26" i="77" s="1"/>
  <c r="I25" i="77"/>
  <c r="I24" i="77"/>
  <c r="J24" i="77" s="1"/>
  <c r="I23" i="77"/>
  <c r="J23" i="77" s="1"/>
  <c r="I22" i="77"/>
  <c r="J22" i="77" s="1"/>
  <c r="I21" i="77"/>
  <c r="I20" i="77"/>
  <c r="J20" i="77" s="1"/>
  <c r="I19" i="77"/>
  <c r="J19" i="77" s="1"/>
  <c r="I18" i="77"/>
  <c r="J18" i="77" s="1"/>
  <c r="I17" i="77"/>
  <c r="I16" i="77"/>
  <c r="J16" i="77" s="1"/>
  <c r="I15" i="77"/>
  <c r="J15" i="77" s="1"/>
  <c r="I14" i="77"/>
  <c r="J14" i="77" s="1"/>
  <c r="P13" i="77"/>
  <c r="I13" i="77"/>
  <c r="J13" i="77" s="1"/>
  <c r="I12" i="77"/>
  <c r="I11" i="77"/>
  <c r="P10" i="77"/>
  <c r="I10" i="77"/>
  <c r="I9" i="77"/>
  <c r="J9" i="77" s="1"/>
  <c r="I8" i="77"/>
  <c r="J8" i="77" s="1"/>
  <c r="P7" i="77"/>
  <c r="I7" i="77"/>
  <c r="J7" i="77" s="1"/>
  <c r="P6" i="77"/>
  <c r="I6" i="77"/>
  <c r="J6" i="77" s="1"/>
  <c r="I5" i="77"/>
  <c r="I4" i="77"/>
  <c r="J4" i="77" s="1"/>
  <c r="I3" i="77"/>
  <c r="S2" i="75"/>
  <c r="S3" i="75"/>
  <c r="S4" i="75"/>
  <c r="S5" i="75"/>
  <c r="S6" i="75"/>
  <c r="S7" i="75"/>
  <c r="S8" i="75"/>
  <c r="S9" i="75"/>
  <c r="S10" i="75"/>
  <c r="S11" i="75"/>
  <c r="S12" i="75"/>
  <c r="S13" i="75"/>
  <c r="S14" i="75"/>
  <c r="S15" i="75"/>
  <c r="S16" i="75"/>
  <c r="S17" i="75"/>
  <c r="S18" i="75"/>
  <c r="S19" i="75"/>
  <c r="S20" i="75"/>
  <c r="S21" i="75"/>
  <c r="S22" i="75"/>
  <c r="S23" i="75"/>
  <c r="S24" i="75"/>
  <c r="S25" i="75"/>
  <c r="S26" i="75"/>
  <c r="S27" i="75"/>
  <c r="S28" i="75"/>
  <c r="S29" i="75"/>
  <c r="S38" i="75" s="1"/>
  <c r="S30" i="75"/>
  <c r="S31" i="75"/>
  <c r="S32" i="75"/>
  <c r="S33" i="75"/>
  <c r="S34" i="75"/>
  <c r="S35" i="75"/>
  <c r="S36" i="75"/>
  <c r="S37" i="75"/>
  <c r="S1" i="75"/>
  <c r="K9" i="57"/>
  <c r="J97" i="77" l="1"/>
  <c r="J78" i="77"/>
  <c r="J10" i="77"/>
  <c r="J62" i="77"/>
  <c r="J86" i="77"/>
  <c r="J11" i="77"/>
  <c r="J91" i="77"/>
  <c r="J96" i="77"/>
  <c r="K97" i="77"/>
  <c r="J87" i="77"/>
  <c r="K96" i="77"/>
  <c r="J90" i="77"/>
  <c r="J17" i="77"/>
  <c r="J21" i="77"/>
  <c r="J25" i="77"/>
  <c r="J38" i="77"/>
  <c r="J42" i="77"/>
  <c r="J46" i="77"/>
  <c r="J89" i="77"/>
  <c r="I92" i="77"/>
  <c r="J92" i="77" s="1"/>
  <c r="J29" i="77"/>
  <c r="J33" i="77"/>
  <c r="J50" i="77"/>
  <c r="J5" i="77"/>
  <c r="J12" i="77"/>
  <c r="J55" i="77"/>
  <c r="J59" i="77"/>
  <c r="J63" i="77"/>
  <c r="J67" i="77"/>
  <c r="J71" i="77"/>
  <c r="J75" i="77"/>
  <c r="J79" i="77"/>
  <c r="J83" i="77"/>
  <c r="J88" i="77"/>
  <c r="J3" i="77"/>
  <c r="J2" i="72"/>
  <c r="K22" i="50"/>
  <c r="L22" i="50" s="1"/>
  <c r="K21" i="50"/>
  <c r="N21" i="50" s="1"/>
  <c r="M21" i="50" s="1"/>
  <c r="Q25" i="50"/>
  <c r="K25" i="50"/>
  <c r="L25" i="50" s="1"/>
  <c r="Q24" i="50"/>
  <c r="K24" i="50"/>
  <c r="N24" i="50" s="1"/>
  <c r="M24" i="50" s="1"/>
  <c r="P23" i="50"/>
  <c r="O23" i="50"/>
  <c r="K23" i="50"/>
  <c r="N23" i="50" s="1"/>
  <c r="M23" i="50" s="1"/>
  <c r="Q21" i="50"/>
  <c r="N22" i="50" l="1"/>
  <c r="M22" i="50" s="1"/>
  <c r="N25" i="50"/>
  <c r="M25" i="50" s="1"/>
  <c r="L21" i="50"/>
  <c r="L24" i="50"/>
  <c r="Q23" i="50"/>
  <c r="L23" i="50"/>
  <c r="J3" i="69" l="1"/>
  <c r="J4" i="69"/>
  <c r="J2" i="69"/>
  <c r="I15" i="57" l="1"/>
  <c r="K7" i="57"/>
  <c r="H7" i="57"/>
  <c r="I7" i="57" s="1"/>
  <c r="K11" i="57"/>
  <c r="N3" i="18" l="1"/>
  <c r="N4" i="18"/>
  <c r="N5" i="18"/>
  <c r="N6" i="18"/>
  <c r="N7" i="18"/>
  <c r="N8" i="18"/>
  <c r="N9" i="18"/>
  <c r="N10" i="18"/>
  <c r="N11" i="18"/>
  <c r="N12" i="18"/>
  <c r="N13" i="18"/>
  <c r="N15" i="18"/>
  <c r="N16" i="18"/>
  <c r="N17" i="18"/>
  <c r="N2" i="18"/>
  <c r="H11" i="57" l="1"/>
  <c r="H9" i="57"/>
  <c r="I9" i="57" s="1"/>
  <c r="H5" i="57"/>
  <c r="I11" i="57" l="1"/>
  <c r="L11" i="57"/>
  <c r="I5" i="57"/>
  <c r="K5" i="57"/>
  <c r="L5" i="57" s="1"/>
  <c r="H3" i="57"/>
  <c r="K3" i="57" s="1"/>
  <c r="L3" i="57" s="1"/>
  <c r="I3" i="57" l="1"/>
  <c r="I12" i="57" s="1"/>
  <c r="H12" i="57" s="1"/>
  <c r="H13" i="57" s="1"/>
  <c r="M26" i="35" l="1"/>
  <c r="L26" i="35"/>
  <c r="M25" i="35"/>
  <c r="L25" i="35"/>
  <c r="M24" i="35"/>
  <c r="L24" i="35"/>
  <c r="M23" i="35"/>
  <c r="L23" i="35"/>
  <c r="M22" i="35"/>
  <c r="L22" i="35"/>
  <c r="M21" i="35"/>
  <c r="L21" i="35"/>
  <c r="M20" i="35"/>
  <c r="L20" i="35"/>
  <c r="E31" i="10"/>
  <c r="E26" i="10"/>
  <c r="E27" i="10"/>
  <c r="E28" i="10"/>
  <c r="E29" i="10"/>
  <c r="E25" i="10"/>
  <c r="F13" i="56"/>
  <c r="F12" i="56"/>
  <c r="F11" i="56"/>
  <c r="F6" i="56"/>
  <c r="F5" i="56"/>
  <c r="F4" i="56"/>
  <c r="C14" i="56"/>
  <c r="E14" i="56"/>
  <c r="Q5" i="50"/>
  <c r="K5" i="50"/>
  <c r="P4" i="50"/>
  <c r="O4" i="50"/>
  <c r="K4" i="50"/>
  <c r="N4" i="50" s="1"/>
  <c r="Q3" i="50"/>
  <c r="K3" i="50"/>
  <c r="N3" i="50" s="1"/>
  <c r="M3" i="50" s="1"/>
  <c r="Q2" i="50"/>
  <c r="K2" i="50"/>
  <c r="L27" i="35" l="1"/>
  <c r="M27" i="35"/>
  <c r="F14" i="56"/>
  <c r="G14" i="56" s="1"/>
  <c r="H14" i="56" s="1"/>
  <c r="N2" i="50"/>
  <c r="M2" i="50" s="1"/>
  <c r="L2" i="50"/>
  <c r="N5" i="50"/>
  <c r="M5" i="50" s="1"/>
  <c r="L5" i="50"/>
  <c r="Q4" i="50"/>
  <c r="L3" i="50"/>
  <c r="L4" i="50"/>
  <c r="J10" i="50" l="1"/>
  <c r="J9" i="50"/>
  <c r="J8" i="50"/>
  <c r="J7" i="50"/>
  <c r="I10" i="50"/>
  <c r="I9" i="50"/>
  <c r="I8" i="50"/>
  <c r="K8" i="50" s="1"/>
  <c r="I7" i="50"/>
  <c r="K10" i="50"/>
  <c r="K9" i="50"/>
  <c r="K7" i="50" l="1"/>
  <c r="I8" i="51" l="1"/>
  <c r="I7" i="51"/>
  <c r="M8" i="50" l="1"/>
  <c r="M9" i="50"/>
  <c r="M10" i="50"/>
  <c r="M7" i="50"/>
  <c r="L8" i="50"/>
  <c r="L9" i="50"/>
  <c r="L10" i="50"/>
  <c r="L7" i="50"/>
  <c r="N8" i="50"/>
  <c r="N9" i="50"/>
  <c r="N10" i="50"/>
  <c r="N7" i="50"/>
  <c r="H8" i="50" l="1"/>
  <c r="H9" i="50"/>
  <c r="H10" i="50"/>
  <c r="H7" i="50"/>
  <c r="M6" i="50" l="1"/>
  <c r="N6" i="50"/>
  <c r="G72" i="48" l="1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G71" i="48"/>
  <c r="F71" i="48"/>
  <c r="G70" i="48"/>
  <c r="F70" i="48"/>
  <c r="G69" i="48"/>
  <c r="F69" i="48"/>
  <c r="G68" i="48"/>
  <c r="F68" i="48"/>
  <c r="G67" i="48"/>
  <c r="F67" i="48"/>
  <c r="G66" i="48"/>
  <c r="F66" i="48"/>
  <c r="G65" i="48"/>
  <c r="F65" i="48"/>
  <c r="G64" i="48"/>
  <c r="F64" i="48"/>
  <c r="G63" i="48"/>
  <c r="F63" i="48"/>
  <c r="G62" i="48"/>
  <c r="F62" i="48"/>
  <c r="G61" i="48"/>
  <c r="F61" i="48"/>
  <c r="G60" i="48"/>
  <c r="F60" i="48"/>
  <c r="G59" i="48"/>
  <c r="F59" i="48"/>
  <c r="G58" i="48"/>
  <c r="F58" i="48"/>
  <c r="G57" i="48"/>
  <c r="F57" i="48"/>
  <c r="G56" i="48"/>
  <c r="F56" i="48"/>
  <c r="G55" i="48"/>
  <c r="F55" i="48"/>
  <c r="G54" i="48"/>
  <c r="F54" i="48"/>
  <c r="G53" i="48"/>
  <c r="F53" i="48"/>
  <c r="G52" i="48"/>
  <c r="F52" i="48"/>
  <c r="G51" i="48"/>
  <c r="F51" i="48"/>
  <c r="G50" i="48"/>
  <c r="F50" i="48"/>
  <c r="G49" i="48"/>
  <c r="F49" i="48"/>
  <c r="G48" i="48"/>
  <c r="F48" i="48"/>
  <c r="G47" i="48"/>
  <c r="F47" i="48"/>
  <c r="G46" i="48"/>
  <c r="F46" i="48"/>
  <c r="G45" i="48"/>
  <c r="F45" i="48"/>
  <c r="G44" i="48"/>
  <c r="F44" i="48"/>
  <c r="G43" i="48"/>
  <c r="F43" i="48"/>
  <c r="G42" i="48"/>
  <c r="F42" i="48"/>
  <c r="G41" i="48"/>
  <c r="F41" i="48"/>
  <c r="G40" i="48"/>
  <c r="F40" i="48"/>
  <c r="G39" i="48"/>
  <c r="F39" i="48"/>
  <c r="G38" i="48"/>
  <c r="F38" i="48"/>
  <c r="G37" i="48"/>
  <c r="F37" i="48"/>
  <c r="G36" i="48"/>
  <c r="F36" i="48"/>
  <c r="G35" i="48"/>
  <c r="F35" i="48"/>
  <c r="G34" i="48"/>
  <c r="F34" i="48"/>
  <c r="G33" i="48"/>
  <c r="F33" i="48"/>
  <c r="G32" i="48"/>
  <c r="F32" i="48"/>
  <c r="G31" i="48"/>
  <c r="F31" i="48"/>
  <c r="G30" i="48"/>
  <c r="F30" i="48"/>
  <c r="G29" i="48"/>
  <c r="F29" i="48"/>
  <c r="G28" i="48"/>
  <c r="F28" i="48"/>
  <c r="G27" i="48"/>
  <c r="F27" i="48"/>
  <c r="G26" i="48"/>
  <c r="F26" i="48"/>
  <c r="G25" i="48"/>
  <c r="F25" i="48"/>
  <c r="G24" i="48"/>
  <c r="F24" i="48"/>
  <c r="G23" i="48"/>
  <c r="F23" i="48"/>
  <c r="G22" i="48"/>
  <c r="F22" i="48"/>
  <c r="G21" i="48"/>
  <c r="F21" i="48"/>
  <c r="G20" i="48"/>
  <c r="F20" i="48"/>
  <c r="G19" i="48"/>
  <c r="F19" i="48"/>
  <c r="G18" i="48"/>
  <c r="F18" i="48"/>
  <c r="G17" i="48"/>
  <c r="F17" i="48"/>
  <c r="G16" i="48"/>
  <c r="F16" i="48"/>
  <c r="G15" i="48"/>
  <c r="F15" i="48"/>
  <c r="G14" i="48"/>
  <c r="F14" i="48"/>
  <c r="G13" i="48"/>
  <c r="F13" i="48"/>
  <c r="G12" i="48"/>
  <c r="F12" i="48"/>
  <c r="G11" i="48"/>
  <c r="F11" i="48"/>
  <c r="G10" i="48"/>
  <c r="F10" i="48"/>
  <c r="G9" i="48"/>
  <c r="F9" i="48"/>
  <c r="G8" i="48"/>
  <c r="F8" i="48"/>
  <c r="G7" i="48"/>
  <c r="F7" i="48"/>
  <c r="G6" i="48"/>
  <c r="F6" i="48"/>
  <c r="G5" i="48"/>
  <c r="F5" i="48"/>
  <c r="G4" i="48"/>
  <c r="F4" i="48"/>
  <c r="G3" i="48"/>
  <c r="F3" i="48"/>
  <c r="G2" i="48"/>
  <c r="F2" i="48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G34" i="45"/>
  <c r="F34" i="45"/>
  <c r="G33" i="45"/>
  <c r="F33" i="45"/>
  <c r="G32" i="45"/>
  <c r="F32" i="45"/>
  <c r="G31" i="45"/>
  <c r="F31" i="45"/>
  <c r="G30" i="45"/>
  <c r="F30" i="45"/>
  <c r="G29" i="45"/>
  <c r="F29" i="45"/>
  <c r="G28" i="45"/>
  <c r="F28" i="45"/>
  <c r="G27" i="45"/>
  <c r="F27" i="45"/>
  <c r="G26" i="45"/>
  <c r="F26" i="45"/>
  <c r="G25" i="45"/>
  <c r="F25" i="45"/>
  <c r="G24" i="45"/>
  <c r="F24" i="45"/>
  <c r="G23" i="45"/>
  <c r="F23" i="45"/>
  <c r="G22" i="45"/>
  <c r="F22" i="45"/>
  <c r="G21" i="45"/>
  <c r="F21" i="45"/>
  <c r="G20" i="45"/>
  <c r="F20" i="45"/>
  <c r="G19" i="45"/>
  <c r="F19" i="45"/>
  <c r="G18" i="45"/>
  <c r="F18" i="45"/>
  <c r="G17" i="45"/>
  <c r="F17" i="45"/>
  <c r="G16" i="45"/>
  <c r="F16" i="45"/>
  <c r="G15" i="45"/>
  <c r="F15" i="45"/>
  <c r="G14" i="45"/>
  <c r="F14" i="45"/>
  <c r="G13" i="45"/>
  <c r="F13" i="45"/>
  <c r="G12" i="45"/>
  <c r="F12" i="45"/>
  <c r="G11" i="45"/>
  <c r="F11" i="45"/>
  <c r="G10" i="45"/>
  <c r="F10" i="45"/>
  <c r="G9" i="45"/>
  <c r="F9" i="45"/>
  <c r="G8" i="45"/>
  <c r="F8" i="45"/>
  <c r="G7" i="45"/>
  <c r="F7" i="45"/>
  <c r="G6" i="45"/>
  <c r="F6" i="45"/>
  <c r="G5" i="45"/>
  <c r="F5" i="45"/>
  <c r="G4" i="45"/>
  <c r="F4" i="45"/>
  <c r="G3" i="45"/>
  <c r="F3" i="45"/>
  <c r="G2" i="45"/>
  <c r="F2" i="45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2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2" i="43"/>
  <c r="D7" i="29" l="1"/>
  <c r="CU4" i="36" l="1"/>
  <c r="CT4" i="36"/>
  <c r="M14" i="35" l="1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6" i="35"/>
  <c r="L6" i="35"/>
  <c r="M5" i="35"/>
  <c r="L5" i="35"/>
  <c r="M4" i="35"/>
  <c r="L4" i="35"/>
  <c r="M3" i="35"/>
  <c r="L3" i="35"/>
  <c r="L15" i="35" l="1"/>
  <c r="M15" i="35"/>
  <c r="D4" i="34"/>
  <c r="D5" i="34"/>
  <c r="D7" i="34"/>
  <c r="D3" i="34"/>
  <c r="D6" i="34"/>
  <c r="D6" i="27" l="1"/>
  <c r="D5" i="27"/>
  <c r="D4" i="27"/>
  <c r="D3" i="27"/>
  <c r="E3" i="25" l="1"/>
  <c r="H3" i="25" s="1"/>
  <c r="E8" i="25"/>
  <c r="G8" i="25" s="1"/>
  <c r="E7" i="25"/>
  <c r="F7" i="25" s="1"/>
  <c r="E10" i="25"/>
  <c r="G10" i="25" s="1"/>
  <c r="E5" i="25"/>
  <c r="H5" i="25" s="1"/>
  <c r="E11" i="25"/>
  <c r="G11" i="25" s="1"/>
  <c r="E9" i="25"/>
  <c r="F9" i="25" s="1"/>
  <c r="E4" i="25"/>
  <c r="G4" i="25" s="1"/>
  <c r="E6" i="25"/>
  <c r="G6" i="25" s="1"/>
  <c r="G7" i="25" l="1"/>
  <c r="H7" i="25"/>
  <c r="H9" i="25"/>
  <c r="H4" i="25"/>
  <c r="G9" i="25"/>
  <c r="H10" i="25"/>
  <c r="F8" i="25"/>
  <c r="F6" i="25"/>
  <c r="H6" i="25"/>
  <c r="H8" i="25"/>
  <c r="F10" i="25"/>
  <c r="G5" i="25"/>
  <c r="H11" i="25"/>
  <c r="F4" i="25"/>
  <c r="F3" i="25"/>
  <c r="F11" i="25"/>
  <c r="F5" i="25"/>
  <c r="G3" i="25"/>
  <c r="F26" i="10" l="1"/>
  <c r="F27" i="10"/>
  <c r="F28" i="10"/>
  <c r="F29" i="10"/>
  <c r="F25" i="10"/>
  <c r="G26" i="10"/>
  <c r="G27" i="10"/>
  <c r="G28" i="10"/>
  <c r="G29" i="10"/>
  <c r="G25" i="10"/>
  <c r="C20" i="10"/>
  <c r="C21" i="10" s="1"/>
  <c r="B36" i="10"/>
  <c r="B37" i="10" s="1"/>
  <c r="F31" i="10" l="1"/>
  <c r="H5" i="10" l="1"/>
  <c r="C2" i="10"/>
  <c r="D4" i="10" s="1"/>
  <c r="C9" i="10" s="1"/>
  <c r="C10" i="10" s="1"/>
  <c r="G9" i="10" l="1"/>
  <c r="G10" i="10" s="1"/>
  <c r="F9" i="10"/>
  <c r="F10" i="10" s="1"/>
  <c r="E9" i="10"/>
  <c r="E10" i="10" s="1"/>
  <c r="D9" i="10"/>
  <c r="D10" i="10" s="1"/>
  <c r="C5" i="10"/>
  <c r="G11" i="9"/>
  <c r="G10" i="9"/>
  <c r="G9" i="9"/>
  <c r="G8" i="9"/>
  <c r="G7" i="9"/>
  <c r="G6" i="9"/>
  <c r="G5" i="9"/>
  <c r="G4" i="9"/>
  <c r="G3" i="9"/>
  <c r="G2" i="9"/>
  <c r="F3" i="9"/>
  <c r="F4" i="9"/>
  <c r="F5" i="9"/>
  <c r="F6" i="9"/>
  <c r="F7" i="9"/>
  <c r="F8" i="9"/>
  <c r="F9" i="9"/>
  <c r="F10" i="9"/>
  <c r="F11" i="9"/>
  <c r="F2" i="9"/>
  <c r="E12" i="9"/>
  <c r="G12" i="9" l="1"/>
  <c r="F17" i="10"/>
  <c r="F18" i="10" s="1"/>
  <c r="C17" i="10"/>
  <c r="C18" i="10" s="1"/>
  <c r="F13" i="10"/>
  <c r="F19" i="10" l="1"/>
</calcChain>
</file>

<file path=xl/sharedStrings.xml><?xml version="1.0" encoding="utf-8"?>
<sst xmlns="http://schemas.openxmlformats.org/spreadsheetml/2006/main" count="1612" uniqueCount="839">
  <si>
    <t xml:space="preserve">Trafos A2-A3 </t>
  </si>
  <si>
    <t xml:space="preserve">Trafos A2-MT </t>
  </si>
  <si>
    <t>Trafos MT-A3</t>
  </si>
  <si>
    <t>Trafos A3-MT</t>
  </si>
  <si>
    <t>Trafos MT-B</t>
  </si>
  <si>
    <t>Rede A2</t>
  </si>
  <si>
    <t>Rede A3</t>
  </si>
  <si>
    <t>Rede MT</t>
  </si>
  <si>
    <t>Rede B</t>
  </si>
  <si>
    <t>Medidores</t>
  </si>
  <si>
    <t>Cod. Est.</t>
  </si>
  <si>
    <t>Tipo Est.</t>
  </si>
  <si>
    <t>Cabo Fase</t>
  </si>
  <si>
    <t>Bit.
(mm2)</t>
  </si>
  <si>
    <t>Bit. Neutro
(mm2)</t>
  </si>
  <si>
    <t>Ext.
(Km)</t>
  </si>
  <si>
    <t>Ext.
(%)</t>
  </si>
  <si>
    <t>Conv.</t>
  </si>
  <si>
    <t xml:space="preserve">Cabo de alumínio simples 4 AWG </t>
  </si>
  <si>
    <t>Cabo de alumínio simples 2 AWG</t>
  </si>
  <si>
    <t>Cabo de alumínio simples 1/0 AWG</t>
  </si>
  <si>
    <t>Cabo de alumínio simples 4/0 AWG</t>
  </si>
  <si>
    <t>Cabo de alumínio simples 336,6 MCM</t>
  </si>
  <si>
    <t xml:space="preserve">Cabo de alumínio simples com alma de aço 4 AWG </t>
  </si>
  <si>
    <t>Cabo de alumínio simples com alma de aço 2 AWG</t>
  </si>
  <si>
    <t>Cabo de alumínio simples com alma de aço 1/0 AWG</t>
  </si>
  <si>
    <t>Cabo de alumínio simples com alma de aço 4/0 AWG</t>
  </si>
  <si>
    <t>Cabo de alumínio simples com alma de aço 336,6 MCM</t>
  </si>
  <si>
    <t>A06</t>
  </si>
  <si>
    <t>Prot.</t>
  </si>
  <si>
    <t xml:space="preserve">Cabo protegido XLPE </t>
  </si>
  <si>
    <t>A08</t>
  </si>
  <si>
    <t>BT106</t>
  </si>
  <si>
    <t>BT107</t>
  </si>
  <si>
    <t>BT108</t>
  </si>
  <si>
    <t>Concessionária</t>
  </si>
  <si>
    <t>Km MT/BT</t>
  </si>
  <si>
    <t>Total</t>
  </si>
  <si>
    <t>Tipo de MT monofásica</t>
  </si>
  <si>
    <t>Monofásica</t>
  </si>
  <si>
    <t>Bifásica</t>
  </si>
  <si>
    <t xml:space="preserve">Trifásica </t>
  </si>
  <si>
    <t/>
  </si>
  <si>
    <t>CEMIG</t>
  </si>
  <si>
    <t>Fase/Neutro</t>
  </si>
  <si>
    <t>COELBA</t>
  </si>
  <si>
    <t>n.d.</t>
  </si>
  <si>
    <t>COPEL</t>
  </si>
  <si>
    <t>CELG-D</t>
  </si>
  <si>
    <t>CELPA</t>
  </si>
  <si>
    <t>MRT</t>
  </si>
  <si>
    <t>CELPE</t>
  </si>
  <si>
    <t>CELESC</t>
  </si>
  <si>
    <t>EMT</t>
  </si>
  <si>
    <t>ETO</t>
  </si>
  <si>
    <t>Trabalho</t>
  </si>
  <si>
    <t>Algoritmo</t>
  </si>
  <si>
    <t>Modelo de Carga</t>
  </si>
  <si>
    <t>Fontes de Dados</t>
  </si>
  <si>
    <t>(Neves, 2008)</t>
  </si>
  <si>
    <t>PIP/D</t>
  </si>
  <si>
    <t>ZIP</t>
  </si>
  <si>
    <t>Cemig D</t>
  </si>
  <si>
    <t>(Freitas &amp; da Silva, 2012)</t>
  </si>
  <si>
    <t xml:space="preserve">Média </t>
  </si>
  <si>
    <t xml:space="preserve">(Amaral, 2012) </t>
  </si>
  <si>
    <t>LS</t>
  </si>
  <si>
    <t xml:space="preserve">(Gaspar et al., 2012) </t>
  </si>
  <si>
    <t>Fuzzy e DE</t>
  </si>
  <si>
    <t>(Ahmadi et al., 2015)</t>
  </si>
  <si>
    <t>PIM</t>
  </si>
  <si>
    <t>ZI</t>
  </si>
  <si>
    <t>redes IEEE</t>
  </si>
  <si>
    <t>LS = Least Squares, DE = Differential Evolution, PIM = Programação Inteira-Mista</t>
  </si>
  <si>
    <t>(Ballanti &amp; Ochoa, 2015)</t>
  </si>
  <si>
    <t>Component based</t>
  </si>
  <si>
    <t>(Barouche &amp; Silva, 2016)</t>
  </si>
  <si>
    <t>Literatura</t>
  </si>
  <si>
    <t>OpenDSS</t>
  </si>
  <si>
    <t>Perdas(MW)</t>
  </si>
  <si>
    <t>Erro</t>
  </si>
  <si>
    <t>16 barras</t>
  </si>
  <si>
    <t>33 barras</t>
  </si>
  <si>
    <t>70 barras</t>
  </si>
  <si>
    <t>84 barras</t>
  </si>
  <si>
    <t>S</t>
  </si>
  <si>
    <t>N</t>
  </si>
  <si>
    <t>Nome</t>
  </si>
  <si>
    <t>Ano Trab.</t>
  </si>
  <si>
    <t>Ano dout.</t>
  </si>
  <si>
    <t>Inst.</t>
  </si>
  <si>
    <t>Hoje</t>
  </si>
  <si>
    <t>Título da tese</t>
  </si>
  <si>
    <t>Contribuições</t>
  </si>
  <si>
    <t xml:space="preserve">Obs: </t>
  </si>
  <si>
    <t>Sobrenome</t>
  </si>
  <si>
    <t>Raoni Pegado</t>
  </si>
  <si>
    <t>n.a.</t>
  </si>
  <si>
    <t>UFPB</t>
  </si>
  <si>
    <t>?</t>
  </si>
  <si>
    <t>Mestrado 2019 "Reconfiguração de Redes de Distribuição com OpenDSS Usando otimização por enxame de Partículas"</t>
  </si>
  <si>
    <t>Pegado</t>
  </si>
  <si>
    <t>Raoni de Araújo Pegado</t>
  </si>
  <si>
    <t>Simone Souza</t>
  </si>
  <si>
    <t>UNESP</t>
  </si>
  <si>
    <t>Prof. UNEMAT</t>
  </si>
  <si>
    <t>"Reconfiguração de Sistemas de Distribuição de Engenharia Elétrica Considerando Demandas Variáveis Utilizando Algoritmos Imunológicos Artificiais Aplicados"</t>
  </si>
  <si>
    <t>Doutorado parecido com o mestrado</t>
  </si>
  <si>
    <t>Souza</t>
  </si>
  <si>
    <t>Simone Silva Frutuoso de Souza</t>
  </si>
  <si>
    <t>Cassio  Gerez</t>
  </si>
  <si>
    <t>UFABC</t>
  </si>
  <si>
    <t>Aluno doutorado</t>
  </si>
  <si>
    <t>Mestrado 2017 "Reconfiguração de Sistemas de Distribuição de Energia Elétrica Usando o Algoritmo do Vaga-Lume"</t>
  </si>
  <si>
    <t>Gerez</t>
  </si>
  <si>
    <t>Ellen Cavalheiro</t>
  </si>
  <si>
    <t>UNICAMP</t>
  </si>
  <si>
    <t>Aluna doutorado</t>
  </si>
  <si>
    <t>Mestrado "Otimização das Configurações de Redes de Distribuição de Energia Elétrica com Fontes Distribuídas"</t>
  </si>
  <si>
    <t>Cavalheiro</t>
  </si>
  <si>
    <t>Ellen Marianne Bernal Cavalheiro</t>
  </si>
  <si>
    <t>Leonardo Possagnolo</t>
  </si>
  <si>
    <t>Pos doc</t>
  </si>
  <si>
    <t>Mestrado 2015 "Reconfiguração de sistemas de distribuição operando em vários níveis de demanda através de uma meta-heurística de busca em vizinhança variável"</t>
  </si>
  <si>
    <t>Possagnolo</t>
  </si>
  <si>
    <t>Leonardo Henrique Faria Macedo Possagnolo</t>
  </si>
  <si>
    <t>Mateus Leite</t>
  </si>
  <si>
    <t>UFMG</t>
  </si>
  <si>
    <t>Prof. Cefet MG</t>
  </si>
  <si>
    <t>Mestrado 2014 "Reconfiguração de Redes de Distribuição Primária de Energia Elétrica para Redução de Perdas Técnicas"</t>
  </si>
  <si>
    <t>Reduzidos estudo de FP. Prova matemática</t>
  </si>
  <si>
    <t>Leite</t>
  </si>
  <si>
    <t>Mateus Antunes Oliveira Leite</t>
  </si>
  <si>
    <t>Ezequiel Pereira</t>
  </si>
  <si>
    <t>Eng. Cemig D</t>
  </si>
  <si>
    <t>Mestrado 2014 "Reconfiguração de Redes de Distribuição de Energia Elétrica para Minimização de Perdas Técnicas"</t>
  </si>
  <si>
    <t xml:space="preserve">Pereira </t>
  </si>
  <si>
    <t>Ezequiel Campos Pereira</t>
  </si>
  <si>
    <t>Ana Paula Mello</t>
  </si>
  <si>
    <t>UFSM</t>
  </si>
  <si>
    <t>Prof. UNIPAMPA</t>
  </si>
  <si>
    <t>Mestrado 2014 "Reconfiguração de Redes de Distribuição considerando Multivariáveis e Geração Distribuída"</t>
  </si>
  <si>
    <t>Mello</t>
  </si>
  <si>
    <t>Ana Paula Carboni de Mello</t>
  </si>
  <si>
    <t>Diogo Rupolo</t>
  </si>
  <si>
    <t>Mestrado 2013 "Reconfiguração de Redes de Distribuição de Energia Elétrica Através de um Algoritmo de Busca Dispersa"</t>
  </si>
  <si>
    <t>Rupolo</t>
  </si>
  <si>
    <t>Diogo</t>
  </si>
  <si>
    <t>Danilo Sanches</t>
  </si>
  <si>
    <t>EESC/USP</t>
  </si>
  <si>
    <t>Prof. UFPR</t>
  </si>
  <si>
    <t>"Algoritmos Evolutivos Multi-Objetivo para Reconfiguração de Redes em Sistemas de Distribuição de Energia Elétrica"</t>
  </si>
  <si>
    <t>Sanches</t>
  </si>
  <si>
    <t>Danilo Sipoli Sanches</t>
  </si>
  <si>
    <t>Título da tese/trabalho</t>
  </si>
  <si>
    <t>Ricardo Prado</t>
  </si>
  <si>
    <t>Prof. IFMG - Ouro Preto</t>
  </si>
  <si>
    <t>"Restauração de Sistemas de Distribuição de Energia Elétrica Utilizando Evolução Diferencial com Árvore de Ancestralidade"</t>
  </si>
  <si>
    <t>Evolução Diferencial discreta "árvore de ancestralidade"</t>
  </si>
  <si>
    <t>Prado</t>
  </si>
  <si>
    <t>Ricardo Sérgio Prado</t>
  </si>
  <si>
    <t>Carlos Barbosa</t>
  </si>
  <si>
    <t>Prof. UFOP</t>
  </si>
  <si>
    <t>"Reconfiguração de Sistemas de Distribuição de Energia Elétrica: Contingenciamento e Otimização"</t>
  </si>
  <si>
    <t xml:space="preserve">Barbosa </t>
  </si>
  <si>
    <t>Carlos Henrique Barbosa</t>
  </si>
  <si>
    <t>Thiago Borges</t>
  </si>
  <si>
    <t>COPPE/UFRJ</t>
  </si>
  <si>
    <t>Eng. Petrobras</t>
  </si>
  <si>
    <t>"Restabelecimento de Sistemas de Distribuição Utilizando Fluxo de Potência Ótimo"</t>
  </si>
  <si>
    <t>Borges</t>
  </si>
  <si>
    <t>Thiago Trezza Borges</t>
  </si>
  <si>
    <t xml:space="preserve">Marina Lavorato </t>
  </si>
  <si>
    <t>Prof. PUC Campinas</t>
  </si>
  <si>
    <t>Artigo sobre radialidade</t>
  </si>
  <si>
    <t xml:space="preserve">Lavorato </t>
  </si>
  <si>
    <t xml:space="preserve">Marina Lavorato de Oliveira </t>
  </si>
  <si>
    <t>José Cidney</t>
  </si>
  <si>
    <t>Eng. Furnas Eletrobras</t>
  </si>
  <si>
    <t>Mestrado 2011 "Algoritmo de Evolução Diferencial Discreta Aplicado a Reconfiguração de Redes de Distribuição de Energia Elétrica"</t>
  </si>
  <si>
    <t>Uso do alg. Dijkstra p/ identificação/extração dos ciclos</t>
  </si>
  <si>
    <t xml:space="preserve">Cidiney </t>
  </si>
  <si>
    <t>José da Silva Cidney</t>
  </si>
  <si>
    <t>Fernando Pereira</t>
  </si>
  <si>
    <t>Prof. IFG</t>
  </si>
  <si>
    <t>"Reconfiguração ótima de sistemas de distribuição de energia elétrica baseado no comportamento de colônias de formigas"</t>
  </si>
  <si>
    <t>Pereira</t>
  </si>
  <si>
    <t>Fernando Silva Pereira</t>
  </si>
  <si>
    <t>Helon Braz</t>
  </si>
  <si>
    <t> UFCG</t>
  </si>
  <si>
    <t>Prof. UFPB</t>
  </si>
  <si>
    <t>"Reconfiguração Ótima de Redes de Distribuição"</t>
  </si>
  <si>
    <t>Braz</t>
  </si>
  <si>
    <t>Helon David de Macêdo Braz</t>
  </si>
  <si>
    <t>Marcelo Oliveira</t>
  </si>
  <si>
    <t>Prof. IFG - Itumbiara</t>
  </si>
  <si>
    <t>"Avaliação de Metodologias de Cálculo de Perdas Técnicas em Sistemas de Distribuição de Energia Elétrica"</t>
  </si>
  <si>
    <t>Oliveira</t>
  </si>
  <si>
    <t>Marcelo Escobar de Oliveira</t>
  </si>
  <si>
    <t>Edgar Carreño</t>
  </si>
  <si>
    <t>Prof.  CECE- UNIOESTE</t>
  </si>
  <si>
    <t>Artigo "An Efficient Codification to Solve Distribution Network Reconfiguration for Loss Reduction Problem"</t>
  </si>
  <si>
    <t>Carreño</t>
  </si>
  <si>
    <t>Edgar Manuel Carreño Franco</t>
  </si>
  <si>
    <t>Daniel Bernardon</t>
  </si>
  <si>
    <t>Prof. UFSM</t>
  </si>
  <si>
    <t>"Novos Métodos para Reconfiguração das Redes de Distribuição a partir de Análises Multicriteriais"</t>
  </si>
  <si>
    <t>Bernardon</t>
  </si>
  <si>
    <t>Daniel Pinheiro Bernardon</t>
  </si>
  <si>
    <t>Eduardo Carrano</t>
  </si>
  <si>
    <t>Prof. UFMG</t>
  </si>
  <si>
    <t>"Algoritmos evolucionários eficientes para otimização de redes"</t>
  </si>
  <si>
    <t>Pioneiro na utilização da teoria de grafos</t>
  </si>
  <si>
    <t>Carrano</t>
  </si>
  <si>
    <t>Eduardo Gontijo Carrano</t>
  </si>
  <si>
    <t>André Meffé</t>
  </si>
  <si>
    <t>USP</t>
  </si>
  <si>
    <t>Sócio Daimon</t>
  </si>
  <si>
    <t>"Cálculo de perdas técnicas em sistemas de distribuição - modelos adequáveis às características do sistema e à disponibilidade de informações"</t>
  </si>
  <si>
    <t>Meffé</t>
  </si>
  <si>
    <t>Alexandre Delbem</t>
  </si>
  <si>
    <t>Prof. USP - ICMC</t>
  </si>
  <si>
    <t>"Restabelecimento de Energia em Sistemas de Distribuição por Algoritmo Evolucionário Associado a Representação por Cadeias de Grafos"</t>
  </si>
  <si>
    <t>Propôs a RNP em 2004</t>
  </si>
  <si>
    <t>Delbem</t>
  </si>
  <si>
    <t>Alexandre Cláudio Botazzo Delbem</t>
  </si>
  <si>
    <t>Rúben Lázaro</t>
  </si>
  <si>
    <t>Prof. UNESP</t>
  </si>
  <si>
    <t>Romero</t>
  </si>
  <si>
    <t>Rúben Augusto Lázaro</t>
  </si>
  <si>
    <t>Cristiane Taroco</t>
  </si>
  <si>
    <t>Prof. UFSJ</t>
  </si>
  <si>
    <t>"Planejamento Integrado de Sistemas de Distribuição de Energia Elétrica Robustos com Geração Distribuída"</t>
  </si>
  <si>
    <t>Trabalho para planejar a estrutura da rede de distribuição</t>
  </si>
  <si>
    <t>Taroco</t>
  </si>
  <si>
    <t>Cristiane Geralda Taroco</t>
  </si>
  <si>
    <t>Rocha, C. H. S.</t>
  </si>
  <si>
    <t>Análise e Mitigação de Impactos da Conexão de Geração Distribuída, Microgeração Distribuída e Armazenadores em Alimentadores de Distribuição Utilizando o Software OpenDSS - TCC</t>
  </si>
  <si>
    <t xml:space="preserve"> </t>
  </si>
  <si>
    <t>Rocha</t>
  </si>
  <si>
    <t>Joel  Pereira</t>
  </si>
  <si>
    <t>Pesq. Asotech</t>
  </si>
  <si>
    <t>Mestrado 2007 "Otimização Monocritério e Multcritério da Configuração de Redes em Sistemas de Distribuiçã0"</t>
  </si>
  <si>
    <t>Joel Gomes Pereira</t>
  </si>
  <si>
    <t>pi</t>
  </si>
  <si>
    <t>mi_0</t>
  </si>
  <si>
    <t>ohms.1000fet</t>
  </si>
  <si>
    <t>omega</t>
  </si>
  <si>
    <t>Rg</t>
  </si>
  <si>
    <t>ohm.m</t>
  </si>
  <si>
    <t>freq</t>
  </si>
  <si>
    <t>Rho</t>
  </si>
  <si>
    <t>Xg</t>
  </si>
  <si>
    <t>Xg(ohms/km)</t>
  </si>
  <si>
    <t>RG</t>
  </si>
  <si>
    <t>Xg(ohms/1000ft)</t>
  </si>
  <si>
    <t>ok mesmo valor defaul OpenDSS</t>
  </si>
  <si>
    <t>Rg(ohms/1000ft)</t>
  </si>
  <si>
    <t>Cabo 336,4 26/7 ACSR Rii=0.1901, Xii=0.3695</t>
  </si>
  <si>
    <t>Rho
(ohm.m)</t>
  </si>
  <si>
    <t>Xg
(ohm/km)</t>
  </si>
  <si>
    <t>Xg/Xii
(%)</t>
  </si>
  <si>
    <t>Rg
(ohm/km)</t>
  </si>
  <si>
    <t>Rg/Rii
(%)</t>
  </si>
  <si>
    <t>Verificação Xg=0.155081 ohms/1000ft</t>
  </si>
  <si>
    <t>1ft</t>
  </si>
  <si>
    <t>ohms/1000ft</t>
  </si>
  <si>
    <t>ohms/m</t>
  </si>
  <si>
    <t>ohms/km</t>
  </si>
  <si>
    <t>Fase</t>
  </si>
  <si>
    <t>Rho = 100 ohm.m</t>
  </si>
  <si>
    <t xml:space="preserve"> Cond. </t>
  </si>
  <si>
    <t xml:space="preserve">Bitola </t>
  </si>
  <si>
    <t>R1</t>
  </si>
  <si>
    <t>X1</t>
  </si>
  <si>
    <t>R0</t>
  </si>
  <si>
    <t>X0</t>
  </si>
  <si>
    <t>acres.</t>
  </si>
  <si>
    <t>4 AWG</t>
  </si>
  <si>
    <t>2AWG</t>
  </si>
  <si>
    <t>1/0 AWG</t>
  </si>
  <si>
    <t>4/0 AWG</t>
  </si>
  <si>
    <t>336,6 MCM</t>
  </si>
  <si>
    <t>P. XLPE</t>
  </si>
  <si>
    <t>média</t>
  </si>
  <si>
    <t>OBS: valores de R1,X1,R0,X0 em ohms/km</t>
  </si>
  <si>
    <t>Simulação - Iteração 1</t>
  </si>
  <si>
    <t>Simulação - Iteração 2</t>
  </si>
  <si>
    <t>Alim.</t>
  </si>
  <si>
    <t>Medição de Demanda (kW)</t>
  </si>
  <si>
    <t>Requisito
(kW)</t>
  </si>
  <si>
    <t>Perda
(kW)</t>
  </si>
  <si>
    <t>Dif.</t>
  </si>
  <si>
    <t>BETC506</t>
  </si>
  <si>
    <t>BETC507</t>
  </si>
  <si>
    <t>BETC508</t>
  </si>
  <si>
    <t>BETC510</t>
  </si>
  <si>
    <t>BETC514</t>
  </si>
  <si>
    <t>BETC515</t>
  </si>
  <si>
    <t>BETC516</t>
  </si>
  <si>
    <t>BETC517</t>
  </si>
  <si>
    <t>Nº</t>
  </si>
  <si>
    <t>Título Projeto</t>
  </si>
  <si>
    <t>Ano</t>
  </si>
  <si>
    <t>Valor</t>
  </si>
  <si>
    <t>Gerente</t>
  </si>
  <si>
    <t>P&amp;D0074</t>
  </si>
  <si>
    <t>Desenvolvimento de Tecnologia de Análise de Redes de Distribuição com Geração Distribuída e Reconfiguração de Redes Elétricas - UFJF</t>
  </si>
  <si>
    <t>Helder Lara Ferreira</t>
  </si>
  <si>
    <t>P&amp;D0131</t>
  </si>
  <si>
    <t>Otimização Monocritério e Multicritério da Configuração de Redes em Sistemas de Distribuição – PUC/MG Prof. Petr Ekel</t>
  </si>
  <si>
    <t>Roberto C. de Berrêdo</t>
  </si>
  <si>
    <t>P&amp;D0317</t>
  </si>
  <si>
    <t>Sistemas de distribuição de energia elétrica auto-reconfiguráveis: contingenciamento e otimização – UFMG Prof. João Vasconcelos</t>
  </si>
  <si>
    <t>P&amp;D0369</t>
  </si>
  <si>
    <t>Planejamento e Operação da Reconfiguração de Sistemas de Distribuição Utilizando Algoritmos de Otimização – UFMG Prof. Eduardo Carrano</t>
  </si>
  <si>
    <t xml:space="preserve">Edgard Pereira Cardoso </t>
  </si>
  <si>
    <t>P&amp;D0372</t>
  </si>
  <si>
    <t>Metodologia para a reconfiguração ótima de sistemas de distribuição 
UFSJ Prof. Luiz Antônio da Fonseca Manso</t>
  </si>
  <si>
    <t>Armando Fernandes Rocha</t>
  </si>
  <si>
    <t>Nr.</t>
  </si>
  <si>
    <t>Feeder</t>
  </si>
  <si>
    <t>NO switch</t>
  </si>
  <si>
    <t>NC switch</t>
  </si>
  <si>
    <t xml:space="preserve">from substation  </t>
  </si>
  <si>
    <t>losses before</t>
  </si>
  <si>
    <t>losses after SO</t>
  </si>
  <si>
    <t>losses Reduction</t>
  </si>
  <si>
    <t>% losses red.</t>
  </si>
  <si>
    <t>Data proposta</t>
  </si>
  <si>
    <t>Data execução</t>
  </si>
  <si>
    <t>N.Alim</t>
  </si>
  <si>
    <t xml:space="preserve">Voltage in NC sw. </t>
  </si>
  <si>
    <t>Volt. Inc %</t>
  </si>
  <si>
    <t>Year</t>
  </si>
  <si>
    <t>reexec.</t>
  </si>
  <si>
    <t>SE</t>
  </si>
  <si>
    <t>Status</t>
  </si>
  <si>
    <t>Chamado</t>
  </si>
  <si>
    <t>nr. NO
 switches</t>
  </si>
  <si>
    <t>nr. NC
 switches</t>
  </si>
  <si>
    <t>nr. PF</t>
  </si>
  <si>
    <t>Alimentador/SE</t>
  </si>
  <si>
    <t>Chave NA</t>
  </si>
  <si>
    <t>Chave NF</t>
  </si>
  <si>
    <t>Energia Injetada (MWh)</t>
  </si>
  <si>
    <t>Perdas antes (MWh)</t>
  </si>
  <si>
    <t>Perdas após (MWh)</t>
  </si>
  <si>
    <t>Redução de perdas (MWh)</t>
  </si>
  <si>
    <t>Red. %</t>
  </si>
  <si>
    <t>Nº alim</t>
  </si>
  <si>
    <t>VCS11</t>
  </si>
  <si>
    <t>VCS</t>
  </si>
  <si>
    <t>executada</t>
  </si>
  <si>
    <t>fic001</t>
  </si>
  <si>
    <t>MCLD203</t>
  </si>
  <si>
    <t>MCLD</t>
  </si>
  <si>
    <t>fic002</t>
  </si>
  <si>
    <t>COJ09</t>
  </si>
  <si>
    <t>COJ</t>
  </si>
  <si>
    <t>fic003</t>
  </si>
  <si>
    <t>AMN06</t>
  </si>
  <si>
    <t>AMN</t>
  </si>
  <si>
    <t>PSAU13</t>
  </si>
  <si>
    <t>PSAU</t>
  </si>
  <si>
    <t>MRND218</t>
  </si>
  <si>
    <t>MRND</t>
  </si>
  <si>
    <t>SLAT309</t>
  </si>
  <si>
    <t>SLAT</t>
  </si>
  <si>
    <t xml:space="preserve">SFIQ410 </t>
  </si>
  <si>
    <t>SFIQ</t>
  </si>
  <si>
    <t>MAGC513</t>
  </si>
  <si>
    <t>MAGC</t>
  </si>
  <si>
    <t>INPD215</t>
  </si>
  <si>
    <t>INPD</t>
  </si>
  <si>
    <t>SSP06</t>
  </si>
  <si>
    <t>SSP</t>
  </si>
  <si>
    <t>DVLU13</t>
  </si>
  <si>
    <t>DVLU</t>
  </si>
  <si>
    <t>PSOU07</t>
  </si>
  <si>
    <t>PSOU</t>
  </si>
  <si>
    <t>BHGT19</t>
  </si>
  <si>
    <t>BHGT</t>
  </si>
  <si>
    <t>CGAU10</t>
  </si>
  <si>
    <t>LPTU</t>
  </si>
  <si>
    <t>MUT15</t>
  </si>
  <si>
    <t>MUT</t>
  </si>
  <si>
    <t>UHQM06</t>
  </si>
  <si>
    <t>UHQM</t>
  </si>
  <si>
    <t>fic004</t>
  </si>
  <si>
    <t>UHSG27</t>
  </si>
  <si>
    <t>UHSG</t>
  </si>
  <si>
    <t>NOG03</t>
  </si>
  <si>
    <t>NOG</t>
  </si>
  <si>
    <t>COJ08</t>
  </si>
  <si>
    <t>CGAU</t>
  </si>
  <si>
    <t>BHSN03</t>
  </si>
  <si>
    <t>BHSN</t>
  </si>
  <si>
    <t>AXAU10</t>
  </si>
  <si>
    <t>AXAU</t>
  </si>
  <si>
    <t>TCSD210</t>
  </si>
  <si>
    <t>TCSD</t>
  </si>
  <si>
    <t>AOR04</t>
  </si>
  <si>
    <t>AOR</t>
  </si>
  <si>
    <t>JPIU11</t>
  </si>
  <si>
    <t>JPIU</t>
  </si>
  <si>
    <t>IIGD210/222</t>
  </si>
  <si>
    <t>IIGD</t>
  </si>
  <si>
    <t>IRO17</t>
  </si>
  <si>
    <t>IRO</t>
  </si>
  <si>
    <t>PMSU15</t>
  </si>
  <si>
    <t>PMSU</t>
  </si>
  <si>
    <t>LPTU01-02/03</t>
  </si>
  <si>
    <t>IIIU12</t>
  </si>
  <si>
    <t>IIIU</t>
  </si>
  <si>
    <t>BHPM25</t>
  </si>
  <si>
    <t>BHPM</t>
  </si>
  <si>
    <t>BHHR10</t>
  </si>
  <si>
    <t>BHHR</t>
  </si>
  <si>
    <t>ALSD204</t>
  </si>
  <si>
    <t>ALSD</t>
  </si>
  <si>
    <t>IIGD220/221</t>
  </si>
  <si>
    <t>SDEU15</t>
  </si>
  <si>
    <t>SDEU</t>
  </si>
  <si>
    <t>PRRU09</t>
  </si>
  <si>
    <t>PRRU</t>
  </si>
  <si>
    <t>NLAE713</t>
  </si>
  <si>
    <t>NLAE</t>
  </si>
  <si>
    <t>IIGU118</t>
  </si>
  <si>
    <t>IIGU</t>
  </si>
  <si>
    <t>ACSU106</t>
  </si>
  <si>
    <t>ACSU</t>
  </si>
  <si>
    <t>OUF08/05</t>
  </si>
  <si>
    <t>OUF</t>
  </si>
  <si>
    <t>UNIT</t>
  </si>
  <si>
    <t>MAL</t>
  </si>
  <si>
    <t>RBST335</t>
  </si>
  <si>
    <t>RBST</t>
  </si>
  <si>
    <t>VZPU08</t>
  </si>
  <si>
    <t>VZPU</t>
  </si>
  <si>
    <t>SND04</t>
  </si>
  <si>
    <t>SND</t>
  </si>
  <si>
    <t>CAX08/09</t>
  </si>
  <si>
    <t>CAX</t>
  </si>
  <si>
    <t>FRUU14</t>
  </si>
  <si>
    <t>FRUU</t>
  </si>
  <si>
    <t>LBD</t>
  </si>
  <si>
    <t>CETU09/11</t>
  </si>
  <si>
    <t>CETU</t>
  </si>
  <si>
    <t>MCDD206</t>
  </si>
  <si>
    <t>MCDD</t>
  </si>
  <si>
    <t>AXAU03-05/04</t>
  </si>
  <si>
    <t>TOTU03-03/04-m1</t>
  </si>
  <si>
    <t>TOTU</t>
  </si>
  <si>
    <t>NOG02-14/03</t>
  </si>
  <si>
    <t>JFAU07-18/19</t>
  </si>
  <si>
    <t>JFAU</t>
  </si>
  <si>
    <t>PRRU07-18/10</t>
  </si>
  <si>
    <t>SLAU04</t>
  </si>
  <si>
    <t>SLAU</t>
  </si>
  <si>
    <t>MCLU14</t>
  </si>
  <si>
    <t>MCLU</t>
  </si>
  <si>
    <t>PPS10</t>
  </si>
  <si>
    <t>PPS</t>
  </si>
  <si>
    <t>NLAU06-08/15</t>
  </si>
  <si>
    <t>NLAU</t>
  </si>
  <si>
    <t>ORPU06-08/14</t>
  </si>
  <si>
    <t>ORPU</t>
  </si>
  <si>
    <t>BRDD205-208/209</t>
  </si>
  <si>
    <t>BRDD</t>
  </si>
  <si>
    <t>ITMU05-09/06</t>
  </si>
  <si>
    <t>ITMU</t>
  </si>
  <si>
    <t>NOG02-11/12-m2</t>
  </si>
  <si>
    <t>TOTU03-11/07-m2</t>
  </si>
  <si>
    <t>ADOD</t>
  </si>
  <si>
    <t>CICM01-32/34</t>
  </si>
  <si>
    <t>CICM</t>
  </si>
  <si>
    <t>BIIU05</t>
  </si>
  <si>
    <t>BIIU</t>
  </si>
  <si>
    <t>PEB06</t>
  </si>
  <si>
    <t>PEB</t>
  </si>
  <si>
    <t>SLN04</t>
  </si>
  <si>
    <t>SLN</t>
  </si>
  <si>
    <t>MNM08</t>
  </si>
  <si>
    <t>MNM</t>
  </si>
  <si>
    <t>BDPD04</t>
  </si>
  <si>
    <t>BDPD</t>
  </si>
  <si>
    <t>MIB15</t>
  </si>
  <si>
    <t>MOO06-13/15</t>
  </si>
  <si>
    <t>MOO</t>
  </si>
  <si>
    <t>SQNU06</t>
  </si>
  <si>
    <t xml:space="preserve"> SQNU </t>
  </si>
  <si>
    <t>NVSU22</t>
  </si>
  <si>
    <t>NVSU</t>
  </si>
  <si>
    <t>SLUU</t>
  </si>
  <si>
    <t>LFAD204</t>
  </si>
  <si>
    <t>LFAD</t>
  </si>
  <si>
    <t>BETT</t>
  </si>
  <si>
    <t>LBD01-02/05-m2</t>
  </si>
  <si>
    <t>PTC12</t>
  </si>
  <si>
    <t>PTC</t>
  </si>
  <si>
    <t>TOTU03-11/05-m2</t>
  </si>
  <si>
    <t>BHMR09</t>
  </si>
  <si>
    <t>BHMR</t>
  </si>
  <si>
    <t>JFAO803</t>
  </si>
  <si>
    <t>JFAO</t>
  </si>
  <si>
    <t>PTUU11/09</t>
  </si>
  <si>
    <t>PTUU</t>
  </si>
  <si>
    <t>BETT309/305</t>
  </si>
  <si>
    <t>Executada</t>
  </si>
  <si>
    <t>ENC11/07</t>
  </si>
  <si>
    <t>ENC</t>
  </si>
  <si>
    <t>SRS02_09-10</t>
  </si>
  <si>
    <r>
      <t>Alimentador</t>
    </r>
    <r>
      <rPr>
        <b/>
        <sz val="10"/>
        <color rgb="FF000000"/>
        <rFont val="Arial"/>
        <family val="2"/>
      </rPr>
      <t> </t>
    </r>
  </si>
  <si>
    <r>
      <t>Nº Ch. NF</t>
    </r>
    <r>
      <rPr>
        <b/>
        <sz val="10"/>
        <color rgb="FF000000"/>
        <rFont val="Arial"/>
        <family val="2"/>
      </rPr>
      <t> </t>
    </r>
  </si>
  <si>
    <r>
      <t>Nº Ch. NA</t>
    </r>
    <r>
      <rPr>
        <b/>
        <sz val="10"/>
        <color rgb="FF000000"/>
        <rFont val="Arial"/>
        <family val="2"/>
      </rPr>
      <t> </t>
    </r>
  </si>
  <si>
    <t>Energia injetada
(MWh/mês) </t>
  </si>
  <si>
    <t>Perdas Conf. inicial 
(MWh/mês)  </t>
  </si>
  <si>
    <t>Perdas Conf. final
(MWh/mês)  </t>
  </si>
  <si>
    <t>Redução perdas 
(MWh/mês) </t>
  </si>
  <si>
    <r>
      <rPr>
        <b/>
        <sz val="8"/>
        <color rgb="FF000000"/>
        <rFont val="Calibri"/>
        <family val="2"/>
      </rPr>
      <t>Redução
perdas(%)</t>
    </r>
    <r>
      <rPr>
        <b/>
        <sz val="10"/>
        <color rgb="FF000000"/>
        <rFont val="Arial"/>
        <family val="2"/>
      </rPr>
      <t> </t>
    </r>
  </si>
  <si>
    <r>
      <t>Mil R$/ano</t>
    </r>
    <r>
      <rPr>
        <b/>
        <sz val="10"/>
        <color rgb="FF000000"/>
        <rFont val="Arial"/>
        <family val="2"/>
      </rPr>
      <t> </t>
    </r>
  </si>
  <si>
    <r>
      <t>Nº Fluxos potência</t>
    </r>
    <r>
      <rPr>
        <b/>
        <sz val="10"/>
        <color rgb="FF000000"/>
        <rFont val="Arial"/>
        <family val="2"/>
      </rPr>
      <t> </t>
    </r>
  </si>
  <si>
    <r>
      <t>Data da Execução</t>
    </r>
    <r>
      <rPr>
        <b/>
        <sz val="10"/>
        <color rgb="FF000000"/>
        <rFont val="Arial"/>
        <family val="2"/>
      </rPr>
      <t> </t>
    </r>
  </si>
  <si>
    <t>MOO06-13/15 </t>
  </si>
  <si>
    <t> </t>
  </si>
  <si>
    <t>26 </t>
  </si>
  <si>
    <t>case nr.</t>
  </si>
  <si>
    <t>($/year)</t>
  </si>
  <si>
    <t>MWh/month</t>
  </si>
  <si>
    <t>Data do Chamado</t>
  </si>
  <si>
    <t>Data manobra</t>
  </si>
  <si>
    <t>12/09/2019 </t>
  </si>
  <si>
    <t>na</t>
  </si>
  <si>
    <t>IIGU115</t>
  </si>
  <si>
    <t>N.A.</t>
  </si>
  <si>
    <t>Feeder
/substation</t>
  </si>
  <si>
    <t>C(Nl,No)</t>
  </si>
  <si>
    <t>nr. Buses</t>
  </si>
  <si>
    <t>nr. MV clients</t>
  </si>
  <si>
    <t>nr. LV
 clients</t>
  </si>
  <si>
    <t>nr. transformers</t>
  </si>
  <si>
    <t>extension(km)</t>
  </si>
  <si>
    <t>rede</t>
  </si>
  <si>
    <t>Nº ramos CI</t>
  </si>
  <si>
    <t>Nº ramos CIC</t>
  </si>
  <si>
    <t>redução</t>
  </si>
  <si>
    <t>136 barras</t>
  </si>
  <si>
    <t>415 barras</t>
  </si>
  <si>
    <t>NUM_INSTALACAO</t>
  </si>
  <si>
    <t>Network</t>
  </si>
  <si>
    <t>Original Losses (kW)</t>
  </si>
  <si>
    <t>Optimal Losses (kW)</t>
  </si>
  <si>
    <t>MST Edges weight</t>
  </si>
  <si>
    <t>Resistance (kW)</t>
  </si>
  <si>
    <t>Inf</t>
  </si>
  <si>
    <t xml:space="preserve"> 1/(current) (kW)</t>
  </si>
  <si>
    <t>1/(active power) (kW)</t>
  </si>
  <si>
    <t>1/(apparent power) (kW)</t>
  </si>
  <si>
    <t>Prim mod. 1/Pot Aparente</t>
  </si>
  <si>
    <t>Prim mod. 1/Corrente</t>
  </si>
  <si>
    <t xml:space="preserve">Bus </t>
  </si>
  <si>
    <t>pu</t>
  </si>
  <si>
    <t>Before</t>
  </si>
  <si>
    <t>After</t>
  </si>
  <si>
    <t>Cemig</t>
  </si>
  <si>
    <t>R.E. Brown *  fault rate (per year)</t>
  </si>
  <si>
    <t xml:space="preserve">OpenDSS </t>
  </si>
  <si>
    <t>Comparação</t>
  </si>
  <si>
    <t>Legenda</t>
  </si>
  <si>
    <t>fault rate (per year)</t>
  </si>
  <si>
    <t>repair time</t>
  </si>
  <si>
    <t>lambda_min</t>
  </si>
  <si>
    <t>lambda</t>
  </si>
  <si>
    <t>lambda_max</t>
  </si>
  <si>
    <t>valor Cemig/Cyme</t>
  </si>
  <si>
    <t>conventional overhead line (3-phase)</t>
  </si>
  <si>
    <t>default OPenDSS</t>
  </si>
  <si>
    <t>conventional overhead line (2-phase)</t>
  </si>
  <si>
    <t>valor Cemig/Cyme dividido por 8 (protegida) e 16 isolada</t>
  </si>
  <si>
    <t>conventional overhead line (1-phase)</t>
  </si>
  <si>
    <t>capacitor</t>
  </si>
  <si>
    <t>transformer</t>
  </si>
  <si>
    <t xml:space="preserve">regulator </t>
  </si>
  <si>
    <t>protected overhead line (3-phase)</t>
  </si>
  <si>
    <t>protected overhead line (2-phase)</t>
  </si>
  <si>
    <t>protected overhead line (1-phase)</t>
  </si>
  <si>
    <t>Undergroung cables - 15/20kV</t>
  </si>
  <si>
    <t>R.E. Brown, Electric Power Distribution Reliability, (2009) second edition, Second edi.</t>
  </si>
  <si>
    <t>Reliability Test</t>
  </si>
  <si>
    <t>SAIDI</t>
  </si>
  <si>
    <t>Conventional line only</t>
  </si>
  <si>
    <t>Protected line only</t>
  </si>
  <si>
    <t>Both line (but protected Normally Opened)</t>
  </si>
  <si>
    <t>Both lines (but Conventional Normally Opened)</t>
  </si>
  <si>
    <t>Rede A2 49.772.811,236 1.627.946,646 3,271% 2,979%</t>
  </si>
  <si>
    <t>Rede A3 4.726.161,795 243.637,079 5,155% 0,446%</t>
  </si>
  <si>
    <t>Rede MT 34.813.908,555 984.610,958 2,828% 1,802%</t>
  </si>
  <si>
    <t>Rede B 22.836.335,173 380.447,536 1,666% 0,696%</t>
  </si>
  <si>
    <t>Medidores 19.391.284,217 108.492,397 0,559% 0,199%</t>
  </si>
  <si>
    <t>Trafos A2-A3 3.177.435,168 16.491,127 0,519% 0,030%</t>
  </si>
  <si>
    <t>Trafos A2-MT 28.449.350,171 172.089,334 0,605% 0,315%</t>
  </si>
  <si>
    <t>Trafos A3-A2 606.432,843 0,000 0,000% 0,000%</t>
  </si>
  <si>
    <t>Trafos A3-MT 4.228.199,264 28.874,060 0,683% 0,053%</t>
  </si>
  <si>
    <t>Trafos MT-A3 238.590,321 0,000 0,000% 0,000%</t>
  </si>
  <si>
    <t>Trafos MT-A2 116.963,594 0,000 0,000% 0,000%</t>
  </si>
  <si>
    <t>Trafos MT-B 22.682.937,072 816.432,275 3,599% 1,494%</t>
  </si>
  <si>
    <t>T</t>
  </si>
  <si>
    <t>Montante (PTS)</t>
  </si>
  <si>
    <t>% da Energia Passante (IPTS)</t>
  </si>
  <si>
    <t>% da Energia Total Injetada</t>
  </si>
  <si>
    <t xml:space="preserve">Medidores </t>
  </si>
  <si>
    <t>Trafos A2-A3</t>
  </si>
  <si>
    <t>Trafos A2-MT</t>
  </si>
  <si>
    <t>Trafos A3-A2</t>
  </si>
  <si>
    <t>Trafos MT-A2</t>
  </si>
  <si>
    <t>Energia Passante (EP)</t>
  </si>
  <si>
    <t>CodCond</t>
  </si>
  <si>
    <t>Rho = 2500 ohm.m</t>
  </si>
  <si>
    <t>SRS</t>
  </si>
  <si>
    <t>MDH06_07-08</t>
  </si>
  <si>
    <t>MDH</t>
  </si>
  <si>
    <t>NS2000061256</t>
  </si>
  <si>
    <t>ESR15</t>
  </si>
  <si>
    <t>NS2000063606</t>
  </si>
  <si>
    <t>Modelo de linha proposto</t>
  </si>
  <si>
    <t>Inclusão de GDs na MT</t>
  </si>
  <si>
    <t xml:space="preserve">Inclusão de GDs na BT </t>
  </si>
  <si>
    <t>Inclusão de bancos de capacitores</t>
  </si>
  <si>
    <t>Energia injetada (MWh)</t>
  </si>
  <si>
    <t>Energia GD (MWh)</t>
  </si>
  <si>
    <t>ESR</t>
  </si>
  <si>
    <t>Modelo ANEEL</t>
  </si>
  <si>
    <t>Modelos comparados</t>
  </si>
  <si>
    <t>Red. (- Aum.) Perdas (MWh)</t>
  </si>
  <si>
    <t>Exp.
Nº</t>
  </si>
  <si>
    <t>Nº
alim.</t>
  </si>
  <si>
    <t>Red.
Perdas (%)</t>
  </si>
  <si>
    <t>Energia inj. reativa (MVAr)</t>
  </si>
  <si>
    <t>PTs
(MWh)</t>
  </si>
  <si>
    <t>C1</t>
  </si>
  <si>
    <t>C0</t>
  </si>
  <si>
    <t>R1=1.551,X1=0.454,R0=2.121,X0=1.974,C1=9.839,C0=4.422</t>
  </si>
  <si>
    <t>R1=0.975,X1=0.437,R0=1.545,X0=1.956,C1=10.262,C0=4.505</t>
  </si>
  <si>
    <t>R1=0.613,X1=0.419,R0=1.184,X0=1.723,C1=10.728,C0=4.613</t>
  </si>
  <si>
    <t>R1=0.306,X1=0.393,R0=0.797,X0=1.501,C1=11.508,C0=4.775</t>
  </si>
  <si>
    <t>R1=0.195,X1=0.356,R0=0.686,X0=1.465,C1=12.418,C0=4.924</t>
  </si>
  <si>
    <t>R1=1.551,X1=0.475,R0=2.125,X0=1.903,C1=9.362,C0=4.771</t>
  </si>
  <si>
    <t>R1=0.975,X1=0.457,R0=1.549,X0=1.885,C1=9.75,C0=4.869</t>
  </si>
  <si>
    <t>R1=0.613,X1=0.44,R0=1.189,X0=1.65,C1=10.169,C0=4.996</t>
  </si>
  <si>
    <t>R1=0.306,X1=0.413,R0=0.803,X0=1.425,C1=10.871,C0=5.186</t>
  </si>
  <si>
    <t>R1=0.195,X1=0.387,R0=0.692,X0=1.399,C1=11.498,C0=5.323</t>
  </si>
  <si>
    <t>R1=0.732,X1=0.303,R0=1.292,X0=1.967,C1=17.027,C0=3.717</t>
  </si>
  <si>
    <t>R1=0.236,X1=0.241,R0=0.718,X0=1.714,C1=19.132,C0=3.823</t>
  </si>
  <si>
    <t>R1=1.552,X1=0.359,R0=2.288,X0=2.026,C1=12.784,C0=4.795</t>
  </si>
  <si>
    <t>R1=0.976,X1=0.341,R0=1.721,X0=1.71,C1=13.516,C0=4.955</t>
  </si>
  <si>
    <t>R1=0.614,X1=0.324,R0=1.359,X0=1.692,C1=14.341,C0=5.063</t>
  </si>
  <si>
    <t>BT102</t>
  </si>
  <si>
    <t>BT103</t>
  </si>
  <si>
    <t>BT104</t>
  </si>
  <si>
    <t>BT202</t>
  </si>
  <si>
    <t>BT203</t>
  </si>
  <si>
    <t>BT204</t>
  </si>
  <si>
    <t>BT207</t>
  </si>
  <si>
    <t>r1=3.8389,x1=0.3983</t>
  </si>
  <si>
    <t>r1=1.564,x1=1.27</t>
  </si>
  <si>
    <t>r1=2.0084,x1=0.37908</t>
  </si>
  <si>
    <t>r1=0.975,x1=0.857</t>
  </si>
  <si>
    <t>Reatância de magnetização</t>
  </si>
  <si>
    <t>ctr429073</t>
  </si>
  <si>
    <t>ctr430417</t>
  </si>
  <si>
    <t>ctr556431</t>
  </si>
  <si>
    <t>ctr431810</t>
  </si>
  <si>
    <t>ctr655670</t>
  </si>
  <si>
    <t>ctr655698</t>
  </si>
  <si>
    <t>ctr206060</t>
  </si>
  <si>
    <t>ctrr38755</t>
  </si>
  <si>
    <t xml:space="preserve">Chave NA atual </t>
  </si>
  <si>
    <t xml:space="preserve">NovaNA </t>
  </si>
  <si>
    <t xml:space="preserve">Redução(kWh/mês) </t>
  </si>
  <si>
    <t xml:space="preserve">Tensão antes (kV) </t>
  </si>
  <si>
    <t xml:space="preserve">Tensão Depois (kV) </t>
  </si>
  <si>
    <t>Variação(%)</t>
  </si>
  <si>
    <t>ctr680898</t>
  </si>
  <si>
    <t>ctr807710</t>
  </si>
  <si>
    <t>ctr234753</t>
  </si>
  <si>
    <t>ctr247724</t>
  </si>
  <si>
    <t>ctr247773</t>
  </si>
  <si>
    <t>ctr349105</t>
  </si>
  <si>
    <t>ctr567414</t>
  </si>
  <si>
    <t>ctr869650</t>
  </si>
  <si>
    <t>ctr570718</t>
  </si>
  <si>
    <t>ctrr37266</t>
  </si>
  <si>
    <t>CETU04</t>
  </si>
  <si>
    <t>ctr428471</t>
  </si>
  <si>
    <t>ctrr23920</t>
  </si>
  <si>
    <t>ctr428534</t>
  </si>
  <si>
    <t>ctr428527</t>
  </si>
  <si>
    <t>ctr427008</t>
  </si>
  <si>
    <t>ctr427589</t>
  </si>
  <si>
    <t>ctr233696</t>
  </si>
  <si>
    <t>ctr811000</t>
  </si>
  <si>
    <t>ctr237231</t>
  </si>
  <si>
    <t>ctr237637</t>
  </si>
  <si>
    <t>ctr428583</t>
  </si>
  <si>
    <t>ctr238099</t>
  </si>
  <si>
    <t>ctrr38758</t>
  </si>
  <si>
    <t>ctr238141</t>
  </si>
  <si>
    <t>ctr876880</t>
  </si>
  <si>
    <t>ctr434400</t>
  </si>
  <si>
    <t>ctr55259</t>
  </si>
  <si>
    <t>ctr434778</t>
  </si>
  <si>
    <t>ctr231848</t>
  </si>
  <si>
    <t>ctr557215</t>
  </si>
  <si>
    <t>ctr557229</t>
  </si>
  <si>
    <t>ctr55763</t>
  </si>
  <si>
    <t>ctr558069</t>
  </si>
  <si>
    <t>ctr557803</t>
  </si>
  <si>
    <t>ctr6392</t>
  </si>
  <si>
    <t>ctr558237</t>
  </si>
  <si>
    <t>ctr427694</t>
  </si>
  <si>
    <t>ctr725740</t>
  </si>
  <si>
    <t>ctr428548</t>
  </si>
  <si>
    <t>ctr809649</t>
  </si>
  <si>
    <t>ctrr36764</t>
  </si>
  <si>
    <t>ctrr35448</t>
  </si>
  <si>
    <t>ctrr36798</t>
  </si>
  <si>
    <t>ctr846283</t>
  </si>
  <si>
    <t>ctrr30885</t>
  </si>
  <si>
    <t>ctr557705</t>
  </si>
  <si>
    <t>ctr431166</t>
  </si>
  <si>
    <t>ctr238512</t>
  </si>
  <si>
    <t>ctrr42939</t>
  </si>
  <si>
    <t>ctr427029</t>
  </si>
  <si>
    <t>ctr475231</t>
  </si>
  <si>
    <t>ctr237651</t>
  </si>
  <si>
    <t>ctr434463</t>
  </si>
  <si>
    <t>ctr251245</t>
  </si>
  <si>
    <t>ctr56771</t>
  </si>
  <si>
    <t>ctr56995</t>
  </si>
  <si>
    <t>ctr239359</t>
  </si>
  <si>
    <t>ctr54951</t>
  </si>
  <si>
    <t>ctr552231</t>
  </si>
  <si>
    <t>ctr551727</t>
  </si>
  <si>
    <t>IIGD210</t>
  </si>
  <si>
    <t>CodAlim</t>
  </si>
  <si>
    <t>nTrafo</t>
  </si>
  <si>
    <t>nVRB</t>
  </si>
  <si>
    <t>nCAP</t>
  </si>
  <si>
    <t>CAP_KVAr</t>
  </si>
  <si>
    <t>MVLoads</t>
  </si>
  <si>
    <t>MVLoads_kW</t>
  </si>
  <si>
    <t>LVLoads</t>
  </si>
  <si>
    <t>LVLoads_kW</t>
  </si>
  <si>
    <t>nPV-MV</t>
  </si>
  <si>
    <t>PV-MV_kVA</t>
  </si>
  <si>
    <t>nPV-LV_PV</t>
  </si>
  <si>
    <t>PV-LV_kVA</t>
  </si>
  <si>
    <t>nGerMV</t>
  </si>
  <si>
    <t>GerMV_kVA</t>
  </si>
  <si>
    <t>GerLV</t>
  </si>
  <si>
    <t>GerLV_kVA</t>
  </si>
  <si>
    <t>ctr283991</t>
  </si>
  <si>
    <t>Mensal</t>
  </si>
  <si>
    <t>Alim</t>
  </si>
  <si>
    <t>ctrr39646</t>
  </si>
  <si>
    <t>Ger.</t>
  </si>
  <si>
    <t>ctr239387</t>
  </si>
  <si>
    <t>Manob</t>
  </si>
  <si>
    <t>ctr427911</t>
  </si>
  <si>
    <t>ctr428506</t>
  </si>
  <si>
    <t>1a</t>
  </si>
  <si>
    <t>2a</t>
  </si>
  <si>
    <t>3a</t>
  </si>
  <si>
    <t>4a</t>
  </si>
  <si>
    <t>ctr239345</t>
  </si>
  <si>
    <t>5a</t>
  </si>
  <si>
    <t>TESE</t>
  </si>
  <si>
    <t>CETU*</t>
  </si>
  <si>
    <t>IIGD*</t>
  </si>
  <si>
    <t>($/ano)</t>
  </si>
  <si>
    <t>Rede</t>
  </si>
  <si>
    <t>Vncb</t>
  </si>
  <si>
    <t>NF_Antiga</t>
  </si>
  <si>
    <t>NovaNF</t>
  </si>
  <si>
    <t>Vnca</t>
  </si>
  <si>
    <t>Par</t>
  </si>
  <si>
    <t>Energia Inj. Simulada (kWh/dia)</t>
  </si>
  <si>
    <t>Energia Reativa Sim. (kVAr/dia)</t>
  </si>
  <si>
    <t>FP Alim.</t>
  </si>
  <si>
    <t>Energia Rea. Usinas (kVAr/dia)</t>
  </si>
  <si>
    <t>Regional</t>
  </si>
  <si>
    <t>Energia Inj. Usina (kWh/dia)</t>
  </si>
  <si>
    <t>P. Energia
(kWh/dia)</t>
  </si>
  <si>
    <t>BETT317</t>
  </si>
  <si>
    <t>MDH08</t>
  </si>
  <si>
    <t>SFIQ410</t>
  </si>
  <si>
    <t>SRS10</t>
  </si>
  <si>
    <t>ADOD03</t>
  </si>
  <si>
    <t>AXAU03</t>
  </si>
  <si>
    <t>CAX01</t>
  </si>
  <si>
    <t>CICM01</t>
  </si>
  <si>
    <t>ENC07</t>
  </si>
  <si>
    <t>ITMU05</t>
  </si>
  <si>
    <t>JFAU07</t>
  </si>
  <si>
    <t>LPTU01</t>
  </si>
  <si>
    <t>MAL08</t>
  </si>
  <si>
    <t>MDH06</t>
  </si>
  <si>
    <t>MOO06</t>
  </si>
  <si>
    <t>NLAU06</t>
  </si>
  <si>
    <t>NOG02</t>
  </si>
  <si>
    <t>OUF05</t>
  </si>
  <si>
    <t>PRRU07</t>
  </si>
  <si>
    <t>PTUU02</t>
  </si>
  <si>
    <t>SLUU10</t>
  </si>
  <si>
    <t>SRS02</t>
  </si>
  <si>
    <t>TOTU03</t>
  </si>
  <si>
    <t>AXAU03_m2</t>
  </si>
  <si>
    <t>LBD01_m2</t>
  </si>
  <si>
    <t>NOG02_m2</t>
  </si>
  <si>
    <t>TOTU03_m2</t>
  </si>
  <si>
    <t>LBD01</t>
  </si>
  <si>
    <t>ORPU06</t>
  </si>
  <si>
    <t>BRDD205</t>
  </si>
  <si>
    <t>UNIT306</t>
  </si>
  <si>
    <t>BETT305</t>
  </si>
  <si>
    <t>BETT305-309/305</t>
  </si>
  <si>
    <t>PTUU02-11/09</t>
  </si>
  <si>
    <t>SLUU10-10/11</t>
  </si>
  <si>
    <t>ADOD03/AFNU15</t>
  </si>
  <si>
    <t>CETU04-09/11</t>
  </si>
  <si>
    <t>LBD01-02/05</t>
  </si>
  <si>
    <t>MAL08-13/15</t>
  </si>
  <si>
    <t>UNIT306-309/312</t>
  </si>
  <si>
    <t xml:space="preserve">BETT305-317 </t>
  </si>
  <si>
    <t>LBD01_M2</t>
  </si>
  <si>
    <t>BETT305_M2</t>
  </si>
  <si>
    <t>BETT305_m2</t>
  </si>
  <si>
    <t>Cen.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</si>
</sst>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0.000%"/>
    <numFmt numFmtId="167" formatCode="_-* #,##0.000000_-;\-* #,##0.000000_-;_-* &quot;-&quot;??_-;_-@_-"/>
    <numFmt numFmtId="168" formatCode="0.0%"/>
    <numFmt numFmtId="169" formatCode="0.0000"/>
    <numFmt numFmtId="170" formatCode="_-* #,##0.000_-;\-* #,##0.000_-;_-* &quot;-&quot;??_-;_-@_-"/>
    <numFmt numFmtId="171" formatCode="_-* #,##0_-;\-* #,##0_-;_-* &quot;-&quot;??_-;_-@_-"/>
    <numFmt numFmtId="172" formatCode="0.00000"/>
    <numFmt numFmtId="173" formatCode="0.000"/>
    <numFmt numFmtId="174" formatCode="_-* #,##0.0_-;\-* #,##0.0_-;_-* &quot;-&quot;??_-;_-@_-"/>
    <numFmt numFmtId="175" formatCode="0.0"/>
    <numFmt numFmtId="176" formatCode="#,##0.0;[Red]\-#,##0.0"/>
    <numFmt numFmtId="177" formatCode="#,##0.0_ ;[Red]\-#,##0.0\ "/>
    <numFmt numFmtId="178" formatCode="_(&quot;R$ &quot;* #,##0.00_);_(&quot;R$ &quot;* \(#,##0.00\);_(&quot;R$ &quot;* &quot;-&quot;??_);_(@_)"/>
  </numFmts>
  <fonts count="4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18"/>
      <name val="Arial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Calibri"/>
      <family val="2"/>
    </font>
    <font>
      <sz val="10"/>
      <name val="Courier"/>
      <family val="3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9.5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94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22" applyNumberFormat="0" applyAlignment="0" applyProtection="0"/>
    <xf numFmtId="0" fontId="26" fillId="11" borderId="23" applyNumberFormat="0" applyAlignment="0" applyProtection="0"/>
    <xf numFmtId="0" fontId="27" fillId="11" borderId="22" applyNumberFormat="0" applyAlignment="0" applyProtection="0"/>
    <xf numFmtId="0" fontId="28" fillId="0" borderId="24" applyNumberFormat="0" applyFill="0" applyAlignment="0" applyProtection="0"/>
    <xf numFmtId="0" fontId="29" fillId="12" borderId="25" applyNumberFormat="0" applyAlignment="0" applyProtection="0"/>
    <xf numFmtId="0" fontId="30" fillId="0" borderId="0" applyNumberFormat="0" applyFill="0" applyBorder="0" applyAlignment="0" applyProtection="0"/>
    <xf numFmtId="0" fontId="4" fillId="13" borderId="26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27" applyNumberFormat="0" applyFill="0" applyAlignment="0" applyProtection="0"/>
    <xf numFmtId="0" fontId="3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2" fillId="37" borderId="0" applyNumberFormat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3" fillId="0" borderId="0"/>
    <xf numFmtId="0" fontId="33" fillId="0" borderId="0"/>
    <xf numFmtId="0" fontId="4" fillId="0" borderId="0"/>
    <xf numFmtId="164" fontId="4" fillId="0" borderId="0" applyFont="0" applyFill="0" applyBorder="0" applyAlignment="0" applyProtection="0"/>
    <xf numFmtId="37" fontId="33" fillId="0" borderId="0"/>
    <xf numFmtId="0" fontId="33" fillId="0" borderId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3" fillId="0" borderId="0">
      <alignment vertical="center"/>
    </xf>
    <xf numFmtId="0" fontId="4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2" fillId="0" borderId="0"/>
    <xf numFmtId="0" fontId="42" fillId="0" borderId="0"/>
    <xf numFmtId="0" fontId="33" fillId="0" borderId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1" applyNumberFormat="1" applyFont="1"/>
    <xf numFmtId="10" fontId="0" fillId="0" borderId="0" xfId="2" applyNumberFormat="1" applyFont="1"/>
    <xf numFmtId="166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7" fontId="0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0" fontId="3" fillId="0" borderId="0" xfId="0" applyFont="1"/>
    <xf numFmtId="168" fontId="0" fillId="0" borderId="0" xfId="2" applyNumberFormat="1" applyFont="1"/>
    <xf numFmtId="0" fontId="3" fillId="0" borderId="1" xfId="0" applyFont="1" applyBorder="1" applyAlignment="1">
      <alignment horizontal="center" wrapText="1"/>
    </xf>
    <xf numFmtId="169" fontId="3" fillId="0" borderId="1" xfId="0" applyNumberFormat="1" applyFont="1" applyBorder="1" applyAlignment="1">
      <alignment horizontal="center" wrapText="1"/>
    </xf>
    <xf numFmtId="0" fontId="0" fillId="0" borderId="1" xfId="0" applyBorder="1"/>
    <xf numFmtId="169" fontId="0" fillId="0" borderId="1" xfId="0" applyNumberFormat="1" applyBorder="1"/>
    <xf numFmtId="168" fontId="0" fillId="0" borderId="1" xfId="2" applyNumberFormat="1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0" xfId="0" applyFill="1"/>
    <xf numFmtId="170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70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171" fontId="8" fillId="0" borderId="1" xfId="3" applyNumberFormat="1" applyFont="1" applyBorder="1" applyAlignment="1">
      <alignment horizontal="right"/>
    </xf>
    <xf numFmtId="9" fontId="8" fillId="0" borderId="1" xfId="2" applyFont="1" applyBorder="1" applyAlignment="1">
      <alignment horizontal="right"/>
    </xf>
    <xf numFmtId="9" fontId="8" fillId="0" borderId="1" xfId="2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/>
    <xf numFmtId="10" fontId="0" fillId="0" borderId="1" xfId="2" applyNumberFormat="1" applyFont="1" applyBorder="1"/>
    <xf numFmtId="172" fontId="0" fillId="0" borderId="1" xfId="0" applyNumberFormat="1" applyBorder="1"/>
    <xf numFmtId="0" fontId="12" fillId="0" borderId="14" xfId="0" applyFont="1" applyBorder="1" applyAlignment="1">
      <alignment horizontal="center" vertical="center" wrapText="1" readingOrder="1"/>
    </xf>
    <xf numFmtId="0" fontId="11" fillId="0" borderId="14" xfId="0" applyFont="1" applyBorder="1" applyAlignment="1">
      <alignment horizontal="center" vertical="center" wrapText="1" readingOrder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right" vertical="center" wrapText="1" readingOrder="1"/>
    </xf>
    <xf numFmtId="3" fontId="11" fillId="0" borderId="14" xfId="0" applyNumberFormat="1" applyFont="1" applyBorder="1" applyAlignment="1">
      <alignment horizontal="right" vertical="center" wrapText="1" readingOrder="1"/>
    </xf>
    <xf numFmtId="20" fontId="0" fillId="0" borderId="0" xfId="0" applyNumberFormat="1"/>
    <xf numFmtId="3" fontId="1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3" fillId="0" borderId="13" xfId="0" applyFont="1" applyBorder="1" applyAlignment="1">
      <alignment horizontal="center"/>
    </xf>
    <xf numFmtId="2" fontId="0" fillId="2" borderId="13" xfId="0" applyNumberFormat="1" applyFill="1" applyBorder="1"/>
    <xf numFmtId="2" fontId="0" fillId="2" borderId="3" xfId="0" applyNumberFormat="1" applyFill="1" applyBorder="1"/>
    <xf numFmtId="2" fontId="0" fillId="0" borderId="13" xfId="0" applyNumberFormat="1" applyBorder="1"/>
    <xf numFmtId="0" fontId="3" fillId="0" borderId="10" xfId="0" applyFont="1" applyBorder="1" applyAlignment="1">
      <alignment horizontal="center"/>
    </xf>
    <xf numFmtId="2" fontId="0" fillId="0" borderId="10" xfId="0" applyNumberFormat="1" applyBorder="1"/>
    <xf numFmtId="2" fontId="0" fillId="0" borderId="9" xfId="0" applyNumberFormat="1" applyBorder="1"/>
    <xf numFmtId="0" fontId="3" fillId="0" borderId="11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1" fontId="0" fillId="0" borderId="1" xfId="0" applyNumberFormat="1" applyBorder="1"/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right" vertical="center" indent="1"/>
    </xf>
    <xf numFmtId="171" fontId="15" fillId="0" borderId="1" xfId="3" applyNumberFormat="1" applyFont="1" applyFill="1" applyBorder="1" applyAlignment="1">
      <alignment horizontal="right" vertical="center" indent="1"/>
    </xf>
    <xf numFmtId="43" fontId="15" fillId="0" borderId="1" xfId="3" applyFont="1" applyFill="1" applyBorder="1" applyAlignment="1">
      <alignment horizontal="right" vertical="center" indent="1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0" fillId="0" borderId="0" xfId="0" applyNumberFormat="1"/>
    <xf numFmtId="171" fontId="15" fillId="0" borderId="13" xfId="3" applyNumberFormat="1" applyFont="1" applyFill="1" applyBorder="1" applyAlignment="1">
      <alignment horizontal="right" vertical="center" indent="1"/>
    </xf>
    <xf numFmtId="14" fontId="17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1" fontId="15" fillId="0" borderId="1" xfId="0" applyNumberFormat="1" applyFont="1" applyBorder="1" applyAlignment="1">
      <alignment horizontal="center" vertical="center"/>
    </xf>
    <xf numFmtId="171" fontId="15" fillId="0" borderId="0" xfId="3" applyNumberFormat="1" applyFont="1" applyFill="1" applyBorder="1" applyAlignment="1">
      <alignment horizontal="right" vertical="center" indent="1"/>
    </xf>
    <xf numFmtId="0" fontId="15" fillId="0" borderId="1" xfId="3" applyNumberFormat="1" applyFont="1" applyBorder="1" applyAlignment="1">
      <alignment horizontal="center" vertical="center"/>
    </xf>
    <xf numFmtId="0" fontId="15" fillId="0" borderId="1" xfId="3" applyNumberFormat="1" applyFont="1" applyFill="1" applyBorder="1" applyAlignment="1">
      <alignment horizontal="center" vertical="center"/>
    </xf>
    <xf numFmtId="171" fontId="0" fillId="0" borderId="0" xfId="0" applyNumberFormat="1"/>
    <xf numFmtId="174" fontId="0" fillId="0" borderId="0" xfId="0" applyNumberFormat="1"/>
    <xf numFmtId="43" fontId="15" fillId="0" borderId="8" xfId="3" applyFont="1" applyFill="1" applyBorder="1" applyAlignment="1">
      <alignment horizontal="right" vertical="center" indent="1"/>
    </xf>
    <xf numFmtId="43" fontId="15" fillId="0" borderId="0" xfId="3" applyFont="1" applyFill="1" applyBorder="1" applyAlignment="1">
      <alignment horizontal="right" vertical="center" indent="1"/>
    </xf>
    <xf numFmtId="173" fontId="15" fillId="0" borderId="1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0" fillId="0" borderId="13" xfId="0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4" borderId="1" xfId="0" applyFill="1" applyBorder="1" applyAlignment="1">
      <alignment horizontal="center"/>
    </xf>
    <xf numFmtId="172" fontId="0" fillId="5" borderId="1" xfId="0" applyNumberFormat="1" applyFill="1" applyBorder="1" applyAlignment="1">
      <alignment horizontal="center"/>
    </xf>
    <xf numFmtId="172" fontId="0" fillId="2" borderId="1" xfId="0" applyNumberFormat="1" applyFill="1" applyBorder="1" applyAlignment="1">
      <alignment horizontal="center"/>
    </xf>
    <xf numFmtId="2" fontId="0" fillId="6" borderId="0" xfId="0" applyNumberFormat="1" applyFill="1"/>
    <xf numFmtId="0" fontId="0" fillId="4" borderId="0" xfId="0" applyFill="1"/>
    <xf numFmtId="174" fontId="0" fillId="0" borderId="0" xfId="3" applyNumberFormat="1" applyFont="1"/>
    <xf numFmtId="171" fontId="0" fillId="0" borderId="0" xfId="3" applyNumberFormat="1" applyFont="1"/>
    <xf numFmtId="171" fontId="15" fillId="2" borderId="1" xfId="3" applyNumberFormat="1" applyFont="1" applyFill="1" applyBorder="1" applyAlignment="1">
      <alignment horizontal="right" vertical="center" indent="1"/>
    </xf>
    <xf numFmtId="171" fontId="0" fillId="2" borderId="1" xfId="0" applyNumberFormat="1" applyFill="1" applyBorder="1"/>
    <xf numFmtId="174" fontId="37" fillId="0" borderId="1" xfId="3" applyNumberFormat="1" applyFont="1" applyFill="1" applyBorder="1" applyAlignment="1">
      <alignment horizontal="right" vertical="center" indent="1"/>
    </xf>
    <xf numFmtId="168" fontId="37" fillId="0" borderId="1" xfId="2" applyNumberFormat="1" applyFont="1" applyFill="1" applyBorder="1" applyAlignment="1">
      <alignment horizontal="right" vertical="center" indent="1"/>
    </xf>
    <xf numFmtId="14" fontId="38" fillId="0" borderId="1" xfId="0" applyNumberFormat="1" applyFont="1" applyBorder="1" applyAlignment="1">
      <alignment horizontal="center"/>
    </xf>
    <xf numFmtId="14" fontId="38" fillId="0" borderId="4" xfId="0" applyNumberFormat="1" applyFont="1" applyBorder="1" applyAlignment="1">
      <alignment horizontal="center"/>
    </xf>
    <xf numFmtId="14" fontId="36" fillId="0" borderId="4" xfId="0" applyNumberFormat="1" applyFont="1" applyBorder="1" applyAlignment="1">
      <alignment horizontal="center"/>
    </xf>
    <xf numFmtId="14" fontId="36" fillId="0" borderId="1" xfId="0" applyNumberFormat="1" applyFont="1" applyBorder="1" applyAlignment="1">
      <alignment horizont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0" fontId="36" fillId="0" borderId="0" xfId="0" applyFont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5" applyNumberFormat="1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0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6" fillId="0" borderId="0" xfId="37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43" fontId="37" fillId="0" borderId="1" xfId="3" applyFont="1" applyFill="1" applyBorder="1" applyAlignment="1">
      <alignment horizontal="right" vertical="center" indent="1"/>
    </xf>
    <xf numFmtId="43" fontId="36" fillId="0" borderId="1" xfId="0" applyNumberFormat="1" applyFont="1" applyBorder="1"/>
    <xf numFmtId="9" fontId="36" fillId="0" borderId="0" xfId="0" applyNumberFormat="1" applyFont="1"/>
    <xf numFmtId="175" fontId="37" fillId="0" borderId="1" xfId="3" applyNumberFormat="1" applyFont="1" applyFill="1" applyBorder="1" applyAlignment="1">
      <alignment horizontal="right" vertical="center" indent="1"/>
    </xf>
    <xf numFmtId="43" fontId="36" fillId="0" borderId="1" xfId="3" applyFont="1" applyBorder="1" applyAlignment="1">
      <alignment horizontal="right"/>
    </xf>
    <xf numFmtId="174" fontId="34" fillId="0" borderId="1" xfId="3" applyNumberFormat="1" applyFont="1" applyFill="1" applyBorder="1" applyAlignment="1">
      <alignment horizontal="center" vertical="center" wrapText="1" indent="1"/>
    </xf>
    <xf numFmtId="168" fontId="40" fillId="0" borderId="1" xfId="2" applyNumberFormat="1" applyFont="1" applyFill="1" applyBorder="1" applyAlignment="1">
      <alignment horizontal="center" vertical="center" wrapText="1" indent="1"/>
    </xf>
    <xf numFmtId="14" fontId="38" fillId="0" borderId="28" xfId="0" applyNumberFormat="1" applyFont="1" applyBorder="1" applyAlignment="1">
      <alignment horizontal="center"/>
    </xf>
    <xf numFmtId="14" fontId="36" fillId="0" borderId="28" xfId="0" applyNumberFormat="1" applyFont="1" applyBorder="1" applyAlignment="1">
      <alignment horizontal="center"/>
    </xf>
    <xf numFmtId="10" fontId="0" fillId="0" borderId="0" xfId="3" applyNumberFormat="1" applyFont="1"/>
    <xf numFmtId="166" fontId="0" fillId="0" borderId="0" xfId="3" applyNumberFormat="1" applyFont="1"/>
    <xf numFmtId="4" fontId="3" fillId="0" borderId="0" xfId="0" applyNumberFormat="1" applyFont="1"/>
    <xf numFmtId="166" fontId="3" fillId="0" borderId="0" xfId="0" applyNumberFormat="1" applyFont="1"/>
    <xf numFmtId="4" fontId="0" fillId="0" borderId="0" xfId="0" applyNumberFormat="1"/>
    <xf numFmtId="2" fontId="3" fillId="0" borderId="1" xfId="0" applyNumberFormat="1" applyFont="1" applyBorder="1" applyAlignment="1">
      <alignment horizontal="center" wrapText="1"/>
    </xf>
    <xf numFmtId="173" fontId="0" fillId="0" borderId="0" xfId="0" applyNumberFormat="1"/>
    <xf numFmtId="9" fontId="0" fillId="0" borderId="0" xfId="2" applyFont="1"/>
    <xf numFmtId="9" fontId="0" fillId="0" borderId="1" xfId="2" applyFont="1" applyBorder="1"/>
    <xf numFmtId="173" fontId="0" fillId="0" borderId="1" xfId="0" applyNumberFormat="1" applyBorder="1" applyAlignment="1">
      <alignment horizontal="center"/>
    </xf>
    <xf numFmtId="0" fontId="36" fillId="0" borderId="1" xfId="0" applyFont="1" applyBorder="1"/>
    <xf numFmtId="0" fontId="35" fillId="0" borderId="1" xfId="0" applyFont="1" applyBorder="1" applyAlignment="1">
      <alignment horizontal="center"/>
    </xf>
    <xf numFmtId="2" fontId="36" fillId="0" borderId="1" xfId="0" applyNumberFormat="1" applyFont="1" applyBorder="1"/>
    <xf numFmtId="173" fontId="36" fillId="0" borderId="1" xfId="0" applyNumberFormat="1" applyFont="1" applyBorder="1"/>
    <xf numFmtId="168" fontId="36" fillId="0" borderId="1" xfId="0" applyNumberFormat="1" applyFont="1" applyBorder="1"/>
    <xf numFmtId="2" fontId="37" fillId="0" borderId="1" xfId="0" applyNumberFormat="1" applyFont="1" applyBorder="1"/>
    <xf numFmtId="0" fontId="35" fillId="0" borderId="13" xfId="0" applyFont="1" applyBorder="1"/>
    <xf numFmtId="0" fontId="35" fillId="0" borderId="0" xfId="0" applyFont="1"/>
    <xf numFmtId="43" fontId="36" fillId="0" borderId="0" xfId="0" applyNumberFormat="1" applyFont="1"/>
    <xf numFmtId="0" fontId="0" fillId="0" borderId="18" xfId="0" applyBorder="1" applyAlignment="1">
      <alignment horizontal="center"/>
    </xf>
    <xf numFmtId="43" fontId="36" fillId="0" borderId="1" xfId="3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29" xfId="0" applyBorder="1" applyAlignment="1">
      <alignment horizontal="center"/>
    </xf>
    <xf numFmtId="177" fontId="0" fillId="0" borderId="7" xfId="0" applyNumberFormat="1" applyBorder="1" applyAlignment="1">
      <alignment horizontal="center"/>
    </xf>
    <xf numFmtId="0" fontId="0" fillId="0" borderId="8" xfId="0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3" xfId="0" applyNumberFormat="1" applyBorder="1"/>
    <xf numFmtId="176" fontId="0" fillId="0" borderId="13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9" xfId="2" applyNumberFormat="1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0" xfId="0" applyFont="1" applyFill="1"/>
    <xf numFmtId="0" fontId="43" fillId="0" borderId="0" xfId="0" applyFont="1"/>
    <xf numFmtId="43" fontId="0" fillId="0" borderId="0" xfId="3" applyFon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43" fontId="0" fillId="0" borderId="0" xfId="3" applyFont="1" applyFill="1" applyAlignment="1">
      <alignment horizontal="center"/>
    </xf>
    <xf numFmtId="171" fontId="0" fillId="0" borderId="1" xfId="3" applyNumberFormat="1" applyFont="1" applyBorder="1"/>
    <xf numFmtId="38" fontId="0" fillId="0" borderId="0" xfId="0" applyNumberFormat="1"/>
    <xf numFmtId="40" fontId="0" fillId="0" borderId="0" xfId="0" applyNumberFormat="1"/>
    <xf numFmtId="43" fontId="36" fillId="0" borderId="3" xfId="3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38" borderId="30" xfId="0" applyFont="1" applyFill="1" applyBorder="1" applyAlignment="1">
      <alignment horizontal="center" vertical="center" wrapText="1"/>
    </xf>
    <xf numFmtId="0" fontId="2" fillId="38" borderId="31" xfId="0" applyFont="1" applyFill="1" applyBorder="1" applyAlignment="1">
      <alignment horizontal="center" vertical="center" wrapText="1"/>
    </xf>
    <xf numFmtId="0" fontId="44" fillId="0" borderId="32" xfId="0" applyFont="1" applyBorder="1" applyAlignment="1">
      <alignment horizontal="center" vertical="center" wrapText="1"/>
    </xf>
    <xf numFmtId="10" fontId="44" fillId="0" borderId="32" xfId="0" applyNumberFormat="1" applyFont="1" applyBorder="1" applyAlignment="1">
      <alignment horizontal="center" vertical="center" wrapText="1"/>
    </xf>
    <xf numFmtId="171" fontId="44" fillId="0" borderId="32" xfId="3" applyNumberFormat="1" applyFont="1" applyBorder="1" applyAlignment="1">
      <alignment horizontal="left" vertical="center" wrapText="1" indent="1"/>
    </xf>
    <xf numFmtId="171" fontId="44" fillId="0" borderId="32" xfId="3" applyNumberFormat="1" applyFont="1" applyBorder="1" applyAlignment="1">
      <alignment horizontal="left" vertical="center" wrapText="1" indent="2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094">
    <cellStyle name="20% - Ênfase1" xfId="87" builtinId="30" customBuiltin="1"/>
    <cellStyle name="20% - Ênfase2" xfId="91" builtinId="34" customBuiltin="1"/>
    <cellStyle name="20% - Ênfase3" xfId="95" builtinId="38" customBuiltin="1"/>
    <cellStyle name="20% - Ênfase4" xfId="99" builtinId="42" customBuiltin="1"/>
    <cellStyle name="20% - Ênfase5" xfId="103" builtinId="46" customBuiltin="1"/>
    <cellStyle name="20% - Ênfase6" xfId="107" builtinId="50" customBuiltin="1"/>
    <cellStyle name="40% - Ênfase1" xfId="88" builtinId="31" customBuiltin="1"/>
    <cellStyle name="40% - Ênfase2" xfId="92" builtinId="35" customBuiltin="1"/>
    <cellStyle name="40% - Ênfase3" xfId="96" builtinId="39" customBuiltin="1"/>
    <cellStyle name="40% - Ênfase4" xfId="100" builtinId="43" customBuiltin="1"/>
    <cellStyle name="40% - Ênfase5" xfId="104" builtinId="47" customBuiltin="1"/>
    <cellStyle name="40% - Ênfase6" xfId="108" builtinId="51" customBuiltin="1"/>
    <cellStyle name="60% - Ênfase1" xfId="89" builtinId="32" customBuiltin="1"/>
    <cellStyle name="60% - Ênfase2" xfId="93" builtinId="36" customBuiltin="1"/>
    <cellStyle name="60% - Ênfase3" xfId="97" builtinId="40" customBuiltin="1"/>
    <cellStyle name="60% - Ênfase4" xfId="101" builtinId="44" customBuiltin="1"/>
    <cellStyle name="60% - Ênfase5" xfId="105" builtinId="48" customBuiltin="1"/>
    <cellStyle name="60% - Ênfase6" xfId="109" builtinId="52" customBuiltin="1"/>
    <cellStyle name="A3 297 x 420 mm" xfId="246" xr:uid="{00000000-0005-0000-0000-000012000000}"/>
    <cellStyle name="Bom" xfId="74" builtinId="26" customBuiltin="1"/>
    <cellStyle name="Cálculo" xfId="79" builtinId="22" customBuiltin="1"/>
    <cellStyle name="Célula de Verificação" xfId="81" builtinId="23" customBuiltin="1"/>
    <cellStyle name="Célula Vinculada" xfId="80" builtinId="24" customBuiltin="1"/>
    <cellStyle name="Currency 2" xfId="5" xr:uid="{00000000-0005-0000-0000-000017000000}"/>
    <cellStyle name="Currency 2 2" xfId="52" xr:uid="{00000000-0005-0000-0000-000018000000}"/>
    <cellStyle name="Currency 2 2 2" xfId="159" xr:uid="{00000000-0005-0000-0000-000019000000}"/>
    <cellStyle name="Currency 2 2 2 2" xfId="611" xr:uid="{00000000-0005-0000-0000-00001A000000}"/>
    <cellStyle name="Currency 2 2 3" xfId="225" xr:uid="{00000000-0005-0000-0000-00001B000000}"/>
    <cellStyle name="Currency 2 2 3 2" xfId="677" xr:uid="{00000000-0005-0000-0000-00001C000000}"/>
    <cellStyle name="Currency 2 2 4" xfId="301" xr:uid="{00000000-0005-0000-0000-00001D000000}"/>
    <cellStyle name="Currency 2 2 4 2" xfId="744" xr:uid="{00000000-0005-0000-0000-00001E000000}"/>
    <cellStyle name="Currency 2 2 5" xfId="383" xr:uid="{00000000-0005-0000-0000-00001F000000}"/>
    <cellStyle name="Currency 2 2 5 2" xfId="825" xr:uid="{00000000-0005-0000-0000-000020000000}"/>
    <cellStyle name="Currency 2 2 6" xfId="464" xr:uid="{00000000-0005-0000-0000-000021000000}"/>
    <cellStyle name="Currency 2 2 6 2" xfId="905" xr:uid="{00000000-0005-0000-0000-000022000000}"/>
    <cellStyle name="Currency 2 2 7" xfId="545" xr:uid="{00000000-0005-0000-0000-000023000000}"/>
    <cellStyle name="Currency 2 2 8" xfId="985" xr:uid="{00000000-0005-0000-0000-000024000000}"/>
    <cellStyle name="Currency 2 3" xfId="126" xr:uid="{00000000-0005-0000-0000-000025000000}"/>
    <cellStyle name="Currency 2 3 2" xfId="578" xr:uid="{00000000-0005-0000-0000-000026000000}"/>
    <cellStyle name="Currency 2 4" xfId="192" xr:uid="{00000000-0005-0000-0000-000027000000}"/>
    <cellStyle name="Currency 2 4 2" xfId="644" xr:uid="{00000000-0005-0000-0000-000028000000}"/>
    <cellStyle name="Currency 2 5" xfId="268" xr:uid="{00000000-0005-0000-0000-000029000000}"/>
    <cellStyle name="Currency 2 5 2" xfId="711" xr:uid="{00000000-0005-0000-0000-00002A000000}"/>
    <cellStyle name="Currency 2 6" xfId="350" xr:uid="{00000000-0005-0000-0000-00002B000000}"/>
    <cellStyle name="Currency 2 6 2" xfId="792" xr:uid="{00000000-0005-0000-0000-00002C000000}"/>
    <cellStyle name="Currency 2 7" xfId="431" xr:uid="{00000000-0005-0000-0000-00002D000000}"/>
    <cellStyle name="Currency 2 7 2" xfId="872" xr:uid="{00000000-0005-0000-0000-00002E000000}"/>
    <cellStyle name="Currency 2 8" xfId="512" xr:uid="{00000000-0005-0000-0000-00002F000000}"/>
    <cellStyle name="Currency 2 9" xfId="952" xr:uid="{00000000-0005-0000-0000-000030000000}"/>
    <cellStyle name="Currency 3" xfId="19" xr:uid="{00000000-0005-0000-0000-000031000000}"/>
    <cellStyle name="Ênfase1" xfId="86" builtinId="29" customBuiltin="1"/>
    <cellStyle name="Ênfase2" xfId="90" builtinId="33" customBuiltin="1"/>
    <cellStyle name="Ênfase3" xfId="94" builtinId="37" customBuiltin="1"/>
    <cellStyle name="Ênfase4" xfId="98" builtinId="41" customBuiltin="1"/>
    <cellStyle name="Ênfase5" xfId="102" builtinId="45" customBuiltin="1"/>
    <cellStyle name="Ênfase6" xfId="106" builtinId="49" customBuiltin="1"/>
    <cellStyle name="Entrada" xfId="77" builtinId="20" customBuiltin="1"/>
    <cellStyle name="Estilo 1" xfId="1022" xr:uid="{A5E64FAC-EE50-4C69-BB97-B0E587DF1A4A}"/>
    <cellStyle name="Moeda" xfId="1" builtinId="4"/>
    <cellStyle name="Moeda 10" xfId="37" xr:uid="{00000000-0005-0000-0000-00003B000000}"/>
    <cellStyle name="Moeda 10 2" xfId="144" xr:uid="{00000000-0005-0000-0000-00003C000000}"/>
    <cellStyle name="Moeda 10 2 2" xfId="596" xr:uid="{00000000-0005-0000-0000-00003D000000}"/>
    <cellStyle name="Moeda 10 3" xfId="210" xr:uid="{00000000-0005-0000-0000-00003E000000}"/>
    <cellStyle name="Moeda 10 3 2" xfId="662" xr:uid="{00000000-0005-0000-0000-00003F000000}"/>
    <cellStyle name="Moeda 10 4" xfId="286" xr:uid="{00000000-0005-0000-0000-000040000000}"/>
    <cellStyle name="Moeda 10 4 2" xfId="729" xr:uid="{00000000-0005-0000-0000-000041000000}"/>
    <cellStyle name="Moeda 10 5" xfId="368" xr:uid="{00000000-0005-0000-0000-000042000000}"/>
    <cellStyle name="Moeda 10 5 2" xfId="810" xr:uid="{00000000-0005-0000-0000-000043000000}"/>
    <cellStyle name="Moeda 10 6" xfId="449" xr:uid="{00000000-0005-0000-0000-000044000000}"/>
    <cellStyle name="Moeda 10 6 2" xfId="890" xr:uid="{00000000-0005-0000-0000-000045000000}"/>
    <cellStyle name="Moeda 10 7" xfId="530" xr:uid="{00000000-0005-0000-0000-000046000000}"/>
    <cellStyle name="Moeda 10 8" xfId="970" xr:uid="{00000000-0005-0000-0000-000047000000}"/>
    <cellStyle name="Moeda 11" xfId="111" xr:uid="{00000000-0005-0000-0000-000048000000}"/>
    <cellStyle name="Moeda 11 2" xfId="319" xr:uid="{00000000-0005-0000-0000-000049000000}"/>
    <cellStyle name="Moeda 11 2 2" xfId="762" xr:uid="{00000000-0005-0000-0000-00004A000000}"/>
    <cellStyle name="Moeda 11 3" xfId="401" xr:uid="{00000000-0005-0000-0000-00004B000000}"/>
    <cellStyle name="Moeda 11 3 2" xfId="843" xr:uid="{00000000-0005-0000-0000-00004C000000}"/>
    <cellStyle name="Moeda 11 4" xfId="482" xr:uid="{00000000-0005-0000-0000-00004D000000}"/>
    <cellStyle name="Moeda 11 4 2" xfId="923" xr:uid="{00000000-0005-0000-0000-00004E000000}"/>
    <cellStyle name="Moeda 11 5" xfId="563" xr:uid="{00000000-0005-0000-0000-00004F000000}"/>
    <cellStyle name="Moeda 11 6" xfId="1003" xr:uid="{00000000-0005-0000-0000-000050000000}"/>
    <cellStyle name="Moeda 12" xfId="177" xr:uid="{00000000-0005-0000-0000-000051000000}"/>
    <cellStyle name="Moeda 12 2" xfId="629" xr:uid="{00000000-0005-0000-0000-000052000000}"/>
    <cellStyle name="Moeda 13" xfId="253" xr:uid="{00000000-0005-0000-0000-000053000000}"/>
    <cellStyle name="Moeda 13 2" xfId="696" xr:uid="{00000000-0005-0000-0000-000054000000}"/>
    <cellStyle name="Moeda 14" xfId="335" xr:uid="{00000000-0005-0000-0000-000055000000}"/>
    <cellStyle name="Moeda 14 2" xfId="777" xr:uid="{00000000-0005-0000-0000-000056000000}"/>
    <cellStyle name="Moeda 15" xfId="416" xr:uid="{00000000-0005-0000-0000-000057000000}"/>
    <cellStyle name="Moeda 15 2" xfId="857" xr:uid="{00000000-0005-0000-0000-000058000000}"/>
    <cellStyle name="Moeda 16" xfId="497" xr:uid="{00000000-0005-0000-0000-000059000000}"/>
    <cellStyle name="Moeda 17" xfId="937" xr:uid="{00000000-0005-0000-0000-00005A000000}"/>
    <cellStyle name="Moeda 18" xfId="1018" xr:uid="{45C2D09F-849C-4788-9893-7AD436FBD507}"/>
    <cellStyle name="Moeda 2" xfId="7" xr:uid="{00000000-0005-0000-0000-00005B000000}"/>
    <cellStyle name="Moeda 2 10" xfId="939" xr:uid="{00000000-0005-0000-0000-00005C000000}"/>
    <cellStyle name="Moeda 2 11" xfId="1042" xr:uid="{34382FC6-5341-4C8F-9EB1-D950B88326FF}"/>
    <cellStyle name="Moeda 2 2" xfId="23" xr:uid="{00000000-0005-0000-0000-00005D000000}"/>
    <cellStyle name="Moeda 2 2 10" xfId="1050" xr:uid="{A4C62397-DBA9-433B-AE7E-1045CE7E0132}"/>
    <cellStyle name="Moeda 2 2 2" xfId="56" xr:uid="{00000000-0005-0000-0000-00005E000000}"/>
    <cellStyle name="Moeda 2 2 2 2" xfId="163" xr:uid="{00000000-0005-0000-0000-00005F000000}"/>
    <cellStyle name="Moeda 2 2 2 2 2" xfId="615" xr:uid="{00000000-0005-0000-0000-000060000000}"/>
    <cellStyle name="Moeda 2 2 2 2 3" xfId="1092" xr:uid="{76AEB5C1-062C-4808-9A30-76846F6E0265}"/>
    <cellStyle name="Moeda 2 2 2 3" xfId="229" xr:uid="{00000000-0005-0000-0000-000061000000}"/>
    <cellStyle name="Moeda 2 2 2 3 2" xfId="681" xr:uid="{00000000-0005-0000-0000-000062000000}"/>
    <cellStyle name="Moeda 2 2 2 4" xfId="305" xr:uid="{00000000-0005-0000-0000-000063000000}"/>
    <cellStyle name="Moeda 2 2 2 4 2" xfId="748" xr:uid="{00000000-0005-0000-0000-000064000000}"/>
    <cellStyle name="Moeda 2 2 2 5" xfId="387" xr:uid="{00000000-0005-0000-0000-000065000000}"/>
    <cellStyle name="Moeda 2 2 2 5 2" xfId="829" xr:uid="{00000000-0005-0000-0000-000066000000}"/>
    <cellStyle name="Moeda 2 2 2 6" xfId="468" xr:uid="{00000000-0005-0000-0000-000067000000}"/>
    <cellStyle name="Moeda 2 2 2 6 2" xfId="909" xr:uid="{00000000-0005-0000-0000-000068000000}"/>
    <cellStyle name="Moeda 2 2 2 7" xfId="549" xr:uid="{00000000-0005-0000-0000-000069000000}"/>
    <cellStyle name="Moeda 2 2 2 8" xfId="989" xr:uid="{00000000-0005-0000-0000-00006A000000}"/>
    <cellStyle name="Moeda 2 2 2 9" xfId="1064" xr:uid="{0FD131D1-D10F-4008-B0DF-A2A5614BB3A1}"/>
    <cellStyle name="Moeda 2 2 3" xfId="130" xr:uid="{00000000-0005-0000-0000-00006B000000}"/>
    <cellStyle name="Moeda 2 2 3 2" xfId="582" xr:uid="{00000000-0005-0000-0000-00006C000000}"/>
    <cellStyle name="Moeda 2 2 3 3" xfId="1078" xr:uid="{AC25E861-F57D-4315-B0A5-83A467F1AF47}"/>
    <cellStyle name="Moeda 2 2 4" xfId="196" xr:uid="{00000000-0005-0000-0000-00006D000000}"/>
    <cellStyle name="Moeda 2 2 4 2" xfId="648" xr:uid="{00000000-0005-0000-0000-00006E000000}"/>
    <cellStyle name="Moeda 2 2 5" xfId="272" xr:uid="{00000000-0005-0000-0000-00006F000000}"/>
    <cellStyle name="Moeda 2 2 5 2" xfId="715" xr:uid="{00000000-0005-0000-0000-000070000000}"/>
    <cellStyle name="Moeda 2 2 6" xfId="354" xr:uid="{00000000-0005-0000-0000-000071000000}"/>
    <cellStyle name="Moeda 2 2 6 2" xfId="796" xr:uid="{00000000-0005-0000-0000-000072000000}"/>
    <cellStyle name="Moeda 2 2 7" xfId="435" xr:uid="{00000000-0005-0000-0000-000073000000}"/>
    <cellStyle name="Moeda 2 2 7 2" xfId="876" xr:uid="{00000000-0005-0000-0000-000074000000}"/>
    <cellStyle name="Moeda 2 2 8" xfId="516" xr:uid="{00000000-0005-0000-0000-000075000000}"/>
    <cellStyle name="Moeda 2 2 9" xfId="956" xr:uid="{00000000-0005-0000-0000-000076000000}"/>
    <cellStyle name="Moeda 2 3" xfId="39" xr:uid="{00000000-0005-0000-0000-000077000000}"/>
    <cellStyle name="Moeda 2 3 2" xfId="146" xr:uid="{00000000-0005-0000-0000-000078000000}"/>
    <cellStyle name="Moeda 2 3 2 2" xfId="598" xr:uid="{00000000-0005-0000-0000-000079000000}"/>
    <cellStyle name="Moeda 2 3 3" xfId="212" xr:uid="{00000000-0005-0000-0000-00007A000000}"/>
    <cellStyle name="Moeda 2 3 3 2" xfId="664" xr:uid="{00000000-0005-0000-0000-00007B000000}"/>
    <cellStyle name="Moeda 2 3 4" xfId="288" xr:uid="{00000000-0005-0000-0000-00007C000000}"/>
    <cellStyle name="Moeda 2 3 4 2" xfId="731" xr:uid="{00000000-0005-0000-0000-00007D000000}"/>
    <cellStyle name="Moeda 2 3 5" xfId="370" xr:uid="{00000000-0005-0000-0000-00007E000000}"/>
    <cellStyle name="Moeda 2 3 5 2" xfId="812" xr:uid="{00000000-0005-0000-0000-00007F000000}"/>
    <cellStyle name="Moeda 2 3 6" xfId="451" xr:uid="{00000000-0005-0000-0000-000080000000}"/>
    <cellStyle name="Moeda 2 3 6 2" xfId="892" xr:uid="{00000000-0005-0000-0000-000081000000}"/>
    <cellStyle name="Moeda 2 3 7" xfId="532" xr:uid="{00000000-0005-0000-0000-000082000000}"/>
    <cellStyle name="Moeda 2 3 8" xfId="972" xr:uid="{00000000-0005-0000-0000-000083000000}"/>
    <cellStyle name="Moeda 2 4" xfId="113" xr:uid="{00000000-0005-0000-0000-000084000000}"/>
    <cellStyle name="Moeda 2 4 2" xfId="321" xr:uid="{00000000-0005-0000-0000-000085000000}"/>
    <cellStyle name="Moeda 2 4 2 2" xfId="764" xr:uid="{00000000-0005-0000-0000-000086000000}"/>
    <cellStyle name="Moeda 2 4 3" xfId="403" xr:uid="{00000000-0005-0000-0000-000087000000}"/>
    <cellStyle name="Moeda 2 4 3 2" xfId="845" xr:uid="{00000000-0005-0000-0000-000088000000}"/>
    <cellStyle name="Moeda 2 4 4" xfId="484" xr:uid="{00000000-0005-0000-0000-000089000000}"/>
    <cellStyle name="Moeda 2 4 4 2" xfId="925" xr:uid="{00000000-0005-0000-0000-00008A000000}"/>
    <cellStyle name="Moeda 2 4 5" xfId="565" xr:uid="{00000000-0005-0000-0000-00008B000000}"/>
    <cellStyle name="Moeda 2 4 6" xfId="1005" xr:uid="{00000000-0005-0000-0000-00008C000000}"/>
    <cellStyle name="Moeda 2 5" xfId="179" xr:uid="{00000000-0005-0000-0000-00008D000000}"/>
    <cellStyle name="Moeda 2 5 2" xfId="631" xr:uid="{00000000-0005-0000-0000-00008E000000}"/>
    <cellStyle name="Moeda 2 6" xfId="255" xr:uid="{00000000-0005-0000-0000-00008F000000}"/>
    <cellStyle name="Moeda 2 6 2" xfId="698" xr:uid="{00000000-0005-0000-0000-000090000000}"/>
    <cellStyle name="Moeda 2 7" xfId="337" xr:uid="{00000000-0005-0000-0000-000091000000}"/>
    <cellStyle name="Moeda 2 7 2" xfId="779" xr:uid="{00000000-0005-0000-0000-000092000000}"/>
    <cellStyle name="Moeda 2 8" xfId="418" xr:uid="{00000000-0005-0000-0000-000093000000}"/>
    <cellStyle name="Moeda 2 8 2" xfId="859" xr:uid="{00000000-0005-0000-0000-000094000000}"/>
    <cellStyle name="Moeda 2 9" xfId="499" xr:uid="{00000000-0005-0000-0000-000095000000}"/>
    <cellStyle name="Moeda 3" xfId="9" xr:uid="{00000000-0005-0000-0000-000096000000}"/>
    <cellStyle name="Moeda 3 10" xfId="941" xr:uid="{00000000-0005-0000-0000-000097000000}"/>
    <cellStyle name="Moeda 3 11" xfId="1040" xr:uid="{3BBE475A-2B35-4393-A8FE-C0BA0DA8EC0F}"/>
    <cellStyle name="Moeda 3 2" xfId="25" xr:uid="{00000000-0005-0000-0000-000098000000}"/>
    <cellStyle name="Moeda 3 2 2" xfId="58" xr:uid="{00000000-0005-0000-0000-000099000000}"/>
    <cellStyle name="Moeda 3 2 2 2" xfId="165" xr:uid="{00000000-0005-0000-0000-00009A000000}"/>
    <cellStyle name="Moeda 3 2 2 2 2" xfId="617" xr:uid="{00000000-0005-0000-0000-00009B000000}"/>
    <cellStyle name="Moeda 3 2 2 3" xfId="231" xr:uid="{00000000-0005-0000-0000-00009C000000}"/>
    <cellStyle name="Moeda 3 2 2 3 2" xfId="683" xr:uid="{00000000-0005-0000-0000-00009D000000}"/>
    <cellStyle name="Moeda 3 2 2 4" xfId="307" xr:uid="{00000000-0005-0000-0000-00009E000000}"/>
    <cellStyle name="Moeda 3 2 2 4 2" xfId="750" xr:uid="{00000000-0005-0000-0000-00009F000000}"/>
    <cellStyle name="Moeda 3 2 2 5" xfId="389" xr:uid="{00000000-0005-0000-0000-0000A0000000}"/>
    <cellStyle name="Moeda 3 2 2 5 2" xfId="831" xr:uid="{00000000-0005-0000-0000-0000A1000000}"/>
    <cellStyle name="Moeda 3 2 2 6" xfId="470" xr:uid="{00000000-0005-0000-0000-0000A2000000}"/>
    <cellStyle name="Moeda 3 2 2 6 2" xfId="911" xr:uid="{00000000-0005-0000-0000-0000A3000000}"/>
    <cellStyle name="Moeda 3 2 2 7" xfId="551" xr:uid="{00000000-0005-0000-0000-0000A4000000}"/>
    <cellStyle name="Moeda 3 2 2 8" xfId="991" xr:uid="{00000000-0005-0000-0000-0000A5000000}"/>
    <cellStyle name="Moeda 3 2 3" xfId="132" xr:uid="{00000000-0005-0000-0000-0000A6000000}"/>
    <cellStyle name="Moeda 3 2 3 2" xfId="584" xr:uid="{00000000-0005-0000-0000-0000A7000000}"/>
    <cellStyle name="Moeda 3 2 4" xfId="198" xr:uid="{00000000-0005-0000-0000-0000A8000000}"/>
    <cellStyle name="Moeda 3 2 4 2" xfId="650" xr:uid="{00000000-0005-0000-0000-0000A9000000}"/>
    <cellStyle name="Moeda 3 2 5" xfId="274" xr:uid="{00000000-0005-0000-0000-0000AA000000}"/>
    <cellStyle name="Moeda 3 2 5 2" xfId="717" xr:uid="{00000000-0005-0000-0000-0000AB000000}"/>
    <cellStyle name="Moeda 3 2 6" xfId="356" xr:uid="{00000000-0005-0000-0000-0000AC000000}"/>
    <cellStyle name="Moeda 3 2 6 2" xfId="798" xr:uid="{00000000-0005-0000-0000-0000AD000000}"/>
    <cellStyle name="Moeda 3 2 7" xfId="437" xr:uid="{00000000-0005-0000-0000-0000AE000000}"/>
    <cellStyle name="Moeda 3 2 7 2" xfId="878" xr:uid="{00000000-0005-0000-0000-0000AF000000}"/>
    <cellStyle name="Moeda 3 2 8" xfId="518" xr:uid="{00000000-0005-0000-0000-0000B0000000}"/>
    <cellStyle name="Moeda 3 2 9" xfId="958" xr:uid="{00000000-0005-0000-0000-0000B1000000}"/>
    <cellStyle name="Moeda 3 3" xfId="41" xr:uid="{00000000-0005-0000-0000-0000B2000000}"/>
    <cellStyle name="Moeda 3 3 2" xfId="148" xr:uid="{00000000-0005-0000-0000-0000B3000000}"/>
    <cellStyle name="Moeda 3 3 2 2" xfId="600" xr:uid="{00000000-0005-0000-0000-0000B4000000}"/>
    <cellStyle name="Moeda 3 3 3" xfId="214" xr:uid="{00000000-0005-0000-0000-0000B5000000}"/>
    <cellStyle name="Moeda 3 3 3 2" xfId="666" xr:uid="{00000000-0005-0000-0000-0000B6000000}"/>
    <cellStyle name="Moeda 3 3 4" xfId="290" xr:uid="{00000000-0005-0000-0000-0000B7000000}"/>
    <cellStyle name="Moeda 3 3 4 2" xfId="733" xr:uid="{00000000-0005-0000-0000-0000B8000000}"/>
    <cellStyle name="Moeda 3 3 5" xfId="372" xr:uid="{00000000-0005-0000-0000-0000B9000000}"/>
    <cellStyle name="Moeda 3 3 5 2" xfId="814" xr:uid="{00000000-0005-0000-0000-0000BA000000}"/>
    <cellStyle name="Moeda 3 3 6" xfId="453" xr:uid="{00000000-0005-0000-0000-0000BB000000}"/>
    <cellStyle name="Moeda 3 3 6 2" xfId="894" xr:uid="{00000000-0005-0000-0000-0000BC000000}"/>
    <cellStyle name="Moeda 3 3 7" xfId="534" xr:uid="{00000000-0005-0000-0000-0000BD000000}"/>
    <cellStyle name="Moeda 3 3 8" xfId="974" xr:uid="{00000000-0005-0000-0000-0000BE000000}"/>
    <cellStyle name="Moeda 3 4" xfId="115" xr:uid="{00000000-0005-0000-0000-0000BF000000}"/>
    <cellStyle name="Moeda 3 4 2" xfId="323" xr:uid="{00000000-0005-0000-0000-0000C0000000}"/>
    <cellStyle name="Moeda 3 4 2 2" xfId="766" xr:uid="{00000000-0005-0000-0000-0000C1000000}"/>
    <cellStyle name="Moeda 3 4 3" xfId="405" xr:uid="{00000000-0005-0000-0000-0000C2000000}"/>
    <cellStyle name="Moeda 3 4 3 2" xfId="847" xr:uid="{00000000-0005-0000-0000-0000C3000000}"/>
    <cellStyle name="Moeda 3 4 4" xfId="486" xr:uid="{00000000-0005-0000-0000-0000C4000000}"/>
    <cellStyle name="Moeda 3 4 4 2" xfId="927" xr:uid="{00000000-0005-0000-0000-0000C5000000}"/>
    <cellStyle name="Moeda 3 4 5" xfId="567" xr:uid="{00000000-0005-0000-0000-0000C6000000}"/>
    <cellStyle name="Moeda 3 4 6" xfId="1007" xr:uid="{00000000-0005-0000-0000-0000C7000000}"/>
    <cellStyle name="Moeda 3 5" xfId="181" xr:uid="{00000000-0005-0000-0000-0000C8000000}"/>
    <cellStyle name="Moeda 3 5 2" xfId="633" xr:uid="{00000000-0005-0000-0000-0000C9000000}"/>
    <cellStyle name="Moeda 3 6" xfId="257" xr:uid="{00000000-0005-0000-0000-0000CA000000}"/>
    <cellStyle name="Moeda 3 6 2" xfId="700" xr:uid="{00000000-0005-0000-0000-0000CB000000}"/>
    <cellStyle name="Moeda 3 7" xfId="339" xr:uid="{00000000-0005-0000-0000-0000CC000000}"/>
    <cellStyle name="Moeda 3 7 2" xfId="781" xr:uid="{00000000-0005-0000-0000-0000CD000000}"/>
    <cellStyle name="Moeda 3 8" xfId="420" xr:uid="{00000000-0005-0000-0000-0000CE000000}"/>
    <cellStyle name="Moeda 3 8 2" xfId="861" xr:uid="{00000000-0005-0000-0000-0000CF000000}"/>
    <cellStyle name="Moeda 3 9" xfId="501" xr:uid="{00000000-0005-0000-0000-0000D0000000}"/>
    <cellStyle name="Moeda 4" xfId="11" xr:uid="{00000000-0005-0000-0000-0000D1000000}"/>
    <cellStyle name="Moeda 4 10" xfId="943" xr:uid="{00000000-0005-0000-0000-0000D2000000}"/>
    <cellStyle name="Moeda 4 2" xfId="27" xr:uid="{00000000-0005-0000-0000-0000D3000000}"/>
    <cellStyle name="Moeda 4 2 2" xfId="60" xr:uid="{00000000-0005-0000-0000-0000D4000000}"/>
    <cellStyle name="Moeda 4 2 2 2" xfId="167" xr:uid="{00000000-0005-0000-0000-0000D5000000}"/>
    <cellStyle name="Moeda 4 2 2 2 2" xfId="619" xr:uid="{00000000-0005-0000-0000-0000D6000000}"/>
    <cellStyle name="Moeda 4 2 2 3" xfId="233" xr:uid="{00000000-0005-0000-0000-0000D7000000}"/>
    <cellStyle name="Moeda 4 2 2 3 2" xfId="685" xr:uid="{00000000-0005-0000-0000-0000D8000000}"/>
    <cellStyle name="Moeda 4 2 2 4" xfId="309" xr:uid="{00000000-0005-0000-0000-0000D9000000}"/>
    <cellStyle name="Moeda 4 2 2 4 2" xfId="752" xr:uid="{00000000-0005-0000-0000-0000DA000000}"/>
    <cellStyle name="Moeda 4 2 2 5" xfId="391" xr:uid="{00000000-0005-0000-0000-0000DB000000}"/>
    <cellStyle name="Moeda 4 2 2 5 2" xfId="833" xr:uid="{00000000-0005-0000-0000-0000DC000000}"/>
    <cellStyle name="Moeda 4 2 2 6" xfId="472" xr:uid="{00000000-0005-0000-0000-0000DD000000}"/>
    <cellStyle name="Moeda 4 2 2 6 2" xfId="913" xr:uid="{00000000-0005-0000-0000-0000DE000000}"/>
    <cellStyle name="Moeda 4 2 2 7" xfId="553" xr:uid="{00000000-0005-0000-0000-0000DF000000}"/>
    <cellStyle name="Moeda 4 2 2 8" xfId="993" xr:uid="{00000000-0005-0000-0000-0000E0000000}"/>
    <cellStyle name="Moeda 4 2 3" xfId="134" xr:uid="{00000000-0005-0000-0000-0000E1000000}"/>
    <cellStyle name="Moeda 4 2 3 2" xfId="586" xr:uid="{00000000-0005-0000-0000-0000E2000000}"/>
    <cellStyle name="Moeda 4 2 4" xfId="200" xr:uid="{00000000-0005-0000-0000-0000E3000000}"/>
    <cellStyle name="Moeda 4 2 4 2" xfId="652" xr:uid="{00000000-0005-0000-0000-0000E4000000}"/>
    <cellStyle name="Moeda 4 2 5" xfId="276" xr:uid="{00000000-0005-0000-0000-0000E5000000}"/>
    <cellStyle name="Moeda 4 2 5 2" xfId="719" xr:uid="{00000000-0005-0000-0000-0000E6000000}"/>
    <cellStyle name="Moeda 4 2 6" xfId="358" xr:uid="{00000000-0005-0000-0000-0000E7000000}"/>
    <cellStyle name="Moeda 4 2 6 2" xfId="800" xr:uid="{00000000-0005-0000-0000-0000E8000000}"/>
    <cellStyle name="Moeda 4 2 7" xfId="439" xr:uid="{00000000-0005-0000-0000-0000E9000000}"/>
    <cellStyle name="Moeda 4 2 7 2" xfId="880" xr:uid="{00000000-0005-0000-0000-0000EA000000}"/>
    <cellStyle name="Moeda 4 2 8" xfId="520" xr:uid="{00000000-0005-0000-0000-0000EB000000}"/>
    <cellStyle name="Moeda 4 2 9" xfId="960" xr:uid="{00000000-0005-0000-0000-0000EC000000}"/>
    <cellStyle name="Moeda 4 3" xfId="43" xr:uid="{00000000-0005-0000-0000-0000ED000000}"/>
    <cellStyle name="Moeda 4 3 2" xfId="150" xr:uid="{00000000-0005-0000-0000-0000EE000000}"/>
    <cellStyle name="Moeda 4 3 2 2" xfId="602" xr:uid="{00000000-0005-0000-0000-0000EF000000}"/>
    <cellStyle name="Moeda 4 3 3" xfId="216" xr:uid="{00000000-0005-0000-0000-0000F0000000}"/>
    <cellStyle name="Moeda 4 3 3 2" xfId="668" xr:uid="{00000000-0005-0000-0000-0000F1000000}"/>
    <cellStyle name="Moeda 4 3 4" xfId="292" xr:uid="{00000000-0005-0000-0000-0000F2000000}"/>
    <cellStyle name="Moeda 4 3 4 2" xfId="735" xr:uid="{00000000-0005-0000-0000-0000F3000000}"/>
    <cellStyle name="Moeda 4 3 5" xfId="374" xr:uid="{00000000-0005-0000-0000-0000F4000000}"/>
    <cellStyle name="Moeda 4 3 5 2" xfId="816" xr:uid="{00000000-0005-0000-0000-0000F5000000}"/>
    <cellStyle name="Moeda 4 3 6" xfId="455" xr:uid="{00000000-0005-0000-0000-0000F6000000}"/>
    <cellStyle name="Moeda 4 3 6 2" xfId="896" xr:uid="{00000000-0005-0000-0000-0000F7000000}"/>
    <cellStyle name="Moeda 4 3 7" xfId="536" xr:uid="{00000000-0005-0000-0000-0000F8000000}"/>
    <cellStyle name="Moeda 4 3 8" xfId="976" xr:uid="{00000000-0005-0000-0000-0000F9000000}"/>
    <cellStyle name="Moeda 4 4" xfId="117" xr:uid="{00000000-0005-0000-0000-0000FA000000}"/>
    <cellStyle name="Moeda 4 4 2" xfId="325" xr:uid="{00000000-0005-0000-0000-0000FB000000}"/>
    <cellStyle name="Moeda 4 4 2 2" xfId="768" xr:uid="{00000000-0005-0000-0000-0000FC000000}"/>
    <cellStyle name="Moeda 4 4 3" xfId="407" xr:uid="{00000000-0005-0000-0000-0000FD000000}"/>
    <cellStyle name="Moeda 4 4 3 2" xfId="849" xr:uid="{00000000-0005-0000-0000-0000FE000000}"/>
    <cellStyle name="Moeda 4 4 4" xfId="488" xr:uid="{00000000-0005-0000-0000-0000FF000000}"/>
    <cellStyle name="Moeda 4 4 4 2" xfId="929" xr:uid="{00000000-0005-0000-0000-000000010000}"/>
    <cellStyle name="Moeda 4 4 5" xfId="569" xr:uid="{00000000-0005-0000-0000-000001010000}"/>
    <cellStyle name="Moeda 4 4 6" xfId="1009" xr:uid="{00000000-0005-0000-0000-000002010000}"/>
    <cellStyle name="Moeda 4 5" xfId="183" xr:uid="{00000000-0005-0000-0000-000003010000}"/>
    <cellStyle name="Moeda 4 5 2" xfId="635" xr:uid="{00000000-0005-0000-0000-000004010000}"/>
    <cellStyle name="Moeda 4 6" xfId="259" xr:uid="{00000000-0005-0000-0000-000005010000}"/>
    <cellStyle name="Moeda 4 6 2" xfId="702" xr:uid="{00000000-0005-0000-0000-000006010000}"/>
    <cellStyle name="Moeda 4 7" xfId="341" xr:uid="{00000000-0005-0000-0000-000007010000}"/>
    <cellStyle name="Moeda 4 7 2" xfId="783" xr:uid="{00000000-0005-0000-0000-000008010000}"/>
    <cellStyle name="Moeda 4 8" xfId="422" xr:uid="{00000000-0005-0000-0000-000009010000}"/>
    <cellStyle name="Moeda 4 8 2" xfId="863" xr:uid="{00000000-0005-0000-0000-00000A010000}"/>
    <cellStyle name="Moeda 4 9" xfId="503" xr:uid="{00000000-0005-0000-0000-00000B010000}"/>
    <cellStyle name="Moeda 5" xfId="13" xr:uid="{00000000-0005-0000-0000-00000C010000}"/>
    <cellStyle name="Moeda 5 10" xfId="945" xr:uid="{00000000-0005-0000-0000-00000D010000}"/>
    <cellStyle name="Moeda 5 2" xfId="29" xr:uid="{00000000-0005-0000-0000-00000E010000}"/>
    <cellStyle name="Moeda 5 2 2" xfId="62" xr:uid="{00000000-0005-0000-0000-00000F010000}"/>
    <cellStyle name="Moeda 5 2 2 2" xfId="169" xr:uid="{00000000-0005-0000-0000-000010010000}"/>
    <cellStyle name="Moeda 5 2 2 2 2" xfId="621" xr:uid="{00000000-0005-0000-0000-000011010000}"/>
    <cellStyle name="Moeda 5 2 2 3" xfId="235" xr:uid="{00000000-0005-0000-0000-000012010000}"/>
    <cellStyle name="Moeda 5 2 2 3 2" xfId="687" xr:uid="{00000000-0005-0000-0000-000013010000}"/>
    <cellStyle name="Moeda 5 2 2 4" xfId="311" xr:uid="{00000000-0005-0000-0000-000014010000}"/>
    <cellStyle name="Moeda 5 2 2 4 2" xfId="754" xr:uid="{00000000-0005-0000-0000-000015010000}"/>
    <cellStyle name="Moeda 5 2 2 5" xfId="393" xr:uid="{00000000-0005-0000-0000-000016010000}"/>
    <cellStyle name="Moeda 5 2 2 5 2" xfId="835" xr:uid="{00000000-0005-0000-0000-000017010000}"/>
    <cellStyle name="Moeda 5 2 2 6" xfId="474" xr:uid="{00000000-0005-0000-0000-000018010000}"/>
    <cellStyle name="Moeda 5 2 2 6 2" xfId="915" xr:uid="{00000000-0005-0000-0000-000019010000}"/>
    <cellStyle name="Moeda 5 2 2 7" xfId="555" xr:uid="{00000000-0005-0000-0000-00001A010000}"/>
    <cellStyle name="Moeda 5 2 2 8" xfId="995" xr:uid="{00000000-0005-0000-0000-00001B010000}"/>
    <cellStyle name="Moeda 5 2 3" xfId="136" xr:uid="{00000000-0005-0000-0000-00001C010000}"/>
    <cellStyle name="Moeda 5 2 3 2" xfId="588" xr:uid="{00000000-0005-0000-0000-00001D010000}"/>
    <cellStyle name="Moeda 5 2 4" xfId="202" xr:uid="{00000000-0005-0000-0000-00001E010000}"/>
    <cellStyle name="Moeda 5 2 4 2" xfId="654" xr:uid="{00000000-0005-0000-0000-00001F010000}"/>
    <cellStyle name="Moeda 5 2 5" xfId="278" xr:uid="{00000000-0005-0000-0000-000020010000}"/>
    <cellStyle name="Moeda 5 2 5 2" xfId="721" xr:uid="{00000000-0005-0000-0000-000021010000}"/>
    <cellStyle name="Moeda 5 2 6" xfId="360" xr:uid="{00000000-0005-0000-0000-000022010000}"/>
    <cellStyle name="Moeda 5 2 6 2" xfId="802" xr:uid="{00000000-0005-0000-0000-000023010000}"/>
    <cellStyle name="Moeda 5 2 7" xfId="441" xr:uid="{00000000-0005-0000-0000-000024010000}"/>
    <cellStyle name="Moeda 5 2 7 2" xfId="882" xr:uid="{00000000-0005-0000-0000-000025010000}"/>
    <cellStyle name="Moeda 5 2 8" xfId="522" xr:uid="{00000000-0005-0000-0000-000026010000}"/>
    <cellStyle name="Moeda 5 2 9" xfId="962" xr:uid="{00000000-0005-0000-0000-000027010000}"/>
    <cellStyle name="Moeda 5 3" xfId="45" xr:uid="{00000000-0005-0000-0000-000028010000}"/>
    <cellStyle name="Moeda 5 3 2" xfId="152" xr:uid="{00000000-0005-0000-0000-000029010000}"/>
    <cellStyle name="Moeda 5 3 2 2" xfId="604" xr:uid="{00000000-0005-0000-0000-00002A010000}"/>
    <cellStyle name="Moeda 5 3 3" xfId="218" xr:uid="{00000000-0005-0000-0000-00002B010000}"/>
    <cellStyle name="Moeda 5 3 3 2" xfId="670" xr:uid="{00000000-0005-0000-0000-00002C010000}"/>
    <cellStyle name="Moeda 5 3 4" xfId="294" xr:uid="{00000000-0005-0000-0000-00002D010000}"/>
    <cellStyle name="Moeda 5 3 4 2" xfId="737" xr:uid="{00000000-0005-0000-0000-00002E010000}"/>
    <cellStyle name="Moeda 5 3 5" xfId="376" xr:uid="{00000000-0005-0000-0000-00002F010000}"/>
    <cellStyle name="Moeda 5 3 5 2" xfId="818" xr:uid="{00000000-0005-0000-0000-000030010000}"/>
    <cellStyle name="Moeda 5 3 6" xfId="457" xr:uid="{00000000-0005-0000-0000-000031010000}"/>
    <cellStyle name="Moeda 5 3 6 2" xfId="898" xr:uid="{00000000-0005-0000-0000-000032010000}"/>
    <cellStyle name="Moeda 5 3 7" xfId="538" xr:uid="{00000000-0005-0000-0000-000033010000}"/>
    <cellStyle name="Moeda 5 3 8" xfId="978" xr:uid="{00000000-0005-0000-0000-000034010000}"/>
    <cellStyle name="Moeda 5 4" xfId="119" xr:uid="{00000000-0005-0000-0000-000035010000}"/>
    <cellStyle name="Moeda 5 4 2" xfId="327" xr:uid="{00000000-0005-0000-0000-000036010000}"/>
    <cellStyle name="Moeda 5 4 2 2" xfId="770" xr:uid="{00000000-0005-0000-0000-000037010000}"/>
    <cellStyle name="Moeda 5 4 3" xfId="409" xr:uid="{00000000-0005-0000-0000-000038010000}"/>
    <cellStyle name="Moeda 5 4 3 2" xfId="851" xr:uid="{00000000-0005-0000-0000-000039010000}"/>
    <cellStyle name="Moeda 5 4 4" xfId="490" xr:uid="{00000000-0005-0000-0000-00003A010000}"/>
    <cellStyle name="Moeda 5 4 4 2" xfId="931" xr:uid="{00000000-0005-0000-0000-00003B010000}"/>
    <cellStyle name="Moeda 5 4 5" xfId="571" xr:uid="{00000000-0005-0000-0000-00003C010000}"/>
    <cellStyle name="Moeda 5 4 6" xfId="1011" xr:uid="{00000000-0005-0000-0000-00003D010000}"/>
    <cellStyle name="Moeda 5 5" xfId="185" xr:uid="{00000000-0005-0000-0000-00003E010000}"/>
    <cellStyle name="Moeda 5 5 2" xfId="637" xr:uid="{00000000-0005-0000-0000-00003F010000}"/>
    <cellStyle name="Moeda 5 6" xfId="261" xr:uid="{00000000-0005-0000-0000-000040010000}"/>
    <cellStyle name="Moeda 5 6 2" xfId="704" xr:uid="{00000000-0005-0000-0000-000041010000}"/>
    <cellStyle name="Moeda 5 7" xfId="343" xr:uid="{00000000-0005-0000-0000-000042010000}"/>
    <cellStyle name="Moeda 5 7 2" xfId="785" xr:uid="{00000000-0005-0000-0000-000043010000}"/>
    <cellStyle name="Moeda 5 8" xfId="424" xr:uid="{00000000-0005-0000-0000-000044010000}"/>
    <cellStyle name="Moeda 5 8 2" xfId="865" xr:uid="{00000000-0005-0000-0000-000045010000}"/>
    <cellStyle name="Moeda 5 9" xfId="505" xr:uid="{00000000-0005-0000-0000-000046010000}"/>
    <cellStyle name="Moeda 6" xfId="15" xr:uid="{00000000-0005-0000-0000-000047010000}"/>
    <cellStyle name="Moeda 6 10" xfId="947" xr:uid="{00000000-0005-0000-0000-000048010000}"/>
    <cellStyle name="Moeda 6 2" xfId="31" xr:uid="{00000000-0005-0000-0000-000049010000}"/>
    <cellStyle name="Moeda 6 2 2" xfId="64" xr:uid="{00000000-0005-0000-0000-00004A010000}"/>
    <cellStyle name="Moeda 6 2 2 2" xfId="171" xr:uid="{00000000-0005-0000-0000-00004B010000}"/>
    <cellStyle name="Moeda 6 2 2 2 2" xfId="623" xr:uid="{00000000-0005-0000-0000-00004C010000}"/>
    <cellStyle name="Moeda 6 2 2 3" xfId="237" xr:uid="{00000000-0005-0000-0000-00004D010000}"/>
    <cellStyle name="Moeda 6 2 2 3 2" xfId="689" xr:uid="{00000000-0005-0000-0000-00004E010000}"/>
    <cellStyle name="Moeda 6 2 2 4" xfId="313" xr:uid="{00000000-0005-0000-0000-00004F010000}"/>
    <cellStyle name="Moeda 6 2 2 4 2" xfId="756" xr:uid="{00000000-0005-0000-0000-000050010000}"/>
    <cellStyle name="Moeda 6 2 2 5" xfId="395" xr:uid="{00000000-0005-0000-0000-000051010000}"/>
    <cellStyle name="Moeda 6 2 2 5 2" xfId="837" xr:uid="{00000000-0005-0000-0000-000052010000}"/>
    <cellStyle name="Moeda 6 2 2 6" xfId="476" xr:uid="{00000000-0005-0000-0000-000053010000}"/>
    <cellStyle name="Moeda 6 2 2 6 2" xfId="917" xr:uid="{00000000-0005-0000-0000-000054010000}"/>
    <cellStyle name="Moeda 6 2 2 7" xfId="557" xr:uid="{00000000-0005-0000-0000-000055010000}"/>
    <cellStyle name="Moeda 6 2 2 8" xfId="997" xr:uid="{00000000-0005-0000-0000-000056010000}"/>
    <cellStyle name="Moeda 6 2 3" xfId="138" xr:uid="{00000000-0005-0000-0000-000057010000}"/>
    <cellStyle name="Moeda 6 2 3 2" xfId="590" xr:uid="{00000000-0005-0000-0000-000058010000}"/>
    <cellStyle name="Moeda 6 2 4" xfId="204" xr:uid="{00000000-0005-0000-0000-000059010000}"/>
    <cellStyle name="Moeda 6 2 4 2" xfId="656" xr:uid="{00000000-0005-0000-0000-00005A010000}"/>
    <cellStyle name="Moeda 6 2 5" xfId="280" xr:uid="{00000000-0005-0000-0000-00005B010000}"/>
    <cellStyle name="Moeda 6 2 5 2" xfId="723" xr:uid="{00000000-0005-0000-0000-00005C010000}"/>
    <cellStyle name="Moeda 6 2 6" xfId="362" xr:uid="{00000000-0005-0000-0000-00005D010000}"/>
    <cellStyle name="Moeda 6 2 6 2" xfId="804" xr:uid="{00000000-0005-0000-0000-00005E010000}"/>
    <cellStyle name="Moeda 6 2 7" xfId="443" xr:uid="{00000000-0005-0000-0000-00005F010000}"/>
    <cellStyle name="Moeda 6 2 7 2" xfId="884" xr:uid="{00000000-0005-0000-0000-000060010000}"/>
    <cellStyle name="Moeda 6 2 8" xfId="524" xr:uid="{00000000-0005-0000-0000-000061010000}"/>
    <cellStyle name="Moeda 6 2 9" xfId="964" xr:uid="{00000000-0005-0000-0000-000062010000}"/>
    <cellStyle name="Moeda 6 3" xfId="47" xr:uid="{00000000-0005-0000-0000-000063010000}"/>
    <cellStyle name="Moeda 6 3 2" xfId="154" xr:uid="{00000000-0005-0000-0000-000064010000}"/>
    <cellStyle name="Moeda 6 3 2 2" xfId="606" xr:uid="{00000000-0005-0000-0000-000065010000}"/>
    <cellStyle name="Moeda 6 3 3" xfId="220" xr:uid="{00000000-0005-0000-0000-000066010000}"/>
    <cellStyle name="Moeda 6 3 3 2" xfId="672" xr:uid="{00000000-0005-0000-0000-000067010000}"/>
    <cellStyle name="Moeda 6 3 4" xfId="296" xr:uid="{00000000-0005-0000-0000-000068010000}"/>
    <cellStyle name="Moeda 6 3 4 2" xfId="739" xr:uid="{00000000-0005-0000-0000-000069010000}"/>
    <cellStyle name="Moeda 6 3 5" xfId="378" xr:uid="{00000000-0005-0000-0000-00006A010000}"/>
    <cellStyle name="Moeda 6 3 5 2" xfId="820" xr:uid="{00000000-0005-0000-0000-00006B010000}"/>
    <cellStyle name="Moeda 6 3 6" xfId="459" xr:uid="{00000000-0005-0000-0000-00006C010000}"/>
    <cellStyle name="Moeda 6 3 6 2" xfId="900" xr:uid="{00000000-0005-0000-0000-00006D010000}"/>
    <cellStyle name="Moeda 6 3 7" xfId="540" xr:uid="{00000000-0005-0000-0000-00006E010000}"/>
    <cellStyle name="Moeda 6 3 8" xfId="980" xr:uid="{00000000-0005-0000-0000-00006F010000}"/>
    <cellStyle name="Moeda 6 4" xfId="121" xr:uid="{00000000-0005-0000-0000-000070010000}"/>
    <cellStyle name="Moeda 6 4 2" xfId="329" xr:uid="{00000000-0005-0000-0000-000071010000}"/>
    <cellStyle name="Moeda 6 4 2 2" xfId="772" xr:uid="{00000000-0005-0000-0000-000072010000}"/>
    <cellStyle name="Moeda 6 4 3" xfId="411" xr:uid="{00000000-0005-0000-0000-000073010000}"/>
    <cellStyle name="Moeda 6 4 3 2" xfId="853" xr:uid="{00000000-0005-0000-0000-000074010000}"/>
    <cellStyle name="Moeda 6 4 4" xfId="492" xr:uid="{00000000-0005-0000-0000-000075010000}"/>
    <cellStyle name="Moeda 6 4 4 2" xfId="933" xr:uid="{00000000-0005-0000-0000-000076010000}"/>
    <cellStyle name="Moeda 6 4 5" xfId="573" xr:uid="{00000000-0005-0000-0000-000077010000}"/>
    <cellStyle name="Moeda 6 4 6" xfId="1013" xr:uid="{00000000-0005-0000-0000-000078010000}"/>
    <cellStyle name="Moeda 6 5" xfId="187" xr:uid="{00000000-0005-0000-0000-000079010000}"/>
    <cellStyle name="Moeda 6 5 2" xfId="639" xr:uid="{00000000-0005-0000-0000-00007A010000}"/>
    <cellStyle name="Moeda 6 6" xfId="263" xr:uid="{00000000-0005-0000-0000-00007B010000}"/>
    <cellStyle name="Moeda 6 6 2" xfId="706" xr:uid="{00000000-0005-0000-0000-00007C010000}"/>
    <cellStyle name="Moeda 6 7" xfId="345" xr:uid="{00000000-0005-0000-0000-00007D010000}"/>
    <cellStyle name="Moeda 6 7 2" xfId="787" xr:uid="{00000000-0005-0000-0000-00007E010000}"/>
    <cellStyle name="Moeda 6 8" xfId="426" xr:uid="{00000000-0005-0000-0000-00007F010000}"/>
    <cellStyle name="Moeda 6 8 2" xfId="867" xr:uid="{00000000-0005-0000-0000-000080010000}"/>
    <cellStyle name="Moeda 6 9" xfId="507" xr:uid="{00000000-0005-0000-0000-000081010000}"/>
    <cellStyle name="Moeda 7" xfId="4" xr:uid="{00000000-0005-0000-0000-000082010000}"/>
    <cellStyle name="Moeda 7 10" xfId="949" xr:uid="{00000000-0005-0000-0000-000083010000}"/>
    <cellStyle name="Moeda 7 2" xfId="33" xr:uid="{00000000-0005-0000-0000-000084010000}"/>
    <cellStyle name="Moeda 7 2 2" xfId="66" xr:uid="{00000000-0005-0000-0000-000085010000}"/>
    <cellStyle name="Moeda 7 2 2 2" xfId="173" xr:uid="{00000000-0005-0000-0000-000086010000}"/>
    <cellStyle name="Moeda 7 2 2 2 2" xfId="625" xr:uid="{00000000-0005-0000-0000-000087010000}"/>
    <cellStyle name="Moeda 7 2 2 3" xfId="239" xr:uid="{00000000-0005-0000-0000-000088010000}"/>
    <cellStyle name="Moeda 7 2 2 3 2" xfId="691" xr:uid="{00000000-0005-0000-0000-000089010000}"/>
    <cellStyle name="Moeda 7 2 2 4" xfId="315" xr:uid="{00000000-0005-0000-0000-00008A010000}"/>
    <cellStyle name="Moeda 7 2 2 4 2" xfId="758" xr:uid="{00000000-0005-0000-0000-00008B010000}"/>
    <cellStyle name="Moeda 7 2 2 5" xfId="397" xr:uid="{00000000-0005-0000-0000-00008C010000}"/>
    <cellStyle name="Moeda 7 2 2 5 2" xfId="839" xr:uid="{00000000-0005-0000-0000-00008D010000}"/>
    <cellStyle name="Moeda 7 2 2 6" xfId="478" xr:uid="{00000000-0005-0000-0000-00008E010000}"/>
    <cellStyle name="Moeda 7 2 2 6 2" xfId="919" xr:uid="{00000000-0005-0000-0000-00008F010000}"/>
    <cellStyle name="Moeda 7 2 2 7" xfId="559" xr:uid="{00000000-0005-0000-0000-000090010000}"/>
    <cellStyle name="Moeda 7 2 2 8" xfId="999" xr:uid="{00000000-0005-0000-0000-000091010000}"/>
    <cellStyle name="Moeda 7 2 3" xfId="140" xr:uid="{00000000-0005-0000-0000-000092010000}"/>
    <cellStyle name="Moeda 7 2 3 2" xfId="592" xr:uid="{00000000-0005-0000-0000-000093010000}"/>
    <cellStyle name="Moeda 7 2 4" xfId="206" xr:uid="{00000000-0005-0000-0000-000094010000}"/>
    <cellStyle name="Moeda 7 2 4 2" xfId="658" xr:uid="{00000000-0005-0000-0000-000095010000}"/>
    <cellStyle name="Moeda 7 2 5" xfId="282" xr:uid="{00000000-0005-0000-0000-000096010000}"/>
    <cellStyle name="Moeda 7 2 5 2" xfId="725" xr:uid="{00000000-0005-0000-0000-000097010000}"/>
    <cellStyle name="Moeda 7 2 6" xfId="364" xr:uid="{00000000-0005-0000-0000-000098010000}"/>
    <cellStyle name="Moeda 7 2 6 2" xfId="806" xr:uid="{00000000-0005-0000-0000-000099010000}"/>
    <cellStyle name="Moeda 7 2 7" xfId="445" xr:uid="{00000000-0005-0000-0000-00009A010000}"/>
    <cellStyle name="Moeda 7 2 7 2" xfId="886" xr:uid="{00000000-0005-0000-0000-00009B010000}"/>
    <cellStyle name="Moeda 7 2 8" xfId="526" xr:uid="{00000000-0005-0000-0000-00009C010000}"/>
    <cellStyle name="Moeda 7 2 9" xfId="966" xr:uid="{00000000-0005-0000-0000-00009D010000}"/>
    <cellStyle name="Moeda 7 3" xfId="49" xr:uid="{00000000-0005-0000-0000-00009E010000}"/>
    <cellStyle name="Moeda 7 3 2" xfId="156" xr:uid="{00000000-0005-0000-0000-00009F010000}"/>
    <cellStyle name="Moeda 7 3 2 2" xfId="608" xr:uid="{00000000-0005-0000-0000-0000A0010000}"/>
    <cellStyle name="Moeda 7 3 3" xfId="222" xr:uid="{00000000-0005-0000-0000-0000A1010000}"/>
    <cellStyle name="Moeda 7 3 3 2" xfId="674" xr:uid="{00000000-0005-0000-0000-0000A2010000}"/>
    <cellStyle name="Moeda 7 3 4" xfId="298" xr:uid="{00000000-0005-0000-0000-0000A3010000}"/>
    <cellStyle name="Moeda 7 3 4 2" xfId="741" xr:uid="{00000000-0005-0000-0000-0000A4010000}"/>
    <cellStyle name="Moeda 7 3 5" xfId="380" xr:uid="{00000000-0005-0000-0000-0000A5010000}"/>
    <cellStyle name="Moeda 7 3 5 2" xfId="822" xr:uid="{00000000-0005-0000-0000-0000A6010000}"/>
    <cellStyle name="Moeda 7 3 6" xfId="461" xr:uid="{00000000-0005-0000-0000-0000A7010000}"/>
    <cellStyle name="Moeda 7 3 6 2" xfId="902" xr:uid="{00000000-0005-0000-0000-0000A8010000}"/>
    <cellStyle name="Moeda 7 3 7" xfId="542" xr:uid="{00000000-0005-0000-0000-0000A9010000}"/>
    <cellStyle name="Moeda 7 3 8" xfId="982" xr:uid="{00000000-0005-0000-0000-0000AA010000}"/>
    <cellStyle name="Moeda 7 4" xfId="123" xr:uid="{00000000-0005-0000-0000-0000AB010000}"/>
    <cellStyle name="Moeda 7 4 2" xfId="331" xr:uid="{00000000-0005-0000-0000-0000AC010000}"/>
    <cellStyle name="Moeda 7 4 2 2" xfId="774" xr:uid="{00000000-0005-0000-0000-0000AD010000}"/>
    <cellStyle name="Moeda 7 4 3" xfId="413" xr:uid="{00000000-0005-0000-0000-0000AE010000}"/>
    <cellStyle name="Moeda 7 4 3 2" xfId="855" xr:uid="{00000000-0005-0000-0000-0000AF010000}"/>
    <cellStyle name="Moeda 7 4 4" xfId="494" xr:uid="{00000000-0005-0000-0000-0000B0010000}"/>
    <cellStyle name="Moeda 7 4 4 2" xfId="935" xr:uid="{00000000-0005-0000-0000-0000B1010000}"/>
    <cellStyle name="Moeda 7 4 5" xfId="575" xr:uid="{00000000-0005-0000-0000-0000B2010000}"/>
    <cellStyle name="Moeda 7 4 6" xfId="1015" xr:uid="{00000000-0005-0000-0000-0000B3010000}"/>
    <cellStyle name="Moeda 7 5" xfId="189" xr:uid="{00000000-0005-0000-0000-0000B4010000}"/>
    <cellStyle name="Moeda 7 5 2" xfId="641" xr:uid="{00000000-0005-0000-0000-0000B5010000}"/>
    <cellStyle name="Moeda 7 6" xfId="265" xr:uid="{00000000-0005-0000-0000-0000B6010000}"/>
    <cellStyle name="Moeda 7 6 2" xfId="708" xr:uid="{00000000-0005-0000-0000-0000B7010000}"/>
    <cellStyle name="Moeda 7 7" xfId="347" xr:uid="{00000000-0005-0000-0000-0000B8010000}"/>
    <cellStyle name="Moeda 7 7 2" xfId="789" xr:uid="{00000000-0005-0000-0000-0000B9010000}"/>
    <cellStyle name="Moeda 7 8" xfId="428" xr:uid="{00000000-0005-0000-0000-0000BA010000}"/>
    <cellStyle name="Moeda 7 8 2" xfId="869" xr:uid="{00000000-0005-0000-0000-0000BB010000}"/>
    <cellStyle name="Moeda 7 9" xfId="509" xr:uid="{00000000-0005-0000-0000-0000BC010000}"/>
    <cellStyle name="Moeda 8" xfId="18" xr:uid="{00000000-0005-0000-0000-0000BD010000}"/>
    <cellStyle name="Moeda 8 10" xfId="951" xr:uid="{00000000-0005-0000-0000-0000BE010000}"/>
    <cellStyle name="Moeda 8 2" xfId="35" xr:uid="{00000000-0005-0000-0000-0000BF010000}"/>
    <cellStyle name="Moeda 8 2 2" xfId="68" xr:uid="{00000000-0005-0000-0000-0000C0010000}"/>
    <cellStyle name="Moeda 8 2 2 2" xfId="175" xr:uid="{00000000-0005-0000-0000-0000C1010000}"/>
    <cellStyle name="Moeda 8 2 2 2 2" xfId="627" xr:uid="{00000000-0005-0000-0000-0000C2010000}"/>
    <cellStyle name="Moeda 8 2 2 3" xfId="241" xr:uid="{00000000-0005-0000-0000-0000C3010000}"/>
    <cellStyle name="Moeda 8 2 2 3 2" xfId="693" xr:uid="{00000000-0005-0000-0000-0000C4010000}"/>
    <cellStyle name="Moeda 8 2 2 4" xfId="317" xr:uid="{00000000-0005-0000-0000-0000C5010000}"/>
    <cellStyle name="Moeda 8 2 2 4 2" xfId="760" xr:uid="{00000000-0005-0000-0000-0000C6010000}"/>
    <cellStyle name="Moeda 8 2 2 5" xfId="399" xr:uid="{00000000-0005-0000-0000-0000C7010000}"/>
    <cellStyle name="Moeda 8 2 2 5 2" xfId="841" xr:uid="{00000000-0005-0000-0000-0000C8010000}"/>
    <cellStyle name="Moeda 8 2 2 6" xfId="480" xr:uid="{00000000-0005-0000-0000-0000C9010000}"/>
    <cellStyle name="Moeda 8 2 2 6 2" xfId="921" xr:uid="{00000000-0005-0000-0000-0000CA010000}"/>
    <cellStyle name="Moeda 8 2 2 7" xfId="561" xr:uid="{00000000-0005-0000-0000-0000CB010000}"/>
    <cellStyle name="Moeda 8 2 2 8" xfId="1001" xr:uid="{00000000-0005-0000-0000-0000CC010000}"/>
    <cellStyle name="Moeda 8 2 3" xfId="142" xr:uid="{00000000-0005-0000-0000-0000CD010000}"/>
    <cellStyle name="Moeda 8 2 3 2" xfId="594" xr:uid="{00000000-0005-0000-0000-0000CE010000}"/>
    <cellStyle name="Moeda 8 2 4" xfId="208" xr:uid="{00000000-0005-0000-0000-0000CF010000}"/>
    <cellStyle name="Moeda 8 2 4 2" xfId="660" xr:uid="{00000000-0005-0000-0000-0000D0010000}"/>
    <cellStyle name="Moeda 8 2 5" xfId="284" xr:uid="{00000000-0005-0000-0000-0000D1010000}"/>
    <cellStyle name="Moeda 8 2 5 2" xfId="727" xr:uid="{00000000-0005-0000-0000-0000D2010000}"/>
    <cellStyle name="Moeda 8 2 6" xfId="366" xr:uid="{00000000-0005-0000-0000-0000D3010000}"/>
    <cellStyle name="Moeda 8 2 6 2" xfId="808" xr:uid="{00000000-0005-0000-0000-0000D4010000}"/>
    <cellStyle name="Moeda 8 2 7" xfId="447" xr:uid="{00000000-0005-0000-0000-0000D5010000}"/>
    <cellStyle name="Moeda 8 2 7 2" xfId="888" xr:uid="{00000000-0005-0000-0000-0000D6010000}"/>
    <cellStyle name="Moeda 8 2 8" xfId="528" xr:uid="{00000000-0005-0000-0000-0000D7010000}"/>
    <cellStyle name="Moeda 8 2 9" xfId="968" xr:uid="{00000000-0005-0000-0000-0000D8010000}"/>
    <cellStyle name="Moeda 8 3" xfId="51" xr:uid="{00000000-0005-0000-0000-0000D9010000}"/>
    <cellStyle name="Moeda 8 3 2" xfId="158" xr:uid="{00000000-0005-0000-0000-0000DA010000}"/>
    <cellStyle name="Moeda 8 3 2 2" xfId="610" xr:uid="{00000000-0005-0000-0000-0000DB010000}"/>
    <cellStyle name="Moeda 8 3 3" xfId="224" xr:uid="{00000000-0005-0000-0000-0000DC010000}"/>
    <cellStyle name="Moeda 8 3 3 2" xfId="676" xr:uid="{00000000-0005-0000-0000-0000DD010000}"/>
    <cellStyle name="Moeda 8 3 4" xfId="300" xr:uid="{00000000-0005-0000-0000-0000DE010000}"/>
    <cellStyle name="Moeda 8 3 4 2" xfId="743" xr:uid="{00000000-0005-0000-0000-0000DF010000}"/>
    <cellStyle name="Moeda 8 3 5" xfId="382" xr:uid="{00000000-0005-0000-0000-0000E0010000}"/>
    <cellStyle name="Moeda 8 3 5 2" xfId="824" xr:uid="{00000000-0005-0000-0000-0000E1010000}"/>
    <cellStyle name="Moeda 8 3 6" xfId="463" xr:uid="{00000000-0005-0000-0000-0000E2010000}"/>
    <cellStyle name="Moeda 8 3 6 2" xfId="904" xr:uid="{00000000-0005-0000-0000-0000E3010000}"/>
    <cellStyle name="Moeda 8 3 7" xfId="544" xr:uid="{00000000-0005-0000-0000-0000E4010000}"/>
    <cellStyle name="Moeda 8 3 8" xfId="984" xr:uid="{00000000-0005-0000-0000-0000E5010000}"/>
    <cellStyle name="Moeda 8 4" xfId="125" xr:uid="{00000000-0005-0000-0000-0000E6010000}"/>
    <cellStyle name="Moeda 8 4 2" xfId="577" xr:uid="{00000000-0005-0000-0000-0000E7010000}"/>
    <cellStyle name="Moeda 8 5" xfId="191" xr:uid="{00000000-0005-0000-0000-0000E8010000}"/>
    <cellStyle name="Moeda 8 5 2" xfId="643" xr:uid="{00000000-0005-0000-0000-0000E9010000}"/>
    <cellStyle name="Moeda 8 6" xfId="267" xr:uid="{00000000-0005-0000-0000-0000EA010000}"/>
    <cellStyle name="Moeda 8 6 2" xfId="710" xr:uid="{00000000-0005-0000-0000-0000EB010000}"/>
    <cellStyle name="Moeda 8 7" xfId="349" xr:uid="{00000000-0005-0000-0000-0000EC010000}"/>
    <cellStyle name="Moeda 8 7 2" xfId="791" xr:uid="{00000000-0005-0000-0000-0000ED010000}"/>
    <cellStyle name="Moeda 8 8" xfId="430" xr:uid="{00000000-0005-0000-0000-0000EE010000}"/>
    <cellStyle name="Moeda 8 8 2" xfId="871" xr:uid="{00000000-0005-0000-0000-0000EF010000}"/>
    <cellStyle name="Moeda 8 9" xfId="511" xr:uid="{00000000-0005-0000-0000-0000F0010000}"/>
    <cellStyle name="Moeda 9" xfId="21" xr:uid="{00000000-0005-0000-0000-0000F1010000}"/>
    <cellStyle name="Moeda 9 2" xfId="54" xr:uid="{00000000-0005-0000-0000-0000F2010000}"/>
    <cellStyle name="Moeda 9 2 2" xfId="161" xr:uid="{00000000-0005-0000-0000-0000F3010000}"/>
    <cellStyle name="Moeda 9 2 2 2" xfId="613" xr:uid="{00000000-0005-0000-0000-0000F4010000}"/>
    <cellStyle name="Moeda 9 2 3" xfId="227" xr:uid="{00000000-0005-0000-0000-0000F5010000}"/>
    <cellStyle name="Moeda 9 2 3 2" xfId="679" xr:uid="{00000000-0005-0000-0000-0000F6010000}"/>
    <cellStyle name="Moeda 9 2 4" xfId="303" xr:uid="{00000000-0005-0000-0000-0000F7010000}"/>
    <cellStyle name="Moeda 9 2 4 2" xfId="746" xr:uid="{00000000-0005-0000-0000-0000F8010000}"/>
    <cellStyle name="Moeda 9 2 5" xfId="385" xr:uid="{00000000-0005-0000-0000-0000F9010000}"/>
    <cellStyle name="Moeda 9 2 5 2" xfId="827" xr:uid="{00000000-0005-0000-0000-0000FA010000}"/>
    <cellStyle name="Moeda 9 2 6" xfId="466" xr:uid="{00000000-0005-0000-0000-0000FB010000}"/>
    <cellStyle name="Moeda 9 2 6 2" xfId="907" xr:uid="{00000000-0005-0000-0000-0000FC010000}"/>
    <cellStyle name="Moeda 9 2 7" xfId="547" xr:uid="{00000000-0005-0000-0000-0000FD010000}"/>
    <cellStyle name="Moeda 9 2 8" xfId="987" xr:uid="{00000000-0005-0000-0000-0000FE010000}"/>
    <cellStyle name="Moeda 9 3" xfId="128" xr:uid="{00000000-0005-0000-0000-0000FF010000}"/>
    <cellStyle name="Moeda 9 3 2" xfId="580" xr:uid="{00000000-0005-0000-0000-000000020000}"/>
    <cellStyle name="Moeda 9 4" xfId="194" xr:uid="{00000000-0005-0000-0000-000001020000}"/>
    <cellStyle name="Moeda 9 4 2" xfId="646" xr:uid="{00000000-0005-0000-0000-000002020000}"/>
    <cellStyle name="Moeda 9 5" xfId="270" xr:uid="{00000000-0005-0000-0000-000003020000}"/>
    <cellStyle name="Moeda 9 5 2" xfId="713" xr:uid="{00000000-0005-0000-0000-000004020000}"/>
    <cellStyle name="Moeda 9 6" xfId="352" xr:uid="{00000000-0005-0000-0000-000005020000}"/>
    <cellStyle name="Moeda 9 6 2" xfId="794" xr:uid="{00000000-0005-0000-0000-000006020000}"/>
    <cellStyle name="Moeda 9 7" xfId="433" xr:uid="{00000000-0005-0000-0000-000007020000}"/>
    <cellStyle name="Moeda 9 7 2" xfId="874" xr:uid="{00000000-0005-0000-0000-000008020000}"/>
    <cellStyle name="Moeda 9 8" xfId="514" xr:uid="{00000000-0005-0000-0000-000009020000}"/>
    <cellStyle name="Moeda 9 9" xfId="954" xr:uid="{00000000-0005-0000-0000-00000A020000}"/>
    <cellStyle name="Neutro" xfId="76" builtinId="28" customBuiltin="1"/>
    <cellStyle name="Normal" xfId="0" builtinId="0"/>
    <cellStyle name="Normal 12" xfId="242" xr:uid="{00000000-0005-0000-0000-00000D020000}"/>
    <cellStyle name="Normal 2" xfId="243" xr:uid="{00000000-0005-0000-0000-00000E020000}"/>
    <cellStyle name="Normal 2 2" xfId="251" xr:uid="{00000000-0005-0000-0000-00000F020000}"/>
    <cellStyle name="Normal 2 3" xfId="244" xr:uid="{00000000-0005-0000-0000-000010020000}"/>
    <cellStyle name="Normal 3" xfId="247" xr:uid="{00000000-0005-0000-0000-000011020000}"/>
    <cellStyle name="Normal 3 2" xfId="1024" xr:uid="{36578FBA-6909-41FC-818B-165328B35E13}"/>
    <cellStyle name="Normal 3 2 2" xfId="1031" xr:uid="{D1F13EDF-0FE8-48BA-844C-E7E2F970706B}"/>
    <cellStyle name="Normal 3 3" xfId="1030" xr:uid="{EC542406-9EF7-4D59-BA45-A1074A3B689A}"/>
    <cellStyle name="Normal 3 4" xfId="1037" xr:uid="{A3A189E3-C2BF-47EB-AC1A-73AE0650C0C7}"/>
    <cellStyle name="Normal 3 5" xfId="1023" xr:uid="{7E32A853-5A03-4CBD-A996-933979A66178}"/>
    <cellStyle name="Normal 4" xfId="1029" xr:uid="{916DB531-C427-48DA-8578-6587E7C461DE}"/>
    <cellStyle name="Normal 5" xfId="1025" xr:uid="{6621D440-8C21-417A-9015-79049A5DFAFF}"/>
    <cellStyle name="Normal 6" xfId="1021" xr:uid="{CD577D9E-308C-48C5-9F59-0FEB8358D8E2}"/>
    <cellStyle name="Normal 7" xfId="1035" xr:uid="{8E576926-E6BE-4943-89F7-E75919EBE4B1}"/>
    <cellStyle name="Normal 7 2" xfId="1036" xr:uid="{0B87FE61-DB13-40A8-8AA3-2DE01F68A0B3}"/>
    <cellStyle name="Nota" xfId="83" builtinId="10" customBuiltin="1"/>
    <cellStyle name="Porcentagem" xfId="2" builtinId="5"/>
    <cellStyle name="Porcentagem 2" xfId="248" xr:uid="{00000000-0005-0000-0000-000014020000}"/>
    <cellStyle name="Porcentagem 3" xfId="249" xr:uid="{00000000-0005-0000-0000-000015020000}"/>
    <cellStyle name="Ruim" xfId="75" builtinId="27" customBuiltin="1"/>
    <cellStyle name="Saída" xfId="78" builtinId="21" customBuiltin="1"/>
    <cellStyle name="Separador de milhares 2" xfId="1026" xr:uid="{9CBDC574-9FC2-416D-8959-6A4071A077D2}"/>
    <cellStyle name="Separador de milhares 2 2" xfId="1027" xr:uid="{818AFAF5-974A-40D7-B2C6-3929A9F3F1E3}"/>
    <cellStyle name="Separador de milhares 2 2 2" xfId="1033" xr:uid="{1149D39F-FBF3-49DE-AFAA-D250668FD43A}"/>
    <cellStyle name="Separador de milhares 2 3" xfId="1032" xr:uid="{D14E4C92-FA0A-4592-B915-87ED99FA3DBF}"/>
    <cellStyle name="Separador de milhares 3" xfId="1028" xr:uid="{988F227B-E68A-45EF-B5E4-B16EBC49FC99}"/>
    <cellStyle name="Separador de milhares 3 2" xfId="1034" xr:uid="{C2F196ED-F634-41B4-81D5-FCE2B0763DCF}"/>
    <cellStyle name="Texto de Aviso" xfId="82" builtinId="11" customBuiltin="1"/>
    <cellStyle name="Texto Explicativo" xfId="84" builtinId="53" customBuiltin="1"/>
    <cellStyle name="Título" xfId="69" builtinId="15" customBuiltin="1"/>
    <cellStyle name="Título 1" xfId="70" builtinId="16" customBuiltin="1"/>
    <cellStyle name="Título 2" xfId="71" builtinId="17" customBuiltin="1"/>
    <cellStyle name="Título 3" xfId="72" builtinId="18" customBuiltin="1"/>
    <cellStyle name="Título 4" xfId="73" builtinId="19" customBuiltin="1"/>
    <cellStyle name="Título 5" xfId="332" xr:uid="{00000000-0005-0000-0000-00001E020000}"/>
    <cellStyle name="Título 6" xfId="414" xr:uid="{00000000-0005-0000-0000-00001F020000}"/>
    <cellStyle name="Título 7" xfId="495" xr:uid="{00000000-0005-0000-0000-000020020000}"/>
    <cellStyle name="Título 8" xfId="1016" xr:uid="{00000000-0005-0000-0000-000021020000}"/>
    <cellStyle name="Total" xfId="85" builtinId="25" customBuiltin="1"/>
    <cellStyle name="Vírgula" xfId="3" builtinId="3"/>
    <cellStyle name="Vírgula 10" xfId="36" xr:uid="{00000000-0005-0000-0000-000024020000}"/>
    <cellStyle name="Vírgula 10 2" xfId="143" xr:uid="{00000000-0005-0000-0000-000025020000}"/>
    <cellStyle name="Vírgula 10 2 2" xfId="595" xr:uid="{00000000-0005-0000-0000-000026020000}"/>
    <cellStyle name="Vírgula 10 3" xfId="209" xr:uid="{00000000-0005-0000-0000-000027020000}"/>
    <cellStyle name="Vírgula 10 3 2" xfId="661" xr:uid="{00000000-0005-0000-0000-000028020000}"/>
    <cellStyle name="Vírgula 10 4" xfId="285" xr:uid="{00000000-0005-0000-0000-000029020000}"/>
    <cellStyle name="Vírgula 10 4 2" xfId="728" xr:uid="{00000000-0005-0000-0000-00002A020000}"/>
    <cellStyle name="Vírgula 10 5" xfId="367" xr:uid="{00000000-0005-0000-0000-00002B020000}"/>
    <cellStyle name="Vírgula 10 5 2" xfId="809" xr:uid="{00000000-0005-0000-0000-00002C020000}"/>
    <cellStyle name="Vírgula 10 6" xfId="448" xr:uid="{00000000-0005-0000-0000-00002D020000}"/>
    <cellStyle name="Vírgula 10 6 2" xfId="889" xr:uid="{00000000-0005-0000-0000-00002E020000}"/>
    <cellStyle name="Vírgula 10 7" xfId="529" xr:uid="{00000000-0005-0000-0000-00002F020000}"/>
    <cellStyle name="Vírgula 10 8" xfId="969" xr:uid="{00000000-0005-0000-0000-000030020000}"/>
    <cellStyle name="Vírgula 11" xfId="110" xr:uid="{00000000-0005-0000-0000-000031020000}"/>
    <cellStyle name="Vírgula 11 2" xfId="318" xr:uid="{00000000-0005-0000-0000-000032020000}"/>
    <cellStyle name="Vírgula 11 2 2" xfId="761" xr:uid="{00000000-0005-0000-0000-000033020000}"/>
    <cellStyle name="Vírgula 11 3" xfId="400" xr:uid="{00000000-0005-0000-0000-000034020000}"/>
    <cellStyle name="Vírgula 11 3 2" xfId="842" xr:uid="{00000000-0005-0000-0000-000035020000}"/>
    <cellStyle name="Vírgula 11 4" xfId="481" xr:uid="{00000000-0005-0000-0000-000036020000}"/>
    <cellStyle name="Vírgula 11 4 2" xfId="922" xr:uid="{00000000-0005-0000-0000-000037020000}"/>
    <cellStyle name="Vírgula 11 5" xfId="562" xr:uid="{00000000-0005-0000-0000-000038020000}"/>
    <cellStyle name="Vírgula 11 6" xfId="1002" xr:uid="{00000000-0005-0000-0000-000039020000}"/>
    <cellStyle name="Vírgula 12" xfId="176" xr:uid="{00000000-0005-0000-0000-00003A020000}"/>
    <cellStyle name="Vírgula 12 2" xfId="628" xr:uid="{00000000-0005-0000-0000-00003B020000}"/>
    <cellStyle name="Vírgula 13" xfId="252" xr:uid="{00000000-0005-0000-0000-00003C020000}"/>
    <cellStyle name="Vírgula 13 2" xfId="695" xr:uid="{00000000-0005-0000-0000-00003D020000}"/>
    <cellStyle name="Vírgula 14" xfId="334" xr:uid="{00000000-0005-0000-0000-00003E020000}"/>
    <cellStyle name="Vírgula 14 2" xfId="776" xr:uid="{00000000-0005-0000-0000-00003F020000}"/>
    <cellStyle name="Vírgula 15" xfId="415" xr:uid="{00000000-0005-0000-0000-000040020000}"/>
    <cellStyle name="Vírgula 15 2" xfId="856" xr:uid="{00000000-0005-0000-0000-000041020000}"/>
    <cellStyle name="Vírgula 16" xfId="496" xr:uid="{00000000-0005-0000-0000-000042020000}"/>
    <cellStyle name="Vírgula 17" xfId="936" xr:uid="{00000000-0005-0000-0000-000043020000}"/>
    <cellStyle name="Vírgula 18" xfId="1017" xr:uid="{00000000-0005-0000-0000-000044020000}"/>
    <cellStyle name="Vírgula 19" xfId="1019" xr:uid="{6553800A-DB7D-403A-AA94-67E741E187FD}"/>
    <cellStyle name="Vírgula 2" xfId="6" xr:uid="{00000000-0005-0000-0000-000045020000}"/>
    <cellStyle name="Vírgula 2 10" xfId="938" xr:uid="{00000000-0005-0000-0000-000046020000}"/>
    <cellStyle name="Vírgula 2 11" xfId="1020" xr:uid="{177A3BDA-974B-41A6-9852-81ED4EF94EDE}"/>
    <cellStyle name="Vírgula 2 2" xfId="22" xr:uid="{00000000-0005-0000-0000-000047020000}"/>
    <cellStyle name="Vírgula 2 2 10" xfId="1039" xr:uid="{A256A95C-42FF-434B-B961-A455C4D1F54B}"/>
    <cellStyle name="Vírgula 2 2 2" xfId="55" xr:uid="{00000000-0005-0000-0000-000048020000}"/>
    <cellStyle name="Vírgula 2 2 2 2" xfId="162" xr:uid="{00000000-0005-0000-0000-000049020000}"/>
    <cellStyle name="Vírgula 2 2 2 2 2" xfId="614" xr:uid="{00000000-0005-0000-0000-00004A020000}"/>
    <cellStyle name="Vírgula 2 2 2 2 2 2" xfId="1085" xr:uid="{815597CB-E560-4AA6-883E-1C8438A20FAA}"/>
    <cellStyle name="Vírgula 2 2 2 2 3" xfId="1057" xr:uid="{5643E143-6645-4FCE-9BBE-E0579E8CB8AA}"/>
    <cellStyle name="Vírgula 2 2 2 3" xfId="228" xr:uid="{00000000-0005-0000-0000-00004B020000}"/>
    <cellStyle name="Vírgula 2 2 2 3 2" xfId="680" xr:uid="{00000000-0005-0000-0000-00004C020000}"/>
    <cellStyle name="Vírgula 2 2 2 3 3" xfId="1071" xr:uid="{13708AFA-E47B-4772-9555-EEA456FED55C}"/>
    <cellStyle name="Vírgula 2 2 2 4" xfId="304" xr:uid="{00000000-0005-0000-0000-00004D020000}"/>
    <cellStyle name="Vírgula 2 2 2 4 2" xfId="747" xr:uid="{00000000-0005-0000-0000-00004E020000}"/>
    <cellStyle name="Vírgula 2 2 2 5" xfId="386" xr:uid="{00000000-0005-0000-0000-00004F020000}"/>
    <cellStyle name="Vírgula 2 2 2 5 2" xfId="828" xr:uid="{00000000-0005-0000-0000-000050020000}"/>
    <cellStyle name="Vírgula 2 2 2 6" xfId="467" xr:uid="{00000000-0005-0000-0000-000051020000}"/>
    <cellStyle name="Vírgula 2 2 2 6 2" xfId="908" xr:uid="{00000000-0005-0000-0000-000052020000}"/>
    <cellStyle name="Vírgula 2 2 2 7" xfId="548" xr:uid="{00000000-0005-0000-0000-000053020000}"/>
    <cellStyle name="Vírgula 2 2 2 8" xfId="988" xr:uid="{00000000-0005-0000-0000-000054020000}"/>
    <cellStyle name="Vírgula 2 2 2 9" xfId="1043" xr:uid="{2AE798A8-EAF6-410B-B659-B44400756C35}"/>
    <cellStyle name="Vírgula 2 2 3" xfId="129" xr:uid="{00000000-0005-0000-0000-000055020000}"/>
    <cellStyle name="Vírgula 2 2 3 2" xfId="581" xr:uid="{00000000-0005-0000-0000-000056020000}"/>
    <cellStyle name="Vírgula 2 2 3 2 2" xfId="1089" xr:uid="{28066A1B-B2B9-4F1C-97E4-612EE673238A}"/>
    <cellStyle name="Vírgula 2 2 3 2 3" xfId="1061" xr:uid="{56A2AFAE-62CC-41F4-9CAA-739B591AEB5B}"/>
    <cellStyle name="Vírgula 2 2 3 3" xfId="1075" xr:uid="{5CD41196-535A-4073-AB57-4CC52CBBAB7B}"/>
    <cellStyle name="Vírgula 2 2 3 4" xfId="1047" xr:uid="{6205A57C-79DE-4D3F-887F-A604CBA5D634}"/>
    <cellStyle name="Vírgula 2 2 4" xfId="195" xr:uid="{00000000-0005-0000-0000-000057020000}"/>
    <cellStyle name="Vírgula 2 2 4 2" xfId="647" xr:uid="{00000000-0005-0000-0000-000058020000}"/>
    <cellStyle name="Vírgula 2 2 4 2 2" xfId="1083" xr:uid="{7F48A7BA-D313-4B3B-BDF0-57E62702D48A}"/>
    <cellStyle name="Vírgula 2 2 4 3" xfId="1055" xr:uid="{1B6FCD27-207D-4883-A56C-BD8643B471BA}"/>
    <cellStyle name="Vírgula 2 2 5" xfId="271" xr:uid="{00000000-0005-0000-0000-000059020000}"/>
    <cellStyle name="Vírgula 2 2 5 2" xfId="714" xr:uid="{00000000-0005-0000-0000-00005A020000}"/>
    <cellStyle name="Vírgula 2 2 5 3" xfId="1069" xr:uid="{7873AB04-181D-44FE-A317-9B5A48B60099}"/>
    <cellStyle name="Vírgula 2 2 6" xfId="353" xr:uid="{00000000-0005-0000-0000-00005B020000}"/>
    <cellStyle name="Vírgula 2 2 6 2" xfId="795" xr:uid="{00000000-0005-0000-0000-00005C020000}"/>
    <cellStyle name="Vírgula 2 2 7" xfId="434" xr:uid="{00000000-0005-0000-0000-00005D020000}"/>
    <cellStyle name="Vírgula 2 2 7 2" xfId="875" xr:uid="{00000000-0005-0000-0000-00005E020000}"/>
    <cellStyle name="Vírgula 2 2 8" xfId="515" xr:uid="{00000000-0005-0000-0000-00005F020000}"/>
    <cellStyle name="Vírgula 2 2 9" xfId="955" xr:uid="{00000000-0005-0000-0000-000060020000}"/>
    <cellStyle name="Vírgula 2 3" xfId="38" xr:uid="{00000000-0005-0000-0000-000061020000}"/>
    <cellStyle name="Vírgula 2 3 2" xfId="145" xr:uid="{00000000-0005-0000-0000-000062020000}"/>
    <cellStyle name="Vírgula 2 3 2 2" xfId="597" xr:uid="{00000000-0005-0000-0000-000063020000}"/>
    <cellStyle name="Vírgula 2 3 2 2 2" xfId="1087" xr:uid="{06F62D29-3D4E-4D9A-8C85-D9529E8EAB98}"/>
    <cellStyle name="Vírgula 2 3 2 2 3" xfId="1059" xr:uid="{C50C1B3A-DE82-4C52-9719-9163AA265EDA}"/>
    <cellStyle name="Vírgula 2 3 2 3" xfId="1073" xr:uid="{CB815BE7-09D0-4BEE-A695-B9015BECCEA8}"/>
    <cellStyle name="Vírgula 2 3 2 4" xfId="1045" xr:uid="{5D6C9696-D233-4127-B5B2-A719FDAF3761}"/>
    <cellStyle name="Vírgula 2 3 3" xfId="211" xr:uid="{00000000-0005-0000-0000-000064020000}"/>
    <cellStyle name="Vírgula 2 3 3 2" xfId="663" xr:uid="{00000000-0005-0000-0000-000065020000}"/>
    <cellStyle name="Vírgula 2 3 4" xfId="245" xr:uid="{00000000-0005-0000-0000-000066020000}"/>
    <cellStyle name="Vírgula 2 3 4 2" xfId="333" xr:uid="{00000000-0005-0000-0000-000067020000}"/>
    <cellStyle name="Vírgula 2 3 4 2 2" xfId="775" xr:uid="{00000000-0005-0000-0000-000068020000}"/>
    <cellStyle name="Vírgula 2 3 5" xfId="287" xr:uid="{00000000-0005-0000-0000-000069020000}"/>
    <cellStyle name="Vírgula 2 3 5 2" xfId="730" xr:uid="{00000000-0005-0000-0000-00006A020000}"/>
    <cellStyle name="Vírgula 2 3 6" xfId="369" xr:uid="{00000000-0005-0000-0000-00006B020000}"/>
    <cellStyle name="Vírgula 2 3 6 2" xfId="811" xr:uid="{00000000-0005-0000-0000-00006C020000}"/>
    <cellStyle name="Vírgula 2 3 7" xfId="450" xr:uid="{00000000-0005-0000-0000-00006D020000}"/>
    <cellStyle name="Vírgula 2 3 7 2" xfId="891" xr:uid="{00000000-0005-0000-0000-00006E020000}"/>
    <cellStyle name="Vírgula 2 3 8" xfId="531" xr:uid="{00000000-0005-0000-0000-00006F020000}"/>
    <cellStyle name="Vírgula 2 3 9" xfId="971" xr:uid="{00000000-0005-0000-0000-000070020000}"/>
    <cellStyle name="Vírgula 2 4" xfId="112" xr:uid="{00000000-0005-0000-0000-000071020000}"/>
    <cellStyle name="Vírgula 2 4 2" xfId="320" xr:uid="{00000000-0005-0000-0000-000072020000}"/>
    <cellStyle name="Vírgula 2 4 2 2" xfId="763" xr:uid="{00000000-0005-0000-0000-000073020000}"/>
    <cellStyle name="Vírgula 2 4 2 2 2" xfId="1086" xr:uid="{AE4FCA11-1D30-4760-B73E-401D98EB5527}"/>
    <cellStyle name="Vírgula 2 4 2 3" xfId="1058" xr:uid="{CE7D39BC-10A0-4734-92FA-0000F823AC4C}"/>
    <cellStyle name="Vírgula 2 4 3" xfId="402" xr:uid="{00000000-0005-0000-0000-000074020000}"/>
    <cellStyle name="Vírgula 2 4 3 2" xfId="844" xr:uid="{00000000-0005-0000-0000-000075020000}"/>
    <cellStyle name="Vírgula 2 4 3 3" xfId="1072" xr:uid="{203CE18A-FDCC-47A8-A856-FE2C46AD94DD}"/>
    <cellStyle name="Vírgula 2 4 4" xfId="483" xr:uid="{00000000-0005-0000-0000-000076020000}"/>
    <cellStyle name="Vírgula 2 4 4 2" xfId="924" xr:uid="{00000000-0005-0000-0000-000077020000}"/>
    <cellStyle name="Vírgula 2 4 5" xfId="564" xr:uid="{00000000-0005-0000-0000-000078020000}"/>
    <cellStyle name="Vírgula 2 4 6" xfId="1004" xr:uid="{00000000-0005-0000-0000-000079020000}"/>
    <cellStyle name="Vírgula 2 4 7" xfId="1044" xr:uid="{2A967C16-DDA5-4F6C-BC74-FA2850883050}"/>
    <cellStyle name="Vírgula 2 5" xfId="178" xr:uid="{00000000-0005-0000-0000-00007A020000}"/>
    <cellStyle name="Vírgula 2 5 2" xfId="630" xr:uid="{00000000-0005-0000-0000-00007B020000}"/>
    <cellStyle name="Vírgula 2 5 2 2" xfId="1081" xr:uid="{C729B009-ED54-4F59-B2D6-6A263F6FE7AE}"/>
    <cellStyle name="Vírgula 2 5 3" xfId="1053" xr:uid="{00EDB6EA-5F3D-47F6-BC8D-30F917B82C96}"/>
    <cellStyle name="Vírgula 2 6" xfId="254" xr:uid="{00000000-0005-0000-0000-00007C020000}"/>
    <cellStyle name="Vírgula 2 6 2" xfId="697" xr:uid="{00000000-0005-0000-0000-00007D020000}"/>
    <cellStyle name="Vírgula 2 6 3" xfId="1067" xr:uid="{4D4F266E-5F01-49D3-B162-7E9C828BD055}"/>
    <cellStyle name="Vírgula 2 7" xfId="336" xr:uid="{00000000-0005-0000-0000-00007E020000}"/>
    <cellStyle name="Vírgula 2 7 2" xfId="778" xr:uid="{00000000-0005-0000-0000-00007F020000}"/>
    <cellStyle name="Vírgula 2 8" xfId="417" xr:uid="{00000000-0005-0000-0000-000080020000}"/>
    <cellStyle name="Vírgula 2 8 2" xfId="858" xr:uid="{00000000-0005-0000-0000-000081020000}"/>
    <cellStyle name="Vírgula 2 9" xfId="498" xr:uid="{00000000-0005-0000-0000-000082020000}"/>
    <cellStyle name="Vírgula 3" xfId="8" xr:uid="{00000000-0005-0000-0000-000083020000}"/>
    <cellStyle name="Vírgula 3 10" xfId="500" xr:uid="{00000000-0005-0000-0000-000084020000}"/>
    <cellStyle name="Vírgula 3 11" xfId="940" xr:uid="{00000000-0005-0000-0000-000085020000}"/>
    <cellStyle name="Vírgula 3 2" xfId="24" xr:uid="{00000000-0005-0000-0000-000086020000}"/>
    <cellStyle name="Vírgula 3 2 10" xfId="1041" xr:uid="{0D82F411-A5F6-428A-8FAA-E19E3D48890A}"/>
    <cellStyle name="Vírgula 3 2 2" xfId="57" xr:uid="{00000000-0005-0000-0000-000087020000}"/>
    <cellStyle name="Vírgula 3 2 2 2" xfId="164" xr:uid="{00000000-0005-0000-0000-000088020000}"/>
    <cellStyle name="Vírgula 3 2 2 2 2" xfId="616" xr:uid="{00000000-0005-0000-0000-000089020000}"/>
    <cellStyle name="Vírgula 3 2 2 2 3" xfId="1084" xr:uid="{9CA3B6ED-47D1-4D1D-8A35-F04C96C7534B}"/>
    <cellStyle name="Vírgula 3 2 2 3" xfId="230" xr:uid="{00000000-0005-0000-0000-00008A020000}"/>
    <cellStyle name="Vírgula 3 2 2 3 2" xfId="682" xr:uid="{00000000-0005-0000-0000-00008B020000}"/>
    <cellStyle name="Vírgula 3 2 2 4" xfId="306" xr:uid="{00000000-0005-0000-0000-00008C020000}"/>
    <cellStyle name="Vírgula 3 2 2 4 2" xfId="749" xr:uid="{00000000-0005-0000-0000-00008D020000}"/>
    <cellStyle name="Vírgula 3 2 2 5" xfId="388" xr:uid="{00000000-0005-0000-0000-00008E020000}"/>
    <cellStyle name="Vírgula 3 2 2 5 2" xfId="830" xr:uid="{00000000-0005-0000-0000-00008F020000}"/>
    <cellStyle name="Vírgula 3 2 2 6" xfId="469" xr:uid="{00000000-0005-0000-0000-000090020000}"/>
    <cellStyle name="Vírgula 3 2 2 6 2" xfId="910" xr:uid="{00000000-0005-0000-0000-000091020000}"/>
    <cellStyle name="Vírgula 3 2 2 7" xfId="550" xr:uid="{00000000-0005-0000-0000-000092020000}"/>
    <cellStyle name="Vírgula 3 2 2 8" xfId="990" xr:uid="{00000000-0005-0000-0000-000093020000}"/>
    <cellStyle name="Vírgula 3 2 2 9" xfId="1056" xr:uid="{EB93ADC0-8CD2-494D-BDD2-FCAD8818D8FE}"/>
    <cellStyle name="Vírgula 3 2 3" xfId="131" xr:uid="{00000000-0005-0000-0000-000094020000}"/>
    <cellStyle name="Vírgula 3 2 3 2" xfId="583" xr:uid="{00000000-0005-0000-0000-000095020000}"/>
    <cellStyle name="Vírgula 3 2 3 3" xfId="1070" xr:uid="{744007CC-E1D5-4B9D-8313-80253BB30778}"/>
    <cellStyle name="Vírgula 3 2 4" xfId="197" xr:uid="{00000000-0005-0000-0000-000096020000}"/>
    <cellStyle name="Vírgula 3 2 4 2" xfId="649" xr:uid="{00000000-0005-0000-0000-000097020000}"/>
    <cellStyle name="Vírgula 3 2 5" xfId="273" xr:uid="{00000000-0005-0000-0000-000098020000}"/>
    <cellStyle name="Vírgula 3 2 5 2" xfId="716" xr:uid="{00000000-0005-0000-0000-000099020000}"/>
    <cellStyle name="Vírgula 3 2 6" xfId="355" xr:uid="{00000000-0005-0000-0000-00009A020000}"/>
    <cellStyle name="Vírgula 3 2 6 2" xfId="797" xr:uid="{00000000-0005-0000-0000-00009B020000}"/>
    <cellStyle name="Vírgula 3 2 7" xfId="436" xr:uid="{00000000-0005-0000-0000-00009C020000}"/>
    <cellStyle name="Vírgula 3 2 7 2" xfId="877" xr:uid="{00000000-0005-0000-0000-00009D020000}"/>
    <cellStyle name="Vírgula 3 2 8" xfId="517" xr:uid="{00000000-0005-0000-0000-00009E020000}"/>
    <cellStyle name="Vírgula 3 2 9" xfId="957" xr:uid="{00000000-0005-0000-0000-00009F020000}"/>
    <cellStyle name="Vírgula 3 3" xfId="40" xr:uid="{00000000-0005-0000-0000-0000A0020000}"/>
    <cellStyle name="Vírgula 3 3 2" xfId="147" xr:uid="{00000000-0005-0000-0000-0000A1020000}"/>
    <cellStyle name="Vírgula 3 3 2 2" xfId="599" xr:uid="{00000000-0005-0000-0000-0000A2020000}"/>
    <cellStyle name="Vírgula 3 3 2 2 2" xfId="1082" xr:uid="{1606E5A9-FF0B-4FAB-BB4A-41A99CC22D7E}"/>
    <cellStyle name="Vírgula 3 3 2 3" xfId="1054" xr:uid="{674658E0-0303-4F2E-AAEF-CF9B2DABF7A3}"/>
    <cellStyle name="Vírgula 3 3 3" xfId="213" xr:uid="{00000000-0005-0000-0000-0000A3020000}"/>
    <cellStyle name="Vírgula 3 3 3 2" xfId="665" xr:uid="{00000000-0005-0000-0000-0000A4020000}"/>
    <cellStyle name="Vírgula 3 3 3 3" xfId="1068" xr:uid="{5B63AD3E-5DE7-4DBD-B7A7-9B6DACE3E10E}"/>
    <cellStyle name="Vírgula 3 3 4" xfId="289" xr:uid="{00000000-0005-0000-0000-0000A5020000}"/>
    <cellStyle name="Vírgula 3 3 4 2" xfId="732" xr:uid="{00000000-0005-0000-0000-0000A6020000}"/>
    <cellStyle name="Vírgula 3 3 5" xfId="371" xr:uid="{00000000-0005-0000-0000-0000A7020000}"/>
    <cellStyle name="Vírgula 3 3 5 2" xfId="813" xr:uid="{00000000-0005-0000-0000-0000A8020000}"/>
    <cellStyle name="Vírgula 3 3 6" xfId="452" xr:uid="{00000000-0005-0000-0000-0000A9020000}"/>
    <cellStyle name="Vírgula 3 3 6 2" xfId="893" xr:uid="{00000000-0005-0000-0000-0000AA020000}"/>
    <cellStyle name="Vírgula 3 3 7" xfId="533" xr:uid="{00000000-0005-0000-0000-0000AB020000}"/>
    <cellStyle name="Vírgula 3 3 8" xfId="973" xr:uid="{00000000-0005-0000-0000-0000AC020000}"/>
    <cellStyle name="Vírgula 3 3 9" xfId="1038" xr:uid="{D058A335-0D45-4719-B3B8-7E21AA6AD2DD}"/>
    <cellStyle name="Vírgula 3 4" xfId="114" xr:uid="{00000000-0005-0000-0000-0000AD020000}"/>
    <cellStyle name="Vírgula 3 4 2" xfId="322" xr:uid="{00000000-0005-0000-0000-0000AE020000}"/>
    <cellStyle name="Vírgula 3 4 2 2" xfId="765" xr:uid="{00000000-0005-0000-0000-0000AF020000}"/>
    <cellStyle name="Vírgula 3 4 2 2 2" xfId="1088" xr:uid="{F2F85709-B3D0-441E-820B-6D0666396442}"/>
    <cellStyle name="Vírgula 3 4 2 3" xfId="1060" xr:uid="{0F906AFE-3287-48C5-B5F5-5F6A5BD41308}"/>
    <cellStyle name="Vírgula 3 4 3" xfId="404" xr:uid="{00000000-0005-0000-0000-0000B0020000}"/>
    <cellStyle name="Vírgula 3 4 3 2" xfId="846" xr:uid="{00000000-0005-0000-0000-0000B1020000}"/>
    <cellStyle name="Vírgula 3 4 3 3" xfId="1074" xr:uid="{C783D0B3-7E48-4239-8960-9C95A69F379D}"/>
    <cellStyle name="Vírgula 3 4 4" xfId="485" xr:uid="{00000000-0005-0000-0000-0000B2020000}"/>
    <cellStyle name="Vírgula 3 4 4 2" xfId="926" xr:uid="{00000000-0005-0000-0000-0000B3020000}"/>
    <cellStyle name="Vírgula 3 4 5" xfId="566" xr:uid="{00000000-0005-0000-0000-0000B4020000}"/>
    <cellStyle name="Vírgula 3 4 6" xfId="1006" xr:uid="{00000000-0005-0000-0000-0000B5020000}"/>
    <cellStyle name="Vírgula 3 4 7" xfId="1046" xr:uid="{D6D599FD-D301-41B1-B9AA-59EB4F22AAA7}"/>
    <cellStyle name="Vírgula 3 5" xfId="180" xr:uid="{00000000-0005-0000-0000-0000B6020000}"/>
    <cellStyle name="Vírgula 3 5 2" xfId="632" xr:uid="{00000000-0005-0000-0000-0000B7020000}"/>
    <cellStyle name="Vírgula 3 6" xfId="250" xr:uid="{00000000-0005-0000-0000-0000B8020000}"/>
    <cellStyle name="Vírgula 3 6 2" xfId="694" xr:uid="{00000000-0005-0000-0000-0000B9020000}"/>
    <cellStyle name="Vírgula 3 7" xfId="256" xr:uid="{00000000-0005-0000-0000-0000BA020000}"/>
    <cellStyle name="Vírgula 3 7 2" xfId="699" xr:uid="{00000000-0005-0000-0000-0000BB020000}"/>
    <cellStyle name="Vírgula 3 8" xfId="338" xr:uid="{00000000-0005-0000-0000-0000BC020000}"/>
    <cellStyle name="Vírgula 3 8 2" xfId="780" xr:uid="{00000000-0005-0000-0000-0000BD020000}"/>
    <cellStyle name="Vírgula 3 9" xfId="419" xr:uid="{00000000-0005-0000-0000-0000BE020000}"/>
    <cellStyle name="Vírgula 3 9 2" xfId="860" xr:uid="{00000000-0005-0000-0000-0000BF020000}"/>
    <cellStyle name="Vírgula 4" xfId="10" xr:uid="{00000000-0005-0000-0000-0000C0020000}"/>
    <cellStyle name="Vírgula 4 10" xfId="942" xr:uid="{00000000-0005-0000-0000-0000C1020000}"/>
    <cellStyle name="Vírgula 4 11" xfId="1049" xr:uid="{2FD87CFF-77B1-47D6-8CA6-76EA4130CBBB}"/>
    <cellStyle name="Vírgula 4 2" xfId="26" xr:uid="{00000000-0005-0000-0000-0000C2020000}"/>
    <cellStyle name="Vírgula 4 2 10" xfId="1063" xr:uid="{28468FC1-DB32-4574-82E3-4F55D8851447}"/>
    <cellStyle name="Vírgula 4 2 2" xfId="59" xr:uid="{00000000-0005-0000-0000-0000C3020000}"/>
    <cellStyle name="Vírgula 4 2 2 2" xfId="166" xr:uid="{00000000-0005-0000-0000-0000C4020000}"/>
    <cellStyle name="Vírgula 4 2 2 2 2" xfId="618" xr:uid="{00000000-0005-0000-0000-0000C5020000}"/>
    <cellStyle name="Vírgula 4 2 2 3" xfId="232" xr:uid="{00000000-0005-0000-0000-0000C6020000}"/>
    <cellStyle name="Vírgula 4 2 2 3 2" xfId="684" xr:uid="{00000000-0005-0000-0000-0000C7020000}"/>
    <cellStyle name="Vírgula 4 2 2 4" xfId="308" xr:uid="{00000000-0005-0000-0000-0000C8020000}"/>
    <cellStyle name="Vírgula 4 2 2 4 2" xfId="751" xr:uid="{00000000-0005-0000-0000-0000C9020000}"/>
    <cellStyle name="Vírgula 4 2 2 5" xfId="390" xr:uid="{00000000-0005-0000-0000-0000CA020000}"/>
    <cellStyle name="Vírgula 4 2 2 5 2" xfId="832" xr:uid="{00000000-0005-0000-0000-0000CB020000}"/>
    <cellStyle name="Vírgula 4 2 2 6" xfId="471" xr:uid="{00000000-0005-0000-0000-0000CC020000}"/>
    <cellStyle name="Vírgula 4 2 2 6 2" xfId="912" xr:uid="{00000000-0005-0000-0000-0000CD020000}"/>
    <cellStyle name="Vírgula 4 2 2 7" xfId="552" xr:uid="{00000000-0005-0000-0000-0000CE020000}"/>
    <cellStyle name="Vírgula 4 2 2 8" xfId="992" xr:uid="{00000000-0005-0000-0000-0000CF020000}"/>
    <cellStyle name="Vírgula 4 2 2 9" xfId="1091" xr:uid="{1EC0FF31-A2D8-478E-95CA-47D3973BA69E}"/>
    <cellStyle name="Vírgula 4 2 3" xfId="133" xr:uid="{00000000-0005-0000-0000-0000D0020000}"/>
    <cellStyle name="Vírgula 4 2 3 2" xfId="585" xr:uid="{00000000-0005-0000-0000-0000D1020000}"/>
    <cellStyle name="Vírgula 4 2 4" xfId="199" xr:uid="{00000000-0005-0000-0000-0000D2020000}"/>
    <cellStyle name="Vírgula 4 2 4 2" xfId="651" xr:uid="{00000000-0005-0000-0000-0000D3020000}"/>
    <cellStyle name="Vírgula 4 2 5" xfId="275" xr:uid="{00000000-0005-0000-0000-0000D4020000}"/>
    <cellStyle name="Vírgula 4 2 5 2" xfId="718" xr:uid="{00000000-0005-0000-0000-0000D5020000}"/>
    <cellStyle name="Vírgula 4 2 6" xfId="357" xr:uid="{00000000-0005-0000-0000-0000D6020000}"/>
    <cellStyle name="Vírgula 4 2 6 2" xfId="799" xr:uid="{00000000-0005-0000-0000-0000D7020000}"/>
    <cellStyle name="Vírgula 4 2 7" xfId="438" xr:uid="{00000000-0005-0000-0000-0000D8020000}"/>
    <cellStyle name="Vírgula 4 2 7 2" xfId="879" xr:uid="{00000000-0005-0000-0000-0000D9020000}"/>
    <cellStyle name="Vírgula 4 2 8" xfId="519" xr:uid="{00000000-0005-0000-0000-0000DA020000}"/>
    <cellStyle name="Vírgula 4 2 9" xfId="959" xr:uid="{00000000-0005-0000-0000-0000DB020000}"/>
    <cellStyle name="Vírgula 4 3" xfId="42" xr:uid="{00000000-0005-0000-0000-0000DC020000}"/>
    <cellStyle name="Vírgula 4 3 2" xfId="149" xr:uid="{00000000-0005-0000-0000-0000DD020000}"/>
    <cellStyle name="Vírgula 4 3 2 2" xfId="601" xr:uid="{00000000-0005-0000-0000-0000DE020000}"/>
    <cellStyle name="Vírgula 4 3 3" xfId="215" xr:uid="{00000000-0005-0000-0000-0000DF020000}"/>
    <cellStyle name="Vírgula 4 3 3 2" xfId="667" xr:uid="{00000000-0005-0000-0000-0000E0020000}"/>
    <cellStyle name="Vírgula 4 3 4" xfId="291" xr:uid="{00000000-0005-0000-0000-0000E1020000}"/>
    <cellStyle name="Vírgula 4 3 4 2" xfId="734" xr:uid="{00000000-0005-0000-0000-0000E2020000}"/>
    <cellStyle name="Vírgula 4 3 5" xfId="373" xr:uid="{00000000-0005-0000-0000-0000E3020000}"/>
    <cellStyle name="Vírgula 4 3 5 2" xfId="815" xr:uid="{00000000-0005-0000-0000-0000E4020000}"/>
    <cellStyle name="Vírgula 4 3 6" xfId="454" xr:uid="{00000000-0005-0000-0000-0000E5020000}"/>
    <cellStyle name="Vírgula 4 3 6 2" xfId="895" xr:uid="{00000000-0005-0000-0000-0000E6020000}"/>
    <cellStyle name="Vírgula 4 3 7" xfId="535" xr:uid="{00000000-0005-0000-0000-0000E7020000}"/>
    <cellStyle name="Vírgula 4 3 8" xfId="975" xr:uid="{00000000-0005-0000-0000-0000E8020000}"/>
    <cellStyle name="Vírgula 4 3 9" xfId="1077" xr:uid="{2B860F3D-E8E9-435F-9D16-ED1509D2D942}"/>
    <cellStyle name="Vírgula 4 4" xfId="116" xr:uid="{00000000-0005-0000-0000-0000E9020000}"/>
    <cellStyle name="Vírgula 4 4 2" xfId="324" xr:uid="{00000000-0005-0000-0000-0000EA020000}"/>
    <cellStyle name="Vírgula 4 4 2 2" xfId="767" xr:uid="{00000000-0005-0000-0000-0000EB020000}"/>
    <cellStyle name="Vírgula 4 4 3" xfId="406" xr:uid="{00000000-0005-0000-0000-0000EC020000}"/>
    <cellStyle name="Vírgula 4 4 3 2" xfId="848" xr:uid="{00000000-0005-0000-0000-0000ED020000}"/>
    <cellStyle name="Vírgula 4 4 4" xfId="487" xr:uid="{00000000-0005-0000-0000-0000EE020000}"/>
    <cellStyle name="Vírgula 4 4 4 2" xfId="928" xr:uid="{00000000-0005-0000-0000-0000EF020000}"/>
    <cellStyle name="Vírgula 4 4 5" xfId="568" xr:uid="{00000000-0005-0000-0000-0000F0020000}"/>
    <cellStyle name="Vírgula 4 4 6" xfId="1008" xr:uid="{00000000-0005-0000-0000-0000F1020000}"/>
    <cellStyle name="Vírgula 4 5" xfId="182" xr:uid="{00000000-0005-0000-0000-0000F2020000}"/>
    <cellStyle name="Vírgula 4 5 2" xfId="634" xr:uid="{00000000-0005-0000-0000-0000F3020000}"/>
    <cellStyle name="Vírgula 4 6" xfId="258" xr:uid="{00000000-0005-0000-0000-0000F4020000}"/>
    <cellStyle name="Vírgula 4 6 2" xfId="701" xr:uid="{00000000-0005-0000-0000-0000F5020000}"/>
    <cellStyle name="Vírgula 4 7" xfId="340" xr:uid="{00000000-0005-0000-0000-0000F6020000}"/>
    <cellStyle name="Vírgula 4 7 2" xfId="782" xr:uid="{00000000-0005-0000-0000-0000F7020000}"/>
    <cellStyle name="Vírgula 4 8" xfId="421" xr:uid="{00000000-0005-0000-0000-0000F8020000}"/>
    <cellStyle name="Vírgula 4 8 2" xfId="862" xr:uid="{00000000-0005-0000-0000-0000F9020000}"/>
    <cellStyle name="Vírgula 4 9" xfId="502" xr:uid="{00000000-0005-0000-0000-0000FA020000}"/>
    <cellStyle name="Vírgula 5" xfId="12" xr:uid="{00000000-0005-0000-0000-0000FB020000}"/>
    <cellStyle name="Vírgula 5 10" xfId="944" xr:uid="{00000000-0005-0000-0000-0000FC020000}"/>
    <cellStyle name="Vírgula 5 11" xfId="1048" xr:uid="{6B00B6EA-E6A5-4179-AC37-2E2678358A35}"/>
    <cellStyle name="Vírgula 5 2" xfId="28" xr:uid="{00000000-0005-0000-0000-0000FD020000}"/>
    <cellStyle name="Vírgula 5 2 10" xfId="1062" xr:uid="{F87EEE8A-8ED6-4AAD-A57E-95AA6BA6F894}"/>
    <cellStyle name="Vírgula 5 2 2" xfId="61" xr:uid="{00000000-0005-0000-0000-0000FE020000}"/>
    <cellStyle name="Vírgula 5 2 2 2" xfId="168" xr:uid="{00000000-0005-0000-0000-0000FF020000}"/>
    <cellStyle name="Vírgula 5 2 2 2 2" xfId="620" xr:uid="{00000000-0005-0000-0000-000000030000}"/>
    <cellStyle name="Vírgula 5 2 2 3" xfId="234" xr:uid="{00000000-0005-0000-0000-000001030000}"/>
    <cellStyle name="Vírgula 5 2 2 3 2" xfId="686" xr:uid="{00000000-0005-0000-0000-000002030000}"/>
    <cellStyle name="Vírgula 5 2 2 4" xfId="310" xr:uid="{00000000-0005-0000-0000-000003030000}"/>
    <cellStyle name="Vírgula 5 2 2 4 2" xfId="753" xr:uid="{00000000-0005-0000-0000-000004030000}"/>
    <cellStyle name="Vírgula 5 2 2 5" xfId="392" xr:uid="{00000000-0005-0000-0000-000005030000}"/>
    <cellStyle name="Vírgula 5 2 2 5 2" xfId="834" xr:uid="{00000000-0005-0000-0000-000006030000}"/>
    <cellStyle name="Vírgula 5 2 2 6" xfId="473" xr:uid="{00000000-0005-0000-0000-000007030000}"/>
    <cellStyle name="Vírgula 5 2 2 6 2" xfId="914" xr:uid="{00000000-0005-0000-0000-000008030000}"/>
    <cellStyle name="Vírgula 5 2 2 7" xfId="554" xr:uid="{00000000-0005-0000-0000-000009030000}"/>
    <cellStyle name="Vírgula 5 2 2 8" xfId="994" xr:uid="{00000000-0005-0000-0000-00000A030000}"/>
    <cellStyle name="Vírgula 5 2 2 9" xfId="1090" xr:uid="{9236505E-88C8-4F79-980D-EB78960C3050}"/>
    <cellStyle name="Vírgula 5 2 3" xfId="135" xr:uid="{00000000-0005-0000-0000-00000B030000}"/>
    <cellStyle name="Vírgula 5 2 3 2" xfId="587" xr:uid="{00000000-0005-0000-0000-00000C030000}"/>
    <cellStyle name="Vírgula 5 2 4" xfId="201" xr:uid="{00000000-0005-0000-0000-00000D030000}"/>
    <cellStyle name="Vírgula 5 2 4 2" xfId="653" xr:uid="{00000000-0005-0000-0000-00000E030000}"/>
    <cellStyle name="Vírgula 5 2 5" xfId="277" xr:uid="{00000000-0005-0000-0000-00000F030000}"/>
    <cellStyle name="Vírgula 5 2 5 2" xfId="720" xr:uid="{00000000-0005-0000-0000-000010030000}"/>
    <cellStyle name="Vírgula 5 2 6" xfId="359" xr:uid="{00000000-0005-0000-0000-000011030000}"/>
    <cellStyle name="Vírgula 5 2 6 2" xfId="801" xr:uid="{00000000-0005-0000-0000-000012030000}"/>
    <cellStyle name="Vírgula 5 2 7" xfId="440" xr:uid="{00000000-0005-0000-0000-000013030000}"/>
    <cellStyle name="Vírgula 5 2 7 2" xfId="881" xr:uid="{00000000-0005-0000-0000-000014030000}"/>
    <cellStyle name="Vírgula 5 2 8" xfId="521" xr:uid="{00000000-0005-0000-0000-000015030000}"/>
    <cellStyle name="Vírgula 5 2 9" xfId="961" xr:uid="{00000000-0005-0000-0000-000016030000}"/>
    <cellStyle name="Vírgula 5 3" xfId="44" xr:uid="{00000000-0005-0000-0000-000017030000}"/>
    <cellStyle name="Vírgula 5 3 2" xfId="151" xr:uid="{00000000-0005-0000-0000-000018030000}"/>
    <cellStyle name="Vírgula 5 3 2 2" xfId="603" xr:uid="{00000000-0005-0000-0000-000019030000}"/>
    <cellStyle name="Vírgula 5 3 3" xfId="217" xr:uid="{00000000-0005-0000-0000-00001A030000}"/>
    <cellStyle name="Vírgula 5 3 3 2" xfId="669" xr:uid="{00000000-0005-0000-0000-00001B030000}"/>
    <cellStyle name="Vírgula 5 3 4" xfId="293" xr:uid="{00000000-0005-0000-0000-00001C030000}"/>
    <cellStyle name="Vírgula 5 3 4 2" xfId="736" xr:uid="{00000000-0005-0000-0000-00001D030000}"/>
    <cellStyle name="Vírgula 5 3 5" xfId="375" xr:uid="{00000000-0005-0000-0000-00001E030000}"/>
    <cellStyle name="Vírgula 5 3 5 2" xfId="817" xr:uid="{00000000-0005-0000-0000-00001F030000}"/>
    <cellStyle name="Vírgula 5 3 6" xfId="456" xr:uid="{00000000-0005-0000-0000-000020030000}"/>
    <cellStyle name="Vírgula 5 3 6 2" xfId="897" xr:uid="{00000000-0005-0000-0000-000021030000}"/>
    <cellStyle name="Vírgula 5 3 7" xfId="537" xr:uid="{00000000-0005-0000-0000-000022030000}"/>
    <cellStyle name="Vírgula 5 3 8" xfId="977" xr:uid="{00000000-0005-0000-0000-000023030000}"/>
    <cellStyle name="Vírgula 5 3 9" xfId="1076" xr:uid="{94145277-0B7A-4B4B-BFDF-BA75E214DD8A}"/>
    <cellStyle name="Vírgula 5 4" xfId="118" xr:uid="{00000000-0005-0000-0000-000024030000}"/>
    <cellStyle name="Vírgula 5 4 2" xfId="326" xr:uid="{00000000-0005-0000-0000-000025030000}"/>
    <cellStyle name="Vírgula 5 4 2 2" xfId="769" xr:uid="{00000000-0005-0000-0000-000026030000}"/>
    <cellStyle name="Vírgula 5 4 3" xfId="408" xr:uid="{00000000-0005-0000-0000-000027030000}"/>
    <cellStyle name="Vírgula 5 4 3 2" xfId="850" xr:uid="{00000000-0005-0000-0000-000028030000}"/>
    <cellStyle name="Vírgula 5 4 4" xfId="489" xr:uid="{00000000-0005-0000-0000-000029030000}"/>
    <cellStyle name="Vírgula 5 4 4 2" xfId="930" xr:uid="{00000000-0005-0000-0000-00002A030000}"/>
    <cellStyle name="Vírgula 5 4 5" xfId="570" xr:uid="{00000000-0005-0000-0000-00002B030000}"/>
    <cellStyle name="Vírgula 5 4 6" xfId="1010" xr:uid="{00000000-0005-0000-0000-00002C030000}"/>
    <cellStyle name="Vírgula 5 5" xfId="184" xr:uid="{00000000-0005-0000-0000-00002D030000}"/>
    <cellStyle name="Vírgula 5 5 2" xfId="636" xr:uid="{00000000-0005-0000-0000-00002E030000}"/>
    <cellStyle name="Vírgula 5 6" xfId="260" xr:uid="{00000000-0005-0000-0000-00002F030000}"/>
    <cellStyle name="Vírgula 5 6 2" xfId="703" xr:uid="{00000000-0005-0000-0000-000030030000}"/>
    <cellStyle name="Vírgula 5 7" xfId="342" xr:uid="{00000000-0005-0000-0000-000031030000}"/>
    <cellStyle name="Vírgula 5 7 2" xfId="784" xr:uid="{00000000-0005-0000-0000-000032030000}"/>
    <cellStyle name="Vírgula 5 8" xfId="423" xr:uid="{00000000-0005-0000-0000-000033030000}"/>
    <cellStyle name="Vírgula 5 8 2" xfId="864" xr:uid="{00000000-0005-0000-0000-000034030000}"/>
    <cellStyle name="Vírgula 5 9" xfId="504" xr:uid="{00000000-0005-0000-0000-000035030000}"/>
    <cellStyle name="Vírgula 6" xfId="14" xr:uid="{00000000-0005-0000-0000-000036030000}"/>
    <cellStyle name="Vírgula 6 10" xfId="946" xr:uid="{00000000-0005-0000-0000-000037030000}"/>
    <cellStyle name="Vírgula 6 11" xfId="1051" xr:uid="{60FA2600-EB14-4B8A-B66C-2ED612BFE658}"/>
    <cellStyle name="Vírgula 6 2" xfId="30" xr:uid="{00000000-0005-0000-0000-000038030000}"/>
    <cellStyle name="Vírgula 6 2 10" xfId="1065" xr:uid="{BE7050D8-0B06-47C2-836C-6F8F2C09193D}"/>
    <cellStyle name="Vírgula 6 2 2" xfId="63" xr:uid="{00000000-0005-0000-0000-000039030000}"/>
    <cellStyle name="Vírgula 6 2 2 2" xfId="170" xr:uid="{00000000-0005-0000-0000-00003A030000}"/>
    <cellStyle name="Vírgula 6 2 2 2 2" xfId="622" xr:uid="{00000000-0005-0000-0000-00003B030000}"/>
    <cellStyle name="Vírgula 6 2 2 3" xfId="236" xr:uid="{00000000-0005-0000-0000-00003C030000}"/>
    <cellStyle name="Vírgula 6 2 2 3 2" xfId="688" xr:uid="{00000000-0005-0000-0000-00003D030000}"/>
    <cellStyle name="Vírgula 6 2 2 4" xfId="312" xr:uid="{00000000-0005-0000-0000-00003E030000}"/>
    <cellStyle name="Vírgula 6 2 2 4 2" xfId="755" xr:uid="{00000000-0005-0000-0000-00003F030000}"/>
    <cellStyle name="Vírgula 6 2 2 5" xfId="394" xr:uid="{00000000-0005-0000-0000-000040030000}"/>
    <cellStyle name="Vírgula 6 2 2 5 2" xfId="836" xr:uid="{00000000-0005-0000-0000-000041030000}"/>
    <cellStyle name="Vírgula 6 2 2 6" xfId="475" xr:uid="{00000000-0005-0000-0000-000042030000}"/>
    <cellStyle name="Vírgula 6 2 2 6 2" xfId="916" xr:uid="{00000000-0005-0000-0000-000043030000}"/>
    <cellStyle name="Vírgula 6 2 2 7" xfId="556" xr:uid="{00000000-0005-0000-0000-000044030000}"/>
    <cellStyle name="Vírgula 6 2 2 8" xfId="996" xr:uid="{00000000-0005-0000-0000-000045030000}"/>
    <cellStyle name="Vírgula 6 2 2 9" xfId="1093" xr:uid="{B552143C-67D9-4CF9-ABB6-CB1C8834509C}"/>
    <cellStyle name="Vírgula 6 2 3" xfId="137" xr:uid="{00000000-0005-0000-0000-000046030000}"/>
    <cellStyle name="Vírgula 6 2 3 2" xfId="589" xr:uid="{00000000-0005-0000-0000-000047030000}"/>
    <cellStyle name="Vírgula 6 2 4" xfId="203" xr:uid="{00000000-0005-0000-0000-000048030000}"/>
    <cellStyle name="Vírgula 6 2 4 2" xfId="655" xr:uid="{00000000-0005-0000-0000-000049030000}"/>
    <cellStyle name="Vírgula 6 2 5" xfId="279" xr:uid="{00000000-0005-0000-0000-00004A030000}"/>
    <cellStyle name="Vírgula 6 2 5 2" xfId="722" xr:uid="{00000000-0005-0000-0000-00004B030000}"/>
    <cellStyle name="Vírgula 6 2 6" xfId="361" xr:uid="{00000000-0005-0000-0000-00004C030000}"/>
    <cellStyle name="Vírgula 6 2 6 2" xfId="803" xr:uid="{00000000-0005-0000-0000-00004D030000}"/>
    <cellStyle name="Vírgula 6 2 7" xfId="442" xr:uid="{00000000-0005-0000-0000-00004E030000}"/>
    <cellStyle name="Vírgula 6 2 7 2" xfId="883" xr:uid="{00000000-0005-0000-0000-00004F030000}"/>
    <cellStyle name="Vírgula 6 2 8" xfId="523" xr:uid="{00000000-0005-0000-0000-000050030000}"/>
    <cellStyle name="Vírgula 6 2 9" xfId="963" xr:uid="{00000000-0005-0000-0000-000051030000}"/>
    <cellStyle name="Vírgula 6 3" xfId="46" xr:uid="{00000000-0005-0000-0000-000052030000}"/>
    <cellStyle name="Vírgula 6 3 2" xfId="153" xr:uid="{00000000-0005-0000-0000-000053030000}"/>
    <cellStyle name="Vírgula 6 3 2 2" xfId="605" xr:uid="{00000000-0005-0000-0000-000054030000}"/>
    <cellStyle name="Vírgula 6 3 3" xfId="219" xr:uid="{00000000-0005-0000-0000-000055030000}"/>
    <cellStyle name="Vírgula 6 3 3 2" xfId="671" xr:uid="{00000000-0005-0000-0000-000056030000}"/>
    <cellStyle name="Vírgula 6 3 4" xfId="295" xr:uid="{00000000-0005-0000-0000-000057030000}"/>
    <cellStyle name="Vírgula 6 3 4 2" xfId="738" xr:uid="{00000000-0005-0000-0000-000058030000}"/>
    <cellStyle name="Vírgula 6 3 5" xfId="377" xr:uid="{00000000-0005-0000-0000-000059030000}"/>
    <cellStyle name="Vírgula 6 3 5 2" xfId="819" xr:uid="{00000000-0005-0000-0000-00005A030000}"/>
    <cellStyle name="Vírgula 6 3 6" xfId="458" xr:uid="{00000000-0005-0000-0000-00005B030000}"/>
    <cellStyle name="Vírgula 6 3 6 2" xfId="899" xr:uid="{00000000-0005-0000-0000-00005C030000}"/>
    <cellStyle name="Vírgula 6 3 7" xfId="539" xr:uid="{00000000-0005-0000-0000-00005D030000}"/>
    <cellStyle name="Vírgula 6 3 8" xfId="979" xr:uid="{00000000-0005-0000-0000-00005E030000}"/>
    <cellStyle name="Vírgula 6 3 9" xfId="1079" xr:uid="{31888DB5-A5BF-4B7C-B491-8E2DD21427C6}"/>
    <cellStyle name="Vírgula 6 4" xfId="120" xr:uid="{00000000-0005-0000-0000-00005F030000}"/>
    <cellStyle name="Vírgula 6 4 2" xfId="328" xr:uid="{00000000-0005-0000-0000-000060030000}"/>
    <cellStyle name="Vírgula 6 4 2 2" xfId="771" xr:uid="{00000000-0005-0000-0000-000061030000}"/>
    <cellStyle name="Vírgula 6 4 3" xfId="410" xr:uid="{00000000-0005-0000-0000-000062030000}"/>
    <cellStyle name="Vírgula 6 4 3 2" xfId="852" xr:uid="{00000000-0005-0000-0000-000063030000}"/>
    <cellStyle name="Vírgula 6 4 4" xfId="491" xr:uid="{00000000-0005-0000-0000-000064030000}"/>
    <cellStyle name="Vírgula 6 4 4 2" xfId="932" xr:uid="{00000000-0005-0000-0000-000065030000}"/>
    <cellStyle name="Vírgula 6 4 5" xfId="572" xr:uid="{00000000-0005-0000-0000-000066030000}"/>
    <cellStyle name="Vírgula 6 4 6" xfId="1012" xr:uid="{00000000-0005-0000-0000-000067030000}"/>
    <cellStyle name="Vírgula 6 5" xfId="186" xr:uid="{00000000-0005-0000-0000-000068030000}"/>
    <cellStyle name="Vírgula 6 5 2" xfId="638" xr:uid="{00000000-0005-0000-0000-000069030000}"/>
    <cellStyle name="Vírgula 6 6" xfId="262" xr:uid="{00000000-0005-0000-0000-00006A030000}"/>
    <cellStyle name="Vírgula 6 6 2" xfId="705" xr:uid="{00000000-0005-0000-0000-00006B030000}"/>
    <cellStyle name="Vírgula 6 7" xfId="344" xr:uid="{00000000-0005-0000-0000-00006C030000}"/>
    <cellStyle name="Vírgula 6 7 2" xfId="786" xr:uid="{00000000-0005-0000-0000-00006D030000}"/>
    <cellStyle name="Vírgula 6 8" xfId="425" xr:uid="{00000000-0005-0000-0000-00006E030000}"/>
    <cellStyle name="Vírgula 6 8 2" xfId="866" xr:uid="{00000000-0005-0000-0000-00006F030000}"/>
    <cellStyle name="Vírgula 6 9" xfId="506" xr:uid="{00000000-0005-0000-0000-000070030000}"/>
    <cellStyle name="Vírgula 7" xfId="16" xr:uid="{00000000-0005-0000-0000-000071030000}"/>
    <cellStyle name="Vírgula 7 10" xfId="948" xr:uid="{00000000-0005-0000-0000-000072030000}"/>
    <cellStyle name="Vírgula 7 11" xfId="1052" xr:uid="{5175CECB-4689-4D7A-AACE-E1656F321A17}"/>
    <cellStyle name="Vírgula 7 2" xfId="32" xr:uid="{00000000-0005-0000-0000-000073030000}"/>
    <cellStyle name="Vírgula 7 2 10" xfId="1080" xr:uid="{98C7B2BD-21B4-4870-BBF0-AB044AD9E199}"/>
    <cellStyle name="Vírgula 7 2 2" xfId="65" xr:uid="{00000000-0005-0000-0000-000074030000}"/>
    <cellStyle name="Vírgula 7 2 2 2" xfId="172" xr:uid="{00000000-0005-0000-0000-000075030000}"/>
    <cellStyle name="Vírgula 7 2 2 2 2" xfId="624" xr:uid="{00000000-0005-0000-0000-000076030000}"/>
    <cellStyle name="Vírgula 7 2 2 3" xfId="238" xr:uid="{00000000-0005-0000-0000-000077030000}"/>
    <cellStyle name="Vírgula 7 2 2 3 2" xfId="690" xr:uid="{00000000-0005-0000-0000-000078030000}"/>
    <cellStyle name="Vírgula 7 2 2 4" xfId="314" xr:uid="{00000000-0005-0000-0000-000079030000}"/>
    <cellStyle name="Vírgula 7 2 2 4 2" xfId="757" xr:uid="{00000000-0005-0000-0000-00007A030000}"/>
    <cellStyle name="Vírgula 7 2 2 5" xfId="396" xr:uid="{00000000-0005-0000-0000-00007B030000}"/>
    <cellStyle name="Vírgula 7 2 2 5 2" xfId="838" xr:uid="{00000000-0005-0000-0000-00007C030000}"/>
    <cellStyle name="Vírgula 7 2 2 6" xfId="477" xr:uid="{00000000-0005-0000-0000-00007D030000}"/>
    <cellStyle name="Vírgula 7 2 2 6 2" xfId="918" xr:uid="{00000000-0005-0000-0000-00007E030000}"/>
    <cellStyle name="Vírgula 7 2 2 7" xfId="558" xr:uid="{00000000-0005-0000-0000-00007F030000}"/>
    <cellStyle name="Vírgula 7 2 2 8" xfId="998" xr:uid="{00000000-0005-0000-0000-000080030000}"/>
    <cellStyle name="Vírgula 7 2 3" xfId="139" xr:uid="{00000000-0005-0000-0000-000081030000}"/>
    <cellStyle name="Vírgula 7 2 3 2" xfId="591" xr:uid="{00000000-0005-0000-0000-000082030000}"/>
    <cellStyle name="Vírgula 7 2 4" xfId="205" xr:uid="{00000000-0005-0000-0000-000083030000}"/>
    <cellStyle name="Vírgula 7 2 4 2" xfId="657" xr:uid="{00000000-0005-0000-0000-000084030000}"/>
    <cellStyle name="Vírgula 7 2 5" xfId="281" xr:uid="{00000000-0005-0000-0000-000085030000}"/>
    <cellStyle name="Vírgula 7 2 5 2" xfId="724" xr:uid="{00000000-0005-0000-0000-000086030000}"/>
    <cellStyle name="Vírgula 7 2 6" xfId="363" xr:uid="{00000000-0005-0000-0000-000087030000}"/>
    <cellStyle name="Vírgula 7 2 6 2" xfId="805" xr:uid="{00000000-0005-0000-0000-000088030000}"/>
    <cellStyle name="Vírgula 7 2 7" xfId="444" xr:uid="{00000000-0005-0000-0000-000089030000}"/>
    <cellStyle name="Vírgula 7 2 7 2" xfId="885" xr:uid="{00000000-0005-0000-0000-00008A030000}"/>
    <cellStyle name="Vírgula 7 2 8" xfId="525" xr:uid="{00000000-0005-0000-0000-00008B030000}"/>
    <cellStyle name="Vírgula 7 2 9" xfId="965" xr:uid="{00000000-0005-0000-0000-00008C030000}"/>
    <cellStyle name="Vírgula 7 3" xfId="48" xr:uid="{00000000-0005-0000-0000-00008D030000}"/>
    <cellStyle name="Vírgula 7 3 2" xfId="155" xr:uid="{00000000-0005-0000-0000-00008E030000}"/>
    <cellStyle name="Vírgula 7 3 2 2" xfId="607" xr:uid="{00000000-0005-0000-0000-00008F030000}"/>
    <cellStyle name="Vírgula 7 3 3" xfId="221" xr:uid="{00000000-0005-0000-0000-000090030000}"/>
    <cellStyle name="Vírgula 7 3 3 2" xfId="673" xr:uid="{00000000-0005-0000-0000-000091030000}"/>
    <cellStyle name="Vírgula 7 3 4" xfId="297" xr:uid="{00000000-0005-0000-0000-000092030000}"/>
    <cellStyle name="Vírgula 7 3 4 2" xfId="740" xr:uid="{00000000-0005-0000-0000-000093030000}"/>
    <cellStyle name="Vírgula 7 3 5" xfId="379" xr:uid="{00000000-0005-0000-0000-000094030000}"/>
    <cellStyle name="Vírgula 7 3 5 2" xfId="821" xr:uid="{00000000-0005-0000-0000-000095030000}"/>
    <cellStyle name="Vírgula 7 3 6" xfId="460" xr:uid="{00000000-0005-0000-0000-000096030000}"/>
    <cellStyle name="Vírgula 7 3 6 2" xfId="901" xr:uid="{00000000-0005-0000-0000-000097030000}"/>
    <cellStyle name="Vírgula 7 3 7" xfId="541" xr:uid="{00000000-0005-0000-0000-000098030000}"/>
    <cellStyle name="Vírgula 7 3 8" xfId="981" xr:uid="{00000000-0005-0000-0000-000099030000}"/>
    <cellStyle name="Vírgula 7 4" xfId="122" xr:uid="{00000000-0005-0000-0000-00009A030000}"/>
    <cellStyle name="Vírgula 7 4 2" xfId="330" xr:uid="{00000000-0005-0000-0000-00009B030000}"/>
    <cellStyle name="Vírgula 7 4 2 2" xfId="773" xr:uid="{00000000-0005-0000-0000-00009C030000}"/>
    <cellStyle name="Vírgula 7 4 3" xfId="412" xr:uid="{00000000-0005-0000-0000-00009D030000}"/>
    <cellStyle name="Vírgula 7 4 3 2" xfId="854" xr:uid="{00000000-0005-0000-0000-00009E030000}"/>
    <cellStyle name="Vírgula 7 4 4" xfId="493" xr:uid="{00000000-0005-0000-0000-00009F030000}"/>
    <cellStyle name="Vírgula 7 4 4 2" xfId="934" xr:uid="{00000000-0005-0000-0000-0000A0030000}"/>
    <cellStyle name="Vírgula 7 4 5" xfId="574" xr:uid="{00000000-0005-0000-0000-0000A1030000}"/>
    <cellStyle name="Vírgula 7 4 6" xfId="1014" xr:uid="{00000000-0005-0000-0000-0000A2030000}"/>
    <cellStyle name="Vírgula 7 5" xfId="188" xr:uid="{00000000-0005-0000-0000-0000A3030000}"/>
    <cellStyle name="Vírgula 7 5 2" xfId="640" xr:uid="{00000000-0005-0000-0000-0000A4030000}"/>
    <cellStyle name="Vírgula 7 6" xfId="264" xr:uid="{00000000-0005-0000-0000-0000A5030000}"/>
    <cellStyle name="Vírgula 7 6 2" xfId="707" xr:uid="{00000000-0005-0000-0000-0000A6030000}"/>
    <cellStyle name="Vírgula 7 7" xfId="346" xr:uid="{00000000-0005-0000-0000-0000A7030000}"/>
    <cellStyle name="Vírgula 7 7 2" xfId="788" xr:uid="{00000000-0005-0000-0000-0000A8030000}"/>
    <cellStyle name="Vírgula 7 8" xfId="427" xr:uid="{00000000-0005-0000-0000-0000A9030000}"/>
    <cellStyle name="Vírgula 7 8 2" xfId="868" xr:uid="{00000000-0005-0000-0000-0000AA030000}"/>
    <cellStyle name="Vírgula 7 9" xfId="508" xr:uid="{00000000-0005-0000-0000-0000AB030000}"/>
    <cellStyle name="Vírgula 8" xfId="17" xr:uid="{00000000-0005-0000-0000-0000AC030000}"/>
    <cellStyle name="Vírgula 8 10" xfId="950" xr:uid="{00000000-0005-0000-0000-0000AD030000}"/>
    <cellStyle name="Vírgula 8 11" xfId="1066" xr:uid="{D5E82E92-D62E-409F-AB57-F2905211F31D}"/>
    <cellStyle name="Vírgula 8 2" xfId="34" xr:uid="{00000000-0005-0000-0000-0000AE030000}"/>
    <cellStyle name="Vírgula 8 2 2" xfId="67" xr:uid="{00000000-0005-0000-0000-0000AF030000}"/>
    <cellStyle name="Vírgula 8 2 2 2" xfId="174" xr:uid="{00000000-0005-0000-0000-0000B0030000}"/>
    <cellStyle name="Vírgula 8 2 2 2 2" xfId="626" xr:uid="{00000000-0005-0000-0000-0000B1030000}"/>
    <cellStyle name="Vírgula 8 2 2 3" xfId="240" xr:uid="{00000000-0005-0000-0000-0000B2030000}"/>
    <cellStyle name="Vírgula 8 2 2 3 2" xfId="692" xr:uid="{00000000-0005-0000-0000-0000B3030000}"/>
    <cellStyle name="Vírgula 8 2 2 4" xfId="316" xr:uid="{00000000-0005-0000-0000-0000B4030000}"/>
    <cellStyle name="Vírgula 8 2 2 4 2" xfId="759" xr:uid="{00000000-0005-0000-0000-0000B5030000}"/>
    <cellStyle name="Vírgula 8 2 2 5" xfId="398" xr:uid="{00000000-0005-0000-0000-0000B6030000}"/>
    <cellStyle name="Vírgula 8 2 2 5 2" xfId="840" xr:uid="{00000000-0005-0000-0000-0000B7030000}"/>
    <cellStyle name="Vírgula 8 2 2 6" xfId="479" xr:uid="{00000000-0005-0000-0000-0000B8030000}"/>
    <cellStyle name="Vírgula 8 2 2 6 2" xfId="920" xr:uid="{00000000-0005-0000-0000-0000B9030000}"/>
    <cellStyle name="Vírgula 8 2 2 7" xfId="560" xr:uid="{00000000-0005-0000-0000-0000BA030000}"/>
    <cellStyle name="Vírgula 8 2 2 8" xfId="1000" xr:uid="{00000000-0005-0000-0000-0000BB030000}"/>
    <cellStyle name="Vírgula 8 2 3" xfId="141" xr:uid="{00000000-0005-0000-0000-0000BC030000}"/>
    <cellStyle name="Vírgula 8 2 3 2" xfId="593" xr:uid="{00000000-0005-0000-0000-0000BD030000}"/>
    <cellStyle name="Vírgula 8 2 4" xfId="207" xr:uid="{00000000-0005-0000-0000-0000BE030000}"/>
    <cellStyle name="Vírgula 8 2 4 2" xfId="659" xr:uid="{00000000-0005-0000-0000-0000BF030000}"/>
    <cellStyle name="Vírgula 8 2 5" xfId="283" xr:uid="{00000000-0005-0000-0000-0000C0030000}"/>
    <cellStyle name="Vírgula 8 2 5 2" xfId="726" xr:uid="{00000000-0005-0000-0000-0000C1030000}"/>
    <cellStyle name="Vírgula 8 2 6" xfId="365" xr:uid="{00000000-0005-0000-0000-0000C2030000}"/>
    <cellStyle name="Vírgula 8 2 6 2" xfId="807" xr:uid="{00000000-0005-0000-0000-0000C3030000}"/>
    <cellStyle name="Vírgula 8 2 7" xfId="446" xr:uid="{00000000-0005-0000-0000-0000C4030000}"/>
    <cellStyle name="Vírgula 8 2 7 2" xfId="887" xr:uid="{00000000-0005-0000-0000-0000C5030000}"/>
    <cellStyle name="Vírgula 8 2 8" xfId="527" xr:uid="{00000000-0005-0000-0000-0000C6030000}"/>
    <cellStyle name="Vírgula 8 2 9" xfId="967" xr:uid="{00000000-0005-0000-0000-0000C7030000}"/>
    <cellStyle name="Vírgula 8 3" xfId="50" xr:uid="{00000000-0005-0000-0000-0000C8030000}"/>
    <cellStyle name="Vírgula 8 3 2" xfId="157" xr:uid="{00000000-0005-0000-0000-0000C9030000}"/>
    <cellStyle name="Vírgula 8 3 2 2" xfId="609" xr:uid="{00000000-0005-0000-0000-0000CA030000}"/>
    <cellStyle name="Vírgula 8 3 3" xfId="223" xr:uid="{00000000-0005-0000-0000-0000CB030000}"/>
    <cellStyle name="Vírgula 8 3 3 2" xfId="675" xr:uid="{00000000-0005-0000-0000-0000CC030000}"/>
    <cellStyle name="Vírgula 8 3 4" xfId="299" xr:uid="{00000000-0005-0000-0000-0000CD030000}"/>
    <cellStyle name="Vírgula 8 3 4 2" xfId="742" xr:uid="{00000000-0005-0000-0000-0000CE030000}"/>
    <cellStyle name="Vírgula 8 3 5" xfId="381" xr:uid="{00000000-0005-0000-0000-0000CF030000}"/>
    <cellStyle name="Vírgula 8 3 5 2" xfId="823" xr:uid="{00000000-0005-0000-0000-0000D0030000}"/>
    <cellStyle name="Vírgula 8 3 6" xfId="462" xr:uid="{00000000-0005-0000-0000-0000D1030000}"/>
    <cellStyle name="Vírgula 8 3 6 2" xfId="903" xr:uid="{00000000-0005-0000-0000-0000D2030000}"/>
    <cellStyle name="Vírgula 8 3 7" xfId="543" xr:uid="{00000000-0005-0000-0000-0000D3030000}"/>
    <cellStyle name="Vírgula 8 3 8" xfId="983" xr:uid="{00000000-0005-0000-0000-0000D4030000}"/>
    <cellStyle name="Vírgula 8 4" xfId="124" xr:uid="{00000000-0005-0000-0000-0000D5030000}"/>
    <cellStyle name="Vírgula 8 4 2" xfId="576" xr:uid="{00000000-0005-0000-0000-0000D6030000}"/>
    <cellStyle name="Vírgula 8 5" xfId="190" xr:uid="{00000000-0005-0000-0000-0000D7030000}"/>
    <cellStyle name="Vírgula 8 5 2" xfId="642" xr:uid="{00000000-0005-0000-0000-0000D8030000}"/>
    <cellStyle name="Vírgula 8 6" xfId="266" xr:uid="{00000000-0005-0000-0000-0000D9030000}"/>
    <cellStyle name="Vírgula 8 6 2" xfId="709" xr:uid="{00000000-0005-0000-0000-0000DA030000}"/>
    <cellStyle name="Vírgula 8 7" xfId="348" xr:uid="{00000000-0005-0000-0000-0000DB030000}"/>
    <cellStyle name="Vírgula 8 7 2" xfId="790" xr:uid="{00000000-0005-0000-0000-0000DC030000}"/>
    <cellStyle name="Vírgula 8 8" xfId="429" xr:uid="{00000000-0005-0000-0000-0000DD030000}"/>
    <cellStyle name="Vírgula 8 8 2" xfId="870" xr:uid="{00000000-0005-0000-0000-0000DE030000}"/>
    <cellStyle name="Vírgula 8 9" xfId="510" xr:uid="{00000000-0005-0000-0000-0000DF030000}"/>
    <cellStyle name="Vírgula 9" xfId="20" xr:uid="{00000000-0005-0000-0000-0000E0030000}"/>
    <cellStyle name="Vírgula 9 2" xfId="53" xr:uid="{00000000-0005-0000-0000-0000E1030000}"/>
    <cellStyle name="Vírgula 9 2 2" xfId="160" xr:uid="{00000000-0005-0000-0000-0000E2030000}"/>
    <cellStyle name="Vírgula 9 2 2 2" xfId="612" xr:uid="{00000000-0005-0000-0000-0000E3030000}"/>
    <cellStyle name="Vírgula 9 2 3" xfId="226" xr:uid="{00000000-0005-0000-0000-0000E4030000}"/>
    <cellStyle name="Vírgula 9 2 3 2" xfId="678" xr:uid="{00000000-0005-0000-0000-0000E5030000}"/>
    <cellStyle name="Vírgula 9 2 4" xfId="302" xr:uid="{00000000-0005-0000-0000-0000E6030000}"/>
    <cellStyle name="Vírgula 9 2 4 2" xfId="745" xr:uid="{00000000-0005-0000-0000-0000E7030000}"/>
    <cellStyle name="Vírgula 9 2 5" xfId="384" xr:uid="{00000000-0005-0000-0000-0000E8030000}"/>
    <cellStyle name="Vírgula 9 2 5 2" xfId="826" xr:uid="{00000000-0005-0000-0000-0000E9030000}"/>
    <cellStyle name="Vírgula 9 2 6" xfId="465" xr:uid="{00000000-0005-0000-0000-0000EA030000}"/>
    <cellStyle name="Vírgula 9 2 6 2" xfId="906" xr:uid="{00000000-0005-0000-0000-0000EB030000}"/>
    <cellStyle name="Vírgula 9 2 7" xfId="546" xr:uid="{00000000-0005-0000-0000-0000EC030000}"/>
    <cellStyle name="Vírgula 9 2 8" xfId="986" xr:uid="{00000000-0005-0000-0000-0000ED030000}"/>
    <cellStyle name="Vírgula 9 3" xfId="127" xr:uid="{00000000-0005-0000-0000-0000EE030000}"/>
    <cellStyle name="Vírgula 9 3 2" xfId="579" xr:uid="{00000000-0005-0000-0000-0000EF030000}"/>
    <cellStyle name="Vírgula 9 4" xfId="193" xr:uid="{00000000-0005-0000-0000-0000F0030000}"/>
    <cellStyle name="Vírgula 9 4 2" xfId="645" xr:uid="{00000000-0005-0000-0000-0000F1030000}"/>
    <cellStyle name="Vírgula 9 5" xfId="269" xr:uid="{00000000-0005-0000-0000-0000F2030000}"/>
    <cellStyle name="Vírgula 9 5 2" xfId="712" xr:uid="{00000000-0005-0000-0000-0000F3030000}"/>
    <cellStyle name="Vírgula 9 6" xfId="351" xr:uid="{00000000-0005-0000-0000-0000F4030000}"/>
    <cellStyle name="Vírgula 9 6 2" xfId="793" xr:uid="{00000000-0005-0000-0000-0000F5030000}"/>
    <cellStyle name="Vírgula 9 7" xfId="432" xr:uid="{00000000-0005-0000-0000-0000F6030000}"/>
    <cellStyle name="Vírgula 9 7 2" xfId="873" xr:uid="{00000000-0005-0000-0000-0000F7030000}"/>
    <cellStyle name="Vírgula 9 8" xfId="513" xr:uid="{00000000-0005-0000-0000-0000F8030000}"/>
    <cellStyle name="Vírgula 9 9" xfId="953" xr:uid="{00000000-0005-0000-0000-0000F9030000}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't1.PerdasReg_2023'!$A$2:$A$13</c:f>
              <c:strCache>
                <c:ptCount val="12"/>
                <c:pt idx="0">
                  <c:v>Rede A2</c:v>
                </c:pt>
                <c:pt idx="1">
                  <c:v>Rede A3</c:v>
                </c:pt>
                <c:pt idx="2">
                  <c:v>Rede MT</c:v>
                </c:pt>
                <c:pt idx="3">
                  <c:v>Rede B</c:v>
                </c:pt>
                <c:pt idx="4">
                  <c:v>Medidores </c:v>
                </c:pt>
                <c:pt idx="5">
                  <c:v>Trafos A2-A3</c:v>
                </c:pt>
                <c:pt idx="6">
                  <c:v>Trafos A2-MT</c:v>
                </c:pt>
                <c:pt idx="7">
                  <c:v>Trafos A3-A2</c:v>
                </c:pt>
                <c:pt idx="8">
                  <c:v>Trafos A3-MT</c:v>
                </c:pt>
                <c:pt idx="9">
                  <c:v>Trafos MT-A3</c:v>
                </c:pt>
                <c:pt idx="10">
                  <c:v>Trafos MT-A2</c:v>
                </c:pt>
                <c:pt idx="11">
                  <c:v>Trafos MT-B</c:v>
                </c:pt>
              </c:strCache>
            </c:strRef>
          </c:cat>
          <c:val>
            <c:numRef>
              <c:f>'t1.PerdasReg_2023'!$E$2:$E$13</c:f>
              <c:numCache>
                <c:formatCode>0.000%</c:formatCode>
                <c:ptCount val="12"/>
                <c:pt idx="0">
                  <c:v>2.9790000000000001E-2</c:v>
                </c:pt>
                <c:pt idx="1">
                  <c:v>4.4600000000000004E-3</c:v>
                </c:pt>
                <c:pt idx="2">
                  <c:v>1.8020000000000001E-2</c:v>
                </c:pt>
                <c:pt idx="3">
                  <c:v>6.96E-3</c:v>
                </c:pt>
                <c:pt idx="4">
                  <c:v>1.99E-3</c:v>
                </c:pt>
                <c:pt idx="5">
                  <c:v>2.9999999999999997E-4</c:v>
                </c:pt>
                <c:pt idx="6">
                  <c:v>3.15E-3</c:v>
                </c:pt>
                <c:pt idx="7">
                  <c:v>0</c:v>
                </c:pt>
                <c:pt idx="8">
                  <c:v>5.2999999999999998E-4</c:v>
                </c:pt>
                <c:pt idx="9">
                  <c:v>0</c:v>
                </c:pt>
                <c:pt idx="10">
                  <c:v>0</c:v>
                </c:pt>
                <c:pt idx="11">
                  <c:v>1.494E-2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C-4039-9292-194ED233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912736"/>
        <c:axId val="530910216"/>
      </c:barChart>
      <c:catAx>
        <c:axId val="5309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910216"/>
        <c:crosses val="autoZero"/>
        <c:auto val="1"/>
        <c:lblAlgn val="ctr"/>
        <c:lblOffset val="100"/>
        <c:noMultiLvlLbl val="0"/>
      </c:catAx>
      <c:valAx>
        <c:axId val="5309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912736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1466723759229"/>
          <c:y val="2.9785431750608639E-2"/>
          <c:w val="0.83678799987179353"/>
          <c:h val="0.8892341978379463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'fig24'!$B$3:$CS$3</c:f>
              <c:numCache>
                <c:formatCode>h:mm</c:formatCode>
                <c:ptCount val="96"/>
                <c:pt idx="0">
                  <c:v>1</c:v>
                </c:pt>
                <c:pt idx="1">
                  <c:v>1.0416666666666666E-2</c:v>
                </c:pt>
                <c:pt idx="2">
                  <c:v>2.0833333333329901E-2</c:v>
                </c:pt>
                <c:pt idx="3">
                  <c:v>3.125E-2</c:v>
                </c:pt>
                <c:pt idx="4">
                  <c:v>4.1666666666670099E-2</c:v>
                </c:pt>
                <c:pt idx="5">
                  <c:v>5.20833333333304E-2</c:v>
                </c:pt>
                <c:pt idx="6">
                  <c:v>6.25E-2</c:v>
                </c:pt>
                <c:pt idx="7">
                  <c:v>7.29166666666696E-2</c:v>
                </c:pt>
                <c:pt idx="8">
                  <c:v>8.3333333333333398E-2</c:v>
                </c:pt>
                <c:pt idx="9">
                  <c:v>9.3750000000000097E-2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0.14583333333333401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0.17708333333333401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0.20833333333333401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0.23958333333333401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0.27083333333333398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0.30208333333333398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0.468750000000001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0.500000000000001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0.531250000000001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0.562500000000001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0.593750000000001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0.625000000000001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0.656250000000001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0.687500000000001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0.718750000000001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0.750000000000001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0.781250000000001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0.812500000000001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0.843750000000001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0.875000000000001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0.906250000000001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0.937500000000001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0.968750000000001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Lit>
              <c:formatCode>General</c:formatCode>
              <c:ptCount val="96"/>
              <c:pt idx="0">
                <c:v>0.246</c:v>
              </c:pt>
              <c:pt idx="1">
                <c:v>0.2</c:v>
              </c:pt>
              <c:pt idx="2">
                <c:v>0.13100000000000001</c:v>
              </c:pt>
              <c:pt idx="3">
                <c:v>0.17199999999999999</c:v>
              </c:pt>
              <c:pt idx="4">
                <c:v>0.113</c:v>
              </c:pt>
              <c:pt idx="5">
                <c:v>0.108</c:v>
              </c:pt>
              <c:pt idx="6">
                <c:v>0.106</c:v>
              </c:pt>
              <c:pt idx="7">
                <c:v>0.11</c:v>
              </c:pt>
              <c:pt idx="8">
                <c:v>0.10199999999999999</c:v>
              </c:pt>
              <c:pt idx="9">
                <c:v>9.4E-2</c:v>
              </c:pt>
              <c:pt idx="10">
                <c:v>9.1999999999999998E-2</c:v>
              </c:pt>
              <c:pt idx="11">
                <c:v>9.8000000000000004E-2</c:v>
              </c:pt>
              <c:pt idx="12">
                <c:v>9.6000000000000002E-2</c:v>
              </c:pt>
              <c:pt idx="13">
                <c:v>0.10100000000000001</c:v>
              </c:pt>
              <c:pt idx="14">
                <c:v>9.5000000000000001E-2</c:v>
              </c:pt>
              <c:pt idx="15">
                <c:v>9.2999999999999999E-2</c:v>
              </c:pt>
              <c:pt idx="16">
                <c:v>0.107</c:v>
              </c:pt>
              <c:pt idx="17">
                <c:v>0.107</c:v>
              </c:pt>
              <c:pt idx="18">
                <c:v>0.106</c:v>
              </c:pt>
              <c:pt idx="19">
                <c:v>0.11700000000000001</c:v>
              </c:pt>
              <c:pt idx="20">
                <c:v>0.24199999999999999</c:v>
              </c:pt>
              <c:pt idx="21">
                <c:v>0.30199999999999999</c:v>
              </c:pt>
              <c:pt idx="22">
                <c:v>0.34499999999999997</c:v>
              </c:pt>
              <c:pt idx="23">
                <c:v>0.32800000000000001</c:v>
              </c:pt>
              <c:pt idx="24">
                <c:v>0.50900000000000001</c:v>
              </c:pt>
              <c:pt idx="25">
                <c:v>0.58199999999999996</c:v>
              </c:pt>
              <c:pt idx="26">
                <c:v>0.71199999999999997</c:v>
              </c:pt>
              <c:pt idx="27">
                <c:v>0.67900000000000005</c:v>
              </c:pt>
              <c:pt idx="28">
                <c:v>0.84799999999999998</c:v>
              </c:pt>
              <c:pt idx="29">
                <c:v>0.86899999999999999</c:v>
              </c:pt>
              <c:pt idx="30">
                <c:v>0.88700000000000001</c:v>
              </c:pt>
              <c:pt idx="31">
                <c:v>0.86499999999999999</c:v>
              </c:pt>
              <c:pt idx="32">
                <c:v>0.90500000000000003</c:v>
              </c:pt>
              <c:pt idx="33">
                <c:v>0.89800000000000002</c:v>
              </c:pt>
              <c:pt idx="34">
                <c:v>0.90200000000000002</c:v>
              </c:pt>
              <c:pt idx="35">
                <c:v>0.90500000000000003</c:v>
              </c:pt>
              <c:pt idx="36">
                <c:v>0.92100000000000004</c:v>
              </c:pt>
              <c:pt idx="37">
                <c:v>0.94399999999999995</c:v>
              </c:pt>
              <c:pt idx="38">
                <c:v>0.96099999999999997</c:v>
              </c:pt>
              <c:pt idx="39">
                <c:v>0.95099999999999996</c:v>
              </c:pt>
              <c:pt idx="40">
                <c:v>0.98899999999999999</c:v>
              </c:pt>
              <c:pt idx="41">
                <c:v>0.98</c:v>
              </c:pt>
              <c:pt idx="42">
                <c:v>0.96699999999999997</c:v>
              </c:pt>
              <c:pt idx="43">
                <c:v>0.96</c:v>
              </c:pt>
              <c:pt idx="44">
                <c:v>0.90800000000000003</c:v>
              </c:pt>
              <c:pt idx="45">
                <c:v>0.86399999999999999</c:v>
              </c:pt>
              <c:pt idx="46">
                <c:v>0.84699999999999998</c:v>
              </c:pt>
              <c:pt idx="47">
                <c:v>0.85099999999999998</c:v>
              </c:pt>
              <c:pt idx="48">
                <c:v>0.89100000000000001</c:v>
              </c:pt>
              <c:pt idx="49">
                <c:v>0.92100000000000004</c:v>
              </c:pt>
              <c:pt idx="50">
                <c:v>0.98099999999999998</c:v>
              </c:pt>
              <c:pt idx="51">
                <c:v>0.94499999999999995</c:v>
              </c:pt>
              <c:pt idx="52">
                <c:v>1</c:v>
              </c:pt>
              <c:pt idx="53">
                <c:v>0.98799999999999999</c:v>
              </c:pt>
              <c:pt idx="54">
                <c:v>0.97899999999999998</c:v>
              </c:pt>
              <c:pt idx="55">
                <c:v>0.99199999999999999</c:v>
              </c:pt>
              <c:pt idx="56">
                <c:v>0.95699999999999996</c:v>
              </c:pt>
              <c:pt idx="57">
                <c:v>0.95799999999999996</c:v>
              </c:pt>
              <c:pt idx="58">
                <c:v>0.96499999999999997</c:v>
              </c:pt>
              <c:pt idx="59">
                <c:v>0.94699999999999995</c:v>
              </c:pt>
              <c:pt idx="60">
                <c:v>0.94299999999999995</c:v>
              </c:pt>
              <c:pt idx="61">
                <c:v>0.94599999999999995</c:v>
              </c:pt>
              <c:pt idx="62">
                <c:v>0.91200000000000003</c:v>
              </c:pt>
              <c:pt idx="63">
                <c:v>0.9</c:v>
              </c:pt>
              <c:pt idx="64">
                <c:v>0.82</c:v>
              </c:pt>
              <c:pt idx="65">
                <c:v>0.69699999999999995</c:v>
              </c:pt>
              <c:pt idx="66">
                <c:v>0.63</c:v>
              </c:pt>
              <c:pt idx="67">
                <c:v>0.69599999999999995</c:v>
              </c:pt>
              <c:pt idx="68">
                <c:v>0.624</c:v>
              </c:pt>
              <c:pt idx="69">
                <c:v>0.61099999999999999</c:v>
              </c:pt>
              <c:pt idx="70">
                <c:v>0.60599999999999998</c:v>
              </c:pt>
              <c:pt idx="71">
                <c:v>0.60399999999999998</c:v>
              </c:pt>
              <c:pt idx="72">
                <c:v>0.56899999999999995</c:v>
              </c:pt>
              <c:pt idx="73">
                <c:v>0.55500000000000005</c:v>
              </c:pt>
              <c:pt idx="74">
                <c:v>0.54900000000000004</c:v>
              </c:pt>
              <c:pt idx="75">
                <c:v>0.54900000000000004</c:v>
              </c:pt>
              <c:pt idx="76">
                <c:v>0.47799999999999998</c:v>
              </c:pt>
              <c:pt idx="77">
                <c:v>0.45600000000000002</c:v>
              </c:pt>
              <c:pt idx="78">
                <c:v>0.36199999999999999</c:v>
              </c:pt>
              <c:pt idx="79">
                <c:v>0.32900000000000001</c:v>
              </c:pt>
              <c:pt idx="80">
                <c:v>0.27100000000000002</c:v>
              </c:pt>
              <c:pt idx="81">
                <c:v>0.30099999999999999</c:v>
              </c:pt>
              <c:pt idx="82">
                <c:v>0.39700000000000002</c:v>
              </c:pt>
              <c:pt idx="83">
                <c:v>0.42599999999999999</c:v>
              </c:pt>
              <c:pt idx="84">
                <c:v>0.54700000000000004</c:v>
              </c:pt>
              <c:pt idx="85">
                <c:v>0.53500000000000003</c:v>
              </c:pt>
              <c:pt idx="86">
                <c:v>0.53200000000000003</c:v>
              </c:pt>
              <c:pt idx="87">
                <c:v>0.53400000000000003</c:v>
              </c:pt>
              <c:pt idx="88">
                <c:v>0.51100000000000001</c:v>
              </c:pt>
              <c:pt idx="89">
                <c:v>0.51400000000000001</c:v>
              </c:pt>
              <c:pt idx="90">
                <c:v>0.49399999999999999</c:v>
              </c:pt>
              <c:pt idx="91">
                <c:v>0.49199999999999999</c:v>
              </c:pt>
              <c:pt idx="92">
                <c:v>0.42699999999999999</c:v>
              </c:pt>
              <c:pt idx="93">
                <c:v>0.41099999999999998</c:v>
              </c:pt>
              <c:pt idx="94">
                <c:v>0.32600000000000001</c:v>
              </c:pt>
              <c:pt idx="95">
                <c:v>0.34699999999999998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45-458C-9673-926933F2C2CF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'fig24'!$B$3:$CS$3</c:f>
              <c:numCache>
                <c:formatCode>h:mm</c:formatCode>
                <c:ptCount val="96"/>
                <c:pt idx="0">
                  <c:v>1</c:v>
                </c:pt>
                <c:pt idx="1">
                  <c:v>1.0416666666666666E-2</c:v>
                </c:pt>
                <c:pt idx="2">
                  <c:v>2.0833333333329901E-2</c:v>
                </c:pt>
                <c:pt idx="3">
                  <c:v>3.125E-2</c:v>
                </c:pt>
                <c:pt idx="4">
                  <c:v>4.1666666666670099E-2</c:v>
                </c:pt>
                <c:pt idx="5">
                  <c:v>5.20833333333304E-2</c:v>
                </c:pt>
                <c:pt idx="6">
                  <c:v>6.25E-2</c:v>
                </c:pt>
                <c:pt idx="7">
                  <c:v>7.29166666666696E-2</c:v>
                </c:pt>
                <c:pt idx="8">
                  <c:v>8.3333333333333398E-2</c:v>
                </c:pt>
                <c:pt idx="9">
                  <c:v>9.3750000000000097E-2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0.14583333333333401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0.17708333333333401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0.20833333333333401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0.23958333333333401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0.27083333333333398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0.30208333333333398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0.468750000000001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0.500000000000001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0.531250000000001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0.562500000000001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0.593750000000001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0.625000000000001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0.656250000000001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0.687500000000001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0.718750000000001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0.750000000000001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0.781250000000001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0.812500000000001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0.843750000000001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0.875000000000001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0.906250000000001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0.937500000000001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0.968750000000001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Lit>
              <c:formatCode>General</c:formatCode>
              <c:ptCount val="96"/>
              <c:pt idx="0">
                <c:v>0.7354841271</c:v>
              </c:pt>
              <c:pt idx="1">
                <c:v>0.72399823939999997</c:v>
              </c:pt>
              <c:pt idx="2">
                <c:v>0.67788176359999996</c:v>
              </c:pt>
              <c:pt idx="3">
                <c:v>0.70522532810000005</c:v>
              </c:pt>
              <c:pt idx="4">
                <c:v>0.71191429660000005</c:v>
              </c:pt>
              <c:pt idx="5">
                <c:v>0.70312017800000004</c:v>
              </c:pt>
              <c:pt idx="6">
                <c:v>0.70475632840000002</c:v>
              </c:pt>
              <c:pt idx="7">
                <c:v>0.71195898950000003</c:v>
              </c:pt>
              <c:pt idx="8">
                <c:v>0.71823593990000001</c:v>
              </c:pt>
              <c:pt idx="9">
                <c:v>0.71305744319999997</c:v>
              </c:pt>
              <c:pt idx="10">
                <c:v>0.70915774389999997</c:v>
              </c:pt>
              <c:pt idx="11">
                <c:v>0.70993092459999996</c:v>
              </c:pt>
              <c:pt idx="12">
                <c:v>0.70714706620000001</c:v>
              </c:pt>
              <c:pt idx="13">
                <c:v>0.70997769470000005</c:v>
              </c:pt>
              <c:pt idx="14">
                <c:v>0.70657106780000001</c:v>
              </c:pt>
              <c:pt idx="15">
                <c:v>0.70487942079999999</c:v>
              </c:pt>
              <c:pt idx="16">
                <c:v>0.72456695179999997</c:v>
              </c:pt>
              <c:pt idx="17">
                <c:v>0.73000792189999997</c:v>
              </c:pt>
              <c:pt idx="18">
                <c:v>0.73784450010000002</c:v>
              </c:pt>
              <c:pt idx="19">
                <c:v>0.68952569249999995</c:v>
              </c:pt>
              <c:pt idx="20">
                <c:v>0.790158311</c:v>
              </c:pt>
              <c:pt idx="21">
                <c:v>0.79837689359999997</c:v>
              </c:pt>
              <c:pt idx="22">
                <c:v>0.7673183281</c:v>
              </c:pt>
              <c:pt idx="23">
                <c:v>0.78091831119999999</c:v>
              </c:pt>
              <c:pt idx="24">
                <c:v>0.80076377570000001</c:v>
              </c:pt>
              <c:pt idx="25">
                <c:v>0.81096457249999998</c:v>
              </c:pt>
              <c:pt idx="26">
                <c:v>0.84328206029999997</c:v>
              </c:pt>
              <c:pt idx="27">
                <c:v>0.86021781890000004</c:v>
              </c:pt>
              <c:pt idx="28">
                <c:v>0.86266522729999995</c:v>
              </c:pt>
              <c:pt idx="29">
                <c:v>0.86238365210000001</c:v>
              </c:pt>
              <c:pt idx="30">
                <c:v>0.87358697740000002</c:v>
              </c:pt>
              <c:pt idx="31">
                <c:v>0.87297942210000001</c:v>
              </c:pt>
              <c:pt idx="32">
                <c:v>0.8712384433</c:v>
              </c:pt>
              <c:pt idx="33">
                <c:v>0.87157769809999996</c:v>
              </c:pt>
              <c:pt idx="34">
                <c:v>0.87087729459999996</c:v>
              </c:pt>
              <c:pt idx="35">
                <c:v>0.87264468829999997</c:v>
              </c:pt>
              <c:pt idx="36">
                <c:v>0.87239722559999999</c:v>
              </c:pt>
              <c:pt idx="37">
                <c:v>0.87036984620000002</c:v>
              </c:pt>
              <c:pt idx="38">
                <c:v>0.87325016330000005</c:v>
              </c:pt>
              <c:pt idx="39">
                <c:v>0.87767907489999997</c:v>
              </c:pt>
              <c:pt idx="40">
                <c:v>0.85995056739999998</c:v>
              </c:pt>
              <c:pt idx="41">
                <c:v>0.86038315880000005</c:v>
              </c:pt>
              <c:pt idx="42">
                <c:v>0.86282253630000005</c:v>
              </c:pt>
              <c:pt idx="43">
                <c:v>0.86128880230000004</c:v>
              </c:pt>
              <c:pt idx="44">
                <c:v>0.86407011960000002</c:v>
              </c:pt>
              <c:pt idx="45">
                <c:v>0.87200377169999999</c:v>
              </c:pt>
              <c:pt idx="46">
                <c:v>0.87355292019999997</c:v>
              </c:pt>
              <c:pt idx="47">
                <c:v>0.87343095530000003</c:v>
              </c:pt>
              <c:pt idx="48">
                <c:v>0.87019610670000003</c:v>
              </c:pt>
              <c:pt idx="49">
                <c:v>0.87174652880000003</c:v>
              </c:pt>
              <c:pt idx="50">
                <c:v>0.871175001</c:v>
              </c:pt>
              <c:pt idx="51">
                <c:v>0.86827320379999995</c:v>
              </c:pt>
              <c:pt idx="52">
                <c:v>0.8594128593</c:v>
              </c:pt>
              <c:pt idx="53">
                <c:v>0.86016216000000001</c:v>
              </c:pt>
              <c:pt idx="54">
                <c:v>0.85800444809999998</c:v>
              </c:pt>
              <c:pt idx="55">
                <c:v>0.86799832020000001</c:v>
              </c:pt>
              <c:pt idx="56">
                <c:v>0.86087992400000002</c:v>
              </c:pt>
              <c:pt idx="57">
                <c:v>0.86409577770000001</c:v>
              </c:pt>
              <c:pt idx="58">
                <c:v>0.86114481269999998</c:v>
              </c:pt>
              <c:pt idx="59">
                <c:v>0.86377579270000004</c:v>
              </c:pt>
              <c:pt idx="60">
                <c:v>0.86599037889999997</c:v>
              </c:pt>
              <c:pt idx="61">
                <c:v>0.86517355730000001</c:v>
              </c:pt>
              <c:pt idx="62">
                <c:v>0.86106632750000001</c:v>
              </c:pt>
              <c:pt idx="63">
                <c:v>0.8629315863</c:v>
              </c:pt>
              <c:pt idx="64">
                <c:v>0.84898055459999999</c:v>
              </c:pt>
              <c:pt idx="65">
                <c:v>0.81469694839999995</c:v>
              </c:pt>
              <c:pt idx="66">
                <c:v>0.81021128509999996</c:v>
              </c:pt>
              <c:pt idx="67">
                <c:v>0.84292793040000003</c:v>
              </c:pt>
              <c:pt idx="68">
                <c:v>0.84496174410000002</c:v>
              </c:pt>
              <c:pt idx="69">
                <c:v>0.84203727029999997</c:v>
              </c:pt>
              <c:pt idx="70">
                <c:v>0.83912912439999998</c:v>
              </c:pt>
              <c:pt idx="71">
                <c:v>0.84909450740000003</c:v>
              </c:pt>
              <c:pt idx="72">
                <c:v>0.84504498579999998</c:v>
              </c:pt>
              <c:pt idx="73">
                <c:v>0.83642349999999999</c:v>
              </c:pt>
              <c:pt idx="74">
                <c:v>0.82723375060000004</c:v>
              </c:pt>
              <c:pt idx="75">
                <c:v>0.83996899059999997</c:v>
              </c:pt>
              <c:pt idx="76">
                <c:v>0.77904168250000005</c:v>
              </c:pt>
              <c:pt idx="77">
                <c:v>0.7730817753</c:v>
              </c:pt>
              <c:pt idx="78">
                <c:v>0.70483990860000001</c:v>
              </c:pt>
              <c:pt idx="79">
                <c:v>0.75471318909999996</c:v>
              </c:pt>
              <c:pt idx="80">
                <c:v>0.64328888559999997</c:v>
              </c:pt>
              <c:pt idx="81">
                <c:v>0.67581679299999997</c:v>
              </c:pt>
              <c:pt idx="82">
                <c:v>0.74652328479999996</c:v>
              </c:pt>
              <c:pt idx="83">
                <c:v>0.81447662170000001</c:v>
              </c:pt>
              <c:pt idx="84">
                <c:v>0.83122218650000002</c:v>
              </c:pt>
              <c:pt idx="85">
                <c:v>0.83193673040000005</c:v>
              </c:pt>
              <c:pt idx="86">
                <c:v>0.83535517049999997</c:v>
              </c:pt>
              <c:pt idx="87">
                <c:v>0.83507962140000003</c:v>
              </c:pt>
              <c:pt idx="88">
                <c:v>0.82493528999999999</c:v>
              </c:pt>
              <c:pt idx="89">
                <c:v>0.82758315449999997</c:v>
              </c:pt>
              <c:pt idx="90">
                <c:v>0.81968210590000001</c:v>
              </c:pt>
              <c:pt idx="91">
                <c:v>0.82494346210000002</c:v>
              </c:pt>
              <c:pt idx="92">
                <c:v>0.80059373249999999</c:v>
              </c:pt>
              <c:pt idx="93">
                <c:v>0.81046154189999997</c:v>
              </c:pt>
              <c:pt idx="94">
                <c:v>0.75691445099999999</c:v>
              </c:pt>
              <c:pt idx="95">
                <c:v>0.80280976120000003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745-458C-9673-926933F2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3632"/>
        <c:axId val="104588992"/>
      </c:lineChart>
      <c:catAx>
        <c:axId val="105733632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numFmt formatCode="h:mm" sourceLinked="1"/>
        <c:majorTickMark val="out"/>
        <c:minorTickMark val="none"/>
        <c:tickLblPos val="nextTo"/>
        <c:crossAx val="104588992"/>
        <c:crosses val="autoZero"/>
        <c:auto val="1"/>
        <c:lblAlgn val="ctr"/>
        <c:lblOffset val="100"/>
        <c:tickLblSkip val="4"/>
        <c:noMultiLvlLbl val="0"/>
      </c:catAx>
      <c:valAx>
        <c:axId val="104588992"/>
        <c:scaling>
          <c:orientation val="minMax"/>
          <c:max val="1.02"/>
          <c:min val="0"/>
        </c:scaling>
        <c:delete val="0"/>
        <c:axPos val="l"/>
        <c:majorGridlines>
          <c:spPr>
            <a:ln w="12700"/>
          </c:spPr>
        </c:majorGridlines>
        <c:numFmt formatCode="General" sourceLinked="1"/>
        <c:majorTickMark val="out"/>
        <c:minorTickMark val="none"/>
        <c:tickLblPos val="nextTo"/>
        <c:crossAx val="10573363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'fig24'!$B$2:$I$2</c:f>
              <c:numCache>
                <c:formatCode>h:mm</c:formatCode>
                <c:ptCount val="8"/>
                <c:pt idx="0">
                  <c:v>1</c:v>
                </c:pt>
                <c:pt idx="4">
                  <c:v>4.1666666666670099E-2</c:v>
                </c:pt>
              </c:numCache>
            </c:numRef>
          </c:cat>
          <c:val>
            <c:numRef>
              <c:f>'fig24'!$B$5:$I$5</c:f>
              <c:numCache>
                <c:formatCode>General</c:formatCode>
                <c:ptCount val="8"/>
                <c:pt idx="0">
                  <c:v>0.7354841271</c:v>
                </c:pt>
                <c:pt idx="1">
                  <c:v>0.72399823939999997</c:v>
                </c:pt>
                <c:pt idx="2">
                  <c:v>0.67788176359999996</c:v>
                </c:pt>
                <c:pt idx="3">
                  <c:v>0.70522532810000005</c:v>
                </c:pt>
                <c:pt idx="4">
                  <c:v>0.71191429660000005</c:v>
                </c:pt>
                <c:pt idx="5">
                  <c:v>0.70312017800000004</c:v>
                </c:pt>
                <c:pt idx="6">
                  <c:v>0.70475632840000002</c:v>
                </c:pt>
                <c:pt idx="7">
                  <c:v>0.71195898950000003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481-A866-03BEF92A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4000"/>
        <c:axId val="10459072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'fig24'!$B$2:$I$2</c:f>
              <c:numCache>
                <c:formatCode>h:mm</c:formatCode>
                <c:ptCount val="8"/>
                <c:pt idx="0">
                  <c:v>1</c:v>
                </c:pt>
                <c:pt idx="4">
                  <c:v>4.1666666666670099E-2</c:v>
                </c:pt>
              </c:numCache>
            </c:numRef>
          </c:cat>
          <c:val>
            <c:numRef>
              <c:f>'fig24'!$B$4:$I$4</c:f>
              <c:numCache>
                <c:formatCode>General</c:formatCode>
                <c:ptCount val="8"/>
                <c:pt idx="0">
                  <c:v>0.246</c:v>
                </c:pt>
                <c:pt idx="1">
                  <c:v>0.2</c:v>
                </c:pt>
                <c:pt idx="2">
                  <c:v>0.13100000000000001</c:v>
                </c:pt>
                <c:pt idx="3">
                  <c:v>0.17199999999999999</c:v>
                </c:pt>
                <c:pt idx="4">
                  <c:v>0.113</c:v>
                </c:pt>
                <c:pt idx="5">
                  <c:v>0.108</c:v>
                </c:pt>
                <c:pt idx="6">
                  <c:v>0.106</c:v>
                </c:pt>
                <c:pt idx="7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F-4481-A866-03BEF92A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5024"/>
        <c:axId val="104591296"/>
      </c:lineChart>
      <c:catAx>
        <c:axId val="122304000"/>
        <c:scaling>
          <c:orientation val="minMax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04590720"/>
        <c:crosses val="autoZero"/>
        <c:auto val="1"/>
        <c:lblAlgn val="ctr"/>
        <c:lblOffset val="100"/>
        <c:noMultiLvlLbl val="0"/>
      </c:catAx>
      <c:valAx>
        <c:axId val="1045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04000"/>
        <c:crosses val="autoZero"/>
        <c:crossBetween val="between"/>
      </c:valAx>
      <c:valAx>
        <c:axId val="10459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305024"/>
        <c:crosses val="max"/>
        <c:crossBetween val="between"/>
      </c:valAx>
      <c:catAx>
        <c:axId val="1223050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04591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'p33'!$F$1</c:f>
              <c:strCache>
                <c:ptCount val="1"/>
                <c:pt idx="0">
                  <c:v>Before</c:v>
                </c:pt>
              </c:strCache>
            </c:strRef>
          </c:tx>
          <c:marker>
            <c:symbol val="none"/>
          </c:marker>
          <c:val>
            <c:numRef>
              <c:f>'p33'!$F$2:$F$34</c:f>
              <c:numCache>
                <c:formatCode>General</c:formatCode>
                <c:ptCount val="33"/>
                <c:pt idx="0">
                  <c:v>1</c:v>
                </c:pt>
                <c:pt idx="1">
                  <c:v>0.99709999999999999</c:v>
                </c:pt>
                <c:pt idx="2">
                  <c:v>0.98299999999999998</c:v>
                </c:pt>
                <c:pt idx="3">
                  <c:v>0.97560000000000002</c:v>
                </c:pt>
                <c:pt idx="4">
                  <c:v>0.96819999999999995</c:v>
                </c:pt>
                <c:pt idx="5">
                  <c:v>0.94979999999999998</c:v>
                </c:pt>
                <c:pt idx="6">
                  <c:v>0.94640000000000002</c:v>
                </c:pt>
                <c:pt idx="7">
                  <c:v>0.94159999999999999</c:v>
                </c:pt>
                <c:pt idx="8">
                  <c:v>0.93530000000000002</c:v>
                </c:pt>
                <c:pt idx="9">
                  <c:v>0.92949999999999999</c:v>
                </c:pt>
                <c:pt idx="10">
                  <c:v>0.92869999999999997</c:v>
                </c:pt>
                <c:pt idx="11">
                  <c:v>0.92720000000000002</c:v>
                </c:pt>
                <c:pt idx="12">
                  <c:v>0.92110000000000003</c:v>
                </c:pt>
                <c:pt idx="13">
                  <c:v>0.91879999999999995</c:v>
                </c:pt>
                <c:pt idx="14">
                  <c:v>0.91739999999999999</c:v>
                </c:pt>
                <c:pt idx="15">
                  <c:v>0.91610000000000003</c:v>
                </c:pt>
                <c:pt idx="16">
                  <c:v>0.91400000000000003</c:v>
                </c:pt>
                <c:pt idx="17">
                  <c:v>0.91339999999999999</c:v>
                </c:pt>
                <c:pt idx="18">
                  <c:v>0.99660000000000004</c:v>
                </c:pt>
                <c:pt idx="19">
                  <c:v>0.99299999999999999</c:v>
                </c:pt>
                <c:pt idx="20">
                  <c:v>0.99229999999999996</c:v>
                </c:pt>
                <c:pt idx="21">
                  <c:v>0.99170000000000003</c:v>
                </c:pt>
                <c:pt idx="22">
                  <c:v>0.97940000000000005</c:v>
                </c:pt>
                <c:pt idx="23">
                  <c:v>0.9728</c:v>
                </c:pt>
                <c:pt idx="24">
                  <c:v>0.96940000000000004</c:v>
                </c:pt>
                <c:pt idx="25">
                  <c:v>0.94789999999999996</c:v>
                </c:pt>
                <c:pt idx="26">
                  <c:v>0.94540000000000002</c:v>
                </c:pt>
                <c:pt idx="27">
                  <c:v>0.93389999999999995</c:v>
                </c:pt>
                <c:pt idx="28">
                  <c:v>0.92569999999999997</c:v>
                </c:pt>
                <c:pt idx="29">
                  <c:v>0.92220000000000002</c:v>
                </c:pt>
                <c:pt idx="30">
                  <c:v>0.91800000000000004</c:v>
                </c:pt>
                <c:pt idx="31">
                  <c:v>0.91710000000000003</c:v>
                </c:pt>
                <c:pt idx="32">
                  <c:v>0.91679999999999995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1-4F0D-89B5-0D1032D87937}"/>
            </c:ext>
          </c:extLst>
        </c:ser>
        <c:ser>
          <c:idx val="1"/>
          <c:order val="1"/>
          <c:tx>
            <c:strRef>
              <c:f>'p33'!$G$1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none"/>
          </c:marker>
          <c:val>
            <c:numRef>
              <c:f>'p33'!$G$2:$G$34</c:f>
              <c:numCache>
                <c:formatCode>General</c:formatCode>
                <c:ptCount val="33"/>
                <c:pt idx="0">
                  <c:v>1</c:v>
                </c:pt>
                <c:pt idx="1">
                  <c:v>0.99719999999999998</c:v>
                </c:pt>
                <c:pt idx="2">
                  <c:v>0.98709999999999998</c:v>
                </c:pt>
                <c:pt idx="3">
                  <c:v>0.98260000000000003</c:v>
                </c:pt>
                <c:pt idx="4">
                  <c:v>0.97829999999999995</c:v>
                </c:pt>
                <c:pt idx="5">
                  <c:v>0.96750000000000003</c:v>
                </c:pt>
                <c:pt idx="6">
                  <c:v>0.96679999999999999</c:v>
                </c:pt>
                <c:pt idx="7">
                  <c:v>0.97409999999999997</c:v>
                </c:pt>
                <c:pt idx="8">
                  <c:v>0.9708</c:v>
                </c:pt>
                <c:pt idx="9">
                  <c:v>0.97030000000000005</c:v>
                </c:pt>
                <c:pt idx="10">
                  <c:v>0.97040000000000004</c:v>
                </c:pt>
                <c:pt idx="11">
                  <c:v>0.97070000000000001</c:v>
                </c:pt>
                <c:pt idx="12">
                  <c:v>0.96809999999999996</c:v>
                </c:pt>
                <c:pt idx="13">
                  <c:v>0.96730000000000005</c:v>
                </c:pt>
                <c:pt idx="14">
                  <c:v>0.9708</c:v>
                </c:pt>
                <c:pt idx="15">
                  <c:v>0.96909999999999996</c:v>
                </c:pt>
                <c:pt idx="16">
                  <c:v>0.96619999999999995</c:v>
                </c:pt>
                <c:pt idx="17">
                  <c:v>0.96519999999999995</c:v>
                </c:pt>
                <c:pt idx="18">
                  <c:v>0.99519999999999997</c:v>
                </c:pt>
                <c:pt idx="19">
                  <c:v>0.97860000000000003</c:v>
                </c:pt>
                <c:pt idx="20">
                  <c:v>0.97409999999999997</c:v>
                </c:pt>
                <c:pt idx="21">
                  <c:v>0.97070000000000001</c:v>
                </c:pt>
                <c:pt idx="22">
                  <c:v>0.98350000000000004</c:v>
                </c:pt>
                <c:pt idx="23">
                  <c:v>0.97689999999999999</c:v>
                </c:pt>
                <c:pt idx="24">
                  <c:v>0.97360000000000002</c:v>
                </c:pt>
                <c:pt idx="25">
                  <c:v>0.9657</c:v>
                </c:pt>
                <c:pt idx="26">
                  <c:v>0.96330000000000005</c:v>
                </c:pt>
                <c:pt idx="27">
                  <c:v>0.95279999999999998</c:v>
                </c:pt>
                <c:pt idx="28">
                  <c:v>0.94530000000000003</c:v>
                </c:pt>
                <c:pt idx="29">
                  <c:v>0.94210000000000005</c:v>
                </c:pt>
                <c:pt idx="30">
                  <c:v>0.93869999999999998</c:v>
                </c:pt>
                <c:pt idx="31">
                  <c:v>0.93799999999999994</c:v>
                </c:pt>
                <c:pt idx="32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1-4F0D-89B5-0D1032D8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71424"/>
        <c:axId val="104593024"/>
      </c:lineChart>
      <c:catAx>
        <c:axId val="1768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93024"/>
        <c:crosses val="autoZero"/>
        <c:auto val="1"/>
        <c:lblAlgn val="ctr"/>
        <c:lblOffset val="100"/>
        <c:noMultiLvlLbl val="0"/>
      </c:catAx>
      <c:valAx>
        <c:axId val="1045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1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'p84'!$F$1</c:f>
              <c:strCache>
                <c:ptCount val="1"/>
                <c:pt idx="0">
                  <c:v>Before</c:v>
                </c:pt>
              </c:strCache>
            </c:strRef>
          </c:tx>
          <c:marker>
            <c:symbol val="none"/>
          </c:marker>
          <c:val>
            <c:numRef>
              <c:f>'p84'!$F$2:$F$95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0.96679999999999999</c:v>
                </c:pt>
                <c:pt idx="12">
                  <c:v>0.95089999999999997</c:v>
                </c:pt>
                <c:pt idx="13">
                  <c:v>0.94530000000000003</c:v>
                </c:pt>
                <c:pt idx="14">
                  <c:v>0.93400000000000005</c:v>
                </c:pt>
                <c:pt idx="15">
                  <c:v>0.93200000000000005</c:v>
                </c:pt>
                <c:pt idx="16">
                  <c:v>0.9304</c:v>
                </c:pt>
                <c:pt idx="17">
                  <c:v>0.92979999999999996</c:v>
                </c:pt>
                <c:pt idx="18">
                  <c:v>0.92889999999999995</c:v>
                </c:pt>
                <c:pt idx="19">
                  <c:v>0.92969999999999997</c:v>
                </c:pt>
                <c:pt idx="20">
                  <c:v>0.97850000000000004</c:v>
                </c:pt>
                <c:pt idx="21">
                  <c:v>0.97809999999999997</c:v>
                </c:pt>
                <c:pt idx="22">
                  <c:v>0.97740000000000005</c:v>
                </c:pt>
                <c:pt idx="23">
                  <c:v>0.98540000000000005</c:v>
                </c:pt>
                <c:pt idx="24">
                  <c:v>0.9819</c:v>
                </c:pt>
                <c:pt idx="25">
                  <c:v>0.97309999999999997</c:v>
                </c:pt>
                <c:pt idx="26">
                  <c:v>0.97140000000000004</c:v>
                </c:pt>
                <c:pt idx="27">
                  <c:v>0.96830000000000005</c:v>
                </c:pt>
                <c:pt idx="28">
                  <c:v>0.9657</c:v>
                </c:pt>
                <c:pt idx="29">
                  <c:v>0.96560000000000001</c:v>
                </c:pt>
                <c:pt idx="30">
                  <c:v>0.96550000000000002</c:v>
                </c:pt>
                <c:pt idx="31">
                  <c:v>0.96540000000000004</c:v>
                </c:pt>
                <c:pt idx="32">
                  <c:v>0.99680000000000002</c:v>
                </c:pt>
                <c:pt idx="33">
                  <c:v>0.99239999999999995</c:v>
                </c:pt>
                <c:pt idx="34">
                  <c:v>0.98229999999999995</c:v>
                </c:pt>
                <c:pt idx="35">
                  <c:v>0.97970000000000002</c:v>
                </c:pt>
                <c:pt idx="36">
                  <c:v>0.97919999999999996</c:v>
                </c:pt>
                <c:pt idx="37">
                  <c:v>0.97629999999999995</c:v>
                </c:pt>
                <c:pt idx="38">
                  <c:v>0.97189999999999999</c:v>
                </c:pt>
                <c:pt idx="39">
                  <c:v>0.97119999999999995</c:v>
                </c:pt>
                <c:pt idx="40">
                  <c:v>0.9667</c:v>
                </c:pt>
                <c:pt idx="41">
                  <c:v>0.96619999999999995</c:v>
                </c:pt>
                <c:pt idx="42">
                  <c:v>0.96220000000000006</c:v>
                </c:pt>
                <c:pt idx="43">
                  <c:v>0.96189999999999998</c:v>
                </c:pt>
                <c:pt idx="44">
                  <c:v>0.9617</c:v>
                </c:pt>
                <c:pt idx="45">
                  <c:v>0.96160000000000001</c:v>
                </c:pt>
                <c:pt idx="46">
                  <c:v>0.96150000000000002</c:v>
                </c:pt>
                <c:pt idx="47">
                  <c:v>0.9607</c:v>
                </c:pt>
                <c:pt idx="48">
                  <c:v>0.96050000000000002</c:v>
                </c:pt>
                <c:pt idx="49">
                  <c:v>0.99790000000000001</c:v>
                </c:pt>
                <c:pt idx="50">
                  <c:v>0.99509999999999998</c:v>
                </c:pt>
                <c:pt idx="51">
                  <c:v>0.99419999999999997</c:v>
                </c:pt>
                <c:pt idx="52">
                  <c:v>0.97450000000000003</c:v>
                </c:pt>
                <c:pt idx="53">
                  <c:v>0.9708</c:v>
                </c:pt>
                <c:pt idx="54">
                  <c:v>0.96960000000000002</c:v>
                </c:pt>
                <c:pt idx="55">
                  <c:v>0.96789999999999998</c:v>
                </c:pt>
                <c:pt idx="56">
                  <c:v>0.96730000000000005</c:v>
                </c:pt>
                <c:pt idx="57">
                  <c:v>0.96699999999999997</c:v>
                </c:pt>
                <c:pt idx="58">
                  <c:v>0.97599999999999998</c:v>
                </c:pt>
                <c:pt idx="59">
                  <c:v>0.97450000000000003</c:v>
                </c:pt>
                <c:pt idx="60">
                  <c:v>0.97299999999999998</c:v>
                </c:pt>
                <c:pt idx="61">
                  <c:v>0.97250000000000003</c:v>
                </c:pt>
                <c:pt idx="62">
                  <c:v>0.97089999999999999</c:v>
                </c:pt>
                <c:pt idx="63">
                  <c:v>0.96809999999999996</c:v>
                </c:pt>
                <c:pt idx="64">
                  <c:v>0.96789999999999998</c:v>
                </c:pt>
                <c:pt idx="65">
                  <c:v>0.9869</c:v>
                </c:pt>
                <c:pt idx="66">
                  <c:v>0.96060000000000001</c:v>
                </c:pt>
                <c:pt idx="67">
                  <c:v>0.94930000000000003</c:v>
                </c:pt>
                <c:pt idx="68">
                  <c:v>0.94920000000000004</c:v>
                </c:pt>
                <c:pt idx="69">
                  <c:v>0.9829</c:v>
                </c:pt>
                <c:pt idx="70">
                  <c:v>0.98260000000000003</c:v>
                </c:pt>
                <c:pt idx="71">
                  <c:v>0.96209999999999996</c:v>
                </c:pt>
                <c:pt idx="72">
                  <c:v>0.95789999999999997</c:v>
                </c:pt>
                <c:pt idx="73">
                  <c:v>0.95469999999999999</c:v>
                </c:pt>
                <c:pt idx="74">
                  <c:v>0.95209999999999995</c:v>
                </c:pt>
                <c:pt idx="75">
                  <c:v>0.95109999999999995</c:v>
                </c:pt>
                <c:pt idx="76">
                  <c:v>0.94820000000000004</c:v>
                </c:pt>
                <c:pt idx="77">
                  <c:v>0.98129999999999995</c:v>
                </c:pt>
                <c:pt idx="78">
                  <c:v>0.99619999999999997</c:v>
                </c:pt>
                <c:pt idx="79">
                  <c:v>0.98899999999999999</c:v>
                </c:pt>
                <c:pt idx="80">
                  <c:v>0.9859</c:v>
                </c:pt>
                <c:pt idx="81">
                  <c:v>0.99880000000000002</c:v>
                </c:pt>
                <c:pt idx="82">
                  <c:v>0.98309999999999997</c:v>
                </c:pt>
                <c:pt idx="83">
                  <c:v>0.9798</c:v>
                </c:pt>
                <c:pt idx="84">
                  <c:v>0.97650000000000003</c:v>
                </c:pt>
                <c:pt idx="85">
                  <c:v>0.99119999999999997</c:v>
                </c:pt>
                <c:pt idx="86">
                  <c:v>0.97360000000000002</c:v>
                </c:pt>
                <c:pt idx="87">
                  <c:v>0.99639999999999995</c:v>
                </c:pt>
                <c:pt idx="88">
                  <c:v>0.97750000000000004</c:v>
                </c:pt>
                <c:pt idx="89">
                  <c:v>0.95750000000000002</c:v>
                </c:pt>
                <c:pt idx="90">
                  <c:v>0.95289999999999997</c:v>
                </c:pt>
                <c:pt idx="91">
                  <c:v>0.98660000000000003</c:v>
                </c:pt>
                <c:pt idx="92">
                  <c:v>0.98529999999999995</c:v>
                </c:pt>
                <c:pt idx="9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7-42EF-B25A-D17C8D195FB0}"/>
            </c:ext>
          </c:extLst>
        </c:ser>
        <c:ser>
          <c:idx val="1"/>
          <c:order val="1"/>
          <c:tx>
            <c:strRef>
              <c:f>'p84'!$G$1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none"/>
          </c:marker>
          <c:val>
            <c:numRef>
              <c:f>'p84'!$G$2:$G$95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0.97989999999999999</c:v>
                </c:pt>
                <c:pt idx="12">
                  <c:v>0.97019999999999995</c:v>
                </c:pt>
                <c:pt idx="13">
                  <c:v>0.96699999999999997</c:v>
                </c:pt>
                <c:pt idx="14">
                  <c:v>0.96109999999999995</c:v>
                </c:pt>
                <c:pt idx="15">
                  <c:v>0.96020000000000005</c:v>
                </c:pt>
                <c:pt idx="16">
                  <c:v>0.9577</c:v>
                </c:pt>
                <c:pt idx="17">
                  <c:v>0.95709999999999995</c:v>
                </c:pt>
                <c:pt idx="18">
                  <c:v>0.95620000000000005</c:v>
                </c:pt>
                <c:pt idx="19">
                  <c:v>0.95689999999999997</c:v>
                </c:pt>
                <c:pt idx="20">
                  <c:v>0.98370000000000002</c:v>
                </c:pt>
                <c:pt idx="21">
                  <c:v>0.96440000000000003</c:v>
                </c:pt>
                <c:pt idx="22">
                  <c:v>0.98260000000000003</c:v>
                </c:pt>
                <c:pt idx="23">
                  <c:v>0.98340000000000005</c:v>
                </c:pt>
                <c:pt idx="24">
                  <c:v>0.97940000000000005</c:v>
                </c:pt>
                <c:pt idx="25">
                  <c:v>0.96919999999999995</c:v>
                </c:pt>
                <c:pt idx="26">
                  <c:v>0.96709999999999996</c:v>
                </c:pt>
                <c:pt idx="27">
                  <c:v>0.96240000000000003</c:v>
                </c:pt>
                <c:pt idx="28">
                  <c:v>0.95979999999999999</c:v>
                </c:pt>
                <c:pt idx="29">
                  <c:v>0.9597</c:v>
                </c:pt>
                <c:pt idx="30">
                  <c:v>0.95960000000000001</c:v>
                </c:pt>
                <c:pt idx="31">
                  <c:v>0.95950000000000002</c:v>
                </c:pt>
                <c:pt idx="32">
                  <c:v>0.99680000000000002</c:v>
                </c:pt>
                <c:pt idx="33">
                  <c:v>0.99219999999999997</c:v>
                </c:pt>
                <c:pt idx="34">
                  <c:v>0.98170000000000002</c:v>
                </c:pt>
                <c:pt idx="35">
                  <c:v>0.97899999999999998</c:v>
                </c:pt>
                <c:pt idx="36">
                  <c:v>0.97840000000000005</c:v>
                </c:pt>
                <c:pt idx="37">
                  <c:v>0.98509999999999998</c:v>
                </c:pt>
                <c:pt idx="38">
                  <c:v>0.98419999999999996</c:v>
                </c:pt>
                <c:pt idx="39">
                  <c:v>0.98409999999999997</c:v>
                </c:pt>
                <c:pt idx="40">
                  <c:v>0.98209999999999997</c:v>
                </c:pt>
                <c:pt idx="41">
                  <c:v>0.98170000000000002</c:v>
                </c:pt>
                <c:pt idx="42">
                  <c:v>0.97840000000000005</c:v>
                </c:pt>
                <c:pt idx="43">
                  <c:v>0.97819999999999996</c:v>
                </c:pt>
                <c:pt idx="44">
                  <c:v>0.97809999999999997</c:v>
                </c:pt>
                <c:pt idx="45">
                  <c:v>0.97819999999999996</c:v>
                </c:pt>
                <c:pt idx="46">
                  <c:v>0.97799999999999998</c:v>
                </c:pt>
                <c:pt idx="47">
                  <c:v>0.97719999999999996</c:v>
                </c:pt>
                <c:pt idx="48">
                  <c:v>0.9778</c:v>
                </c:pt>
                <c:pt idx="49">
                  <c:v>0.99539999999999995</c:v>
                </c:pt>
                <c:pt idx="50">
                  <c:v>0.98939999999999995</c:v>
                </c:pt>
                <c:pt idx="51">
                  <c:v>0.98270000000000002</c:v>
                </c:pt>
                <c:pt idx="52">
                  <c:v>0.96760000000000002</c:v>
                </c:pt>
                <c:pt idx="53">
                  <c:v>0.96289999999999998</c:v>
                </c:pt>
                <c:pt idx="54">
                  <c:v>0.96120000000000005</c:v>
                </c:pt>
                <c:pt idx="55">
                  <c:v>0.95840000000000003</c:v>
                </c:pt>
                <c:pt idx="56">
                  <c:v>0.95799999999999996</c:v>
                </c:pt>
                <c:pt idx="57">
                  <c:v>0.9607</c:v>
                </c:pt>
                <c:pt idx="58">
                  <c:v>0.96589999999999998</c:v>
                </c:pt>
                <c:pt idx="59">
                  <c:v>0.96389999999999998</c:v>
                </c:pt>
                <c:pt idx="60">
                  <c:v>0.96120000000000005</c:v>
                </c:pt>
                <c:pt idx="61">
                  <c:v>0.96120000000000005</c:v>
                </c:pt>
                <c:pt idx="62">
                  <c:v>0.95660000000000001</c:v>
                </c:pt>
                <c:pt idx="63">
                  <c:v>0.95750000000000002</c:v>
                </c:pt>
                <c:pt idx="64">
                  <c:v>0.95779999999999998</c:v>
                </c:pt>
                <c:pt idx="65">
                  <c:v>0.98799999999999999</c:v>
                </c:pt>
                <c:pt idx="66">
                  <c:v>0.96379999999999999</c:v>
                </c:pt>
                <c:pt idx="67">
                  <c:v>0.9536</c:v>
                </c:pt>
                <c:pt idx="68">
                  <c:v>0.98240000000000005</c:v>
                </c:pt>
                <c:pt idx="69">
                  <c:v>0.97330000000000005</c:v>
                </c:pt>
                <c:pt idx="70">
                  <c:v>0.9718</c:v>
                </c:pt>
                <c:pt idx="71">
                  <c:v>0.96750000000000003</c:v>
                </c:pt>
                <c:pt idx="72">
                  <c:v>0.96399999999999997</c:v>
                </c:pt>
                <c:pt idx="73">
                  <c:v>0.96209999999999996</c:v>
                </c:pt>
                <c:pt idx="74">
                  <c:v>0.96060000000000001</c:v>
                </c:pt>
                <c:pt idx="75">
                  <c:v>0.96050000000000002</c:v>
                </c:pt>
                <c:pt idx="76">
                  <c:v>0.9617</c:v>
                </c:pt>
                <c:pt idx="77">
                  <c:v>0.98880000000000001</c:v>
                </c:pt>
                <c:pt idx="78">
                  <c:v>0.99719999999999998</c:v>
                </c:pt>
                <c:pt idx="79">
                  <c:v>0.98760000000000003</c:v>
                </c:pt>
                <c:pt idx="80">
                  <c:v>0.99119999999999997</c:v>
                </c:pt>
                <c:pt idx="81">
                  <c:v>0.99719999999999998</c:v>
                </c:pt>
                <c:pt idx="82">
                  <c:v>0.97850000000000004</c:v>
                </c:pt>
                <c:pt idx="83">
                  <c:v>0.97430000000000005</c:v>
                </c:pt>
                <c:pt idx="84">
                  <c:v>0.97009999999999996</c:v>
                </c:pt>
                <c:pt idx="85">
                  <c:v>0.98750000000000004</c:v>
                </c:pt>
                <c:pt idx="86">
                  <c:v>0.96230000000000004</c:v>
                </c:pt>
                <c:pt idx="87">
                  <c:v>0.99680000000000002</c:v>
                </c:pt>
                <c:pt idx="88">
                  <c:v>0.97929999999999995</c:v>
                </c:pt>
                <c:pt idx="89">
                  <c:v>0.96099999999999997</c:v>
                </c:pt>
                <c:pt idx="90">
                  <c:v>0.95679999999999998</c:v>
                </c:pt>
                <c:pt idx="91">
                  <c:v>0.97909999999999997</c:v>
                </c:pt>
                <c:pt idx="92">
                  <c:v>0.97699999999999998</c:v>
                </c:pt>
                <c:pt idx="93">
                  <c:v>0.97860000000000003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7-42EF-B25A-D17C8D19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1776"/>
        <c:axId val="104594752"/>
      </c:lineChart>
      <c:catAx>
        <c:axId val="1769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94752"/>
        <c:crosses val="autoZero"/>
        <c:auto val="1"/>
        <c:lblAlgn val="ctr"/>
        <c:lblOffset val="100"/>
        <c:noMultiLvlLbl val="0"/>
      </c:catAx>
      <c:valAx>
        <c:axId val="1045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7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'p70'!$F$1</c:f>
              <c:strCache>
                <c:ptCount val="1"/>
                <c:pt idx="0">
                  <c:v>Before</c:v>
                </c:pt>
              </c:strCache>
            </c:strRef>
          </c:tx>
          <c:marker>
            <c:symbol val="none"/>
          </c:marker>
          <c:val>
            <c:numRef>
              <c:f>'p70'!$F$2:$F$71</c:f>
              <c:numCache>
                <c:formatCode>General</c:formatCode>
                <c:ptCount val="70"/>
                <c:pt idx="0">
                  <c:v>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0.99980000000000002</c:v>
                </c:pt>
                <c:pt idx="6">
                  <c:v>0.99990000000000001</c:v>
                </c:pt>
                <c:pt idx="7">
                  <c:v>0.999</c:v>
                </c:pt>
                <c:pt idx="8">
                  <c:v>0.99980000000000002</c:v>
                </c:pt>
                <c:pt idx="9">
                  <c:v>0.99009999999999998</c:v>
                </c:pt>
                <c:pt idx="10">
                  <c:v>0.98080000000000001</c:v>
                </c:pt>
                <c:pt idx="11">
                  <c:v>0.97860000000000003</c:v>
                </c:pt>
                <c:pt idx="12">
                  <c:v>0.97750000000000004</c:v>
                </c:pt>
                <c:pt idx="13">
                  <c:v>0.97860000000000003</c:v>
                </c:pt>
                <c:pt idx="14">
                  <c:v>0.97250000000000003</c:v>
                </c:pt>
                <c:pt idx="15">
                  <c:v>0.97470000000000001</c:v>
                </c:pt>
                <c:pt idx="16">
                  <c:v>0.97140000000000004</c:v>
                </c:pt>
                <c:pt idx="17">
                  <c:v>0.96830000000000005</c:v>
                </c:pt>
                <c:pt idx="18">
                  <c:v>0.99850000000000005</c:v>
                </c:pt>
                <c:pt idx="19">
                  <c:v>0.97140000000000004</c:v>
                </c:pt>
                <c:pt idx="20">
                  <c:v>0.96540000000000004</c:v>
                </c:pt>
                <c:pt idx="21">
                  <c:v>0.96799999999999997</c:v>
                </c:pt>
                <c:pt idx="22">
                  <c:v>0.96250000000000002</c:v>
                </c:pt>
                <c:pt idx="23">
                  <c:v>0.95699999999999996</c:v>
                </c:pt>
                <c:pt idx="24">
                  <c:v>0.9597</c:v>
                </c:pt>
                <c:pt idx="25">
                  <c:v>0.99839999999999995</c:v>
                </c:pt>
                <c:pt idx="26">
                  <c:v>0.95909999999999995</c:v>
                </c:pt>
                <c:pt idx="27">
                  <c:v>0.95830000000000004</c:v>
                </c:pt>
                <c:pt idx="28">
                  <c:v>0.95820000000000005</c:v>
                </c:pt>
                <c:pt idx="29">
                  <c:v>0.95779999999999998</c:v>
                </c:pt>
                <c:pt idx="30">
                  <c:v>0.95750000000000002</c:v>
                </c:pt>
                <c:pt idx="31">
                  <c:v>0.95699999999999996</c:v>
                </c:pt>
                <c:pt idx="32">
                  <c:v>0.95689999999999997</c:v>
                </c:pt>
                <c:pt idx="33">
                  <c:v>0.95679999999999998</c:v>
                </c:pt>
                <c:pt idx="34">
                  <c:v>0.95660000000000001</c:v>
                </c:pt>
                <c:pt idx="35">
                  <c:v>0.95650000000000002</c:v>
                </c:pt>
                <c:pt idx="36">
                  <c:v>0.95650000000000002</c:v>
                </c:pt>
                <c:pt idx="37">
                  <c:v>0.9093</c:v>
                </c:pt>
                <c:pt idx="38">
                  <c:v>0.99980000000000002</c:v>
                </c:pt>
                <c:pt idx="39">
                  <c:v>0.99970000000000003</c:v>
                </c:pt>
                <c:pt idx="40">
                  <c:v>0.99970000000000003</c:v>
                </c:pt>
                <c:pt idx="41">
                  <c:v>0.99960000000000004</c:v>
                </c:pt>
                <c:pt idx="42">
                  <c:v>0.99929999999999997</c:v>
                </c:pt>
                <c:pt idx="43">
                  <c:v>0.999</c:v>
                </c:pt>
                <c:pt idx="44">
                  <c:v>0.99890000000000001</c:v>
                </c:pt>
                <c:pt idx="45">
                  <c:v>0.99970000000000003</c:v>
                </c:pt>
                <c:pt idx="46">
                  <c:v>0.99960000000000004</c:v>
                </c:pt>
                <c:pt idx="47">
                  <c:v>0.99950000000000006</c:v>
                </c:pt>
                <c:pt idx="48">
                  <c:v>0.99950000000000006</c:v>
                </c:pt>
                <c:pt idx="49">
                  <c:v>0.99890000000000001</c:v>
                </c:pt>
                <c:pt idx="50">
                  <c:v>0.99860000000000004</c:v>
                </c:pt>
                <c:pt idx="51">
                  <c:v>0.99850000000000005</c:v>
                </c:pt>
                <c:pt idx="52">
                  <c:v>0.99839999999999995</c:v>
                </c:pt>
                <c:pt idx="53">
                  <c:v>0.99850000000000005</c:v>
                </c:pt>
                <c:pt idx="54">
                  <c:v>0.99470000000000003</c:v>
                </c:pt>
                <c:pt idx="55">
                  <c:v>0.99409999999999998</c:v>
                </c:pt>
                <c:pt idx="56">
                  <c:v>0.92490000000000006</c:v>
                </c:pt>
                <c:pt idx="57">
                  <c:v>0.97860000000000003</c:v>
                </c:pt>
                <c:pt idx="58">
                  <c:v>0.97150000000000003</c:v>
                </c:pt>
                <c:pt idx="59">
                  <c:v>0.96699999999999997</c:v>
                </c:pt>
                <c:pt idx="60">
                  <c:v>0.9627</c:v>
                </c:pt>
                <c:pt idx="61">
                  <c:v>0.94020000000000004</c:v>
                </c:pt>
                <c:pt idx="62">
                  <c:v>0.92920000000000003</c:v>
                </c:pt>
                <c:pt idx="63">
                  <c:v>0.91990000000000005</c:v>
                </c:pt>
                <c:pt idx="64">
                  <c:v>0.91249999999999998</c:v>
                </c:pt>
                <c:pt idx="65">
                  <c:v>0.91220000000000001</c:v>
                </c:pt>
                <c:pt idx="66">
                  <c:v>0.91180000000000005</c:v>
                </c:pt>
                <c:pt idx="67">
                  <c:v>0.90990000000000004</c:v>
                </c:pt>
                <c:pt idx="68">
                  <c:v>0.97140000000000004</c:v>
                </c:pt>
                <c:pt idx="6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42FA-9A69-450E9660C2A1}"/>
            </c:ext>
          </c:extLst>
        </c:ser>
        <c:ser>
          <c:idx val="1"/>
          <c:order val="1"/>
          <c:tx>
            <c:strRef>
              <c:f>'p70'!$G$1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none"/>
          </c:marker>
          <c:val>
            <c:numRef>
              <c:f>'p70'!$G$2:$G$71</c:f>
              <c:numCache>
                <c:formatCode>General</c:formatCode>
                <c:ptCount val="70"/>
                <c:pt idx="0">
                  <c:v>0.99990000000000001</c:v>
                </c:pt>
                <c:pt idx="1">
                  <c:v>0.99990000000000001</c:v>
                </c:pt>
                <c:pt idx="2">
                  <c:v>0.99980000000000002</c:v>
                </c:pt>
                <c:pt idx="3">
                  <c:v>0.99980000000000002</c:v>
                </c:pt>
                <c:pt idx="4">
                  <c:v>0.99980000000000002</c:v>
                </c:pt>
                <c:pt idx="5">
                  <c:v>0.99980000000000002</c:v>
                </c:pt>
                <c:pt idx="6">
                  <c:v>0.99970000000000003</c:v>
                </c:pt>
                <c:pt idx="7">
                  <c:v>0.99960000000000004</c:v>
                </c:pt>
                <c:pt idx="8">
                  <c:v>0.99970000000000003</c:v>
                </c:pt>
                <c:pt idx="9">
                  <c:v>0.99760000000000004</c:v>
                </c:pt>
                <c:pt idx="10">
                  <c:v>0.99539999999999995</c:v>
                </c:pt>
                <c:pt idx="11">
                  <c:v>0.99490000000000001</c:v>
                </c:pt>
                <c:pt idx="12">
                  <c:v>0.99470000000000003</c:v>
                </c:pt>
                <c:pt idx="13">
                  <c:v>0.99490000000000001</c:v>
                </c:pt>
                <c:pt idx="14">
                  <c:v>0.99209999999999998</c:v>
                </c:pt>
                <c:pt idx="15">
                  <c:v>0.99470000000000003</c:v>
                </c:pt>
                <c:pt idx="16">
                  <c:v>0.99160000000000004</c:v>
                </c:pt>
                <c:pt idx="17">
                  <c:v>0.99050000000000005</c:v>
                </c:pt>
                <c:pt idx="18">
                  <c:v>0.96550000000000002</c:v>
                </c:pt>
                <c:pt idx="19">
                  <c:v>0.99150000000000005</c:v>
                </c:pt>
                <c:pt idx="20">
                  <c:v>0.92290000000000005</c:v>
                </c:pt>
                <c:pt idx="21">
                  <c:v>0.99009999999999998</c:v>
                </c:pt>
                <c:pt idx="22">
                  <c:v>0.93910000000000005</c:v>
                </c:pt>
                <c:pt idx="23">
                  <c:v>0.91220000000000001</c:v>
                </c:pt>
                <c:pt idx="24">
                  <c:v>0.93769999999999998</c:v>
                </c:pt>
                <c:pt idx="25">
                  <c:v>0.96240000000000003</c:v>
                </c:pt>
                <c:pt idx="26">
                  <c:v>0.93740000000000001</c:v>
                </c:pt>
                <c:pt idx="27">
                  <c:v>0.93710000000000004</c:v>
                </c:pt>
                <c:pt idx="28">
                  <c:v>0.93710000000000004</c:v>
                </c:pt>
                <c:pt idx="29">
                  <c:v>0.93710000000000004</c:v>
                </c:pt>
                <c:pt idx="30">
                  <c:v>0.93710000000000004</c:v>
                </c:pt>
                <c:pt idx="31">
                  <c:v>0.91200000000000003</c:v>
                </c:pt>
                <c:pt idx="32">
                  <c:v>0.90969999999999995</c:v>
                </c:pt>
                <c:pt idx="33">
                  <c:v>0.90469999999999995</c:v>
                </c:pt>
                <c:pt idx="34">
                  <c:v>0.89400000000000002</c:v>
                </c:pt>
                <c:pt idx="35">
                  <c:v>0.88959999999999995</c:v>
                </c:pt>
                <c:pt idx="36">
                  <c:v>0.88719999999999999</c:v>
                </c:pt>
                <c:pt idx="37">
                  <c:v>0.86780000000000002</c:v>
                </c:pt>
                <c:pt idx="38">
                  <c:v>0.99980000000000002</c:v>
                </c:pt>
                <c:pt idx="39">
                  <c:v>0.99970000000000003</c:v>
                </c:pt>
                <c:pt idx="40">
                  <c:v>0.99960000000000004</c:v>
                </c:pt>
                <c:pt idx="41">
                  <c:v>0.99950000000000006</c:v>
                </c:pt>
                <c:pt idx="42">
                  <c:v>0.99929999999999997</c:v>
                </c:pt>
                <c:pt idx="43">
                  <c:v>0.99890000000000001</c:v>
                </c:pt>
                <c:pt idx="44">
                  <c:v>0.99890000000000001</c:v>
                </c:pt>
                <c:pt idx="45">
                  <c:v>0.99709999999999999</c:v>
                </c:pt>
                <c:pt idx="46">
                  <c:v>0.99429999999999996</c:v>
                </c:pt>
                <c:pt idx="47">
                  <c:v>0.99350000000000005</c:v>
                </c:pt>
                <c:pt idx="48">
                  <c:v>0.99350000000000005</c:v>
                </c:pt>
                <c:pt idx="49">
                  <c:v>0.97460000000000002</c:v>
                </c:pt>
                <c:pt idx="50">
                  <c:v>0.96660000000000001</c:v>
                </c:pt>
                <c:pt idx="51">
                  <c:v>0.96530000000000005</c:v>
                </c:pt>
                <c:pt idx="52">
                  <c:v>0.96240000000000003</c:v>
                </c:pt>
                <c:pt idx="53">
                  <c:v>0.99839999999999995</c:v>
                </c:pt>
                <c:pt idx="54">
                  <c:v>0.99399999999999999</c:v>
                </c:pt>
                <c:pt idx="55">
                  <c:v>0.99329999999999996</c:v>
                </c:pt>
                <c:pt idx="56">
                  <c:v>0.99119999999999997</c:v>
                </c:pt>
                <c:pt idx="57">
                  <c:v>0.99490000000000001</c:v>
                </c:pt>
                <c:pt idx="58">
                  <c:v>0.99460000000000004</c:v>
                </c:pt>
                <c:pt idx="59">
                  <c:v>0.99450000000000005</c:v>
                </c:pt>
                <c:pt idx="60">
                  <c:v>0.99450000000000005</c:v>
                </c:pt>
                <c:pt idx="61">
                  <c:v>0.99450000000000005</c:v>
                </c:pt>
                <c:pt idx="62">
                  <c:v>0.99119999999999997</c:v>
                </c:pt>
                <c:pt idx="63">
                  <c:v>0.84050000000000002</c:v>
                </c:pt>
                <c:pt idx="64">
                  <c:v>0.84050000000000002</c:v>
                </c:pt>
                <c:pt idx="65">
                  <c:v>0.84160000000000001</c:v>
                </c:pt>
                <c:pt idx="66">
                  <c:v>0.84350000000000003</c:v>
                </c:pt>
                <c:pt idx="67">
                  <c:v>0.85240000000000005</c:v>
                </c:pt>
                <c:pt idx="68">
                  <c:v>0.99150000000000005</c:v>
                </c:pt>
                <c:pt idx="69">
                  <c:v>0.99009999999999998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42FA-9A69-450E9660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3824"/>
        <c:axId val="104663296"/>
      </c:lineChart>
      <c:catAx>
        <c:axId val="1769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63296"/>
        <c:crosses val="autoZero"/>
        <c:auto val="1"/>
        <c:lblAlgn val="ctr"/>
        <c:lblOffset val="100"/>
        <c:noMultiLvlLbl val="0"/>
      </c:catAx>
      <c:valAx>
        <c:axId val="1046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7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21</xdr:row>
      <xdr:rowOff>76200</xdr:rowOff>
    </xdr:from>
    <xdr:to>
      <xdr:col>6</xdr:col>
      <xdr:colOff>447674</xdr:colOff>
      <xdr:row>39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7BF297-210C-5BE0-825E-9C09FB36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2</xdr:row>
      <xdr:rowOff>38100</xdr:rowOff>
    </xdr:from>
    <xdr:to>
      <xdr:col>14</xdr:col>
      <xdr:colOff>133001</xdr:colOff>
      <xdr:row>8</xdr:row>
      <xdr:rowOff>161767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28600"/>
          <a:ext cx="2790476" cy="1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1162049</xdr:colOff>
      <xdr:row>7</xdr:row>
      <xdr:rowOff>161925</xdr:rowOff>
    </xdr:from>
    <xdr:to>
      <xdr:col>5</xdr:col>
      <xdr:colOff>1200150</xdr:colOff>
      <xdr:row>34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11</xdr:row>
      <xdr:rowOff>66675</xdr:rowOff>
    </xdr:from>
    <xdr:to>
      <xdr:col>10</xdr:col>
      <xdr:colOff>47625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147637</xdr:rowOff>
    </xdr:from>
    <xdr:to>
      <xdr:col>14</xdr:col>
      <xdr:colOff>552450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119062</xdr:rowOff>
    </xdr:from>
    <xdr:to>
      <xdr:col>15</xdr:col>
      <xdr:colOff>171450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100012</xdr:rowOff>
    </xdr:from>
    <xdr:to>
      <xdr:col>18</xdr:col>
      <xdr:colOff>295275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B3F8-D2E9-4C57-AA12-77E0D9F32025}">
  <dimension ref="A1:H14"/>
  <sheetViews>
    <sheetView workbookViewId="0">
      <selection activeCell="H15" sqref="H15"/>
    </sheetView>
  </sheetViews>
  <sheetFormatPr defaultRowHeight="15" x14ac:dyDescent="0.25"/>
  <cols>
    <col min="1" max="1" width="15.28515625" style="11" customWidth="1"/>
    <col min="2" max="2" width="20.140625" bestFit="1" customWidth="1"/>
    <col min="3" max="3" width="15" bestFit="1" customWidth="1"/>
    <col min="4" max="4" width="26.5703125" bestFit="1" customWidth="1"/>
    <col min="5" max="5" width="25.140625" bestFit="1" customWidth="1"/>
    <col min="6" max="7" width="14.28515625" bestFit="1" customWidth="1"/>
    <col min="8" max="8" width="11.5703125" bestFit="1" customWidth="1"/>
  </cols>
  <sheetData>
    <row r="1" spans="1:8" x14ac:dyDescent="0.25">
      <c r="B1" s="11" t="s">
        <v>616</v>
      </c>
      <c r="C1" s="11" t="s">
        <v>608</v>
      </c>
      <c r="D1" s="11" t="s">
        <v>609</v>
      </c>
      <c r="E1" s="11" t="s">
        <v>610</v>
      </c>
      <c r="F1" s="11"/>
    </row>
    <row r="2" spans="1:8" x14ac:dyDescent="0.25">
      <c r="A2" s="11" t="s">
        <v>5</v>
      </c>
      <c r="B2" s="57">
        <v>49772811.236000001</v>
      </c>
      <c r="C2" s="57">
        <v>1627946.6459999999</v>
      </c>
      <c r="D2" s="167">
        <v>3.2710000000000003E-2</v>
      </c>
      <c r="E2" s="168">
        <v>2.9790000000000001E-2</v>
      </c>
    </row>
    <row r="3" spans="1:8" x14ac:dyDescent="0.25">
      <c r="A3" s="11" t="s">
        <v>6</v>
      </c>
      <c r="B3" s="57">
        <v>4726161.7949999999</v>
      </c>
      <c r="C3" s="57">
        <v>243637.079</v>
      </c>
      <c r="D3" s="167">
        <v>5.1549999999999999E-2</v>
      </c>
      <c r="E3" s="168">
        <v>4.4600000000000004E-3</v>
      </c>
    </row>
    <row r="4" spans="1:8" x14ac:dyDescent="0.25">
      <c r="A4" s="11" t="s">
        <v>7</v>
      </c>
      <c r="B4" s="57">
        <v>34813908.555</v>
      </c>
      <c r="C4" s="57">
        <v>984610.95799999998</v>
      </c>
      <c r="D4" s="167">
        <v>2.828E-2</v>
      </c>
      <c r="E4" s="168">
        <v>1.8020000000000001E-2</v>
      </c>
      <c r="F4" s="169">
        <f>C4</f>
        <v>984610.95799999998</v>
      </c>
    </row>
    <row r="5" spans="1:8" x14ac:dyDescent="0.25">
      <c r="A5" s="11" t="s">
        <v>8</v>
      </c>
      <c r="B5" s="57">
        <v>22836335.173</v>
      </c>
      <c r="C5" s="57">
        <v>380447.53600000002</v>
      </c>
      <c r="D5" s="167">
        <v>1.6660000000000001E-2</v>
      </c>
      <c r="E5" s="168">
        <v>6.96E-3</v>
      </c>
      <c r="F5" s="169">
        <f>C5</f>
        <v>380447.53600000002</v>
      </c>
    </row>
    <row r="6" spans="1:8" x14ac:dyDescent="0.25">
      <c r="A6" s="11" t="s">
        <v>611</v>
      </c>
      <c r="B6" s="57">
        <v>19391284.217</v>
      </c>
      <c r="C6" s="57">
        <v>108492.397</v>
      </c>
      <c r="D6" s="167">
        <v>1.99E-3</v>
      </c>
      <c r="E6" s="168">
        <v>1.99E-3</v>
      </c>
      <c r="F6" s="169">
        <f>C6</f>
        <v>108492.397</v>
      </c>
    </row>
    <row r="7" spans="1:8" x14ac:dyDescent="0.25">
      <c r="A7" s="11" t="s">
        <v>612</v>
      </c>
      <c r="B7" s="57">
        <v>3177435.1680000001</v>
      </c>
      <c r="C7" s="57">
        <v>16491.127</v>
      </c>
      <c r="D7" s="167">
        <v>5.1900000000000002E-3</v>
      </c>
      <c r="E7" s="168">
        <v>2.9999999999999997E-4</v>
      </c>
    </row>
    <row r="8" spans="1:8" x14ac:dyDescent="0.25">
      <c r="A8" s="11" t="s">
        <v>613</v>
      </c>
      <c r="B8" s="57">
        <v>28449350.171</v>
      </c>
      <c r="C8" s="57">
        <v>172089.334</v>
      </c>
      <c r="D8" s="167">
        <v>6.0499999999999998E-3</v>
      </c>
      <c r="E8" s="168">
        <v>3.15E-3</v>
      </c>
      <c r="F8" s="168"/>
    </row>
    <row r="9" spans="1:8" x14ac:dyDescent="0.25">
      <c r="A9" s="11" t="s">
        <v>614</v>
      </c>
      <c r="B9" s="57">
        <v>606432.84299999999</v>
      </c>
      <c r="C9" s="57">
        <v>0</v>
      </c>
      <c r="D9" s="167">
        <v>0</v>
      </c>
      <c r="E9" s="168">
        <v>0</v>
      </c>
    </row>
    <row r="10" spans="1:8" x14ac:dyDescent="0.25">
      <c r="A10" s="11" t="s">
        <v>3</v>
      </c>
      <c r="B10" s="57">
        <v>4228199.2640000004</v>
      </c>
      <c r="C10" s="57">
        <v>28874.06</v>
      </c>
      <c r="D10" s="167">
        <v>6.8300000000000001E-3</v>
      </c>
      <c r="E10" s="168">
        <v>5.2999999999999998E-4</v>
      </c>
      <c r="F10" s="168"/>
    </row>
    <row r="11" spans="1:8" x14ac:dyDescent="0.25">
      <c r="A11" s="11" t="s">
        <v>2</v>
      </c>
      <c r="B11" s="57">
        <v>238590.321</v>
      </c>
      <c r="C11" s="57">
        <v>0</v>
      </c>
      <c r="D11" s="167">
        <v>0</v>
      </c>
      <c r="E11" s="168">
        <v>0</v>
      </c>
      <c r="F11" s="169">
        <f>C11</f>
        <v>0</v>
      </c>
    </row>
    <row r="12" spans="1:8" x14ac:dyDescent="0.25">
      <c r="A12" s="11" t="s">
        <v>615</v>
      </c>
      <c r="B12" s="57">
        <v>116963.594</v>
      </c>
      <c r="C12" s="57">
        <v>0</v>
      </c>
      <c r="D12" s="167">
        <v>0</v>
      </c>
      <c r="E12" s="168">
        <v>0</v>
      </c>
      <c r="F12" s="169">
        <f>C12</f>
        <v>0</v>
      </c>
    </row>
    <row r="13" spans="1:8" x14ac:dyDescent="0.25">
      <c r="A13" s="11" t="s">
        <v>4</v>
      </c>
      <c r="B13" s="57">
        <v>22682937.072000001</v>
      </c>
      <c r="C13" s="57">
        <v>816432.27500000002</v>
      </c>
      <c r="D13" s="167">
        <v>3.5990000000000001E-2</v>
      </c>
      <c r="E13" s="168">
        <v>1.494E-2</v>
      </c>
      <c r="F13" s="169">
        <f>C13</f>
        <v>816432.27500000002</v>
      </c>
    </row>
    <row r="14" spans="1:8" x14ac:dyDescent="0.25">
      <c r="B14" s="57">
        <v>54645181.880000003</v>
      </c>
      <c r="C14" s="169">
        <f>SUM(C2:C13)</f>
        <v>4379021.4119999995</v>
      </c>
      <c r="D14" s="11"/>
      <c r="E14" s="170">
        <f>SUM(E2:E13)</f>
        <v>8.0140000000000003E-2</v>
      </c>
      <c r="F14" s="171">
        <f>SUM(F4:F13)</f>
        <v>2289983.1659999997</v>
      </c>
      <c r="G14" s="124">
        <f>0.05*F14</f>
        <v>114499.1583</v>
      </c>
      <c r="H14" s="108">
        <f>G14*250</f>
        <v>28624789.574999999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zoomScale="130" zoomScaleNormal="130" workbookViewId="0">
      <selection activeCell="L27" sqref="L27:M27"/>
    </sheetView>
  </sheetViews>
  <sheetFormatPr defaultRowHeight="11.25" x14ac:dyDescent="0.2"/>
  <cols>
    <col min="1" max="1" width="32.5703125" style="141" bestFit="1" customWidth="1"/>
    <col min="2" max="2" width="9" style="141" bestFit="1" customWidth="1"/>
    <col min="3" max="3" width="6.42578125" style="141" bestFit="1" customWidth="1"/>
    <col min="4" max="7" width="5.7109375" style="141" bestFit="1" customWidth="1"/>
    <col min="8" max="9" width="5.7109375" style="141" hidden="1" customWidth="1"/>
    <col min="10" max="11" width="5.42578125" style="141" bestFit="1" customWidth="1"/>
    <col min="12" max="13" width="7" style="141" bestFit="1" customWidth="1"/>
    <col min="14" max="16384" width="9.140625" style="141"/>
  </cols>
  <sheetData>
    <row r="1" spans="1:13" x14ac:dyDescent="0.2">
      <c r="A1" s="177"/>
      <c r="B1" s="231" t="s">
        <v>269</v>
      </c>
      <c r="C1" s="232"/>
      <c r="D1" s="233" t="s">
        <v>270</v>
      </c>
      <c r="E1" s="233"/>
      <c r="F1" s="233"/>
      <c r="G1" s="233"/>
      <c r="H1" s="178"/>
      <c r="I1" s="178"/>
      <c r="J1" s="233" t="s">
        <v>618</v>
      </c>
      <c r="K1" s="233"/>
      <c r="L1" s="233"/>
      <c r="M1" s="233"/>
    </row>
    <row r="2" spans="1:13" x14ac:dyDescent="0.2">
      <c r="A2" s="178" t="s">
        <v>617</v>
      </c>
      <c r="B2" s="178" t="s">
        <v>271</v>
      </c>
      <c r="C2" s="178" t="s">
        <v>272</v>
      </c>
      <c r="D2" s="178" t="s">
        <v>273</v>
      </c>
      <c r="E2" s="178" t="s">
        <v>274</v>
      </c>
      <c r="F2" s="178" t="s">
        <v>275</v>
      </c>
      <c r="G2" s="178" t="s">
        <v>276</v>
      </c>
      <c r="H2" s="178" t="s">
        <v>273</v>
      </c>
      <c r="I2" s="178" t="s">
        <v>274</v>
      </c>
      <c r="J2" s="178" t="s">
        <v>275</v>
      </c>
      <c r="K2" s="178" t="s">
        <v>276</v>
      </c>
      <c r="L2" s="178" t="s">
        <v>277</v>
      </c>
      <c r="M2" s="178" t="s">
        <v>277</v>
      </c>
    </row>
    <row r="3" spans="1:13" x14ac:dyDescent="0.2">
      <c r="A3" s="178">
        <v>102</v>
      </c>
      <c r="B3" s="150" t="s">
        <v>278</v>
      </c>
      <c r="C3" s="179">
        <v>21.15</v>
      </c>
      <c r="D3" s="180">
        <v>1.5501400000000001</v>
      </c>
      <c r="E3" s="180">
        <v>0.45426299999999997</v>
      </c>
      <c r="F3" s="180">
        <v>1.9884999999999999</v>
      </c>
      <c r="G3" s="180">
        <v>1.7453000000000001</v>
      </c>
      <c r="H3" s="180">
        <v>1.5511299999999999</v>
      </c>
      <c r="I3" s="180">
        <v>0.45425900000000002</v>
      </c>
      <c r="J3" s="180">
        <v>2.1211099999999998</v>
      </c>
      <c r="K3" s="180">
        <v>1.9736800000000001</v>
      </c>
      <c r="L3" s="181">
        <f t="shared" ref="L3:L14" si="0">J3/F3 -100%</f>
        <v>6.6688458637163661E-2</v>
      </c>
      <c r="M3" s="181">
        <f t="shared" ref="M3:M14" si="1">K3/G3 -100%</f>
        <v>0.13085429439064922</v>
      </c>
    </row>
    <row r="4" spans="1:13" x14ac:dyDescent="0.2">
      <c r="A4" s="178">
        <v>103</v>
      </c>
      <c r="B4" s="150" t="s">
        <v>279</v>
      </c>
      <c r="C4" s="182">
        <v>33.630000000000003</v>
      </c>
      <c r="D4" s="180">
        <v>0.97444399999999998</v>
      </c>
      <c r="E4" s="180">
        <v>0.436664</v>
      </c>
      <c r="F4" s="180">
        <v>1.4128000000000001</v>
      </c>
      <c r="G4" s="180">
        <v>1.7277</v>
      </c>
      <c r="H4" s="180">
        <v>0.97513399999999995</v>
      </c>
      <c r="I4" s="180">
        <v>0.43665999999999999</v>
      </c>
      <c r="J4" s="180">
        <v>1.54511</v>
      </c>
      <c r="K4" s="180">
        <v>1.95608</v>
      </c>
      <c r="L4" s="181">
        <f t="shared" si="0"/>
        <v>9.3650906002265E-2</v>
      </c>
      <c r="M4" s="181">
        <f t="shared" si="1"/>
        <v>0.13218730103605947</v>
      </c>
    </row>
    <row r="5" spans="1:13" x14ac:dyDescent="0.2">
      <c r="A5" s="178">
        <v>104</v>
      </c>
      <c r="B5" s="150" t="s">
        <v>280</v>
      </c>
      <c r="C5" s="182">
        <v>53.43</v>
      </c>
      <c r="D5" s="180">
        <v>0.61316499999999996</v>
      </c>
      <c r="E5" s="180">
        <v>0.41915999999999998</v>
      </c>
      <c r="F5" s="180">
        <v>1.0615000000000001</v>
      </c>
      <c r="G5" s="180">
        <v>1.5589</v>
      </c>
      <c r="H5" s="180">
        <v>0.61314599999999997</v>
      </c>
      <c r="I5" s="180">
        <v>0.41915999999999998</v>
      </c>
      <c r="J5" s="180">
        <v>1.1836599999999999</v>
      </c>
      <c r="K5" s="180">
        <v>1.72258</v>
      </c>
      <c r="L5" s="181">
        <f t="shared" si="0"/>
        <v>0.11508243052284484</v>
      </c>
      <c r="M5" s="181">
        <f t="shared" si="1"/>
        <v>0.10499711334915651</v>
      </c>
    </row>
    <row r="6" spans="1:13" x14ac:dyDescent="0.2">
      <c r="A6" s="178">
        <v>107</v>
      </c>
      <c r="B6" s="150" t="s">
        <v>281</v>
      </c>
      <c r="C6" s="182">
        <v>107.2</v>
      </c>
      <c r="D6" s="180">
        <v>0.30615900000000001</v>
      </c>
      <c r="E6" s="180">
        <v>0.39271099999999998</v>
      </c>
      <c r="F6" s="180">
        <v>0.70540000000000003</v>
      </c>
      <c r="G6" s="180">
        <v>1.3851</v>
      </c>
      <c r="H6" s="180">
        <v>0.30613499999999999</v>
      </c>
      <c r="I6" s="180">
        <v>0.39272000000000001</v>
      </c>
      <c r="J6" s="180">
        <v>0.79681000000000002</v>
      </c>
      <c r="K6" s="180">
        <v>1.5009999999999999</v>
      </c>
      <c r="L6" s="181">
        <f t="shared" si="0"/>
        <v>0.12958605046781968</v>
      </c>
      <c r="M6" s="181">
        <f t="shared" si="1"/>
        <v>8.3676268861454073E-2</v>
      </c>
    </row>
    <row r="7" spans="1:13" x14ac:dyDescent="0.2">
      <c r="A7" s="178">
        <v>108</v>
      </c>
      <c r="B7" s="150" t="s">
        <v>282</v>
      </c>
      <c r="C7" s="182">
        <v>170.5</v>
      </c>
      <c r="D7" s="180">
        <v>0.195159</v>
      </c>
      <c r="E7" s="180">
        <v>0.35645500000000002</v>
      </c>
      <c r="F7" s="180">
        <v>0.59440000000000004</v>
      </c>
      <c r="G7" s="180">
        <v>1.3489</v>
      </c>
      <c r="H7" s="180">
        <v>0.195135</v>
      </c>
      <c r="I7" s="180">
        <v>0.35646499999999998</v>
      </c>
      <c r="J7" s="180">
        <v>0.68581000000000003</v>
      </c>
      <c r="K7" s="180">
        <v>1.4647399999999999</v>
      </c>
      <c r="L7" s="181">
        <f t="shared" si="0"/>
        <v>0.15378532974427994</v>
      </c>
      <c r="M7" s="181">
        <f t="shared" si="1"/>
        <v>8.5877381570168332E-2</v>
      </c>
    </row>
    <row r="8" spans="1:13" x14ac:dyDescent="0.2">
      <c r="A8" s="178">
        <v>202</v>
      </c>
      <c r="B8" s="150" t="s">
        <v>278</v>
      </c>
      <c r="C8" s="179">
        <v>21.15</v>
      </c>
      <c r="D8" s="180">
        <v>1.5510600000000001</v>
      </c>
      <c r="E8" s="180">
        <v>0.47458600000000001</v>
      </c>
      <c r="F8" s="180">
        <v>1.9919100000000001</v>
      </c>
      <c r="G8" s="180">
        <v>1.6743300000000001</v>
      </c>
      <c r="H8" s="180">
        <v>1.55105</v>
      </c>
      <c r="I8" s="180">
        <v>0.47458499999999998</v>
      </c>
      <c r="J8" s="180">
        <v>2.1245400000000001</v>
      </c>
      <c r="K8" s="180">
        <v>1.9025099999999999</v>
      </c>
      <c r="L8" s="181">
        <f t="shared" si="0"/>
        <v>6.6584333629531534E-2</v>
      </c>
      <c r="M8" s="181">
        <f t="shared" si="1"/>
        <v>0.13628137822293085</v>
      </c>
    </row>
    <row r="9" spans="1:13" x14ac:dyDescent="0.2">
      <c r="A9" s="178">
        <v>203</v>
      </c>
      <c r="B9" s="150" t="s">
        <v>279</v>
      </c>
      <c r="C9" s="182">
        <v>33.630000000000003</v>
      </c>
      <c r="D9" s="180">
        <v>0.97505600000000003</v>
      </c>
      <c r="E9" s="180">
        <v>0.45702399999999999</v>
      </c>
      <c r="F9" s="180">
        <v>1.41591</v>
      </c>
      <c r="G9" s="180">
        <v>1.6567700000000001</v>
      </c>
      <c r="H9" s="180">
        <v>0.97505200000000003</v>
      </c>
      <c r="I9" s="180">
        <v>0.45702199999999998</v>
      </c>
      <c r="J9" s="180">
        <v>1.54854</v>
      </c>
      <c r="K9" s="180">
        <v>1.8849499999999999</v>
      </c>
      <c r="L9" s="181">
        <f t="shared" si="0"/>
        <v>9.3671207915757337E-2</v>
      </c>
      <c r="M9" s="181">
        <f t="shared" si="1"/>
        <v>0.13772581589478317</v>
      </c>
    </row>
    <row r="10" spans="1:13" x14ac:dyDescent="0.2">
      <c r="A10" s="178">
        <v>204</v>
      </c>
      <c r="B10" s="150" t="s">
        <v>280</v>
      </c>
      <c r="C10" s="182">
        <v>53.43</v>
      </c>
      <c r="D10" s="180">
        <v>0.61306400000000005</v>
      </c>
      <c r="E10" s="180">
        <v>0.43958000000000003</v>
      </c>
      <c r="F10" s="180">
        <v>1.06558</v>
      </c>
      <c r="G10" s="180">
        <v>1.4867300000000001</v>
      </c>
      <c r="H10" s="180">
        <v>0.61305699999999996</v>
      </c>
      <c r="I10" s="180">
        <v>0.43958799999999998</v>
      </c>
      <c r="J10" s="180">
        <v>1.1891</v>
      </c>
      <c r="K10" s="180">
        <v>1.6495200000000001</v>
      </c>
      <c r="L10" s="181">
        <f t="shared" si="0"/>
        <v>0.11591809155577248</v>
      </c>
      <c r="M10" s="181">
        <f t="shared" si="1"/>
        <v>0.10949533540050993</v>
      </c>
    </row>
    <row r="11" spans="1:13" x14ac:dyDescent="0.2">
      <c r="A11" s="178">
        <v>207</v>
      </c>
      <c r="B11" s="150" t="s">
        <v>281</v>
      </c>
      <c r="C11" s="182">
        <v>107.2</v>
      </c>
      <c r="D11" s="180">
        <v>0.30606299999999997</v>
      </c>
      <c r="E11" s="180">
        <v>0.41325400000000001</v>
      </c>
      <c r="F11" s="180">
        <v>0.71033900000000005</v>
      </c>
      <c r="G11" s="180">
        <v>1.3103</v>
      </c>
      <c r="H11" s="180">
        <v>0.30605300000000002</v>
      </c>
      <c r="I11" s="180">
        <v>0.41325699999999999</v>
      </c>
      <c r="J11" s="180">
        <v>0.80302200000000001</v>
      </c>
      <c r="K11" s="180">
        <v>1.42472</v>
      </c>
      <c r="L11" s="181">
        <f t="shared" si="0"/>
        <v>0.13047713838040709</v>
      </c>
      <c r="M11" s="181">
        <f t="shared" si="1"/>
        <v>8.732351369915281E-2</v>
      </c>
    </row>
    <row r="12" spans="1:13" x14ac:dyDescent="0.2">
      <c r="A12" s="178">
        <v>208</v>
      </c>
      <c r="B12" s="150" t="s">
        <v>282</v>
      </c>
      <c r="C12" s="182">
        <v>170.5</v>
      </c>
      <c r="D12" s="180">
        <v>0.19506299999999999</v>
      </c>
      <c r="E12" s="180">
        <v>0.38710499999999998</v>
      </c>
      <c r="F12" s="180">
        <v>0.59930000000000005</v>
      </c>
      <c r="G12" s="180">
        <v>1.2842</v>
      </c>
      <c r="H12" s="180">
        <v>0.195053</v>
      </c>
      <c r="I12" s="180">
        <v>0.38710899999999998</v>
      </c>
      <c r="J12" s="180">
        <v>0.69202200000000003</v>
      </c>
      <c r="K12" s="180">
        <v>1.3985700000000001</v>
      </c>
      <c r="L12" s="181">
        <f t="shared" si="0"/>
        <v>0.1547171700317036</v>
      </c>
      <c r="M12" s="181">
        <f t="shared" si="1"/>
        <v>8.9059336551938983E-2</v>
      </c>
    </row>
    <row r="13" spans="1:13" x14ac:dyDescent="0.2">
      <c r="A13" s="178" t="s">
        <v>28</v>
      </c>
      <c r="B13" s="150" t="s">
        <v>283</v>
      </c>
      <c r="C13" s="179">
        <v>50</v>
      </c>
      <c r="D13" s="180">
        <v>0.73141599999999996</v>
      </c>
      <c r="E13" s="180">
        <v>0.30349799999999999</v>
      </c>
      <c r="F13" s="180">
        <v>1.1707000000000001</v>
      </c>
      <c r="G13" s="180">
        <v>1.8012999999999999</v>
      </c>
      <c r="H13" s="180">
        <v>0.73201400000000005</v>
      </c>
      <c r="I13" s="180">
        <v>0.30349799999999999</v>
      </c>
      <c r="J13" s="180">
        <v>1.2923100000000001</v>
      </c>
      <c r="K13" s="180">
        <v>1.9673400000000001</v>
      </c>
      <c r="L13" s="181">
        <f t="shared" si="0"/>
        <v>0.10387802169642102</v>
      </c>
      <c r="M13" s="181">
        <f t="shared" si="1"/>
        <v>9.2177871537223233E-2</v>
      </c>
    </row>
    <row r="14" spans="1:13" x14ac:dyDescent="0.2">
      <c r="A14" s="178" t="s">
        <v>31</v>
      </c>
      <c r="B14" s="150" t="s">
        <v>283</v>
      </c>
      <c r="C14" s="179">
        <v>150</v>
      </c>
      <c r="D14" s="180">
        <v>0.23471500000000001</v>
      </c>
      <c r="E14" s="180">
        <v>0.24085599999999999</v>
      </c>
      <c r="F14" s="180">
        <v>0.62580000000000002</v>
      </c>
      <c r="G14" s="180">
        <v>1.5955999999999999</v>
      </c>
      <c r="H14" s="180">
        <v>0.236013</v>
      </c>
      <c r="I14" s="180">
        <v>0.24085699999999999</v>
      </c>
      <c r="J14" s="180">
        <v>0.71784499999999996</v>
      </c>
      <c r="K14" s="180">
        <v>1.7141299999999999</v>
      </c>
      <c r="L14" s="181">
        <f t="shared" si="0"/>
        <v>0.14708373282198783</v>
      </c>
      <c r="M14" s="181">
        <f t="shared" si="1"/>
        <v>7.4285535221860099E-2</v>
      </c>
    </row>
    <row r="15" spans="1:13" x14ac:dyDescent="0.2">
      <c r="A15" s="177"/>
      <c r="B15" s="177"/>
      <c r="C15" s="177"/>
      <c r="D15" s="177"/>
      <c r="E15" s="177"/>
      <c r="F15" s="177"/>
      <c r="G15" s="177"/>
      <c r="H15" s="177"/>
      <c r="I15" s="177"/>
      <c r="J15" s="178" t="s">
        <v>284</v>
      </c>
      <c r="K15" s="178" t="s">
        <v>284</v>
      </c>
      <c r="L15" s="181">
        <f>AVERAGE(L3:L14)</f>
        <v>0.1142602392838295</v>
      </c>
      <c r="M15" s="181">
        <f>AVERAGE(M3:M14)</f>
        <v>0.10532842881132388</v>
      </c>
    </row>
    <row r="16" spans="1:13" x14ac:dyDescent="0.2">
      <c r="A16" s="183" t="s">
        <v>285</v>
      </c>
      <c r="B16" s="184"/>
      <c r="C16" s="184"/>
    </row>
    <row r="18" spans="1:13" x14ac:dyDescent="0.2">
      <c r="A18" s="177"/>
      <c r="B18" s="231" t="s">
        <v>269</v>
      </c>
      <c r="C18" s="232"/>
      <c r="D18" s="233" t="s">
        <v>270</v>
      </c>
      <c r="E18" s="233"/>
      <c r="F18" s="233"/>
      <c r="G18" s="233"/>
      <c r="H18" s="178"/>
      <c r="I18" s="178"/>
      <c r="J18" s="233" t="s">
        <v>618</v>
      </c>
      <c r="K18" s="233"/>
      <c r="L18" s="233"/>
      <c r="M18" s="233"/>
    </row>
    <row r="19" spans="1:13" x14ac:dyDescent="0.2">
      <c r="A19" s="178" t="s">
        <v>617</v>
      </c>
      <c r="B19" s="178" t="s">
        <v>271</v>
      </c>
      <c r="C19" s="178" t="s">
        <v>272</v>
      </c>
      <c r="D19" s="178" t="s">
        <v>273</v>
      </c>
      <c r="E19" s="178" t="s">
        <v>274</v>
      </c>
      <c r="F19" s="178" t="s">
        <v>275</v>
      </c>
      <c r="G19" s="178" t="s">
        <v>276</v>
      </c>
      <c r="H19" s="178" t="s">
        <v>273</v>
      </c>
      <c r="I19" s="178" t="s">
        <v>274</v>
      </c>
      <c r="J19" s="178" t="s">
        <v>275</v>
      </c>
      <c r="K19" s="178" t="s">
        <v>276</v>
      </c>
      <c r="L19" s="178" t="s">
        <v>277</v>
      </c>
      <c r="M19" s="178" t="s">
        <v>277</v>
      </c>
    </row>
    <row r="20" spans="1:13" x14ac:dyDescent="0.2">
      <c r="A20" s="178">
        <v>102</v>
      </c>
      <c r="B20" s="150" t="s">
        <v>278</v>
      </c>
      <c r="C20" s="179">
        <v>21.15</v>
      </c>
      <c r="D20" s="180">
        <v>1.5501400000000001</v>
      </c>
      <c r="E20" s="180">
        <v>0.45426299999999997</v>
      </c>
      <c r="F20" s="180">
        <v>1.9884999999999999</v>
      </c>
      <c r="G20" s="180">
        <v>1.7453000000000001</v>
      </c>
      <c r="H20" s="180">
        <v>1.5511299999999999</v>
      </c>
      <c r="I20" s="180">
        <v>0.45425900000000002</v>
      </c>
      <c r="J20" s="180">
        <v>2.1211099999999998</v>
      </c>
      <c r="K20" s="180">
        <v>1.9736800000000001</v>
      </c>
      <c r="L20" s="181">
        <f t="shared" ref="L20:M26" si="2">J20/F20 -100%</f>
        <v>6.6688458637163661E-2</v>
      </c>
      <c r="M20" s="181">
        <f t="shared" si="2"/>
        <v>0.13085429439064922</v>
      </c>
    </row>
    <row r="21" spans="1:13" x14ac:dyDescent="0.2">
      <c r="A21" s="178">
        <v>103</v>
      </c>
      <c r="B21" s="150" t="s">
        <v>279</v>
      </c>
      <c r="C21" s="182">
        <v>33.630000000000003</v>
      </c>
      <c r="D21" s="180">
        <v>0.97444399999999998</v>
      </c>
      <c r="E21" s="180">
        <v>0.436664</v>
      </c>
      <c r="F21" s="180">
        <v>1.4128000000000001</v>
      </c>
      <c r="G21" s="180">
        <v>1.7277</v>
      </c>
      <c r="H21" s="180">
        <v>0.97513399999999995</v>
      </c>
      <c r="I21" s="180">
        <v>0.43665999999999999</v>
      </c>
      <c r="J21" s="180">
        <v>1.54511</v>
      </c>
      <c r="K21" s="180">
        <v>1.95608</v>
      </c>
      <c r="L21" s="181">
        <f t="shared" si="2"/>
        <v>9.3650906002265E-2</v>
      </c>
      <c r="M21" s="181">
        <f t="shared" si="2"/>
        <v>0.13218730103605947</v>
      </c>
    </row>
    <row r="22" spans="1:13" x14ac:dyDescent="0.2">
      <c r="A22" s="178">
        <v>104</v>
      </c>
      <c r="B22" s="150" t="s">
        <v>280</v>
      </c>
      <c r="C22" s="182">
        <v>53.43</v>
      </c>
      <c r="D22" s="180">
        <v>0.61316499999999996</v>
      </c>
      <c r="E22" s="180">
        <v>0.41915999999999998</v>
      </c>
      <c r="F22" s="180">
        <v>1.0615000000000001</v>
      </c>
      <c r="G22" s="180">
        <v>1.5589</v>
      </c>
      <c r="H22" s="180">
        <v>0.61314599999999997</v>
      </c>
      <c r="I22" s="180">
        <v>0.41915999999999998</v>
      </c>
      <c r="J22" s="180">
        <v>1.1836599999999999</v>
      </c>
      <c r="K22" s="180">
        <v>1.72258</v>
      </c>
      <c r="L22" s="181">
        <f t="shared" si="2"/>
        <v>0.11508243052284484</v>
      </c>
      <c r="M22" s="181">
        <f t="shared" si="2"/>
        <v>0.10499711334915651</v>
      </c>
    </row>
    <row r="23" spans="1:13" x14ac:dyDescent="0.2">
      <c r="A23" s="178">
        <v>107</v>
      </c>
      <c r="B23" s="150" t="s">
        <v>281</v>
      </c>
      <c r="C23" s="182">
        <v>107.2</v>
      </c>
      <c r="D23" s="180">
        <v>0.30615900000000001</v>
      </c>
      <c r="E23" s="180">
        <v>0.39271099999999998</v>
      </c>
      <c r="F23" s="180">
        <v>0.70540000000000003</v>
      </c>
      <c r="G23" s="180">
        <v>1.3851</v>
      </c>
      <c r="H23" s="180">
        <v>0.30613499999999999</v>
      </c>
      <c r="I23" s="180">
        <v>0.39272000000000001</v>
      </c>
      <c r="J23" s="180">
        <v>0.79681000000000002</v>
      </c>
      <c r="K23" s="180">
        <v>1.5009999999999999</v>
      </c>
      <c r="L23" s="181">
        <f t="shared" si="2"/>
        <v>0.12958605046781968</v>
      </c>
      <c r="M23" s="181">
        <f t="shared" si="2"/>
        <v>8.3676268861454073E-2</v>
      </c>
    </row>
    <row r="24" spans="1:13" x14ac:dyDescent="0.2">
      <c r="A24" s="178">
        <v>108</v>
      </c>
      <c r="B24" s="150" t="s">
        <v>282</v>
      </c>
      <c r="C24" s="182">
        <v>170.5</v>
      </c>
      <c r="D24" s="180">
        <v>0.195159</v>
      </c>
      <c r="E24" s="180">
        <v>0.35645500000000002</v>
      </c>
      <c r="F24" s="180">
        <v>0.59440000000000004</v>
      </c>
      <c r="G24" s="180">
        <v>1.3489</v>
      </c>
      <c r="H24" s="180">
        <v>0.195135</v>
      </c>
      <c r="I24" s="180">
        <v>0.35646499999999998</v>
      </c>
      <c r="J24" s="180">
        <v>0.68581000000000003</v>
      </c>
      <c r="K24" s="180">
        <v>1.4647399999999999</v>
      </c>
      <c r="L24" s="181">
        <f t="shared" si="2"/>
        <v>0.15378532974427994</v>
      </c>
      <c r="M24" s="181">
        <f t="shared" si="2"/>
        <v>8.5877381570168332E-2</v>
      </c>
    </row>
    <row r="25" spans="1:13" x14ac:dyDescent="0.2">
      <c r="A25" s="178" t="s">
        <v>28</v>
      </c>
      <c r="B25" s="150" t="s">
        <v>283</v>
      </c>
      <c r="C25" s="179">
        <v>50</v>
      </c>
      <c r="D25" s="180">
        <v>0.73141599999999996</v>
      </c>
      <c r="E25" s="180">
        <v>0.30349799999999999</v>
      </c>
      <c r="F25" s="180">
        <v>1.1707000000000001</v>
      </c>
      <c r="G25" s="180">
        <v>1.8012999999999999</v>
      </c>
      <c r="H25" s="180">
        <v>0.73201400000000005</v>
      </c>
      <c r="I25" s="180">
        <v>0.30349799999999999</v>
      </c>
      <c r="J25" s="180">
        <v>1.2923100000000001</v>
      </c>
      <c r="K25" s="180">
        <v>1.9673400000000001</v>
      </c>
      <c r="L25" s="181">
        <f t="shared" si="2"/>
        <v>0.10387802169642102</v>
      </c>
      <c r="M25" s="181">
        <f t="shared" si="2"/>
        <v>9.2177871537223233E-2</v>
      </c>
    </row>
    <row r="26" spans="1:13" x14ac:dyDescent="0.2">
      <c r="A26" s="178" t="s">
        <v>31</v>
      </c>
      <c r="B26" s="150" t="s">
        <v>283</v>
      </c>
      <c r="C26" s="179">
        <v>150</v>
      </c>
      <c r="D26" s="180">
        <v>0.23471500000000001</v>
      </c>
      <c r="E26" s="180">
        <v>0.24085599999999999</v>
      </c>
      <c r="F26" s="180">
        <v>0.62580000000000002</v>
      </c>
      <c r="G26" s="180">
        <v>1.5955999999999999</v>
      </c>
      <c r="H26" s="180">
        <v>0.236013</v>
      </c>
      <c r="I26" s="180">
        <v>0.24085699999999999</v>
      </c>
      <c r="J26" s="180">
        <v>0.71784499999999996</v>
      </c>
      <c r="K26" s="180">
        <v>1.7141299999999999</v>
      </c>
      <c r="L26" s="181">
        <f t="shared" si="2"/>
        <v>0.14708373282198783</v>
      </c>
      <c r="M26" s="181">
        <f t="shared" si="2"/>
        <v>7.4285535221860099E-2</v>
      </c>
    </row>
    <row r="27" spans="1:13" x14ac:dyDescent="0.2">
      <c r="A27" s="177"/>
      <c r="B27" s="177"/>
      <c r="C27" s="177"/>
      <c r="D27" s="177"/>
      <c r="E27" s="177"/>
      <c r="F27" s="177"/>
      <c r="G27" s="177"/>
      <c r="H27" s="177"/>
      <c r="I27" s="177"/>
      <c r="J27" s="178" t="s">
        <v>284</v>
      </c>
      <c r="K27" s="178" t="s">
        <v>284</v>
      </c>
      <c r="L27" s="181">
        <f>AVERAGE(L20:L26)</f>
        <v>0.11567927569896885</v>
      </c>
      <c r="M27" s="181">
        <f>AVERAGE(M20:M26)</f>
        <v>0.10057939513808156</v>
      </c>
    </row>
  </sheetData>
  <mergeCells count="6">
    <mergeCell ref="B1:C1"/>
    <mergeCell ref="D1:G1"/>
    <mergeCell ref="J1:M1"/>
    <mergeCell ref="B18:C18"/>
    <mergeCell ref="D18:G18"/>
    <mergeCell ref="J18:M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M27" sqref="M27:M28"/>
    </sheetView>
  </sheetViews>
  <sheetFormatPr defaultRowHeight="15" x14ac:dyDescent="0.25"/>
  <cols>
    <col min="1" max="1" width="8.85546875" bestFit="1" customWidth="1"/>
    <col min="2" max="2" width="11.5703125" customWidth="1"/>
    <col min="3" max="3" width="9.42578125" bestFit="1" customWidth="1"/>
    <col min="4" max="4" width="6.42578125" bestFit="1" customWidth="1"/>
    <col min="5" max="5" width="6" customWidth="1"/>
    <col min="6" max="6" width="11.5703125" customWidth="1"/>
    <col min="7" max="7" width="6.42578125" bestFit="1" customWidth="1"/>
    <col min="8" max="8" width="4.7109375" bestFit="1" customWidth="1"/>
  </cols>
  <sheetData>
    <row r="1" spans="1:8" x14ac:dyDescent="0.25">
      <c r="A1" s="18"/>
      <c r="B1" s="18"/>
      <c r="C1" s="234" t="s">
        <v>286</v>
      </c>
      <c r="D1" s="234"/>
      <c r="E1" s="234"/>
      <c r="F1" s="234" t="s">
        <v>287</v>
      </c>
      <c r="G1" s="234"/>
      <c r="H1" s="234"/>
    </row>
    <row r="2" spans="1:8" ht="38.25" x14ac:dyDescent="0.25">
      <c r="A2" s="19" t="s">
        <v>288</v>
      </c>
      <c r="B2" s="19" t="s">
        <v>289</v>
      </c>
      <c r="C2" s="19" t="s">
        <v>290</v>
      </c>
      <c r="D2" s="19" t="s">
        <v>291</v>
      </c>
      <c r="E2" s="19" t="s">
        <v>292</v>
      </c>
      <c r="F2" s="19" t="s">
        <v>290</v>
      </c>
      <c r="G2" s="19" t="s">
        <v>291</v>
      </c>
      <c r="H2" s="19" t="s">
        <v>292</v>
      </c>
    </row>
    <row r="3" spans="1:8" x14ac:dyDescent="0.25">
      <c r="A3" s="19" t="s">
        <v>293</v>
      </c>
      <c r="B3" s="20">
        <v>5448.4</v>
      </c>
      <c r="C3" s="20">
        <v>5394.8</v>
      </c>
      <c r="D3" s="20">
        <v>301.2</v>
      </c>
      <c r="E3" s="20">
        <v>53.6</v>
      </c>
      <c r="F3" s="20">
        <v>5447.6</v>
      </c>
      <c r="G3" s="20">
        <v>307.60000000000002</v>
      </c>
      <c r="H3" s="20">
        <v>0.8</v>
      </c>
    </row>
    <row r="4" spans="1:8" x14ac:dyDescent="0.25">
      <c r="A4" s="19" t="s">
        <v>294</v>
      </c>
      <c r="B4" s="20">
        <v>2726.8</v>
      </c>
      <c r="C4" s="20">
        <v>2720.9</v>
      </c>
      <c r="D4" s="20">
        <v>124.5</v>
      </c>
      <c r="E4" s="20">
        <v>5.9</v>
      </c>
      <c r="F4" s="20">
        <v>2726.7</v>
      </c>
      <c r="G4" s="20">
        <v>124.6</v>
      </c>
      <c r="H4" s="20">
        <v>0.1</v>
      </c>
    </row>
    <row r="5" spans="1:8" x14ac:dyDescent="0.25">
      <c r="A5" s="19" t="s">
        <v>295</v>
      </c>
      <c r="B5" s="20">
        <v>2963.9</v>
      </c>
      <c r="C5" s="20">
        <v>2973.3</v>
      </c>
      <c r="D5" s="20">
        <v>56</v>
      </c>
      <c r="E5" s="20">
        <v>-9.4</v>
      </c>
      <c r="F5" s="20">
        <v>2963.9</v>
      </c>
      <c r="G5" s="20">
        <v>55.6</v>
      </c>
      <c r="H5" s="20">
        <v>0</v>
      </c>
    </row>
    <row r="6" spans="1:8" x14ac:dyDescent="0.25">
      <c r="A6" s="19" t="s">
        <v>296</v>
      </c>
      <c r="B6" s="20">
        <v>2522.6999999999998</v>
      </c>
      <c r="C6" s="20">
        <v>2512.6</v>
      </c>
      <c r="D6" s="20">
        <v>52.5</v>
      </c>
      <c r="E6" s="20">
        <v>10.1</v>
      </c>
      <c r="F6" s="20">
        <v>2522.6999999999998</v>
      </c>
      <c r="G6" s="20">
        <v>52.8</v>
      </c>
      <c r="H6" s="20">
        <v>0</v>
      </c>
    </row>
    <row r="7" spans="1:8" x14ac:dyDescent="0.25">
      <c r="A7" s="19" t="s">
        <v>297</v>
      </c>
      <c r="B7" s="20">
        <v>3376.2</v>
      </c>
      <c r="C7" s="20">
        <v>3367.1</v>
      </c>
      <c r="D7" s="20">
        <v>60.7</v>
      </c>
      <c r="E7" s="20">
        <v>9.1</v>
      </c>
      <c r="F7" s="20">
        <v>3376.2</v>
      </c>
      <c r="G7" s="20">
        <v>61</v>
      </c>
      <c r="H7" s="20">
        <v>0</v>
      </c>
    </row>
    <row r="8" spans="1:8" x14ac:dyDescent="0.25">
      <c r="A8" s="19" t="s">
        <v>298</v>
      </c>
      <c r="B8" s="20">
        <v>3740.2</v>
      </c>
      <c r="C8" s="20">
        <v>3690.8</v>
      </c>
      <c r="D8" s="20">
        <v>134.80000000000001</v>
      </c>
      <c r="E8" s="20">
        <v>49.4</v>
      </c>
      <c r="F8" s="20">
        <v>3739.4</v>
      </c>
      <c r="G8" s="20">
        <v>138.30000000000001</v>
      </c>
      <c r="H8" s="20">
        <v>0.8</v>
      </c>
    </row>
    <row r="9" spans="1:8" x14ac:dyDescent="0.25">
      <c r="A9" s="19" t="s">
        <v>299</v>
      </c>
      <c r="B9" s="20">
        <v>5216.7</v>
      </c>
      <c r="C9" s="20">
        <v>5167.3</v>
      </c>
      <c r="D9" s="20">
        <v>355.9</v>
      </c>
      <c r="E9" s="20">
        <v>49.4</v>
      </c>
      <c r="F9" s="20">
        <v>5216.2</v>
      </c>
      <c r="G9" s="20">
        <v>362.1</v>
      </c>
      <c r="H9" s="20">
        <v>0.5</v>
      </c>
    </row>
    <row r="10" spans="1:8" x14ac:dyDescent="0.25">
      <c r="A10" s="19" t="s">
        <v>300</v>
      </c>
      <c r="B10" s="20">
        <v>4956.3999999999996</v>
      </c>
      <c r="C10" s="20">
        <v>4914.3999999999996</v>
      </c>
      <c r="D10" s="20">
        <v>146.5</v>
      </c>
      <c r="E10" s="20">
        <v>41.9</v>
      </c>
      <c r="F10" s="20">
        <v>4955.8999999999996</v>
      </c>
      <c r="G10" s="20">
        <v>148.69999999999999</v>
      </c>
      <c r="H10" s="20">
        <v>0.5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A3" sqref="A3"/>
    </sheetView>
  </sheetViews>
  <sheetFormatPr defaultRowHeight="12.75" x14ac:dyDescent="0.2"/>
  <cols>
    <col min="1" max="1" width="15.140625" style="36" customWidth="1"/>
    <col min="2" max="2" width="74.42578125" style="36" customWidth="1"/>
    <col min="3" max="3" width="12.7109375" style="36" customWidth="1"/>
    <col min="4" max="4" width="16.42578125" style="36" bestFit="1" customWidth="1"/>
    <col min="5" max="5" width="22.85546875" style="36" customWidth="1"/>
    <col min="6" max="16384" width="9.140625" style="36"/>
  </cols>
  <sheetData>
    <row r="1" spans="1:5" ht="21" thickBot="1" x14ac:dyDescent="0.25">
      <c r="A1" s="56" t="s">
        <v>301</v>
      </c>
      <c r="B1" s="56" t="s">
        <v>302</v>
      </c>
      <c r="C1" s="56" t="s">
        <v>303</v>
      </c>
      <c r="D1" s="56" t="s">
        <v>304</v>
      </c>
      <c r="E1" s="56" t="s">
        <v>305</v>
      </c>
    </row>
    <row r="2" spans="1:5" ht="61.5" thickBot="1" x14ac:dyDescent="0.25">
      <c r="A2" s="55" t="s">
        <v>306</v>
      </c>
      <c r="B2" s="55" t="s">
        <v>307</v>
      </c>
      <c r="C2" s="55">
        <v>2002</v>
      </c>
      <c r="D2" s="65">
        <v>20217.419999999998</v>
      </c>
      <c r="E2" s="55" t="s">
        <v>308</v>
      </c>
    </row>
    <row r="3" spans="1:5" ht="41.25" thickBot="1" x14ac:dyDescent="0.25">
      <c r="A3" s="55" t="s">
        <v>309</v>
      </c>
      <c r="B3" s="55" t="s">
        <v>310</v>
      </c>
      <c r="C3" s="55">
        <v>2008</v>
      </c>
      <c r="D3" s="65">
        <v>501388.42</v>
      </c>
      <c r="E3" s="55" t="s">
        <v>311</v>
      </c>
    </row>
    <row r="4" spans="1:5" ht="61.5" thickBot="1" x14ac:dyDescent="0.25">
      <c r="A4" s="55" t="s">
        <v>312</v>
      </c>
      <c r="B4" s="55" t="s">
        <v>313</v>
      </c>
      <c r="C4" s="55">
        <v>2011</v>
      </c>
      <c r="D4" s="65">
        <v>1074623.43</v>
      </c>
      <c r="E4" s="56" t="s">
        <v>137</v>
      </c>
    </row>
    <row r="5" spans="1:5" ht="61.5" thickBot="1" x14ac:dyDescent="0.25">
      <c r="A5" s="55" t="s">
        <v>314</v>
      </c>
      <c r="B5" s="55" t="s">
        <v>315</v>
      </c>
      <c r="C5" s="55">
        <v>2011</v>
      </c>
      <c r="D5" s="65">
        <v>1708342.82</v>
      </c>
      <c r="E5" s="55" t="s">
        <v>316</v>
      </c>
    </row>
    <row r="6" spans="1:5" ht="61.5" thickBot="1" x14ac:dyDescent="0.25">
      <c r="A6" s="55" t="s">
        <v>317</v>
      </c>
      <c r="B6" s="55" t="s">
        <v>318</v>
      </c>
      <c r="C6" s="55">
        <v>2011</v>
      </c>
      <c r="D6" s="65">
        <v>411016.72</v>
      </c>
      <c r="E6" s="55" t="s">
        <v>319</v>
      </c>
    </row>
    <row r="7" spans="1:5" ht="24" thickBot="1" x14ac:dyDescent="0.25">
      <c r="A7" s="235"/>
      <c r="B7" s="236"/>
      <c r="C7" s="237"/>
      <c r="D7" s="66">
        <f>SUM(D2:D6)</f>
        <v>3715588.8099999996</v>
      </c>
      <c r="E7" s="56" t="s">
        <v>37</v>
      </c>
    </row>
    <row r="8" spans="1:5" x14ac:dyDescent="0.2">
      <c r="D8" s="68"/>
    </row>
  </sheetData>
  <mergeCells count="1">
    <mergeCell ref="A7:C7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7855-DAA5-4C96-842D-7F523732B097}">
  <dimension ref="A1:X99"/>
  <sheetViews>
    <sheetView topLeftCell="A71" zoomScale="130" zoomScaleNormal="130" workbookViewId="0">
      <selection activeCell="F3" sqref="F3:J91"/>
    </sheetView>
  </sheetViews>
  <sheetFormatPr defaultRowHeight="11.25" x14ac:dyDescent="0.2"/>
  <cols>
    <col min="1" max="1" width="7.85546875" style="141" bestFit="1" customWidth="1"/>
    <col min="2" max="2" width="13.5703125" style="141" bestFit="1" customWidth="1"/>
    <col min="3" max="3" width="16.140625" style="141" bestFit="1" customWidth="1"/>
    <col min="4" max="4" width="10.140625" style="141" customWidth="1"/>
    <col min="5" max="5" width="9.85546875" style="141" customWidth="1"/>
    <col min="6" max="6" width="13.5703125" style="141" customWidth="1"/>
    <col min="7" max="7" width="13" style="141" customWidth="1"/>
    <col min="8" max="8" width="14.28515625" style="141" customWidth="1"/>
    <col min="9" max="9" width="10.140625" style="141" customWidth="1"/>
    <col min="10" max="10" width="12.85546875" style="141" customWidth="1"/>
    <col min="11" max="11" width="13.28515625" style="141" bestFit="1" customWidth="1"/>
    <col min="12" max="12" width="12.140625" style="141" bestFit="1" customWidth="1"/>
    <col min="13" max="13" width="9.28515625" style="141" bestFit="1" customWidth="1"/>
    <col min="14" max="15" width="10.140625" style="141" bestFit="1" customWidth="1"/>
    <col min="16" max="16" width="10.7109375" style="141" customWidth="1"/>
    <col min="17" max="17" width="5.7109375" style="141" bestFit="1" customWidth="1"/>
    <col min="18" max="18" width="8" style="141" customWidth="1"/>
    <col min="19" max="19" width="11.85546875" style="141" customWidth="1"/>
    <col min="20" max="20" width="10.42578125" style="141" customWidth="1"/>
    <col min="21" max="21" width="15.28515625" style="141" bestFit="1" customWidth="1"/>
    <col min="22" max="23" width="9.28515625" style="141" bestFit="1" customWidth="1"/>
    <col min="24" max="24" width="6.140625" style="141" bestFit="1" customWidth="1"/>
    <col min="25" max="16384" width="9.140625" style="141"/>
  </cols>
  <sheetData>
    <row r="1" spans="1:24" ht="22.5" x14ac:dyDescent="0.2">
      <c r="A1" s="133" t="s">
        <v>320</v>
      </c>
      <c r="B1" s="133"/>
      <c r="C1" s="133" t="s">
        <v>321</v>
      </c>
      <c r="D1" s="134" t="s">
        <v>322</v>
      </c>
      <c r="E1" s="134" t="s">
        <v>323</v>
      </c>
      <c r="F1" s="134" t="s">
        <v>324</v>
      </c>
      <c r="G1" s="134" t="s">
        <v>325</v>
      </c>
      <c r="H1" s="134" t="s">
        <v>326</v>
      </c>
      <c r="I1" s="134" t="s">
        <v>327</v>
      </c>
      <c r="J1" s="134" t="s">
        <v>328</v>
      </c>
      <c r="K1" s="135" t="s">
        <v>329</v>
      </c>
      <c r="L1" s="136" t="s">
        <v>330</v>
      </c>
      <c r="M1" s="137" t="s">
        <v>331</v>
      </c>
      <c r="N1" s="138" t="s">
        <v>332</v>
      </c>
      <c r="O1" s="138" t="s">
        <v>332</v>
      </c>
      <c r="P1" s="138" t="s">
        <v>333</v>
      </c>
      <c r="Q1" s="138" t="s">
        <v>334</v>
      </c>
      <c r="R1" s="138" t="s">
        <v>335</v>
      </c>
      <c r="S1" s="139" t="s">
        <v>336</v>
      </c>
      <c r="T1" s="140" t="s">
        <v>337</v>
      </c>
      <c r="U1" s="140" t="s">
        <v>338</v>
      </c>
      <c r="V1" s="138" t="s">
        <v>339</v>
      </c>
      <c r="W1" s="138" t="s">
        <v>340</v>
      </c>
      <c r="X1" s="138" t="s">
        <v>341</v>
      </c>
    </row>
    <row r="2" spans="1:24" ht="33.75" x14ac:dyDescent="0.2">
      <c r="A2" s="142" t="s">
        <v>301</v>
      </c>
      <c r="B2" s="142"/>
      <c r="C2" s="142" t="s">
        <v>342</v>
      </c>
      <c r="D2" s="143" t="s">
        <v>343</v>
      </c>
      <c r="E2" s="143" t="s">
        <v>344</v>
      </c>
      <c r="F2" s="143" t="s">
        <v>345</v>
      </c>
      <c r="G2" s="143" t="s">
        <v>346</v>
      </c>
      <c r="H2" s="143" t="s">
        <v>347</v>
      </c>
      <c r="I2" s="143" t="s">
        <v>348</v>
      </c>
      <c r="J2" s="143" t="s">
        <v>349</v>
      </c>
      <c r="K2" s="143" t="s">
        <v>329</v>
      </c>
      <c r="L2" s="144" t="s">
        <v>330</v>
      </c>
      <c r="M2" s="137" t="s">
        <v>350</v>
      </c>
      <c r="N2" s="138" t="s">
        <v>332</v>
      </c>
      <c r="O2" s="138" t="s">
        <v>332</v>
      </c>
      <c r="P2" s="138" t="s">
        <v>333</v>
      </c>
      <c r="Q2" s="138" t="s">
        <v>334</v>
      </c>
      <c r="R2" s="138" t="s">
        <v>335</v>
      </c>
      <c r="S2" s="139" t="s">
        <v>336</v>
      </c>
      <c r="T2" s="140" t="s">
        <v>337</v>
      </c>
      <c r="U2" s="140" t="s">
        <v>338</v>
      </c>
      <c r="V2" s="138" t="s">
        <v>339</v>
      </c>
      <c r="W2" s="138" t="s">
        <v>340</v>
      </c>
      <c r="X2" s="138" t="s">
        <v>341</v>
      </c>
    </row>
    <row r="3" spans="1:24" x14ac:dyDescent="0.2">
      <c r="A3" s="145">
        <v>1</v>
      </c>
      <c r="B3" s="145" t="s">
        <v>351</v>
      </c>
      <c r="C3" s="145" t="s">
        <v>351</v>
      </c>
      <c r="D3" s="145">
        <v>76647</v>
      </c>
      <c r="E3" s="145">
        <v>76649</v>
      </c>
      <c r="F3" s="127">
        <f>VLOOKUP(C3,verif!A:J,10,0)</f>
        <v>2306.5721713000003</v>
      </c>
      <c r="G3" s="127">
        <f>VLOOKUP(C3,verif!A:K,11,0)</f>
        <v>109.02546390000001</v>
      </c>
      <c r="H3" s="127">
        <f>VLOOKUP(C3,verif!A:L,12,0)</f>
        <v>106.4005511</v>
      </c>
      <c r="I3" s="187">
        <f t="shared" ref="I3:I34" si="0">G3-H3</f>
        <v>2.6249128000000042</v>
      </c>
      <c r="J3" s="128">
        <f t="shared" ref="J3:J34" si="1">I3/G3</f>
        <v>2.4076144288710556E-2</v>
      </c>
      <c r="K3" s="129">
        <v>43648</v>
      </c>
      <c r="L3" s="130">
        <v>43648</v>
      </c>
      <c r="M3" s="146">
        <v>1</v>
      </c>
      <c r="N3" s="147">
        <v>8203.0300000000007</v>
      </c>
      <c r="O3" s="147">
        <v>8209.94</v>
      </c>
      <c r="P3" s="141">
        <v>0.08</v>
      </c>
      <c r="Q3" s="148">
        <v>2019</v>
      </c>
      <c r="R3" s="148" t="s">
        <v>85</v>
      </c>
      <c r="S3" s="148" t="s">
        <v>352</v>
      </c>
      <c r="T3" s="149" t="s">
        <v>353</v>
      </c>
      <c r="U3" s="148" t="s">
        <v>354</v>
      </c>
      <c r="V3" s="147">
        <v>3</v>
      </c>
      <c r="W3" s="147">
        <v>150</v>
      </c>
      <c r="X3" s="147">
        <v>8</v>
      </c>
    </row>
    <row r="4" spans="1:24" x14ac:dyDescent="0.2">
      <c r="A4" s="145">
        <v>2</v>
      </c>
      <c r="B4" s="150" t="s">
        <v>355</v>
      </c>
      <c r="C4" s="150" t="s">
        <v>355</v>
      </c>
      <c r="D4" s="150">
        <v>217874</v>
      </c>
      <c r="E4" s="150">
        <v>249075</v>
      </c>
      <c r="F4" s="127">
        <f>VLOOKUP(C4,verif!A:J,10,0)</f>
        <v>3344.7585598000001</v>
      </c>
      <c r="G4" s="127">
        <f>VLOOKUP(C4,verif!A:K,11,0)</f>
        <v>190.84080489999999</v>
      </c>
      <c r="H4" s="127">
        <f>VLOOKUP(C4,verif!A:L,12,0)</f>
        <v>190.8385274</v>
      </c>
      <c r="I4" s="187">
        <f t="shared" si="0"/>
        <v>2.2774999999910506E-3</v>
      </c>
      <c r="J4" s="128">
        <f t="shared" si="1"/>
        <v>1.1934030571629866E-5</v>
      </c>
      <c r="K4" s="129">
        <v>43678</v>
      </c>
      <c r="L4" s="130">
        <v>43678</v>
      </c>
      <c r="M4" s="146">
        <v>1</v>
      </c>
      <c r="Q4" s="148">
        <v>2019</v>
      </c>
      <c r="R4" s="148" t="s">
        <v>85</v>
      </c>
      <c r="S4" s="148" t="s">
        <v>356</v>
      </c>
      <c r="T4" s="148" t="s">
        <v>353</v>
      </c>
      <c r="U4" s="148" t="s">
        <v>357</v>
      </c>
    </row>
    <row r="5" spans="1:24" x14ac:dyDescent="0.2">
      <c r="A5" s="145">
        <v>3</v>
      </c>
      <c r="B5" s="150" t="s">
        <v>358</v>
      </c>
      <c r="C5" s="150" t="s">
        <v>358</v>
      </c>
      <c r="D5" s="150">
        <v>28184</v>
      </c>
      <c r="E5" s="150">
        <v>25474</v>
      </c>
      <c r="F5" s="127">
        <f>VLOOKUP(C5,verif!A:J,10,0)</f>
        <v>673.45538020000004</v>
      </c>
      <c r="G5" s="127">
        <f>VLOOKUP(C5,verif!A:K,11,0)</f>
        <v>89.164104500000008</v>
      </c>
      <c r="H5" s="127">
        <f>VLOOKUP(C5,verif!A:L,12,0)</f>
        <v>86.536586599999993</v>
      </c>
      <c r="I5" s="187">
        <f t="shared" si="0"/>
        <v>2.6275179000000151</v>
      </c>
      <c r="J5" s="128">
        <f t="shared" si="1"/>
        <v>2.9468337227566893E-2</v>
      </c>
      <c r="K5" s="129">
        <v>43708</v>
      </c>
      <c r="L5" s="130">
        <v>43708</v>
      </c>
      <c r="M5" s="146">
        <v>1</v>
      </c>
      <c r="Q5" s="148">
        <v>2019</v>
      </c>
      <c r="R5" s="148" t="s">
        <v>85</v>
      </c>
      <c r="S5" s="148" t="s">
        <v>359</v>
      </c>
      <c r="T5" s="151" t="s">
        <v>353</v>
      </c>
      <c r="U5" s="148" t="s">
        <v>360</v>
      </c>
    </row>
    <row r="6" spans="1:24" x14ac:dyDescent="0.2">
      <c r="A6" s="145">
        <v>4</v>
      </c>
      <c r="B6" s="145" t="s">
        <v>361</v>
      </c>
      <c r="C6" s="145" t="s">
        <v>361</v>
      </c>
      <c r="D6" s="145">
        <v>233454</v>
      </c>
      <c r="E6" s="145">
        <v>53296</v>
      </c>
      <c r="F6" s="127">
        <f>VLOOKUP(C6,verif!A:J,10,0)</f>
        <v>1838.4360663</v>
      </c>
      <c r="G6" s="127">
        <f>VLOOKUP(C6,verif!A:K,11,0)</f>
        <v>112.5261146</v>
      </c>
      <c r="H6" s="127">
        <f>VLOOKUP(C6,verif!A:L,12,0)</f>
        <v>105.49466839999999</v>
      </c>
      <c r="I6" s="187">
        <f t="shared" si="0"/>
        <v>7.0314462000000049</v>
      </c>
      <c r="J6" s="128">
        <f t="shared" si="1"/>
        <v>6.2487238851131582E-2</v>
      </c>
      <c r="K6" s="129">
        <v>43712</v>
      </c>
      <c r="L6" s="130">
        <v>43712</v>
      </c>
      <c r="M6" s="146">
        <v>1</v>
      </c>
      <c r="N6" s="147">
        <v>8.2202700000000011</v>
      </c>
      <c r="O6" s="147">
        <v>8.27501</v>
      </c>
      <c r="P6" s="141">
        <f>(O6/N6 -1)*100</f>
        <v>0.66591486654330456</v>
      </c>
      <c r="Q6" s="148">
        <v>2019</v>
      </c>
      <c r="R6" s="148" t="s">
        <v>85</v>
      </c>
      <c r="S6" s="148" t="s">
        <v>362</v>
      </c>
      <c r="T6" s="148" t="s">
        <v>353</v>
      </c>
      <c r="U6" s="148">
        <v>1945445</v>
      </c>
      <c r="V6" s="147">
        <v>7</v>
      </c>
      <c r="W6" s="147">
        <v>364</v>
      </c>
      <c r="X6" s="147">
        <v>21</v>
      </c>
    </row>
    <row r="7" spans="1:24" x14ac:dyDescent="0.2">
      <c r="A7" s="145">
        <v>5</v>
      </c>
      <c r="B7" s="145" t="s">
        <v>363</v>
      </c>
      <c r="C7" s="145" t="s">
        <v>363</v>
      </c>
      <c r="D7" s="145">
        <v>44055</v>
      </c>
      <c r="E7" s="145">
        <v>44169</v>
      </c>
      <c r="F7" s="127">
        <f>VLOOKUP(C7,verif!A:J,10,0)</f>
        <v>2204.8893002999998</v>
      </c>
      <c r="G7" s="127">
        <f>VLOOKUP(C7,verif!A:K,11,0)</f>
        <v>137.70405629999999</v>
      </c>
      <c r="H7" s="127">
        <f>VLOOKUP(C7,verif!A:L,12,0)</f>
        <v>131.24485050000001</v>
      </c>
      <c r="I7" s="187">
        <f t="shared" si="0"/>
        <v>6.4592057999999781</v>
      </c>
      <c r="J7" s="128">
        <f t="shared" si="1"/>
        <v>4.6906430889211058E-2</v>
      </c>
      <c r="K7" s="129">
        <v>43720</v>
      </c>
      <c r="L7" s="130">
        <v>43720</v>
      </c>
      <c r="M7" s="146">
        <v>1</v>
      </c>
      <c r="N7" s="147">
        <v>8.0376899999999996</v>
      </c>
      <c r="O7" s="147">
        <v>8.1006</v>
      </c>
      <c r="P7" s="147">
        <f>(O7/N7 -1)*100</f>
        <v>0.78268756321779875</v>
      </c>
      <c r="Q7" s="148">
        <v>2019</v>
      </c>
      <c r="R7" s="148" t="s">
        <v>85</v>
      </c>
      <c r="S7" s="148" t="s">
        <v>364</v>
      </c>
      <c r="T7" s="148" t="s">
        <v>353</v>
      </c>
      <c r="U7" s="148">
        <v>1952707</v>
      </c>
      <c r="V7" s="147">
        <v>9</v>
      </c>
      <c r="W7" s="147">
        <v>129</v>
      </c>
      <c r="X7" s="147">
        <v>26</v>
      </c>
    </row>
    <row r="8" spans="1:24" x14ac:dyDescent="0.2">
      <c r="A8" s="145">
        <v>6</v>
      </c>
      <c r="B8" s="150" t="s">
        <v>365</v>
      </c>
      <c r="C8" s="150" t="s">
        <v>365</v>
      </c>
      <c r="D8" s="150">
        <v>94215</v>
      </c>
      <c r="E8" s="150">
        <v>95565</v>
      </c>
      <c r="F8" s="127">
        <f>VLOOKUP(C8,verif!A:J,10,0)</f>
        <v>1773.8089173999999</v>
      </c>
      <c r="G8" s="127">
        <f>VLOOKUP(C8,verif!A:K,11,0)</f>
        <v>78.326607899999999</v>
      </c>
      <c r="H8" s="127">
        <f>VLOOKUP(C8,verif!A:L,12,0)</f>
        <v>76.411030499999995</v>
      </c>
      <c r="I8" s="187">
        <f t="shared" si="0"/>
        <v>1.9155774000000036</v>
      </c>
      <c r="J8" s="128">
        <f t="shared" si="1"/>
        <v>2.4456279307354042E-2</v>
      </c>
      <c r="K8" s="129">
        <v>43718</v>
      </c>
      <c r="L8" s="130">
        <v>43740</v>
      </c>
      <c r="M8" s="146">
        <v>1</v>
      </c>
      <c r="Q8" s="148">
        <v>2019</v>
      </c>
      <c r="R8" s="148" t="s">
        <v>85</v>
      </c>
      <c r="S8" s="148" t="s">
        <v>366</v>
      </c>
      <c r="T8" s="151" t="s">
        <v>353</v>
      </c>
      <c r="U8" s="151">
        <v>1950172</v>
      </c>
    </row>
    <row r="9" spans="1:24" x14ac:dyDescent="0.2">
      <c r="A9" s="145">
        <v>7</v>
      </c>
      <c r="B9" s="145" t="s">
        <v>367</v>
      </c>
      <c r="C9" s="145" t="s">
        <v>367</v>
      </c>
      <c r="D9" s="145">
        <v>208241</v>
      </c>
      <c r="E9" s="145">
        <v>208259</v>
      </c>
      <c r="F9" s="127">
        <f>VLOOKUP(C9,verif!A:J,10,0)</f>
        <v>4208.5571029000002</v>
      </c>
      <c r="G9" s="127">
        <f>VLOOKUP(C9,verif!A:K,11,0)</f>
        <v>209.21890530000002</v>
      </c>
      <c r="H9" s="127">
        <f>VLOOKUP(C9,verif!A:L,12,0)</f>
        <v>204.00090220000001</v>
      </c>
      <c r="I9" s="187">
        <f t="shared" si="0"/>
        <v>5.2180031000000042</v>
      </c>
      <c r="J9" s="128">
        <f t="shared" si="1"/>
        <v>2.4940399590170324E-2</v>
      </c>
      <c r="K9" s="129">
        <v>43712</v>
      </c>
      <c r="L9" s="130">
        <v>43741</v>
      </c>
      <c r="M9" s="146">
        <v>1</v>
      </c>
      <c r="N9" s="147">
        <v>7961.89</v>
      </c>
      <c r="O9" s="147">
        <v>8003.1</v>
      </c>
      <c r="P9" s="141">
        <v>0.52</v>
      </c>
      <c r="Q9" s="152">
        <v>2019</v>
      </c>
      <c r="R9" s="152" t="s">
        <v>85</v>
      </c>
      <c r="S9" s="148" t="s">
        <v>368</v>
      </c>
      <c r="T9" s="149" t="s">
        <v>353</v>
      </c>
      <c r="U9" s="148">
        <v>1945773</v>
      </c>
      <c r="V9" s="147">
        <v>1</v>
      </c>
      <c r="W9" s="147">
        <v>107</v>
      </c>
      <c r="X9" s="147">
        <v>4</v>
      </c>
    </row>
    <row r="10" spans="1:24" x14ac:dyDescent="0.2">
      <c r="A10" s="145">
        <v>8</v>
      </c>
      <c r="B10" s="150" t="s">
        <v>796</v>
      </c>
      <c r="C10" s="150" t="s">
        <v>796</v>
      </c>
      <c r="D10" s="145">
        <v>195463</v>
      </c>
      <c r="E10" s="145">
        <v>252959</v>
      </c>
      <c r="F10" s="127">
        <f>VLOOKUP(C10,verif!A:J,10,0)</f>
        <v>1669.9351102000001</v>
      </c>
      <c r="G10" s="127">
        <f>VLOOKUP(C10,verif!A:K,11,0)</f>
        <v>135.20401500000003</v>
      </c>
      <c r="H10" s="127">
        <f>VLOOKUP(C10,verif!A:L,12,0)</f>
        <v>129.13121240000001</v>
      </c>
      <c r="I10" s="187">
        <f t="shared" si="0"/>
        <v>6.072802600000017</v>
      </c>
      <c r="J10" s="128">
        <f t="shared" si="1"/>
        <v>4.4915845139658135E-2</v>
      </c>
      <c r="K10" s="129">
        <v>43720</v>
      </c>
      <c r="L10" s="130">
        <v>43742</v>
      </c>
      <c r="M10" s="146">
        <v>1</v>
      </c>
      <c r="N10" s="147">
        <v>8.1207499999999992</v>
      </c>
      <c r="O10" s="147">
        <v>8.1710100000000008</v>
      </c>
      <c r="P10" s="141">
        <f>(O10/N10 -1)*100</f>
        <v>0.61890835206108719</v>
      </c>
      <c r="Q10" s="148">
        <v>2019</v>
      </c>
      <c r="R10" s="148" t="s">
        <v>85</v>
      </c>
      <c r="S10" s="148" t="s">
        <v>370</v>
      </c>
      <c r="T10" s="148" t="s">
        <v>353</v>
      </c>
      <c r="U10" s="148">
        <v>1952376</v>
      </c>
      <c r="V10" s="147">
        <v>5</v>
      </c>
      <c r="W10" s="147">
        <v>458</v>
      </c>
      <c r="X10" s="147">
        <v>16</v>
      </c>
    </row>
    <row r="11" spans="1:24" x14ac:dyDescent="0.2">
      <c r="A11" s="145">
        <v>9</v>
      </c>
      <c r="B11" s="150" t="s">
        <v>371</v>
      </c>
      <c r="C11" s="150" t="s">
        <v>371</v>
      </c>
      <c r="D11" s="150">
        <v>133119</v>
      </c>
      <c r="E11" s="150">
        <v>99629</v>
      </c>
      <c r="F11" s="127">
        <f>VLOOKUP(C11,verif!A:J,10,0)</f>
        <v>1488.7909203000002</v>
      </c>
      <c r="G11" s="127">
        <f>VLOOKUP(C11,verif!A:K,11,0)</f>
        <v>41.164277999999996</v>
      </c>
      <c r="H11" s="127">
        <f>VLOOKUP(C11,verif!A:L,12,0)</f>
        <v>36.762200900000003</v>
      </c>
      <c r="I11" s="187">
        <f t="shared" si="0"/>
        <v>4.4020770999999925</v>
      </c>
      <c r="J11" s="128">
        <f t="shared" si="1"/>
        <v>0.10693925203789541</v>
      </c>
      <c r="K11" s="129">
        <v>43721</v>
      </c>
      <c r="L11" s="130">
        <v>43754</v>
      </c>
      <c r="M11" s="146">
        <v>1</v>
      </c>
      <c r="N11" s="147"/>
      <c r="O11" s="147"/>
      <c r="Q11" s="148">
        <v>2019</v>
      </c>
      <c r="R11" s="148" t="s">
        <v>85</v>
      </c>
      <c r="S11" s="148" t="s">
        <v>372</v>
      </c>
      <c r="T11" s="151" t="s">
        <v>353</v>
      </c>
      <c r="U11" s="148">
        <v>1953650</v>
      </c>
      <c r="V11" s="147">
        <v>2</v>
      </c>
    </row>
    <row r="12" spans="1:24" x14ac:dyDescent="0.2">
      <c r="A12" s="145">
        <v>10</v>
      </c>
      <c r="B12" s="150" t="s">
        <v>373</v>
      </c>
      <c r="C12" s="150" t="s">
        <v>373</v>
      </c>
      <c r="D12" s="150">
        <v>305568</v>
      </c>
      <c r="E12" s="150">
        <v>126195</v>
      </c>
      <c r="F12" s="127">
        <f>VLOOKUP(C12,verif!A:J,10,0)</f>
        <v>1589.9113810000001</v>
      </c>
      <c r="G12" s="127">
        <f>VLOOKUP(C12,verif!A:K,11,0)</f>
        <v>171.36127979999998</v>
      </c>
      <c r="H12" s="127">
        <f>VLOOKUP(C12,verif!A:L,12,0)</f>
        <v>170.26463899999999</v>
      </c>
      <c r="I12" s="187">
        <f t="shared" si="0"/>
        <v>1.0966407999999888</v>
      </c>
      <c r="J12" s="128">
        <f t="shared" si="1"/>
        <v>6.3995833905997057E-3</v>
      </c>
      <c r="K12" s="129">
        <v>43766</v>
      </c>
      <c r="L12" s="130">
        <v>43766</v>
      </c>
      <c r="M12" s="146">
        <v>1</v>
      </c>
      <c r="Q12" s="148">
        <v>2019</v>
      </c>
      <c r="R12" s="148" t="s">
        <v>85</v>
      </c>
      <c r="S12" s="148" t="s">
        <v>374</v>
      </c>
      <c r="T12" s="151" t="s">
        <v>353</v>
      </c>
      <c r="U12" s="151">
        <v>1984361</v>
      </c>
    </row>
    <row r="13" spans="1:24" x14ac:dyDescent="0.2">
      <c r="A13" s="145">
        <v>11</v>
      </c>
      <c r="B13" s="145" t="s">
        <v>375</v>
      </c>
      <c r="C13" s="145" t="s">
        <v>375</v>
      </c>
      <c r="D13" s="145">
        <v>237583</v>
      </c>
      <c r="E13" s="145">
        <v>52689</v>
      </c>
      <c r="F13" s="127">
        <f>VLOOKUP(C13,verif!A:J,10,0)</f>
        <v>1862.8381155000002</v>
      </c>
      <c r="G13" s="127">
        <f>VLOOKUP(C13,verif!A:K,11,0)</f>
        <v>69.587020600000002</v>
      </c>
      <c r="H13" s="127">
        <f>VLOOKUP(C13,verif!A:L,12,0)</f>
        <v>69.006123799999997</v>
      </c>
      <c r="I13" s="158">
        <f t="shared" si="0"/>
        <v>0.58089680000000499</v>
      </c>
      <c r="J13" s="128">
        <f t="shared" si="1"/>
        <v>8.3477751309272898E-3</v>
      </c>
      <c r="K13" s="129">
        <v>43712</v>
      </c>
      <c r="L13" s="130">
        <v>43772</v>
      </c>
      <c r="M13" s="146">
        <v>1</v>
      </c>
      <c r="N13" s="147">
        <v>8.2051100000000012</v>
      </c>
      <c r="O13" s="147">
        <v>8.219520000000001</v>
      </c>
      <c r="P13" s="141">
        <f>(O13/N13 -1)*100</f>
        <v>0.17562226466190101</v>
      </c>
      <c r="Q13" s="148">
        <v>2019</v>
      </c>
      <c r="R13" s="148" t="s">
        <v>85</v>
      </c>
      <c r="S13" s="148" t="s">
        <v>376</v>
      </c>
      <c r="T13" s="148" t="s">
        <v>353</v>
      </c>
      <c r="U13" s="153">
        <v>1945809</v>
      </c>
      <c r="V13" s="147">
        <v>8</v>
      </c>
      <c r="W13" s="147">
        <v>95</v>
      </c>
      <c r="X13" s="147">
        <v>14</v>
      </c>
    </row>
    <row r="14" spans="1:24" x14ac:dyDescent="0.2">
      <c r="A14" s="145">
        <v>12</v>
      </c>
      <c r="B14" s="150" t="s">
        <v>377</v>
      </c>
      <c r="C14" s="150" t="s">
        <v>377</v>
      </c>
      <c r="D14" s="145">
        <v>162504</v>
      </c>
      <c r="E14" s="145">
        <v>28815</v>
      </c>
      <c r="F14" s="127">
        <f>VLOOKUP(C14,verif!A:J,10,0)</f>
        <v>1990.9345868</v>
      </c>
      <c r="G14" s="127">
        <f>VLOOKUP(C14,verif!A:K,11,0)</f>
        <v>58.540841200000003</v>
      </c>
      <c r="H14" s="127">
        <f>VLOOKUP(C14,verif!A:L,12,0)</f>
        <v>55.871541599999993</v>
      </c>
      <c r="I14" s="187">
        <f t="shared" si="0"/>
        <v>2.6692996000000093</v>
      </c>
      <c r="J14" s="128">
        <f t="shared" si="1"/>
        <v>4.5597219740669E-2</v>
      </c>
      <c r="K14" s="129">
        <v>43712</v>
      </c>
      <c r="L14" s="130">
        <v>43772</v>
      </c>
      <c r="M14" s="146">
        <v>1</v>
      </c>
      <c r="N14" s="147"/>
      <c r="O14" s="147"/>
      <c r="Q14" s="148">
        <v>2019</v>
      </c>
      <c r="R14" s="148" t="s">
        <v>85</v>
      </c>
      <c r="S14" s="148" t="s">
        <v>378</v>
      </c>
      <c r="T14" s="151" t="s">
        <v>353</v>
      </c>
      <c r="U14" s="148">
        <v>1945777</v>
      </c>
      <c r="W14" s="147"/>
      <c r="X14" s="147"/>
    </row>
    <row r="15" spans="1:24" x14ac:dyDescent="0.2">
      <c r="A15" s="145">
        <v>13</v>
      </c>
      <c r="B15" s="150" t="s">
        <v>379</v>
      </c>
      <c r="C15" s="150" t="s">
        <v>379</v>
      </c>
      <c r="D15" s="150">
        <v>52091</v>
      </c>
      <c r="E15" s="150">
        <v>52078</v>
      </c>
      <c r="F15" s="127">
        <f>VLOOKUP(C15,verif!A:J,10,0)</f>
        <v>2029.0648269000001</v>
      </c>
      <c r="G15" s="127">
        <f>VLOOKUP(C15,verif!A:K,11,0)</f>
        <v>88.352723499999996</v>
      </c>
      <c r="H15" s="127">
        <f>VLOOKUP(C15,verif!A:L,12,0)</f>
        <v>85.771204100000006</v>
      </c>
      <c r="I15" s="187">
        <f t="shared" si="0"/>
        <v>2.5815193999999906</v>
      </c>
      <c r="J15" s="128">
        <f t="shared" si="1"/>
        <v>2.9218334169404416E-2</v>
      </c>
      <c r="K15" s="129">
        <v>43712</v>
      </c>
      <c r="L15" s="130">
        <v>43772</v>
      </c>
      <c r="M15" s="146">
        <v>1</v>
      </c>
      <c r="Q15" s="148">
        <v>2019</v>
      </c>
      <c r="R15" s="148" t="s">
        <v>85</v>
      </c>
      <c r="S15" s="148" t="s">
        <v>380</v>
      </c>
      <c r="T15" s="148" t="s">
        <v>353</v>
      </c>
      <c r="U15" s="148">
        <v>1945780</v>
      </c>
    </row>
    <row r="16" spans="1:24" x14ac:dyDescent="0.2">
      <c r="A16" s="145">
        <v>14</v>
      </c>
      <c r="B16" s="150" t="s">
        <v>381</v>
      </c>
      <c r="C16" s="150" t="s">
        <v>381</v>
      </c>
      <c r="D16" s="150">
        <v>376530</v>
      </c>
      <c r="E16" s="150">
        <v>4339</v>
      </c>
      <c r="F16" s="127">
        <f>VLOOKUP(C16,verif!A:J,10,0)</f>
        <v>2037.4731483</v>
      </c>
      <c r="G16" s="127">
        <f>VLOOKUP(C16,verif!A:K,11,0)</f>
        <v>68.650067899999996</v>
      </c>
      <c r="H16" s="127">
        <f>VLOOKUP(C16,verif!A:L,12,0)</f>
        <v>67.072807499999996</v>
      </c>
      <c r="I16" s="187">
        <f t="shared" si="0"/>
        <v>1.5772604000000001</v>
      </c>
      <c r="J16" s="128">
        <f t="shared" si="1"/>
        <v>2.297536547665964E-2</v>
      </c>
      <c r="K16" s="129">
        <v>43712</v>
      </c>
      <c r="L16" s="130">
        <v>43772</v>
      </c>
      <c r="M16" s="146">
        <v>1</v>
      </c>
      <c r="Q16" s="148">
        <v>2019</v>
      </c>
      <c r="R16" s="148" t="s">
        <v>85</v>
      </c>
      <c r="S16" s="148" t="s">
        <v>382</v>
      </c>
      <c r="T16" s="148" t="s">
        <v>353</v>
      </c>
      <c r="U16" s="148">
        <v>1945789</v>
      </c>
    </row>
    <row r="17" spans="1:24" x14ac:dyDescent="0.2">
      <c r="A17" s="145">
        <v>15</v>
      </c>
      <c r="B17" s="145" t="s">
        <v>383</v>
      </c>
      <c r="C17" s="145" t="s">
        <v>383</v>
      </c>
      <c r="D17" s="145">
        <v>293937</v>
      </c>
      <c r="E17" s="145">
        <v>300623</v>
      </c>
      <c r="F17" s="127">
        <f>VLOOKUP(C17,verif!A:J,10,0)</f>
        <v>2291.4037011</v>
      </c>
      <c r="G17" s="127">
        <f>VLOOKUP(C17,verif!A:K,11,0)</f>
        <v>89.348240000000004</v>
      </c>
      <c r="H17" s="127">
        <f>VLOOKUP(C17,verif!A:L,12,0)</f>
        <v>86.326760100000001</v>
      </c>
      <c r="I17" s="187">
        <f t="shared" si="0"/>
        <v>3.0214799000000028</v>
      </c>
      <c r="J17" s="128">
        <f t="shared" si="1"/>
        <v>3.3816893315413966E-2</v>
      </c>
      <c r="K17" s="129">
        <v>43718</v>
      </c>
      <c r="L17" s="131">
        <v>43778</v>
      </c>
      <c r="M17" s="146">
        <v>1</v>
      </c>
      <c r="N17" s="147">
        <v>8140.66</v>
      </c>
      <c r="O17" s="147">
        <v>8189.29</v>
      </c>
      <c r="P17" s="141">
        <v>0.6</v>
      </c>
      <c r="Q17" s="148">
        <v>2020</v>
      </c>
      <c r="R17" s="148" t="s">
        <v>85</v>
      </c>
      <c r="S17" s="148" t="s">
        <v>384</v>
      </c>
      <c r="T17" s="148" t="s">
        <v>353</v>
      </c>
      <c r="U17" s="148">
        <v>1950102</v>
      </c>
      <c r="V17" s="147">
        <v>2</v>
      </c>
      <c r="W17" s="147">
        <v>73</v>
      </c>
      <c r="X17" s="147">
        <v>9</v>
      </c>
    </row>
    <row r="18" spans="1:24" x14ac:dyDescent="0.2">
      <c r="A18" s="145">
        <v>16</v>
      </c>
      <c r="B18" s="150" t="s">
        <v>385</v>
      </c>
      <c r="C18" s="150" t="s">
        <v>385</v>
      </c>
      <c r="D18" s="150">
        <v>33415</v>
      </c>
      <c r="E18" s="150">
        <v>33412</v>
      </c>
      <c r="F18" s="127">
        <f>VLOOKUP(C18,verif!A:J,10,0)</f>
        <v>1343.7232418999999</v>
      </c>
      <c r="G18" s="127">
        <f>VLOOKUP(C18,verif!A:K,11,0)</f>
        <v>119.6505195</v>
      </c>
      <c r="H18" s="127">
        <f>VLOOKUP(C18,verif!A:L,12,0)</f>
        <v>116.7933012</v>
      </c>
      <c r="I18" s="187">
        <f t="shared" si="0"/>
        <v>2.8572182999999995</v>
      </c>
      <c r="J18" s="128">
        <f t="shared" si="1"/>
        <v>2.3879698240674999E-2</v>
      </c>
      <c r="K18" s="129">
        <v>43718</v>
      </c>
      <c r="L18" s="130">
        <v>43778</v>
      </c>
      <c r="M18" s="146">
        <v>1</v>
      </c>
      <c r="Q18" s="148">
        <v>2019</v>
      </c>
      <c r="R18" s="148" t="s">
        <v>85</v>
      </c>
      <c r="S18" s="148" t="s">
        <v>386</v>
      </c>
      <c r="T18" s="148" t="s">
        <v>353</v>
      </c>
      <c r="U18" s="151">
        <v>1968187</v>
      </c>
    </row>
    <row r="19" spans="1:24" x14ac:dyDescent="0.2">
      <c r="A19" s="145">
        <v>17</v>
      </c>
      <c r="B19" s="150" t="s">
        <v>387</v>
      </c>
      <c r="C19" s="150" t="s">
        <v>387</v>
      </c>
      <c r="D19" s="150">
        <v>295322</v>
      </c>
      <c r="E19" s="150">
        <v>295382</v>
      </c>
      <c r="F19" s="127">
        <f>VLOOKUP(C19,verif!A:J,10,0)</f>
        <v>1044.9807445000001</v>
      </c>
      <c r="G19" s="127">
        <f>VLOOKUP(C19,verif!A:K,11,0)</f>
        <v>38.306263400000006</v>
      </c>
      <c r="H19" s="127">
        <f>VLOOKUP(C19,verif!A:L,12,0)</f>
        <v>37.842277499999994</v>
      </c>
      <c r="I19" s="187">
        <f t="shared" si="0"/>
        <v>0.4639859000000115</v>
      </c>
      <c r="J19" s="128">
        <f t="shared" si="1"/>
        <v>1.2112533534137694E-2</v>
      </c>
      <c r="K19" s="129">
        <v>43745</v>
      </c>
      <c r="L19" s="130">
        <v>43778</v>
      </c>
      <c r="M19" s="146">
        <v>1</v>
      </c>
      <c r="Q19" s="148">
        <v>2019</v>
      </c>
      <c r="R19" s="148" t="s">
        <v>85</v>
      </c>
      <c r="S19" s="148" t="s">
        <v>388</v>
      </c>
      <c r="T19" s="151" t="s">
        <v>353</v>
      </c>
      <c r="U19" s="151" t="s">
        <v>389</v>
      </c>
    </row>
    <row r="20" spans="1:24" x14ac:dyDescent="0.2">
      <c r="A20" s="145">
        <v>18</v>
      </c>
      <c r="B20" s="150" t="s">
        <v>390</v>
      </c>
      <c r="C20" s="150" t="s">
        <v>390</v>
      </c>
      <c r="D20" s="150">
        <v>380359</v>
      </c>
      <c r="E20" s="150">
        <v>48892</v>
      </c>
      <c r="F20" s="127">
        <f>VLOOKUP(C20,verif!A:J,10,0)</f>
        <v>666.69586769999989</v>
      </c>
      <c r="G20" s="127">
        <f>VLOOKUP(C20,verif!A:K,11,0)</f>
        <v>80.746813500000002</v>
      </c>
      <c r="H20" s="127">
        <f>VLOOKUP(C20,verif!A:L,12,0)</f>
        <v>78.468135099999998</v>
      </c>
      <c r="I20" s="187">
        <f t="shared" si="0"/>
        <v>2.278678400000004</v>
      </c>
      <c r="J20" s="128">
        <f t="shared" si="1"/>
        <v>2.822004115369833E-2</v>
      </c>
      <c r="K20" s="129">
        <v>43718</v>
      </c>
      <c r="L20" s="130">
        <v>43778</v>
      </c>
      <c r="M20" s="146">
        <v>1</v>
      </c>
      <c r="Q20" s="148">
        <v>2019</v>
      </c>
      <c r="R20" s="148" t="s">
        <v>85</v>
      </c>
      <c r="S20" s="148" t="s">
        <v>391</v>
      </c>
      <c r="T20" s="148" t="s">
        <v>353</v>
      </c>
      <c r="U20" s="148">
        <v>1950125</v>
      </c>
    </row>
    <row r="21" spans="1:24" x14ac:dyDescent="0.2">
      <c r="A21" s="145">
        <v>19</v>
      </c>
      <c r="B21" s="150" t="s">
        <v>392</v>
      </c>
      <c r="C21" s="150" t="s">
        <v>392</v>
      </c>
      <c r="D21" s="150">
        <v>102585</v>
      </c>
      <c r="E21" s="150">
        <v>102583</v>
      </c>
      <c r="F21" s="127">
        <f>VLOOKUP(C21,verif!A:J,10,0)</f>
        <v>2299.8070274000002</v>
      </c>
      <c r="G21" s="127">
        <f>VLOOKUP(C21,verif!A:K,11,0)</f>
        <v>81.093568700000006</v>
      </c>
      <c r="H21" s="127">
        <f>VLOOKUP(C21,verif!A:L,12,0)</f>
        <v>80.0124596</v>
      </c>
      <c r="I21" s="187">
        <f t="shared" si="0"/>
        <v>1.0811091000000062</v>
      </c>
      <c r="J21" s="128">
        <f t="shared" si="1"/>
        <v>1.3331625643452612E-2</v>
      </c>
      <c r="K21" s="129">
        <v>43745</v>
      </c>
      <c r="L21" s="130">
        <v>43778</v>
      </c>
      <c r="M21" s="146">
        <v>1</v>
      </c>
      <c r="Q21" s="148">
        <v>2019</v>
      </c>
      <c r="R21" s="148" t="s">
        <v>85</v>
      </c>
      <c r="S21" s="148" t="s">
        <v>393</v>
      </c>
      <c r="T21" s="151" t="s">
        <v>353</v>
      </c>
      <c r="U21" s="151">
        <v>1969034</v>
      </c>
    </row>
    <row r="22" spans="1:24" x14ac:dyDescent="0.2">
      <c r="A22" s="145">
        <v>20</v>
      </c>
      <c r="B22" s="145" t="s">
        <v>394</v>
      </c>
      <c r="C22" s="145" t="s">
        <v>394</v>
      </c>
      <c r="D22" s="145">
        <v>286963</v>
      </c>
      <c r="E22" s="145">
        <v>242613</v>
      </c>
      <c r="F22" s="127">
        <f>VLOOKUP(C22,verif!A:J,10,0)</f>
        <v>722.82633770000007</v>
      </c>
      <c r="G22" s="127">
        <f>VLOOKUP(C22,verif!A:K,11,0)</f>
        <v>28.2649005</v>
      </c>
      <c r="H22" s="127">
        <f>VLOOKUP(C22,verif!A:L,12,0)</f>
        <v>25.422227200000002</v>
      </c>
      <c r="I22" s="187">
        <f t="shared" si="0"/>
        <v>2.8426732999999977</v>
      </c>
      <c r="J22" s="128">
        <f t="shared" si="1"/>
        <v>0.10057255641144032</v>
      </c>
      <c r="K22" s="129">
        <v>43718</v>
      </c>
      <c r="L22" s="130">
        <v>43781</v>
      </c>
      <c r="M22" s="146">
        <v>1</v>
      </c>
      <c r="N22" s="147">
        <v>8250.06</v>
      </c>
      <c r="O22" s="147">
        <v>8276.1200000000008</v>
      </c>
      <c r="P22" s="141">
        <v>0.32</v>
      </c>
      <c r="Q22" s="148">
        <v>2019</v>
      </c>
      <c r="R22" s="148" t="s">
        <v>85</v>
      </c>
      <c r="S22" s="148" t="s">
        <v>395</v>
      </c>
      <c r="T22" s="148" t="s">
        <v>353</v>
      </c>
      <c r="U22" s="149">
        <v>1968187</v>
      </c>
      <c r="V22" s="147">
        <v>2</v>
      </c>
      <c r="W22" s="147">
        <v>70</v>
      </c>
      <c r="X22" s="147">
        <v>10</v>
      </c>
    </row>
    <row r="23" spans="1:24" x14ac:dyDescent="0.2">
      <c r="A23" s="145">
        <v>21</v>
      </c>
      <c r="B23" s="150" t="s">
        <v>396</v>
      </c>
      <c r="C23" s="150" t="s">
        <v>396</v>
      </c>
      <c r="D23" s="150">
        <v>676</v>
      </c>
      <c r="E23" s="150">
        <v>286243</v>
      </c>
      <c r="F23" s="127">
        <f>VLOOKUP(C23,verif!A:J,10,0)</f>
        <v>1908.9429147000001</v>
      </c>
      <c r="G23" s="127">
        <f>VLOOKUP(C23,verif!A:K,11,0)</f>
        <v>75.137641600000009</v>
      </c>
      <c r="H23" s="127">
        <f>VLOOKUP(C23,verif!A:L,12,0)</f>
        <v>73.81042930000001</v>
      </c>
      <c r="I23" s="187">
        <f t="shared" si="0"/>
        <v>1.3272122999999993</v>
      </c>
      <c r="J23" s="128">
        <f t="shared" si="1"/>
        <v>1.7663747114468911E-2</v>
      </c>
      <c r="K23" s="129">
        <v>43721</v>
      </c>
      <c r="L23" s="130">
        <v>43781</v>
      </c>
      <c r="M23" s="146">
        <v>1</v>
      </c>
      <c r="Q23" s="148">
        <v>2019</v>
      </c>
      <c r="R23" s="148" t="s">
        <v>85</v>
      </c>
      <c r="S23" s="148" t="s">
        <v>397</v>
      </c>
      <c r="T23" s="148" t="s">
        <v>353</v>
      </c>
      <c r="U23" s="151">
        <v>1953636</v>
      </c>
    </row>
    <row r="24" spans="1:24" x14ac:dyDescent="0.2">
      <c r="A24" s="145">
        <v>22</v>
      </c>
      <c r="B24" s="150" t="s">
        <v>398</v>
      </c>
      <c r="C24" s="150" t="s">
        <v>398</v>
      </c>
      <c r="D24" s="150">
        <v>147379</v>
      </c>
      <c r="E24" s="150">
        <v>287688</v>
      </c>
      <c r="F24" s="127">
        <f>VLOOKUP(C24,verif!A:J,10,0)</f>
        <v>2851.0112590999997</v>
      </c>
      <c r="G24" s="127">
        <f>VLOOKUP(C24,verif!A:K,11,0)</f>
        <v>106.7445276</v>
      </c>
      <c r="H24" s="127">
        <f>VLOOKUP(C24,verif!A:L,12,0)</f>
        <v>105.3372334</v>
      </c>
      <c r="I24" s="187">
        <f t="shared" si="0"/>
        <v>1.4072941999999955</v>
      </c>
      <c r="J24" s="128">
        <f t="shared" si="1"/>
        <v>1.3183759689054032E-2</v>
      </c>
      <c r="K24" s="129">
        <v>43762</v>
      </c>
      <c r="L24" s="130">
        <v>43783</v>
      </c>
      <c r="M24" s="146">
        <v>1</v>
      </c>
      <c r="Q24" s="148">
        <v>2019</v>
      </c>
      <c r="R24" s="148" t="s">
        <v>85</v>
      </c>
      <c r="S24" s="148" t="s">
        <v>399</v>
      </c>
      <c r="T24" s="151" t="s">
        <v>353</v>
      </c>
      <c r="U24" s="151">
        <v>1982663</v>
      </c>
    </row>
    <row r="25" spans="1:24" x14ac:dyDescent="0.2">
      <c r="A25" s="145">
        <v>23</v>
      </c>
      <c r="B25" s="150" t="s">
        <v>400</v>
      </c>
      <c r="C25" s="150" t="s">
        <v>400</v>
      </c>
      <c r="D25" s="150">
        <v>317653</v>
      </c>
      <c r="E25" s="150">
        <v>84624</v>
      </c>
      <c r="F25" s="127">
        <f>VLOOKUP(C25,verif!A:J,10,0)</f>
        <v>1786.1283375999999</v>
      </c>
      <c r="G25" s="127">
        <f>VLOOKUP(C25,verif!A:K,11,0)</f>
        <v>195.98475740000001</v>
      </c>
      <c r="H25" s="127">
        <f>VLOOKUP(C25,verif!A:L,12,0)</f>
        <v>194.186003</v>
      </c>
      <c r="I25" s="187">
        <f t="shared" si="0"/>
        <v>1.7987544000000071</v>
      </c>
      <c r="J25" s="128">
        <f t="shared" si="1"/>
        <v>9.1780321279210202E-3</v>
      </c>
      <c r="K25" s="129">
        <v>43745</v>
      </c>
      <c r="L25" s="130">
        <v>43805</v>
      </c>
      <c r="M25" s="146">
        <v>1</v>
      </c>
      <c r="Q25" s="148">
        <v>2019</v>
      </c>
      <c r="R25" s="148" t="s">
        <v>85</v>
      </c>
      <c r="S25" s="148" t="s">
        <v>401</v>
      </c>
      <c r="T25" s="148" t="s">
        <v>353</v>
      </c>
      <c r="U25" s="151">
        <v>1969321</v>
      </c>
    </row>
    <row r="26" spans="1:24" x14ac:dyDescent="0.2">
      <c r="A26" s="145">
        <v>24</v>
      </c>
      <c r="B26" s="150" t="s">
        <v>402</v>
      </c>
      <c r="C26" s="150" t="s">
        <v>402</v>
      </c>
      <c r="D26" s="150">
        <v>16230</v>
      </c>
      <c r="E26" s="150">
        <v>16250</v>
      </c>
      <c r="F26" s="127">
        <f>VLOOKUP(C26,verif!A:J,10,0)</f>
        <v>1229.5301387</v>
      </c>
      <c r="G26" s="127">
        <f>VLOOKUP(C26,verif!A:K,11,0)</f>
        <v>83.508210300000002</v>
      </c>
      <c r="H26" s="127">
        <f>VLOOKUP(C26,verif!A:L,12,0)</f>
        <v>82.030184800000001</v>
      </c>
      <c r="I26" s="187">
        <f t="shared" si="0"/>
        <v>1.4780255000000011</v>
      </c>
      <c r="J26" s="128">
        <f t="shared" si="1"/>
        <v>1.7699163886883119E-2</v>
      </c>
      <c r="K26" s="129">
        <v>43754</v>
      </c>
      <c r="L26" s="130">
        <v>43814</v>
      </c>
      <c r="M26" s="146">
        <v>1</v>
      </c>
      <c r="Q26" s="148">
        <v>2019</v>
      </c>
      <c r="R26" s="148" t="s">
        <v>85</v>
      </c>
      <c r="S26" s="148" t="s">
        <v>403</v>
      </c>
      <c r="T26" s="148" t="s">
        <v>353</v>
      </c>
      <c r="U26" s="148">
        <v>1976024</v>
      </c>
    </row>
    <row r="27" spans="1:24" x14ac:dyDescent="0.2">
      <c r="A27" s="145">
        <v>25</v>
      </c>
      <c r="B27" s="150" t="s">
        <v>404</v>
      </c>
      <c r="C27" s="150" t="s">
        <v>404</v>
      </c>
      <c r="D27" s="150">
        <v>30900</v>
      </c>
      <c r="E27" s="150">
        <v>27856</v>
      </c>
      <c r="F27" s="127">
        <f>VLOOKUP(C27,verif!A:J,10,0)</f>
        <v>1254.0570009999999</v>
      </c>
      <c r="G27" s="127">
        <f>VLOOKUP(C27,verif!A:K,11,0)</f>
        <v>147.20980470000001</v>
      </c>
      <c r="H27" s="127">
        <f>VLOOKUP(C27,verif!A:L,12,0)</f>
        <v>144.1375817</v>
      </c>
      <c r="I27" s="187">
        <f t="shared" si="0"/>
        <v>3.0722230000000081</v>
      </c>
      <c r="J27" s="128">
        <f t="shared" si="1"/>
        <v>2.0869690074386792E-2</v>
      </c>
      <c r="K27" s="129">
        <v>43766</v>
      </c>
      <c r="L27" s="130">
        <v>43826</v>
      </c>
      <c r="M27" s="146">
        <v>1</v>
      </c>
      <c r="Q27" s="148">
        <v>2019</v>
      </c>
      <c r="R27" s="148" t="s">
        <v>85</v>
      </c>
      <c r="S27" s="148" t="s">
        <v>405</v>
      </c>
      <c r="T27" s="151" t="s">
        <v>353</v>
      </c>
      <c r="U27" s="151">
        <v>1984451</v>
      </c>
      <c r="V27" s="147">
        <v>2</v>
      </c>
    </row>
    <row r="28" spans="1:24" x14ac:dyDescent="0.2">
      <c r="A28" s="145">
        <v>26</v>
      </c>
      <c r="B28" s="150" t="s">
        <v>406</v>
      </c>
      <c r="C28" s="150" t="s">
        <v>744</v>
      </c>
      <c r="D28" s="150">
        <v>48399</v>
      </c>
      <c r="E28" s="150">
        <v>241566</v>
      </c>
      <c r="F28" s="127">
        <f>VLOOKUP(C28,verif!A:J,10,0)</f>
        <v>14821.168859200001</v>
      </c>
      <c r="G28" s="127">
        <f>VLOOKUP(C28,verif!A:K,11,0)</f>
        <v>513.85024280000005</v>
      </c>
      <c r="H28" s="127">
        <f>VLOOKUP(C28,verif!A:L,12,0)</f>
        <v>509.47523220000005</v>
      </c>
      <c r="I28" s="187">
        <f t="shared" si="0"/>
        <v>4.375010599999996</v>
      </c>
      <c r="J28" s="128">
        <f t="shared" si="1"/>
        <v>8.5141744337033053E-3</v>
      </c>
      <c r="K28" s="129">
        <v>43795</v>
      </c>
      <c r="L28" s="131">
        <v>43855</v>
      </c>
      <c r="M28" s="146">
        <v>2</v>
      </c>
      <c r="Q28" s="148">
        <v>2020</v>
      </c>
      <c r="R28" s="148" t="s">
        <v>85</v>
      </c>
      <c r="S28" s="148" t="s">
        <v>407</v>
      </c>
      <c r="T28" s="148" t="s">
        <v>353</v>
      </c>
      <c r="U28" s="154">
        <v>2006063</v>
      </c>
    </row>
    <row r="29" spans="1:24" x14ac:dyDescent="0.2">
      <c r="A29" s="145">
        <v>27</v>
      </c>
      <c r="B29" s="150" t="s">
        <v>408</v>
      </c>
      <c r="C29" s="150" t="s">
        <v>408</v>
      </c>
      <c r="D29" s="150">
        <v>154577</v>
      </c>
      <c r="E29" s="150">
        <v>94645</v>
      </c>
      <c r="F29" s="127">
        <f>VLOOKUP(C29,verif!A:J,10,0)</f>
        <v>1812.4454718</v>
      </c>
      <c r="G29" s="127">
        <f>VLOOKUP(C29,verif!A:K,11,0)</f>
        <v>159.29778469999999</v>
      </c>
      <c r="H29" s="127">
        <f>VLOOKUP(C29,verif!A:L,12,0)</f>
        <v>155.2512639</v>
      </c>
      <c r="I29" s="187">
        <f t="shared" si="0"/>
        <v>4.0465207999999961</v>
      </c>
      <c r="J29" s="128">
        <f t="shared" si="1"/>
        <v>2.5402241516545059E-2</v>
      </c>
      <c r="K29" s="129">
        <v>43781</v>
      </c>
      <c r="L29" s="130">
        <v>43951</v>
      </c>
      <c r="M29" s="146">
        <v>1</v>
      </c>
      <c r="N29" s="147"/>
      <c r="O29" s="147"/>
      <c r="Q29" s="148">
        <v>2020</v>
      </c>
      <c r="R29" s="148" t="s">
        <v>85</v>
      </c>
      <c r="S29" s="148" t="s">
        <v>409</v>
      </c>
      <c r="T29" s="151" t="s">
        <v>353</v>
      </c>
      <c r="U29" s="148">
        <v>1995638</v>
      </c>
    </row>
    <row r="30" spans="1:24" x14ac:dyDescent="0.2">
      <c r="A30" s="145">
        <v>28</v>
      </c>
      <c r="B30" s="150" t="s">
        <v>410</v>
      </c>
      <c r="C30" s="150" t="s">
        <v>410</v>
      </c>
      <c r="D30" s="150">
        <v>376861</v>
      </c>
      <c r="E30" s="150">
        <v>188906</v>
      </c>
      <c r="F30" s="127">
        <f>VLOOKUP(C30,verif!A:J,10,0)</f>
        <v>2606.1893996999997</v>
      </c>
      <c r="G30" s="127">
        <f>VLOOKUP(C30,verif!A:K,11,0)</f>
        <v>110.24637679999999</v>
      </c>
      <c r="H30" s="127">
        <f>VLOOKUP(C30,verif!A:L,12,0)</f>
        <v>106.34713529999999</v>
      </c>
      <c r="I30" s="187">
        <f t="shared" si="0"/>
        <v>3.8992415000000022</v>
      </c>
      <c r="J30" s="128">
        <f t="shared" si="1"/>
        <v>3.5368432171459831E-2</v>
      </c>
      <c r="K30" s="129">
        <v>43963</v>
      </c>
      <c r="L30" s="130">
        <v>43976</v>
      </c>
      <c r="M30" s="146">
        <v>1</v>
      </c>
      <c r="N30" s="147"/>
      <c r="O30" s="147"/>
      <c r="Q30" s="148">
        <v>2020</v>
      </c>
      <c r="R30" s="148" t="s">
        <v>85</v>
      </c>
      <c r="S30" s="148" t="s">
        <v>411</v>
      </c>
      <c r="T30" s="151" t="s">
        <v>353</v>
      </c>
      <c r="U30" s="154">
        <v>2109642</v>
      </c>
    </row>
    <row r="31" spans="1:24" x14ac:dyDescent="0.2">
      <c r="A31" s="145">
        <v>29</v>
      </c>
      <c r="B31" s="150" t="s">
        <v>412</v>
      </c>
      <c r="C31" s="150" t="s">
        <v>805</v>
      </c>
      <c r="D31" s="150">
        <v>273029</v>
      </c>
      <c r="E31" s="150">
        <v>120036</v>
      </c>
      <c r="F31" s="127">
        <f>VLOOKUP(C31,verif!A:J,10,0)</f>
        <v>10089.9537831</v>
      </c>
      <c r="G31" s="127">
        <f>VLOOKUP(C31,verif!A:K,11,0)</f>
        <v>363.0502674</v>
      </c>
      <c r="H31" s="127">
        <f>VLOOKUP(C31,verif!A:L,12,0)</f>
        <v>359.9264493</v>
      </c>
      <c r="I31" s="187">
        <f t="shared" si="0"/>
        <v>3.123818099999994</v>
      </c>
      <c r="J31" s="128">
        <f t="shared" si="1"/>
        <v>8.6043679911637326E-3</v>
      </c>
      <c r="K31" s="129">
        <v>43952</v>
      </c>
      <c r="L31" s="131">
        <v>43981</v>
      </c>
      <c r="M31" s="146">
        <v>2</v>
      </c>
      <c r="N31" s="147"/>
      <c r="O31" s="147"/>
      <c r="Q31" s="148">
        <v>2020</v>
      </c>
      <c r="R31" s="148" t="s">
        <v>85</v>
      </c>
      <c r="S31" s="148" t="s">
        <v>384</v>
      </c>
      <c r="T31" s="151" t="s">
        <v>353</v>
      </c>
      <c r="U31" s="148" t="s">
        <v>97</v>
      </c>
    </row>
    <row r="32" spans="1:24" x14ac:dyDescent="0.2">
      <c r="A32" s="145">
        <v>30</v>
      </c>
      <c r="B32" s="145" t="s">
        <v>413</v>
      </c>
      <c r="C32" s="145" t="s">
        <v>413</v>
      </c>
      <c r="D32" s="150">
        <v>162316</v>
      </c>
      <c r="E32" s="150">
        <v>297374</v>
      </c>
      <c r="F32" s="127">
        <f>VLOOKUP(C32,verif!A:J,10,0)</f>
        <v>1249.6902875000001</v>
      </c>
      <c r="G32" s="127">
        <f>VLOOKUP(C32,verif!A:K,11,0)</f>
        <v>166.9944303</v>
      </c>
      <c r="H32" s="127">
        <f>VLOOKUP(C32,verif!A:L,12,0)</f>
        <v>163.4369619</v>
      </c>
      <c r="I32" s="187">
        <f t="shared" si="0"/>
        <v>3.5574684000000047</v>
      </c>
      <c r="J32" s="128">
        <f t="shared" si="1"/>
        <v>2.1302916472178919E-2</v>
      </c>
      <c r="K32" s="129">
        <v>43971</v>
      </c>
      <c r="L32" s="130">
        <v>43983</v>
      </c>
      <c r="M32" s="146">
        <v>1</v>
      </c>
      <c r="N32" s="147">
        <v>8197.0499999999993</v>
      </c>
      <c r="O32" s="147">
        <v>8139.87</v>
      </c>
      <c r="P32" s="141">
        <v>-0.7</v>
      </c>
      <c r="Q32" s="148">
        <v>2020</v>
      </c>
      <c r="R32" s="148" t="s">
        <v>85</v>
      </c>
      <c r="S32" s="148" t="s">
        <v>414</v>
      </c>
      <c r="T32" s="149" t="s">
        <v>353</v>
      </c>
      <c r="U32" s="154">
        <v>2115245</v>
      </c>
      <c r="V32" s="147">
        <v>5</v>
      </c>
      <c r="W32" s="147">
        <v>281</v>
      </c>
      <c r="X32" s="147">
        <v>19</v>
      </c>
    </row>
    <row r="33" spans="1:24" x14ac:dyDescent="0.2">
      <c r="A33" s="145">
        <v>31</v>
      </c>
      <c r="B33" s="150" t="s">
        <v>415</v>
      </c>
      <c r="C33" s="150" t="s">
        <v>415</v>
      </c>
      <c r="D33" s="150">
        <v>263437</v>
      </c>
      <c r="E33" s="150">
        <v>263273</v>
      </c>
      <c r="F33" s="127">
        <f>VLOOKUP(C33,verif!A:J,10,0)</f>
        <v>2649.3149523000002</v>
      </c>
      <c r="G33" s="127">
        <f>VLOOKUP(C33,verif!A:K,11,0)</f>
        <v>123.8031792</v>
      </c>
      <c r="H33" s="127">
        <f>VLOOKUP(C33,verif!A:L,12,0)</f>
        <v>118.7466218</v>
      </c>
      <c r="I33" s="187">
        <f t="shared" si="0"/>
        <v>5.0565574000000026</v>
      </c>
      <c r="J33" s="128">
        <f t="shared" si="1"/>
        <v>4.0843518176793332E-2</v>
      </c>
      <c r="K33" s="129">
        <v>43970</v>
      </c>
      <c r="L33" s="131">
        <v>43993</v>
      </c>
      <c r="M33" s="146">
        <v>1</v>
      </c>
      <c r="N33" s="147"/>
      <c r="O33" s="147"/>
      <c r="Q33" s="148">
        <v>2020</v>
      </c>
      <c r="R33" s="148" t="s">
        <v>85</v>
      </c>
      <c r="S33" s="148" t="s">
        <v>416</v>
      </c>
      <c r="T33" s="148" t="s">
        <v>353</v>
      </c>
      <c r="U33" s="154">
        <v>2114190</v>
      </c>
    </row>
    <row r="34" spans="1:24" x14ac:dyDescent="0.2">
      <c r="A34" s="145">
        <v>32</v>
      </c>
      <c r="B34" s="150" t="s">
        <v>417</v>
      </c>
      <c r="C34" s="150" t="s">
        <v>417</v>
      </c>
      <c r="D34" s="150">
        <v>326800</v>
      </c>
      <c r="E34" s="150">
        <v>303043</v>
      </c>
      <c r="F34" s="127">
        <f>VLOOKUP(C34,verif!A:J,10,0)</f>
        <v>1665.1999343999998</v>
      </c>
      <c r="G34" s="127">
        <f>VLOOKUP(C34,verif!A:K,11,0)</f>
        <v>63.932396900000001</v>
      </c>
      <c r="H34" s="127">
        <f>VLOOKUP(C34,verif!A:L,12,0)</f>
        <v>62.093383800000005</v>
      </c>
      <c r="I34" s="187">
        <f t="shared" si="0"/>
        <v>1.8390130999999954</v>
      </c>
      <c r="J34" s="128">
        <f t="shared" si="1"/>
        <v>2.8764964074106149E-2</v>
      </c>
      <c r="K34" s="129">
        <v>43742</v>
      </c>
      <c r="L34" s="131">
        <v>44046</v>
      </c>
      <c r="M34" s="146">
        <v>1</v>
      </c>
      <c r="Q34" s="148">
        <v>2020</v>
      </c>
      <c r="R34" s="148" t="s">
        <v>85</v>
      </c>
      <c r="S34" s="148" t="s">
        <v>418</v>
      </c>
      <c r="T34" s="148" t="s">
        <v>353</v>
      </c>
      <c r="U34" s="151">
        <v>1967972</v>
      </c>
    </row>
    <row r="35" spans="1:24" x14ac:dyDescent="0.2">
      <c r="A35" s="145">
        <v>33</v>
      </c>
      <c r="B35" s="150" t="s">
        <v>419</v>
      </c>
      <c r="C35" s="150" t="s">
        <v>419</v>
      </c>
      <c r="D35" s="150">
        <v>53794</v>
      </c>
      <c r="E35" s="150">
        <v>53912</v>
      </c>
      <c r="F35" s="127">
        <f>VLOOKUP(C35,verif!A:J,10,0)</f>
        <v>855.27513369999997</v>
      </c>
      <c r="G35" s="127">
        <f>VLOOKUP(C35,verif!A:K,11,0)</f>
        <v>60.190724000000003</v>
      </c>
      <c r="H35" s="127">
        <f>VLOOKUP(C35,verif!A:L,12,0)</f>
        <v>58.358941200000004</v>
      </c>
      <c r="I35" s="187">
        <f t="shared" ref="I35:I66" si="2">G35-H35</f>
        <v>1.8317827999999992</v>
      </c>
      <c r="J35" s="128">
        <f t="shared" ref="J35:J66" si="3">I35/G35</f>
        <v>3.0432975021200924E-2</v>
      </c>
      <c r="K35" s="129">
        <v>43749</v>
      </c>
      <c r="L35" s="130">
        <v>44048</v>
      </c>
      <c r="M35" s="146">
        <v>1</v>
      </c>
      <c r="Q35" s="148">
        <v>2020</v>
      </c>
      <c r="R35" s="148" t="s">
        <v>85</v>
      </c>
      <c r="S35" s="148" t="s">
        <v>420</v>
      </c>
      <c r="T35" s="148" t="s">
        <v>353</v>
      </c>
      <c r="U35" s="151">
        <v>1973244</v>
      </c>
    </row>
    <row r="36" spans="1:24" x14ac:dyDescent="0.2">
      <c r="A36" s="145">
        <v>34</v>
      </c>
      <c r="B36" s="150" t="s">
        <v>421</v>
      </c>
      <c r="C36" s="150" t="s">
        <v>744</v>
      </c>
      <c r="D36" s="150">
        <v>319112</v>
      </c>
      <c r="E36" s="150">
        <v>139164</v>
      </c>
      <c r="F36" s="127">
        <f>VLOOKUP(C36,verif!A:J,10,0)</f>
        <v>14821.168859200001</v>
      </c>
      <c r="G36" s="127">
        <f>VLOOKUP(C36,verif!A:K,11,0)</f>
        <v>513.85024280000005</v>
      </c>
      <c r="H36" s="127">
        <f>VLOOKUP(C36,verif!A:L,12,0)</f>
        <v>509.47523220000005</v>
      </c>
      <c r="I36" s="187">
        <f t="shared" si="2"/>
        <v>4.375010599999996</v>
      </c>
      <c r="J36" s="128">
        <f t="shared" si="3"/>
        <v>8.5141744337033053E-3</v>
      </c>
      <c r="K36" s="129">
        <v>43790</v>
      </c>
      <c r="L36" s="131">
        <v>44049</v>
      </c>
      <c r="M36" s="146">
        <v>2</v>
      </c>
      <c r="N36" s="147">
        <v>8.1659399999999991</v>
      </c>
      <c r="O36" s="147">
        <v>8.2174500000000013</v>
      </c>
      <c r="P36" s="147">
        <f>(O36/N36 -1)*100</f>
        <v>0.63079082138739473</v>
      </c>
      <c r="Q36" s="148">
        <v>2020</v>
      </c>
      <c r="R36" s="148" t="s">
        <v>85</v>
      </c>
      <c r="S36" s="148" t="s">
        <v>407</v>
      </c>
      <c r="T36" s="148" t="s">
        <v>353</v>
      </c>
      <c r="U36" s="148">
        <v>2002753</v>
      </c>
      <c r="V36" s="147">
        <v>58</v>
      </c>
      <c r="W36" s="147">
        <v>439</v>
      </c>
      <c r="X36" s="147">
        <v>158</v>
      </c>
    </row>
    <row r="37" spans="1:24" x14ac:dyDescent="0.2">
      <c r="A37" s="145">
        <v>35</v>
      </c>
      <c r="B37" s="150" t="s">
        <v>422</v>
      </c>
      <c r="C37" s="150" t="s">
        <v>422</v>
      </c>
      <c r="D37" s="150">
        <v>286572</v>
      </c>
      <c r="E37" s="150">
        <v>27431</v>
      </c>
      <c r="F37" s="127">
        <f>VLOOKUP(C37,verif!A:J,10,0)</f>
        <v>1188.1763063000001</v>
      </c>
      <c r="G37" s="127">
        <f>VLOOKUP(C37,verif!A:K,11,0)</f>
        <v>158.302334</v>
      </c>
      <c r="H37" s="127">
        <f>VLOOKUP(C37,verif!A:L,12,0)</f>
        <v>152.60806500000001</v>
      </c>
      <c r="I37" s="187">
        <f t="shared" si="2"/>
        <v>5.6942689999999914</v>
      </c>
      <c r="J37" s="128">
        <f t="shared" si="3"/>
        <v>3.5970846772227574E-2</v>
      </c>
      <c r="K37" s="129">
        <v>43983</v>
      </c>
      <c r="L37" s="131">
        <v>44062</v>
      </c>
      <c r="M37" s="146">
        <v>1</v>
      </c>
      <c r="N37" s="147"/>
      <c r="O37" s="147"/>
      <c r="Q37" s="148">
        <v>2020</v>
      </c>
      <c r="R37" s="148" t="s">
        <v>85</v>
      </c>
      <c r="S37" s="148" t="s">
        <v>423</v>
      </c>
      <c r="T37" s="151" t="s">
        <v>353</v>
      </c>
      <c r="U37" s="148">
        <v>2121315</v>
      </c>
    </row>
    <row r="38" spans="1:24" x14ac:dyDescent="0.2">
      <c r="A38" s="145">
        <v>36</v>
      </c>
      <c r="B38" s="150" t="s">
        <v>424</v>
      </c>
      <c r="C38" s="150" t="s">
        <v>424</v>
      </c>
      <c r="D38" s="150">
        <v>267983</v>
      </c>
      <c r="E38" s="150">
        <v>267984</v>
      </c>
      <c r="F38" s="127">
        <f>VLOOKUP(C38,verif!A:J,10,0)</f>
        <v>1381.5233306</v>
      </c>
      <c r="G38" s="127">
        <f>VLOOKUP(C38,verif!A:K,11,0)</f>
        <v>50.767781399999997</v>
      </c>
      <c r="H38" s="127">
        <f>VLOOKUP(C38,verif!A:L,12,0)</f>
        <v>48.650482699999998</v>
      </c>
      <c r="I38" s="187">
        <f t="shared" si="2"/>
        <v>2.1172986999999992</v>
      </c>
      <c r="J38" s="128">
        <f t="shared" si="3"/>
        <v>4.1705558951213091E-2</v>
      </c>
      <c r="K38" s="129">
        <v>43998</v>
      </c>
      <c r="L38" s="131">
        <v>44064</v>
      </c>
      <c r="M38" s="146">
        <v>1</v>
      </c>
      <c r="Q38" s="148">
        <v>2020</v>
      </c>
      <c r="R38" s="148" t="s">
        <v>85</v>
      </c>
      <c r="S38" s="148" t="s">
        <v>425</v>
      </c>
      <c r="T38" s="148" t="s">
        <v>353</v>
      </c>
      <c r="U38" s="148">
        <v>2129198</v>
      </c>
    </row>
    <row r="39" spans="1:24" x14ac:dyDescent="0.2">
      <c r="A39" s="145">
        <v>37</v>
      </c>
      <c r="B39" s="150" t="s">
        <v>426</v>
      </c>
      <c r="C39" s="150" t="s">
        <v>426</v>
      </c>
      <c r="D39" s="150">
        <v>205789</v>
      </c>
      <c r="E39" s="150">
        <v>380925</v>
      </c>
      <c r="F39" s="127">
        <f>VLOOKUP(C39,verif!A:J,10,0)</f>
        <v>2388.7398177999999</v>
      </c>
      <c r="G39" s="127">
        <f>VLOOKUP(C39,verif!A:K,11,0)</f>
        <v>134.1753573</v>
      </c>
      <c r="H39" s="127">
        <f>VLOOKUP(C39,verif!A:L,12,0)</f>
        <v>132.32219649999999</v>
      </c>
      <c r="I39" s="187">
        <f t="shared" si="2"/>
        <v>1.8531608000000119</v>
      </c>
      <c r="J39" s="128">
        <f t="shared" si="3"/>
        <v>1.3811483995951408E-2</v>
      </c>
      <c r="K39" s="129">
        <v>44004</v>
      </c>
      <c r="L39" s="131">
        <v>44064</v>
      </c>
      <c r="M39" s="146">
        <v>1</v>
      </c>
      <c r="Q39" s="148">
        <v>2020</v>
      </c>
      <c r="R39" s="148" t="s">
        <v>85</v>
      </c>
      <c r="S39" s="148" t="s">
        <v>427</v>
      </c>
      <c r="T39" s="151" t="s">
        <v>353</v>
      </c>
      <c r="U39" s="148">
        <v>2132795</v>
      </c>
    </row>
    <row r="40" spans="1:24" x14ac:dyDescent="0.2">
      <c r="A40" s="145">
        <v>38</v>
      </c>
      <c r="B40" s="150" t="s">
        <v>428</v>
      </c>
      <c r="C40" s="150" t="s">
        <v>428</v>
      </c>
      <c r="D40" s="150">
        <v>49680</v>
      </c>
      <c r="E40" s="150">
        <v>48698</v>
      </c>
      <c r="F40" s="127">
        <f>VLOOKUP(C40,verif!A:J,10,0)</f>
        <v>1349.5562749000001</v>
      </c>
      <c r="G40" s="127">
        <f>VLOOKUP(C40,verif!A:K,11,0)</f>
        <v>84.609736399999989</v>
      </c>
      <c r="H40" s="127">
        <f>VLOOKUP(C40,verif!A:L,12,0)</f>
        <v>83.500072599999996</v>
      </c>
      <c r="I40" s="187">
        <f t="shared" si="2"/>
        <v>1.1096637999999928</v>
      </c>
      <c r="J40" s="128">
        <f t="shared" si="3"/>
        <v>1.3115083998772425E-2</v>
      </c>
      <c r="K40" s="129">
        <v>43789</v>
      </c>
      <c r="L40" s="130">
        <v>44068</v>
      </c>
      <c r="M40" s="146">
        <v>1</v>
      </c>
      <c r="Q40" s="148">
        <v>2020</v>
      </c>
      <c r="R40" s="148" t="s">
        <v>85</v>
      </c>
      <c r="S40" s="148" t="s">
        <v>429</v>
      </c>
      <c r="T40" s="151" t="s">
        <v>353</v>
      </c>
      <c r="U40" s="148">
        <v>2001590</v>
      </c>
    </row>
    <row r="41" spans="1:24" x14ac:dyDescent="0.2">
      <c r="A41" s="145">
        <v>39</v>
      </c>
      <c r="B41" s="150" t="s">
        <v>430</v>
      </c>
      <c r="C41" s="150" t="s">
        <v>430</v>
      </c>
      <c r="D41" s="150">
        <v>161267</v>
      </c>
      <c r="E41" s="150">
        <v>273315</v>
      </c>
      <c r="F41" s="127">
        <f>VLOOKUP(C41,verif!A:J,10,0)</f>
        <v>10198.128531300001</v>
      </c>
      <c r="G41" s="127">
        <f>VLOOKUP(C41,verif!A:K,11,0)</f>
        <v>434.6881032</v>
      </c>
      <c r="H41" s="127">
        <f>VLOOKUP(C41,verif!A:L,12,0)</f>
        <v>433.14206790000003</v>
      </c>
      <c r="I41" s="187">
        <f t="shared" si="2"/>
        <v>1.5460352999999714</v>
      </c>
      <c r="J41" s="128">
        <f t="shared" si="3"/>
        <v>3.5566542737624465E-3</v>
      </c>
      <c r="K41" s="129">
        <v>43987</v>
      </c>
      <c r="L41" s="131">
        <v>44089</v>
      </c>
      <c r="M41" s="146">
        <v>1</v>
      </c>
      <c r="Q41" s="148">
        <v>2020</v>
      </c>
      <c r="R41" s="148" t="s">
        <v>85</v>
      </c>
      <c r="S41" s="148" t="s">
        <v>431</v>
      </c>
      <c r="T41" s="148" t="s">
        <v>353</v>
      </c>
      <c r="U41" s="154">
        <v>2123609</v>
      </c>
    </row>
    <row r="42" spans="1:24" x14ac:dyDescent="0.2">
      <c r="A42" s="145">
        <v>40</v>
      </c>
      <c r="B42" s="150" t="s">
        <v>432</v>
      </c>
      <c r="C42" s="150" t="s">
        <v>811</v>
      </c>
      <c r="D42" s="150">
        <v>234799</v>
      </c>
      <c r="E42" s="150">
        <v>236220</v>
      </c>
      <c r="F42" s="127">
        <f>VLOOKUP(C42,verif!A:J,10,0)</f>
        <v>4505.8232110999998</v>
      </c>
      <c r="G42" s="127">
        <f>VLOOKUP(C42,verif!A:K,11,0)</f>
        <v>266.6378593</v>
      </c>
      <c r="H42" s="127">
        <f>VLOOKUP(C42,verif!A:L,12,0)</f>
        <v>265.05287420000002</v>
      </c>
      <c r="I42" s="187">
        <f t="shared" si="2"/>
        <v>1.584985099999983</v>
      </c>
      <c r="J42" s="128">
        <f t="shared" si="3"/>
        <v>5.9443362775301991E-3</v>
      </c>
      <c r="K42" s="129">
        <v>44006</v>
      </c>
      <c r="L42" s="131">
        <v>44091</v>
      </c>
      <c r="M42" s="146">
        <v>2</v>
      </c>
      <c r="Q42" s="148">
        <v>2020</v>
      </c>
      <c r="R42" s="148" t="s">
        <v>85</v>
      </c>
      <c r="S42" s="148" t="s">
        <v>433</v>
      </c>
      <c r="T42" s="148" t="s">
        <v>353</v>
      </c>
      <c r="U42" s="154">
        <v>2135773</v>
      </c>
    </row>
    <row r="43" spans="1:24" x14ac:dyDescent="0.2">
      <c r="A43" s="145">
        <v>41</v>
      </c>
      <c r="B43" s="150" t="s">
        <v>833</v>
      </c>
      <c r="C43" s="150" t="s">
        <v>824</v>
      </c>
      <c r="D43" s="150">
        <v>290798</v>
      </c>
      <c r="E43" s="150">
        <v>50440</v>
      </c>
      <c r="F43" s="127">
        <f>VLOOKUP(C43,verif!A:J,10,0)</f>
        <v>9943.9780613000003</v>
      </c>
      <c r="G43" s="127">
        <f>VLOOKUP(C43,verif!A:K,11,0)</f>
        <v>691.13518539999995</v>
      </c>
      <c r="H43" s="127">
        <f>VLOOKUP(C43,verif!A:L,12,0)</f>
        <v>689.08790369999997</v>
      </c>
      <c r="I43" s="187">
        <f t="shared" si="2"/>
        <v>2.047281699999985</v>
      </c>
      <c r="J43" s="128">
        <f t="shared" si="3"/>
        <v>2.9622015247496112E-3</v>
      </c>
      <c r="K43" s="129">
        <v>44004</v>
      </c>
      <c r="L43" s="131">
        <v>44092</v>
      </c>
      <c r="M43" s="146">
        <v>2</v>
      </c>
      <c r="Q43" s="148">
        <v>2020</v>
      </c>
      <c r="R43" s="148" t="s">
        <v>85</v>
      </c>
      <c r="S43" s="148" t="s">
        <v>434</v>
      </c>
      <c r="T43" s="148" t="s">
        <v>353</v>
      </c>
      <c r="U43" s="148">
        <v>2132492</v>
      </c>
    </row>
    <row r="44" spans="1:24" x14ac:dyDescent="0.2">
      <c r="A44" s="145">
        <v>42</v>
      </c>
      <c r="B44" s="150" t="s">
        <v>832</v>
      </c>
      <c r="C44" s="150" t="s">
        <v>806</v>
      </c>
      <c r="D44" s="150">
        <v>256448</v>
      </c>
      <c r="E44" s="150">
        <v>256444</v>
      </c>
      <c r="F44" s="127">
        <f>VLOOKUP(C44,verif!A:J,10,0)</f>
        <v>7603.5275072999993</v>
      </c>
      <c r="G44" s="127">
        <f>VLOOKUP(C44,verif!A:K,11,0)</f>
        <v>329.72454269999997</v>
      </c>
      <c r="H44" s="127">
        <f>VLOOKUP(C44,verif!A:L,12,0)</f>
        <v>328.93222639999999</v>
      </c>
      <c r="I44" s="187">
        <f t="shared" si="2"/>
        <v>0.79231629999998177</v>
      </c>
      <c r="J44" s="128">
        <f t="shared" si="3"/>
        <v>2.4029642850119022E-3</v>
      </c>
      <c r="K44" s="129">
        <v>44011</v>
      </c>
      <c r="L44" s="130">
        <v>44095</v>
      </c>
      <c r="M44" s="146">
        <v>2</v>
      </c>
      <c r="Q44" s="148">
        <v>2020</v>
      </c>
      <c r="R44" s="148" t="s">
        <v>85</v>
      </c>
      <c r="S44" s="148" t="s">
        <v>435</v>
      </c>
      <c r="T44" s="148" t="s">
        <v>353</v>
      </c>
      <c r="U44" s="148">
        <v>2139491</v>
      </c>
    </row>
    <row r="45" spans="1:24" x14ac:dyDescent="0.2">
      <c r="A45" s="145">
        <v>43</v>
      </c>
      <c r="B45" s="155" t="s">
        <v>436</v>
      </c>
      <c r="C45" s="155" t="s">
        <v>436</v>
      </c>
      <c r="D45" s="150">
        <v>230343</v>
      </c>
      <c r="E45" s="150">
        <v>230344</v>
      </c>
      <c r="F45" s="127">
        <f>VLOOKUP(C45,verif!A:J,10,0)</f>
        <v>1834.9363538</v>
      </c>
      <c r="G45" s="127">
        <f>VLOOKUP(C45,verif!A:K,11,0)</f>
        <v>87.572815899999995</v>
      </c>
      <c r="H45" s="127">
        <f>VLOOKUP(C45,verif!A:L,12,0)</f>
        <v>85.574566300000001</v>
      </c>
      <c r="I45" s="215">
        <f t="shared" si="2"/>
        <v>1.9982495999999941</v>
      </c>
      <c r="J45" s="128">
        <f t="shared" si="3"/>
        <v>2.2818149438997248E-2</v>
      </c>
      <c r="K45" s="129">
        <v>44005</v>
      </c>
      <c r="L45" s="131">
        <v>44096</v>
      </c>
      <c r="M45" s="146">
        <v>1</v>
      </c>
      <c r="Q45" s="148">
        <v>2020</v>
      </c>
      <c r="R45" s="148" t="s">
        <v>85</v>
      </c>
      <c r="S45" s="148" t="s">
        <v>437</v>
      </c>
      <c r="T45" s="148" t="s">
        <v>353</v>
      </c>
      <c r="U45" s="148">
        <v>2133757</v>
      </c>
    </row>
    <row r="46" spans="1:24" x14ac:dyDescent="0.2">
      <c r="A46" s="145">
        <v>44</v>
      </c>
      <c r="B46" s="155" t="s">
        <v>438</v>
      </c>
      <c r="C46" s="155" t="s">
        <v>438</v>
      </c>
      <c r="D46" s="155">
        <v>376420</v>
      </c>
      <c r="E46" s="155">
        <v>88349</v>
      </c>
      <c r="F46" s="127">
        <f>VLOOKUP(C46,verif!A:J,10,0)</f>
        <v>1308.3895783</v>
      </c>
      <c r="G46" s="127">
        <f>VLOOKUP(C46,verif!A:K,11,0)</f>
        <v>44.1285247</v>
      </c>
      <c r="H46" s="127">
        <f>VLOOKUP(C46,verif!A:L,12,0)</f>
        <v>42.705918199999999</v>
      </c>
      <c r="I46" s="215">
        <f t="shared" si="2"/>
        <v>1.4226065000000006</v>
      </c>
      <c r="J46" s="128">
        <f t="shared" si="3"/>
        <v>3.223779878596305E-2</v>
      </c>
      <c r="K46" s="129">
        <v>44013</v>
      </c>
      <c r="L46" s="131">
        <v>44096</v>
      </c>
      <c r="M46" s="146">
        <v>1</v>
      </c>
      <c r="Q46" s="148">
        <v>2020</v>
      </c>
      <c r="R46" s="148" t="s">
        <v>85</v>
      </c>
      <c r="S46" s="148" t="s">
        <v>439</v>
      </c>
      <c r="T46" s="148" t="s">
        <v>353</v>
      </c>
      <c r="U46" s="148">
        <v>2140533</v>
      </c>
    </row>
    <row r="47" spans="1:24" x14ac:dyDescent="0.2">
      <c r="A47" s="145">
        <v>45</v>
      </c>
      <c r="B47" s="155" t="s">
        <v>440</v>
      </c>
      <c r="C47" s="155" t="s">
        <v>440</v>
      </c>
      <c r="D47" s="150">
        <v>224791</v>
      </c>
      <c r="E47" s="150">
        <v>192249</v>
      </c>
      <c r="F47" s="127">
        <f>VLOOKUP(C47,verif!A:J,10,0)</f>
        <v>3711.0762747999997</v>
      </c>
      <c r="G47" s="127">
        <f>VLOOKUP(C47,verif!A:K,11,0)</f>
        <v>212.10553419999999</v>
      </c>
      <c r="H47" s="127">
        <f>VLOOKUP(C47,verif!A:L,12,0)</f>
        <v>210.01427559999999</v>
      </c>
      <c r="I47" s="187">
        <f t="shared" si="2"/>
        <v>2.0912586000000033</v>
      </c>
      <c r="J47" s="128">
        <f t="shared" si="3"/>
        <v>9.859519261897709E-3</v>
      </c>
      <c r="K47" s="129">
        <v>44026</v>
      </c>
      <c r="L47" s="130">
        <v>44098</v>
      </c>
      <c r="M47" s="146">
        <v>1</v>
      </c>
      <c r="P47" s="160"/>
      <c r="Q47" s="148">
        <v>2020</v>
      </c>
      <c r="R47" s="148" t="s">
        <v>85</v>
      </c>
      <c r="S47" s="148" t="s">
        <v>441</v>
      </c>
      <c r="T47" s="148" t="s">
        <v>353</v>
      </c>
      <c r="U47" s="148">
        <v>2147711</v>
      </c>
    </row>
    <row r="48" spans="1:24" x14ac:dyDescent="0.2">
      <c r="A48" s="145">
        <v>46</v>
      </c>
      <c r="B48" s="150" t="s">
        <v>442</v>
      </c>
      <c r="C48" s="150" t="s">
        <v>800</v>
      </c>
      <c r="D48" s="150" t="e">
        <v>#N/A</v>
      </c>
      <c r="E48" s="150">
        <v>274097</v>
      </c>
      <c r="F48" s="127">
        <f>VLOOKUP(C48,verif!A:J,10,0)</f>
        <v>5092.6674609000002</v>
      </c>
      <c r="G48" s="127">
        <f>VLOOKUP(C48,verif!A:K,11,0)</f>
        <v>608.11943159999998</v>
      </c>
      <c r="H48" s="127">
        <f>VLOOKUP(C48,verif!A:L,12,0)</f>
        <v>605.08952579999993</v>
      </c>
      <c r="I48" s="187">
        <f t="shared" si="2"/>
        <v>3.0299058000000514</v>
      </c>
      <c r="J48" s="128">
        <f t="shared" si="3"/>
        <v>4.982418983106955E-3</v>
      </c>
      <c r="K48" s="129">
        <v>44033</v>
      </c>
      <c r="L48" s="131">
        <v>44099</v>
      </c>
      <c r="M48" s="156">
        <v>2</v>
      </c>
      <c r="P48" s="160"/>
      <c r="Q48" s="148">
        <v>2022</v>
      </c>
      <c r="R48" s="148" t="s">
        <v>85</v>
      </c>
      <c r="S48" s="148" t="s">
        <v>443</v>
      </c>
      <c r="T48" s="148" t="s">
        <v>353</v>
      </c>
      <c r="U48" s="157">
        <v>2150390</v>
      </c>
    </row>
    <row r="49" spans="1:24" x14ac:dyDescent="0.2">
      <c r="A49" s="145">
        <v>47</v>
      </c>
      <c r="B49" s="155" t="s">
        <v>444</v>
      </c>
      <c r="C49" s="155" t="s">
        <v>444</v>
      </c>
      <c r="D49" s="150">
        <v>278701</v>
      </c>
      <c r="E49" s="150">
        <v>278467</v>
      </c>
      <c r="F49" s="127">
        <f>VLOOKUP(C49,verif!A:J,10,0)</f>
        <v>2151.4857362000002</v>
      </c>
      <c r="G49" s="127">
        <f>VLOOKUP(C49,verif!A:K,11,0)</f>
        <v>361.65457900000001</v>
      </c>
      <c r="H49" s="127">
        <f>VLOOKUP(C49,verif!A:L,12,0)</f>
        <v>358.47057000000001</v>
      </c>
      <c r="I49" s="187">
        <f t="shared" si="2"/>
        <v>3.1840090000000032</v>
      </c>
      <c r="J49" s="128">
        <f t="shared" si="3"/>
        <v>8.8040057692730135E-3</v>
      </c>
      <c r="K49" s="129">
        <v>44033</v>
      </c>
      <c r="L49" s="131">
        <v>44125</v>
      </c>
      <c r="M49" s="146">
        <v>1</v>
      </c>
      <c r="Q49" s="148">
        <v>2020</v>
      </c>
      <c r="R49" s="148" t="s">
        <v>85</v>
      </c>
      <c r="S49" s="148" t="s">
        <v>445</v>
      </c>
      <c r="T49" s="148" t="s">
        <v>353</v>
      </c>
      <c r="U49" s="148">
        <v>2150390</v>
      </c>
    </row>
    <row r="50" spans="1:24" x14ac:dyDescent="0.2">
      <c r="A50" s="145">
        <v>48</v>
      </c>
      <c r="B50" s="150" t="s">
        <v>831</v>
      </c>
      <c r="C50" s="150" t="s">
        <v>821</v>
      </c>
      <c r="D50" s="150">
        <v>330257</v>
      </c>
      <c r="E50" s="150">
        <v>280754</v>
      </c>
      <c r="F50" s="127">
        <f>VLOOKUP(C50,verif!A:J,10,0)</f>
        <v>2773.3965401</v>
      </c>
      <c r="G50" s="127">
        <f>VLOOKUP(C50,verif!A:K,11,0)</f>
        <v>441.40593469999999</v>
      </c>
      <c r="H50" s="127">
        <f>VLOOKUP(C50,verif!A:L,12,0)</f>
        <v>438.37773109999995</v>
      </c>
      <c r="I50" s="187">
        <f t="shared" si="2"/>
        <v>3.0282036000000403</v>
      </c>
      <c r="J50" s="128">
        <f t="shared" si="3"/>
        <v>6.8603599588169294E-3</v>
      </c>
      <c r="K50" s="132">
        <v>44048</v>
      </c>
      <c r="L50" s="130">
        <v>44130</v>
      </c>
      <c r="M50" s="146">
        <v>2</v>
      </c>
      <c r="N50" s="147"/>
      <c r="O50" s="147"/>
      <c r="Q50" s="148">
        <v>2020</v>
      </c>
      <c r="R50" s="148" t="s">
        <v>85</v>
      </c>
      <c r="S50" s="148" t="s">
        <v>446</v>
      </c>
      <c r="T50" s="148" t="s">
        <v>353</v>
      </c>
      <c r="U50" s="148">
        <v>2159588</v>
      </c>
    </row>
    <row r="51" spans="1:24" x14ac:dyDescent="0.2">
      <c r="A51" s="145">
        <v>49</v>
      </c>
      <c r="B51" s="150" t="s">
        <v>830</v>
      </c>
      <c r="C51" s="150" t="s">
        <v>693</v>
      </c>
      <c r="D51" s="145">
        <v>302068</v>
      </c>
      <c r="E51" s="145">
        <v>257774</v>
      </c>
      <c r="F51" s="127">
        <f>VLOOKUP(C51,verif!A:J,10,0)</f>
        <v>5211.1194722</v>
      </c>
      <c r="G51" s="127">
        <f>VLOOKUP(C51,verif!A:K,11,0)</f>
        <v>236.95753690000001</v>
      </c>
      <c r="H51" s="127">
        <f>VLOOKUP(C51,verif!A:L,12,0)</f>
        <v>224.71025020000002</v>
      </c>
      <c r="I51" s="187">
        <f t="shared" si="2"/>
        <v>12.247286699999989</v>
      </c>
      <c r="J51" s="128">
        <f t="shared" si="3"/>
        <v>5.1685575653027428E-2</v>
      </c>
      <c r="K51" s="129">
        <v>44111</v>
      </c>
      <c r="L51" s="131">
        <v>44145</v>
      </c>
      <c r="M51" s="146">
        <v>2</v>
      </c>
      <c r="N51" s="147">
        <v>7.9210000000000003</v>
      </c>
      <c r="O51" s="147">
        <v>8.1769999999999996</v>
      </c>
      <c r="P51" s="147">
        <f>(O51/N51 -1)*100</f>
        <v>3.2319151622269837</v>
      </c>
      <c r="Q51" s="148">
        <v>2020</v>
      </c>
      <c r="R51" s="148" t="s">
        <v>85</v>
      </c>
      <c r="S51" s="148" t="s">
        <v>448</v>
      </c>
      <c r="T51" s="148" t="s">
        <v>353</v>
      </c>
      <c r="U51" s="148">
        <v>2195237</v>
      </c>
      <c r="V51" s="147">
        <v>23</v>
      </c>
      <c r="W51" s="147">
        <v>318</v>
      </c>
      <c r="X51" s="147">
        <v>64</v>
      </c>
    </row>
    <row r="52" spans="1:24" x14ac:dyDescent="0.2">
      <c r="A52" s="145">
        <v>50</v>
      </c>
      <c r="B52" s="150" t="s">
        <v>449</v>
      </c>
      <c r="C52" s="150" t="s">
        <v>449</v>
      </c>
      <c r="D52" s="150">
        <v>173090</v>
      </c>
      <c r="E52" s="150">
        <v>264345</v>
      </c>
      <c r="F52" s="127">
        <f>VLOOKUP(C52,verif!A:J,10,0)</f>
        <v>1486.2617941000001</v>
      </c>
      <c r="G52" s="127">
        <f>VLOOKUP(C52,verif!A:K,11,0)</f>
        <v>154.58665779999998</v>
      </c>
      <c r="H52" s="127">
        <f>VLOOKUP(C52,verif!A:L,12,0)</f>
        <v>147.30216799999999</v>
      </c>
      <c r="I52" s="187">
        <f t="shared" si="2"/>
        <v>7.2844897999999887</v>
      </c>
      <c r="J52" s="128">
        <f t="shared" si="3"/>
        <v>4.7122370738000324E-2</v>
      </c>
      <c r="K52" s="129">
        <v>43986</v>
      </c>
      <c r="L52" s="131">
        <v>44222</v>
      </c>
      <c r="M52" s="146">
        <v>1</v>
      </c>
      <c r="Q52" s="148">
        <v>2021</v>
      </c>
      <c r="R52" s="148" t="s">
        <v>85</v>
      </c>
      <c r="S52" s="148" t="s">
        <v>450</v>
      </c>
      <c r="T52" s="148" t="s">
        <v>353</v>
      </c>
      <c r="U52" s="148">
        <v>2122919</v>
      </c>
    </row>
    <row r="53" spans="1:24" x14ac:dyDescent="0.2">
      <c r="A53" s="145">
        <v>51</v>
      </c>
      <c r="B53" s="150" t="s">
        <v>451</v>
      </c>
      <c r="C53" s="150" t="s">
        <v>799</v>
      </c>
      <c r="D53" s="150">
        <v>381123</v>
      </c>
      <c r="E53" s="150">
        <v>60111</v>
      </c>
      <c r="F53" s="127">
        <f>VLOOKUP(C53,verif!A:J,10,0)</f>
        <v>17446.397950399998</v>
      </c>
      <c r="G53" s="127">
        <f>VLOOKUP(C53,verif!A:K,11,0)</f>
        <v>971.15098820000003</v>
      </c>
      <c r="H53" s="127">
        <f>VLOOKUP(C53,verif!A:L,12,0)</f>
        <v>968.7500182</v>
      </c>
      <c r="I53" s="187">
        <f t="shared" si="2"/>
        <v>2.4009700000000294</v>
      </c>
      <c r="J53" s="128">
        <f t="shared" si="3"/>
        <v>2.4722932161662698E-3</v>
      </c>
      <c r="K53" s="129">
        <v>44203</v>
      </c>
      <c r="L53" s="130">
        <v>44232</v>
      </c>
      <c r="M53" s="146">
        <v>2</v>
      </c>
      <c r="Q53" s="148">
        <v>2021</v>
      </c>
      <c r="R53" s="148" t="s">
        <v>85</v>
      </c>
      <c r="S53" s="154" t="s">
        <v>399</v>
      </c>
      <c r="T53" s="148" t="s">
        <v>353</v>
      </c>
      <c r="U53" s="154">
        <v>2245728</v>
      </c>
    </row>
    <row r="54" spans="1:24" x14ac:dyDescent="0.2">
      <c r="A54" s="145">
        <v>52</v>
      </c>
      <c r="B54" s="150" t="s">
        <v>452</v>
      </c>
      <c r="C54" s="150" t="s">
        <v>816</v>
      </c>
      <c r="D54" s="150">
        <v>297745</v>
      </c>
      <c r="E54" s="150">
        <v>251378</v>
      </c>
      <c r="F54" s="127">
        <f>VLOOKUP(C54,verif!A:J,10,0)</f>
        <v>15288.773551799999</v>
      </c>
      <c r="G54" s="127">
        <f>VLOOKUP(C54,verif!A:K,11,0)</f>
        <v>943.56581159999996</v>
      </c>
      <c r="H54" s="127">
        <f>VLOOKUP(C54,verif!A:L,12,0)</f>
        <v>941.40204349999999</v>
      </c>
      <c r="I54" s="187">
        <f t="shared" si="2"/>
        <v>2.1637680999999702</v>
      </c>
      <c r="J54" s="128">
        <f t="shared" si="3"/>
        <v>2.2931819629315301E-3</v>
      </c>
      <c r="K54" s="129">
        <v>44230</v>
      </c>
      <c r="L54" s="130">
        <v>44245</v>
      </c>
      <c r="M54" s="146">
        <v>2</v>
      </c>
      <c r="Q54" s="148">
        <v>2021</v>
      </c>
      <c r="R54" s="148" t="s">
        <v>85</v>
      </c>
      <c r="S54" s="154" t="s">
        <v>453</v>
      </c>
      <c r="T54" s="148" t="s">
        <v>353</v>
      </c>
      <c r="U54" s="148">
        <v>2262877</v>
      </c>
    </row>
    <row r="55" spans="1:24" x14ac:dyDescent="0.2">
      <c r="A55" s="145">
        <v>53</v>
      </c>
      <c r="B55" s="150" t="s">
        <v>454</v>
      </c>
      <c r="C55" s="150" t="s">
        <v>810</v>
      </c>
      <c r="D55" s="150">
        <v>273766</v>
      </c>
      <c r="E55" s="150">
        <v>273765</v>
      </c>
      <c r="F55" s="127">
        <f>VLOOKUP(C55,verif!A:J,10,0)</f>
        <v>12713.564789999999</v>
      </c>
      <c r="G55" s="127">
        <f>VLOOKUP(C55,verif!A:K,11,0)</f>
        <v>604.7516478</v>
      </c>
      <c r="H55" s="127">
        <f>VLOOKUP(C55,verif!A:L,12,0)</f>
        <v>604.40408690000004</v>
      </c>
      <c r="I55" s="187">
        <f t="shared" si="2"/>
        <v>0.3475608999999622</v>
      </c>
      <c r="J55" s="128">
        <f t="shared" si="3"/>
        <v>5.7471674738603692E-4</v>
      </c>
      <c r="K55" s="129">
        <v>44232</v>
      </c>
      <c r="L55" s="130">
        <v>44256</v>
      </c>
      <c r="M55" s="146">
        <v>2</v>
      </c>
      <c r="Q55" s="148">
        <v>2021</v>
      </c>
      <c r="R55" s="148" t="s">
        <v>85</v>
      </c>
      <c r="S55" s="148" t="s">
        <v>393</v>
      </c>
      <c r="T55" s="148" t="s">
        <v>353</v>
      </c>
      <c r="U55" s="148">
        <v>2264545</v>
      </c>
    </row>
    <row r="56" spans="1:24" x14ac:dyDescent="0.2">
      <c r="A56" s="145">
        <v>54</v>
      </c>
      <c r="B56" s="150" t="s">
        <v>455</v>
      </c>
      <c r="C56" s="150" t="s">
        <v>804</v>
      </c>
      <c r="D56" s="150">
        <v>23167</v>
      </c>
      <c r="E56" s="150">
        <v>277539</v>
      </c>
      <c r="F56" s="127">
        <f>VLOOKUP(C56,verif!A:J,10,0)</f>
        <v>22887.627923399999</v>
      </c>
      <c r="G56" s="127">
        <f>VLOOKUP(C56,verif!A:K,11,0)</f>
        <v>1044.2810689</v>
      </c>
      <c r="H56" s="127">
        <f>VLOOKUP(C56,verif!A:L,12,0)</f>
        <v>1040.7632486</v>
      </c>
      <c r="I56" s="187">
        <f t="shared" si="2"/>
        <v>3.5178203000000394</v>
      </c>
      <c r="J56" s="128">
        <f t="shared" si="3"/>
        <v>3.3686527552448664E-3</v>
      </c>
      <c r="K56" s="129">
        <v>44266</v>
      </c>
      <c r="L56" s="131">
        <v>44272</v>
      </c>
      <c r="M56" s="146">
        <v>2</v>
      </c>
      <c r="Q56" s="148">
        <v>2021</v>
      </c>
      <c r="R56" s="148" t="s">
        <v>85</v>
      </c>
      <c r="S56" s="148" t="s">
        <v>456</v>
      </c>
      <c r="T56" s="148" t="s">
        <v>353</v>
      </c>
      <c r="U56" s="148">
        <v>2287824</v>
      </c>
    </row>
    <row r="57" spans="1:24" x14ac:dyDescent="0.2">
      <c r="A57" s="145">
        <v>55</v>
      </c>
      <c r="B57" s="150" t="s">
        <v>457</v>
      </c>
      <c r="C57" s="150" t="s">
        <v>812</v>
      </c>
      <c r="D57" s="150">
        <v>89679</v>
      </c>
      <c r="E57" s="150">
        <v>89478</v>
      </c>
      <c r="F57" s="127">
        <f>VLOOKUP(C57,verif!A:J,10,0)</f>
        <v>10865.237243000001</v>
      </c>
      <c r="G57" s="127">
        <f>VLOOKUP(C57,verif!A:K,11,0)</f>
        <v>601.86912490000009</v>
      </c>
      <c r="H57" s="127">
        <f>VLOOKUP(C57,verif!A:L,12,0)</f>
        <v>599.36238979999996</v>
      </c>
      <c r="I57" s="187">
        <f t="shared" si="2"/>
        <v>2.5067351000001281</v>
      </c>
      <c r="J57" s="128">
        <f t="shared" si="3"/>
        <v>4.1649172491056412E-3</v>
      </c>
      <c r="K57" s="129">
        <v>44256</v>
      </c>
      <c r="L57" s="130">
        <v>44273</v>
      </c>
      <c r="M57" s="146">
        <v>2</v>
      </c>
      <c r="Q57" s="148">
        <v>2021</v>
      </c>
      <c r="R57" s="148" t="s">
        <v>85</v>
      </c>
      <c r="S57" s="148" t="s">
        <v>425</v>
      </c>
      <c r="T57" s="148" t="s">
        <v>353</v>
      </c>
      <c r="U57" s="148">
        <v>2280748</v>
      </c>
    </row>
    <row r="58" spans="1:24" x14ac:dyDescent="0.2">
      <c r="A58" s="145">
        <v>56</v>
      </c>
      <c r="B58" s="150" t="s">
        <v>458</v>
      </c>
      <c r="C58" s="150" t="s">
        <v>458</v>
      </c>
      <c r="D58" s="150">
        <v>41700</v>
      </c>
      <c r="E58" s="150">
        <v>42379</v>
      </c>
      <c r="F58" s="127">
        <f>VLOOKUP(C58,verif!A:J,10,0)</f>
        <v>1850.8664928999999</v>
      </c>
      <c r="G58" s="127">
        <f>VLOOKUP(C58,verif!A:K,11,0)</f>
        <v>82.694300399999989</v>
      </c>
      <c r="H58" s="127">
        <f>VLOOKUP(C58,verif!A:L,12,0)</f>
        <v>71.544005999999996</v>
      </c>
      <c r="I58" s="187">
        <f t="shared" si="2"/>
        <v>11.150294399999993</v>
      </c>
      <c r="J58" s="128">
        <f t="shared" si="3"/>
        <v>0.13483752019262496</v>
      </c>
      <c r="K58" s="132">
        <v>44301</v>
      </c>
      <c r="L58" s="130">
        <v>44319</v>
      </c>
      <c r="M58" s="146">
        <v>1</v>
      </c>
      <c r="Q58" s="148">
        <v>2021</v>
      </c>
      <c r="R58" s="148" t="s">
        <v>85</v>
      </c>
      <c r="S58" s="148" t="s">
        <v>459</v>
      </c>
      <c r="T58" s="148" t="s">
        <v>353</v>
      </c>
      <c r="U58" s="148">
        <v>2308105</v>
      </c>
    </row>
    <row r="59" spans="1:24" x14ac:dyDescent="0.2">
      <c r="A59" s="145">
        <v>57</v>
      </c>
      <c r="B59" s="148" t="s">
        <v>460</v>
      </c>
      <c r="C59" s="148" t="s">
        <v>460</v>
      </c>
      <c r="D59" s="150">
        <v>24136</v>
      </c>
      <c r="E59" s="150">
        <v>237189</v>
      </c>
      <c r="F59" s="127">
        <f>VLOOKUP(C59,verif!A:J,10,0)</f>
        <v>2123.6574766000003</v>
      </c>
      <c r="G59" s="127">
        <f>VLOOKUP(C59,verif!A:K,11,0)</f>
        <v>91.571894999999998</v>
      </c>
      <c r="H59" s="127">
        <f>VLOOKUP(C59,verif!A:L,12,0)</f>
        <v>85.736271399999993</v>
      </c>
      <c r="I59" s="187">
        <f t="shared" si="2"/>
        <v>5.8356236000000052</v>
      </c>
      <c r="J59" s="128">
        <f t="shared" si="3"/>
        <v>6.3727234213073844E-2</v>
      </c>
      <c r="K59" s="132">
        <v>44294</v>
      </c>
      <c r="L59" s="130">
        <v>44326</v>
      </c>
      <c r="M59" s="146">
        <v>1</v>
      </c>
      <c r="Q59" s="148">
        <v>2021</v>
      </c>
      <c r="R59" s="148" t="s">
        <v>85</v>
      </c>
      <c r="S59" s="148" t="s">
        <v>461</v>
      </c>
      <c r="T59" s="148" t="s">
        <v>353</v>
      </c>
      <c r="U59" s="148">
        <v>2304071</v>
      </c>
    </row>
    <row r="60" spans="1:24" x14ac:dyDescent="0.2">
      <c r="A60" s="145">
        <v>58</v>
      </c>
      <c r="B60" s="150" t="s">
        <v>462</v>
      </c>
      <c r="C60" s="150" t="s">
        <v>462</v>
      </c>
      <c r="D60" s="150">
        <v>98565</v>
      </c>
      <c r="E60" s="150">
        <v>74941</v>
      </c>
      <c r="F60" s="127">
        <f>VLOOKUP(C60,verif!A:J,10,0)</f>
        <v>1366.7437542</v>
      </c>
      <c r="G60" s="127">
        <f>VLOOKUP(C60,verif!A:K,11,0)</f>
        <v>128.9030788</v>
      </c>
      <c r="H60" s="127">
        <f>VLOOKUP(C60,verif!A:L,12,0)</f>
        <v>126.5327064</v>
      </c>
      <c r="I60" s="187">
        <f t="shared" si="2"/>
        <v>2.3703724000000079</v>
      </c>
      <c r="J60" s="128">
        <f t="shared" si="3"/>
        <v>1.8388795846201369E-2</v>
      </c>
      <c r="K60" s="132">
        <v>44306</v>
      </c>
      <c r="L60" s="130">
        <v>44330</v>
      </c>
      <c r="M60" s="146">
        <v>1</v>
      </c>
      <c r="Q60" s="148">
        <v>2021</v>
      </c>
      <c r="R60" s="148" t="s">
        <v>85</v>
      </c>
      <c r="S60" s="148" t="s">
        <v>463</v>
      </c>
      <c r="T60" s="148" t="s">
        <v>353</v>
      </c>
      <c r="U60" s="148">
        <v>2312851</v>
      </c>
    </row>
    <row r="61" spans="1:24" x14ac:dyDescent="0.2">
      <c r="A61" s="145">
        <v>59</v>
      </c>
      <c r="B61" s="150" t="s">
        <v>464</v>
      </c>
      <c r="C61" s="150" t="s">
        <v>809</v>
      </c>
      <c r="D61" s="150">
        <v>90284</v>
      </c>
      <c r="E61" s="150">
        <v>323373</v>
      </c>
      <c r="F61" s="127">
        <f>VLOOKUP(C61,verif!A:J,10,0)</f>
        <v>7791.8433974</v>
      </c>
      <c r="G61" s="127">
        <f>VLOOKUP(C61,verif!A:K,11,0)</f>
        <v>411.5050147</v>
      </c>
      <c r="H61" s="127">
        <f>VLOOKUP(C61,verif!A:L,12,0)</f>
        <v>407.48185050000001</v>
      </c>
      <c r="I61" s="187">
        <f t="shared" si="2"/>
        <v>4.0231641999999965</v>
      </c>
      <c r="J61" s="128">
        <f t="shared" si="3"/>
        <v>9.7767075886863956E-3</v>
      </c>
      <c r="K61" s="129">
        <v>44316</v>
      </c>
      <c r="L61" s="131">
        <v>44330</v>
      </c>
      <c r="M61" s="146">
        <v>2</v>
      </c>
      <c r="Q61" s="148">
        <v>2021</v>
      </c>
      <c r="R61" s="148" t="s">
        <v>85</v>
      </c>
      <c r="S61" s="148" t="s">
        <v>465</v>
      </c>
      <c r="T61" s="148" t="s">
        <v>353</v>
      </c>
      <c r="U61" s="148">
        <v>2323266</v>
      </c>
    </row>
    <row r="62" spans="1:24" x14ac:dyDescent="0.2">
      <c r="A62" s="145">
        <v>60</v>
      </c>
      <c r="B62" s="150" t="s">
        <v>466</v>
      </c>
      <c r="C62" s="150" t="s">
        <v>822</v>
      </c>
      <c r="D62" s="150">
        <v>100853</v>
      </c>
      <c r="E62" s="150">
        <v>94074</v>
      </c>
      <c r="F62" s="127">
        <f>VLOOKUP(C62,verif!A:J,10,0)</f>
        <v>5761.9045782000003</v>
      </c>
      <c r="G62" s="127">
        <f>VLOOKUP(C62,verif!A:K,11,0)</f>
        <v>264.22253189999998</v>
      </c>
      <c r="H62" s="127">
        <f>VLOOKUP(C62,verif!A:L,12,0)</f>
        <v>261.89323450000001</v>
      </c>
      <c r="I62" s="187">
        <f t="shared" si="2"/>
        <v>2.3292973999999731</v>
      </c>
      <c r="J62" s="128">
        <f t="shared" si="3"/>
        <v>8.8156652774848878E-3</v>
      </c>
      <c r="K62" s="129">
        <v>44347</v>
      </c>
      <c r="L62" s="131">
        <v>44368</v>
      </c>
      <c r="M62" s="146">
        <v>2</v>
      </c>
      <c r="Q62" s="148">
        <v>2021</v>
      </c>
      <c r="R62" s="148" t="s">
        <v>85</v>
      </c>
      <c r="S62" s="148" t="s">
        <v>467</v>
      </c>
      <c r="T62" s="148" t="s">
        <v>353</v>
      </c>
      <c r="U62" s="148">
        <v>2344412</v>
      </c>
    </row>
    <row r="63" spans="1:24" x14ac:dyDescent="0.2">
      <c r="A63" s="145">
        <v>61</v>
      </c>
      <c r="B63" s="150" t="s">
        <v>468</v>
      </c>
      <c r="C63" s="150" t="s">
        <v>823</v>
      </c>
      <c r="D63" s="150">
        <v>123223</v>
      </c>
      <c r="E63" s="150">
        <v>129163</v>
      </c>
      <c r="F63" s="127">
        <f>VLOOKUP(C63,verif!A:J,10,0)</f>
        <v>4753.2851357000009</v>
      </c>
      <c r="G63" s="127">
        <f>VLOOKUP(C63,verif!A:K,11,0)</f>
        <v>411.63352689999999</v>
      </c>
      <c r="H63" s="127">
        <f>VLOOKUP(C63,verif!A:L,12,0)</f>
        <v>405.22088419999994</v>
      </c>
      <c r="I63" s="187">
        <f t="shared" si="2"/>
        <v>6.412642700000049</v>
      </c>
      <c r="J63" s="128">
        <f t="shared" si="3"/>
        <v>1.5578523810471593E-2</v>
      </c>
      <c r="K63" s="129">
        <v>44362</v>
      </c>
      <c r="L63" s="131">
        <v>44385</v>
      </c>
      <c r="M63" s="146">
        <v>2</v>
      </c>
      <c r="Q63" s="148">
        <v>2021</v>
      </c>
      <c r="R63" s="148" t="s">
        <v>85</v>
      </c>
      <c r="S63" s="148" t="s">
        <v>469</v>
      </c>
      <c r="T63" s="148" t="s">
        <v>353</v>
      </c>
      <c r="U63" s="148">
        <v>2352241</v>
      </c>
    </row>
    <row r="64" spans="1:24" x14ac:dyDescent="0.2">
      <c r="A64" s="145">
        <v>62</v>
      </c>
      <c r="B64" s="150" t="s">
        <v>470</v>
      </c>
      <c r="C64" s="150" t="s">
        <v>803</v>
      </c>
      <c r="D64" s="150">
        <v>1016</v>
      </c>
      <c r="E64" s="150">
        <v>1030</v>
      </c>
      <c r="F64" s="127">
        <f>VLOOKUP(C64,verif!A:J,10,0)</f>
        <v>8415.1325574999992</v>
      </c>
      <c r="G64" s="127">
        <f>VLOOKUP(C64,verif!A:K,11,0)</f>
        <v>595.7166615000001</v>
      </c>
      <c r="H64" s="127">
        <f>VLOOKUP(C64,verif!A:L,12,0)</f>
        <v>590.39351999999997</v>
      </c>
      <c r="I64" s="187">
        <f t="shared" si="2"/>
        <v>5.3231415000001334</v>
      </c>
      <c r="J64" s="128">
        <f t="shared" si="3"/>
        <v>8.9356934999880525E-3</v>
      </c>
      <c r="K64" s="129">
        <v>44369</v>
      </c>
      <c r="L64" s="131">
        <v>44386</v>
      </c>
      <c r="M64" s="146">
        <v>2</v>
      </c>
      <c r="Q64" s="148">
        <v>2021</v>
      </c>
      <c r="R64" s="148" t="s">
        <v>85</v>
      </c>
      <c r="S64" s="148" t="s">
        <v>471</v>
      </c>
      <c r="T64" s="148" t="s">
        <v>353</v>
      </c>
      <c r="U64" s="157">
        <v>2358092</v>
      </c>
    </row>
    <row r="65" spans="1:21" x14ac:dyDescent="0.2">
      <c r="A65" s="145">
        <v>63</v>
      </c>
      <c r="B65" s="150" t="s">
        <v>472</v>
      </c>
      <c r="C65" s="150" t="s">
        <v>810</v>
      </c>
      <c r="D65" s="150">
        <v>20025</v>
      </c>
      <c r="E65" s="150">
        <v>254494</v>
      </c>
      <c r="F65" s="127">
        <f>VLOOKUP(C65,verif!A:J,10,0)</f>
        <v>12713.564789999999</v>
      </c>
      <c r="G65" s="127">
        <f>VLOOKUP(C65,verif!A:K,11,0)</f>
        <v>604.7516478</v>
      </c>
      <c r="H65" s="127">
        <f>VLOOKUP(C65,verif!A:L,12,0)</f>
        <v>604.40408690000004</v>
      </c>
      <c r="I65" s="187">
        <f t="shared" si="2"/>
        <v>0.3475608999999622</v>
      </c>
      <c r="J65" s="128">
        <f t="shared" si="3"/>
        <v>5.7471674738603692E-4</v>
      </c>
      <c r="K65" s="132">
        <v>44398</v>
      </c>
      <c r="L65" s="131">
        <v>44432</v>
      </c>
      <c r="M65" s="146">
        <v>2</v>
      </c>
      <c r="Q65" s="148">
        <v>2021</v>
      </c>
      <c r="R65" s="148" t="s">
        <v>85</v>
      </c>
      <c r="S65" s="148" t="s">
        <v>393</v>
      </c>
      <c r="T65" s="148" t="s">
        <v>353</v>
      </c>
      <c r="U65" s="148">
        <v>2378312</v>
      </c>
    </row>
    <row r="66" spans="1:21" x14ac:dyDescent="0.2">
      <c r="A66" s="145">
        <v>64</v>
      </c>
      <c r="B66" s="150" t="s">
        <v>473</v>
      </c>
      <c r="C66" s="150" t="s">
        <v>816</v>
      </c>
      <c r="D66" s="150">
        <v>255893</v>
      </c>
      <c r="E66" s="150">
        <v>20130</v>
      </c>
      <c r="F66" s="127">
        <f>VLOOKUP(C66,verif!A:J,10,0)</f>
        <v>15288.773551799999</v>
      </c>
      <c r="G66" s="127">
        <f>VLOOKUP(C66,verif!A:K,11,0)</f>
        <v>943.56581159999996</v>
      </c>
      <c r="H66" s="127">
        <f>VLOOKUP(C66,verif!A:L,12,0)</f>
        <v>941.40204349999999</v>
      </c>
      <c r="I66" s="187">
        <f t="shared" si="2"/>
        <v>2.1637680999999702</v>
      </c>
      <c r="J66" s="128">
        <f t="shared" si="3"/>
        <v>2.2931819629315301E-3</v>
      </c>
      <c r="K66" s="132">
        <v>44393</v>
      </c>
      <c r="L66" s="131">
        <v>44435</v>
      </c>
      <c r="M66" s="146">
        <v>2</v>
      </c>
      <c r="Q66" s="148">
        <v>2021</v>
      </c>
      <c r="R66" s="148" t="s">
        <v>85</v>
      </c>
      <c r="S66" s="148" t="s">
        <v>453</v>
      </c>
      <c r="T66" s="148" t="s">
        <v>353</v>
      </c>
      <c r="U66" s="148">
        <v>2374556</v>
      </c>
    </row>
    <row r="67" spans="1:21" x14ac:dyDescent="0.2">
      <c r="A67" s="145">
        <v>65</v>
      </c>
      <c r="B67" s="150" t="s">
        <v>829</v>
      </c>
      <c r="C67" s="150" t="s">
        <v>798</v>
      </c>
      <c r="D67" s="150">
        <v>380754</v>
      </c>
      <c r="E67" s="150">
        <v>222811</v>
      </c>
      <c r="F67" s="127">
        <f>VLOOKUP(C67,verif!A:J,10,0)</f>
        <v>1445.2061334</v>
      </c>
      <c r="G67" s="127">
        <f>VLOOKUP(C67,verif!A:K,11,0)</f>
        <v>196.16183859999998</v>
      </c>
      <c r="H67" s="127">
        <f>VLOOKUP(C67,verif!A:L,12,0)</f>
        <v>178.01566550000001</v>
      </c>
      <c r="I67" s="187">
        <f t="shared" ref="I67:I91" si="4">G67-H67</f>
        <v>18.14617309999997</v>
      </c>
      <c r="J67" s="128">
        <f t="shared" ref="J67:J91" si="5">I67/G67</f>
        <v>9.2506132841680924E-2</v>
      </c>
      <c r="K67" s="132">
        <v>44438</v>
      </c>
      <c r="L67" s="131">
        <v>44484</v>
      </c>
      <c r="M67" s="146">
        <v>2</v>
      </c>
      <c r="Q67" s="148">
        <v>2021</v>
      </c>
      <c r="R67" s="148" t="s">
        <v>85</v>
      </c>
      <c r="S67" s="148" t="s">
        <v>474</v>
      </c>
      <c r="T67" s="148" t="s">
        <v>353</v>
      </c>
      <c r="U67" s="148">
        <v>2405248</v>
      </c>
    </row>
    <row r="68" spans="1:21" x14ac:dyDescent="0.2">
      <c r="A68" s="145">
        <v>66</v>
      </c>
      <c r="B68" s="150" t="s">
        <v>475</v>
      </c>
      <c r="C68" s="150" t="s">
        <v>801</v>
      </c>
      <c r="D68" s="150">
        <v>381000</v>
      </c>
      <c r="E68" s="150">
        <v>381002</v>
      </c>
      <c r="F68" s="127">
        <f>VLOOKUP(C68,verif!A:J,10,0)</f>
        <v>21132.162760200001</v>
      </c>
      <c r="G68" s="127">
        <f>VLOOKUP(C68,verif!A:K,11,0)</f>
        <v>395.0792055</v>
      </c>
      <c r="H68" s="127">
        <f>VLOOKUP(C68,verif!A:L,12,0)</f>
        <v>389.19902360000003</v>
      </c>
      <c r="I68" s="187">
        <f t="shared" si="4"/>
        <v>5.8801818999999682</v>
      </c>
      <c r="J68" s="128">
        <f t="shared" si="5"/>
        <v>1.4883552002080677E-2</v>
      </c>
      <c r="K68" s="129">
        <v>44434</v>
      </c>
      <c r="L68" s="131">
        <v>44484</v>
      </c>
      <c r="M68" s="146">
        <v>2</v>
      </c>
      <c r="Q68" s="148">
        <v>2021</v>
      </c>
      <c r="R68" s="148" t="s">
        <v>85</v>
      </c>
      <c r="S68" s="148" t="s">
        <v>476</v>
      </c>
      <c r="T68" s="148" t="s">
        <v>353</v>
      </c>
      <c r="U68" s="157">
        <v>2402440</v>
      </c>
    </row>
    <row r="69" spans="1:21" x14ac:dyDescent="0.2">
      <c r="A69" s="145">
        <v>67</v>
      </c>
      <c r="B69" s="150" t="s">
        <v>477</v>
      </c>
      <c r="C69" s="150" t="s">
        <v>477</v>
      </c>
      <c r="D69" s="150">
        <v>269474</v>
      </c>
      <c r="E69" s="150">
        <v>50897</v>
      </c>
      <c r="F69" s="127">
        <f>VLOOKUP(C69,verif!A:J,10,0)</f>
        <v>844.19686100000001</v>
      </c>
      <c r="G69" s="127">
        <f>VLOOKUP(C69,verif!A:K,11,0)</f>
        <v>32.003508099999998</v>
      </c>
      <c r="H69" s="127">
        <f>VLOOKUP(C69,verif!A:L,12,0)</f>
        <v>29.0288477</v>
      </c>
      <c r="I69" s="187">
        <f t="shared" si="4"/>
        <v>2.9746603999999977</v>
      </c>
      <c r="J69" s="128">
        <f t="shared" si="5"/>
        <v>9.2947947790761029E-2</v>
      </c>
      <c r="K69" s="132">
        <v>44294</v>
      </c>
      <c r="L69" s="131">
        <v>44505</v>
      </c>
      <c r="M69" s="146">
        <v>1</v>
      </c>
      <c r="Q69" s="148">
        <v>2021</v>
      </c>
      <c r="R69" s="148" t="s">
        <v>85</v>
      </c>
      <c r="S69" s="148" t="s">
        <v>478</v>
      </c>
      <c r="T69" s="148" t="s">
        <v>353</v>
      </c>
      <c r="U69" s="148">
        <v>2305612</v>
      </c>
    </row>
    <row r="70" spans="1:21" x14ac:dyDescent="0.2">
      <c r="A70" s="145">
        <v>68</v>
      </c>
      <c r="B70" s="150" t="s">
        <v>479</v>
      </c>
      <c r="C70" s="150" t="s">
        <v>479</v>
      </c>
      <c r="D70" s="150">
        <v>242359</v>
      </c>
      <c r="E70" s="150">
        <v>242387</v>
      </c>
      <c r="F70" s="127">
        <f>VLOOKUP(C70,verif!A:J,10,0)</f>
        <v>1332.0647469999999</v>
      </c>
      <c r="G70" s="127">
        <f>VLOOKUP(C70,verif!A:K,11,0)</f>
        <v>109.95845440000001</v>
      </c>
      <c r="H70" s="127">
        <f>VLOOKUP(C70,verif!A:L,12,0)</f>
        <v>109.77028250000001</v>
      </c>
      <c r="I70" s="187">
        <f t="shared" si="4"/>
        <v>0.18817190000000039</v>
      </c>
      <c r="J70" s="128">
        <f t="shared" si="5"/>
        <v>1.7112999725831029E-3</v>
      </c>
      <c r="K70" s="129">
        <v>44532</v>
      </c>
      <c r="L70" s="130">
        <v>44546</v>
      </c>
      <c r="M70" s="146">
        <v>1</v>
      </c>
      <c r="Q70" s="148">
        <v>2021</v>
      </c>
      <c r="R70" s="148" t="s">
        <v>85</v>
      </c>
      <c r="S70" s="148" t="s">
        <v>480</v>
      </c>
      <c r="T70" s="148" t="s">
        <v>353</v>
      </c>
      <c r="U70" s="148">
        <v>2474005</v>
      </c>
    </row>
    <row r="71" spans="1:21" x14ac:dyDescent="0.2">
      <c r="A71" s="145">
        <v>69</v>
      </c>
      <c r="B71" s="150" t="s">
        <v>481</v>
      </c>
      <c r="C71" s="150" t="s">
        <v>481</v>
      </c>
      <c r="D71" s="150">
        <v>180234</v>
      </c>
      <c r="E71" s="150">
        <v>372893</v>
      </c>
      <c r="F71" s="127">
        <f>VLOOKUP(C71,verif!A:J,10,0)</f>
        <v>1507.4832904</v>
      </c>
      <c r="G71" s="127">
        <f>VLOOKUP(C71,verif!A:K,11,0)</f>
        <v>133.96881919999998</v>
      </c>
      <c r="H71" s="127">
        <f>VLOOKUP(C71,verif!A:L,12,0)</f>
        <v>124.59245299999999</v>
      </c>
      <c r="I71" s="187">
        <f t="shared" si="4"/>
        <v>9.3763661999999925</v>
      </c>
      <c r="J71" s="128">
        <f t="shared" si="5"/>
        <v>6.9989168046649425E-2</v>
      </c>
      <c r="K71" s="129">
        <v>44531</v>
      </c>
      <c r="L71" s="130">
        <v>44547</v>
      </c>
      <c r="M71" s="146">
        <v>1</v>
      </c>
      <c r="Q71" s="148">
        <v>2021</v>
      </c>
      <c r="R71" s="148" t="s">
        <v>85</v>
      </c>
      <c r="S71" s="148" t="s">
        <v>482</v>
      </c>
      <c r="T71" s="148" t="s">
        <v>353</v>
      </c>
      <c r="U71" s="148"/>
    </row>
    <row r="72" spans="1:21" x14ac:dyDescent="0.2">
      <c r="A72" s="145">
        <v>70</v>
      </c>
      <c r="B72" s="150" t="s">
        <v>483</v>
      </c>
      <c r="C72" s="150" t="s">
        <v>483</v>
      </c>
      <c r="D72" s="150">
        <v>333165</v>
      </c>
      <c r="E72" s="150">
        <v>89404</v>
      </c>
      <c r="F72" s="127">
        <f>VLOOKUP(C72,verif!A:J,10,0)</f>
        <v>779.20600919999993</v>
      </c>
      <c r="G72" s="127">
        <f>VLOOKUP(C72,verif!A:K,11,0)</f>
        <v>33.259548499999994</v>
      </c>
      <c r="H72" s="127">
        <f>VLOOKUP(C72,verif!A:L,12,0)</f>
        <v>30.4598236</v>
      </c>
      <c r="I72" s="187">
        <f t="shared" si="4"/>
        <v>2.799724899999994</v>
      </c>
      <c r="J72" s="128">
        <f t="shared" si="5"/>
        <v>8.417807896580419E-2</v>
      </c>
      <c r="K72" s="129">
        <v>44526</v>
      </c>
      <c r="L72" s="130">
        <v>44553</v>
      </c>
      <c r="M72" s="156">
        <v>1</v>
      </c>
      <c r="Q72" s="148">
        <v>2021</v>
      </c>
      <c r="R72" s="148" t="s">
        <v>85</v>
      </c>
      <c r="S72" s="148" t="s">
        <v>484</v>
      </c>
      <c r="T72" s="148" t="s">
        <v>353</v>
      </c>
      <c r="U72" s="157">
        <v>2471303</v>
      </c>
    </row>
    <row r="73" spans="1:21" x14ac:dyDescent="0.2">
      <c r="A73" s="145">
        <v>71</v>
      </c>
      <c r="B73" s="150" t="s">
        <v>485</v>
      </c>
      <c r="C73" s="150" t="s">
        <v>485</v>
      </c>
      <c r="D73" s="150">
        <v>308328</v>
      </c>
      <c r="E73" s="150">
        <v>88472</v>
      </c>
      <c r="F73" s="127">
        <f>VLOOKUP(C73,verif!A:J,10,0)</f>
        <v>1476.6006514999999</v>
      </c>
      <c r="G73" s="127">
        <f>VLOOKUP(C73,verif!A:K,11,0)</f>
        <v>88.853010500000011</v>
      </c>
      <c r="H73" s="127">
        <f>VLOOKUP(C73,verif!A:L,12,0)</f>
        <v>85.923191299999999</v>
      </c>
      <c r="I73" s="187">
        <f t="shared" si="4"/>
        <v>2.9298192000000114</v>
      </c>
      <c r="J73" s="128">
        <f t="shared" si="5"/>
        <v>3.2973775266736866E-2</v>
      </c>
      <c r="K73" s="129">
        <v>44547</v>
      </c>
      <c r="L73" s="130">
        <v>44558</v>
      </c>
      <c r="M73" s="146">
        <v>1</v>
      </c>
      <c r="Q73" s="148">
        <v>2021</v>
      </c>
      <c r="R73" s="148" t="s">
        <v>85</v>
      </c>
      <c r="S73" s="148" t="s">
        <v>486</v>
      </c>
      <c r="T73" s="148" t="s">
        <v>353</v>
      </c>
      <c r="U73" s="148">
        <v>2487125</v>
      </c>
    </row>
    <row r="74" spans="1:21" x14ac:dyDescent="0.2">
      <c r="A74" s="145">
        <v>72</v>
      </c>
      <c r="B74" s="150" t="s">
        <v>487</v>
      </c>
      <c r="C74" s="150" t="s">
        <v>487</v>
      </c>
      <c r="D74" s="150">
        <v>275581</v>
      </c>
      <c r="E74" s="150">
        <v>141740</v>
      </c>
      <c r="F74" s="127">
        <f>VLOOKUP(C74,verif!A:J,10,0)</f>
        <v>300.53738720000001</v>
      </c>
      <c r="G74" s="127">
        <f>VLOOKUP(C74,verif!A:K,11,0)</f>
        <v>109.9830973</v>
      </c>
      <c r="H74" s="127">
        <f>VLOOKUP(C74,verif!A:L,12,0)</f>
        <v>107.702336</v>
      </c>
      <c r="I74" s="187">
        <f t="shared" si="4"/>
        <v>2.2807612999999947</v>
      </c>
      <c r="J74" s="128">
        <f t="shared" si="5"/>
        <v>2.07373801610513E-2</v>
      </c>
      <c r="K74" s="129">
        <v>44550</v>
      </c>
      <c r="L74" s="130">
        <v>44574</v>
      </c>
      <c r="M74" s="146">
        <v>1</v>
      </c>
      <c r="Q74" s="148">
        <v>2022</v>
      </c>
      <c r="R74" s="148" t="s">
        <v>85</v>
      </c>
      <c r="S74" s="148" t="s">
        <v>487</v>
      </c>
      <c r="T74" s="148" t="s">
        <v>353</v>
      </c>
      <c r="U74" s="148">
        <v>2488631</v>
      </c>
    </row>
    <row r="75" spans="1:21" x14ac:dyDescent="0.2">
      <c r="A75" s="145">
        <v>73</v>
      </c>
      <c r="B75" s="150" t="s">
        <v>488</v>
      </c>
      <c r="C75" s="150" t="s">
        <v>808</v>
      </c>
      <c r="D75" s="150">
        <v>190722</v>
      </c>
      <c r="E75" s="150">
        <v>184279</v>
      </c>
      <c r="F75" s="127">
        <f>VLOOKUP(C75,verif!A:J,10,0)</f>
        <v>7863.5993823999997</v>
      </c>
      <c r="G75" s="127">
        <f>VLOOKUP(C75,verif!A:K,11,0)</f>
        <v>437.50731280000002</v>
      </c>
      <c r="H75" s="127">
        <f>VLOOKUP(C75,verif!A:L,12,0)</f>
        <v>421.1847459</v>
      </c>
      <c r="I75" s="187">
        <f t="shared" si="4"/>
        <v>16.322566900000027</v>
      </c>
      <c r="J75" s="128">
        <f t="shared" si="5"/>
        <v>3.7308100739019294E-2</v>
      </c>
      <c r="K75" s="132">
        <v>44608</v>
      </c>
      <c r="L75" s="130">
        <v>44634</v>
      </c>
      <c r="M75" s="146">
        <v>2</v>
      </c>
      <c r="Q75" s="148">
        <v>2022</v>
      </c>
      <c r="R75" s="148" t="s">
        <v>85</v>
      </c>
      <c r="S75" s="148" t="s">
        <v>489</v>
      </c>
      <c r="T75" s="148" t="s">
        <v>353</v>
      </c>
      <c r="U75" s="148">
        <v>2527535</v>
      </c>
    </row>
    <row r="76" spans="1:21" x14ac:dyDescent="0.2">
      <c r="A76" s="145">
        <v>74</v>
      </c>
      <c r="B76" s="150" t="s">
        <v>490</v>
      </c>
      <c r="C76" s="150" t="s">
        <v>490</v>
      </c>
      <c r="D76" s="150">
        <v>188470</v>
      </c>
      <c r="E76" s="150">
        <v>188486</v>
      </c>
      <c r="F76" s="127">
        <f>VLOOKUP(C76,verif!A:J,10,0)</f>
        <v>1300.6015356999999</v>
      </c>
      <c r="G76" s="127">
        <f>VLOOKUP(C76,verif!A:K,11,0)</f>
        <v>174.42489550000002</v>
      </c>
      <c r="H76" s="127">
        <f>VLOOKUP(C76,verif!A:L,12,0)</f>
        <v>172.71737899999999</v>
      </c>
      <c r="I76" s="187">
        <f t="shared" si="4"/>
        <v>1.7075165000000254</v>
      </c>
      <c r="J76" s="128">
        <f t="shared" si="5"/>
        <v>9.7894081868607173E-3</v>
      </c>
      <c r="K76" s="132">
        <v>44643</v>
      </c>
      <c r="L76" s="131">
        <v>44659</v>
      </c>
      <c r="M76" s="156">
        <v>1</v>
      </c>
      <c r="Q76" s="148">
        <v>2022</v>
      </c>
      <c r="R76" s="148" t="s">
        <v>85</v>
      </c>
      <c r="S76" s="148" t="s">
        <v>491</v>
      </c>
      <c r="T76" s="148" t="s">
        <v>353</v>
      </c>
      <c r="U76" s="148">
        <v>2550420</v>
      </c>
    </row>
    <row r="77" spans="1:21" x14ac:dyDescent="0.2">
      <c r="A77" s="145">
        <v>75</v>
      </c>
      <c r="B77" s="150" t="s">
        <v>492</v>
      </c>
      <c r="C77" s="150" t="s">
        <v>492</v>
      </c>
      <c r="D77" s="150">
        <v>253825</v>
      </c>
      <c r="E77" s="150">
        <v>253824</v>
      </c>
      <c r="F77" s="127">
        <f>VLOOKUP(C77,verif!A:J,10,0)</f>
        <v>1942.6397228000001</v>
      </c>
      <c r="G77" s="127">
        <f>VLOOKUP(C77,verif!A:K,11,0)</f>
        <v>103.2487558</v>
      </c>
      <c r="H77" s="127">
        <f>VLOOKUP(C77,verif!A:L,12,0)</f>
        <v>101.6095354</v>
      </c>
      <c r="I77" s="187">
        <f t="shared" si="4"/>
        <v>1.6392203999999992</v>
      </c>
      <c r="J77" s="128">
        <f t="shared" si="5"/>
        <v>1.5876417950985121E-2</v>
      </c>
      <c r="K77" s="129">
        <v>44669</v>
      </c>
      <c r="L77" s="131">
        <v>44733</v>
      </c>
      <c r="M77" s="156">
        <v>1</v>
      </c>
      <c r="Q77" s="148">
        <v>2022</v>
      </c>
      <c r="R77" s="148" t="s">
        <v>85</v>
      </c>
      <c r="S77" s="148" t="s">
        <v>493</v>
      </c>
      <c r="T77" s="148" t="s">
        <v>353</v>
      </c>
      <c r="U77" s="148">
        <v>2569625</v>
      </c>
    </row>
    <row r="78" spans="1:21" x14ac:dyDescent="0.2">
      <c r="A78" s="145">
        <v>76</v>
      </c>
      <c r="B78" s="150" t="s">
        <v>828</v>
      </c>
      <c r="C78" s="150" t="s">
        <v>814</v>
      </c>
      <c r="D78" s="150">
        <v>2778</v>
      </c>
      <c r="E78" s="150">
        <v>1660</v>
      </c>
      <c r="F78" s="127">
        <f>VLOOKUP(C78,verif!A:J,10,0)</f>
        <v>6976.9095334000003</v>
      </c>
      <c r="G78" s="127">
        <f>VLOOKUP(C78,verif!A:K,11,0)</f>
        <v>317.41929950000002</v>
      </c>
      <c r="H78" s="127">
        <f>VLOOKUP(C78,verif!A:L,12,0)</f>
        <v>316.8486188</v>
      </c>
      <c r="I78" s="187">
        <f t="shared" si="4"/>
        <v>0.57068070000002535</v>
      </c>
      <c r="J78" s="128">
        <f t="shared" si="5"/>
        <v>1.7978765024652362E-3</v>
      </c>
      <c r="K78" s="129">
        <v>44762</v>
      </c>
      <c r="L78" s="131">
        <v>44778</v>
      </c>
      <c r="M78" s="156">
        <v>2</v>
      </c>
      <c r="Q78" s="148">
        <v>2022</v>
      </c>
      <c r="R78" s="148" t="s">
        <v>85</v>
      </c>
      <c r="S78" s="148" t="s">
        <v>494</v>
      </c>
      <c r="T78" s="148" t="s">
        <v>353</v>
      </c>
      <c r="U78" s="148">
        <v>2640515</v>
      </c>
    </row>
    <row r="79" spans="1:21" x14ac:dyDescent="0.2">
      <c r="A79" s="145">
        <v>77</v>
      </c>
      <c r="B79" s="150" t="s">
        <v>495</v>
      </c>
      <c r="C79" s="150" t="s">
        <v>495</v>
      </c>
      <c r="D79" s="150">
        <v>321034</v>
      </c>
      <c r="E79" s="150">
        <v>321033</v>
      </c>
      <c r="F79" s="127">
        <f>VLOOKUP(C79,verif!A:J,10,0)</f>
        <v>1344.160132</v>
      </c>
      <c r="G79" s="127">
        <f>VLOOKUP(C79,verif!A:K,11,0)</f>
        <v>132.2129008</v>
      </c>
      <c r="H79" s="127">
        <f>VLOOKUP(C79,verif!A:L,12,0)</f>
        <v>131.00393510000001</v>
      </c>
      <c r="I79" s="187">
        <f t="shared" si="4"/>
        <v>1.2089656999999931</v>
      </c>
      <c r="J79" s="128">
        <f t="shared" si="5"/>
        <v>9.1440827081527374E-3</v>
      </c>
      <c r="K79" s="129">
        <v>44707</v>
      </c>
      <c r="L79" s="131">
        <v>44779</v>
      </c>
      <c r="M79" s="156">
        <v>1</v>
      </c>
      <c r="Q79" s="148">
        <v>2022</v>
      </c>
      <c r="R79" s="148" t="s">
        <v>85</v>
      </c>
      <c r="S79" s="148" t="s">
        <v>496</v>
      </c>
      <c r="T79" s="148" t="s">
        <v>353</v>
      </c>
      <c r="U79" s="148">
        <v>2602791</v>
      </c>
    </row>
    <row r="80" spans="1:21" x14ac:dyDescent="0.2">
      <c r="A80" s="145">
        <v>78</v>
      </c>
      <c r="B80" s="150" t="s">
        <v>834</v>
      </c>
      <c r="C80" s="150" t="s">
        <v>825</v>
      </c>
      <c r="D80" s="150">
        <v>302273</v>
      </c>
      <c r="E80" s="150">
        <v>306353</v>
      </c>
      <c r="F80" s="127">
        <f>VLOOKUP(C80,verif!A:J,10,0)</f>
        <v>18478.353158599999</v>
      </c>
      <c r="G80" s="127">
        <f>VLOOKUP(C80,verif!A:K,11,0)</f>
        <v>1058.5041859999999</v>
      </c>
      <c r="H80" s="127">
        <f>VLOOKUP(C80,verif!A:L,12,0)</f>
        <v>1056.6134792</v>
      </c>
      <c r="I80" s="187">
        <f t="shared" si="4"/>
        <v>1.8907067999998617</v>
      </c>
      <c r="J80" s="128">
        <f t="shared" si="5"/>
        <v>1.7862062569111671E-3</v>
      </c>
      <c r="K80" s="129">
        <v>44685</v>
      </c>
      <c r="L80" s="131">
        <v>44784</v>
      </c>
      <c r="M80" s="156">
        <v>1</v>
      </c>
      <c r="Q80" s="148">
        <v>2022</v>
      </c>
      <c r="R80" s="148" t="s">
        <v>85</v>
      </c>
      <c r="S80" s="148" t="s">
        <v>497</v>
      </c>
      <c r="T80" s="148" t="s">
        <v>353</v>
      </c>
      <c r="U80" s="148">
        <v>2647800</v>
      </c>
    </row>
    <row r="81" spans="1:21" x14ac:dyDescent="0.2">
      <c r="A81" s="145">
        <v>79</v>
      </c>
      <c r="B81" s="150" t="s">
        <v>498</v>
      </c>
      <c r="C81" s="150" t="s">
        <v>835</v>
      </c>
      <c r="D81" s="150">
        <v>280754</v>
      </c>
      <c r="E81" s="150">
        <v>282199</v>
      </c>
      <c r="F81" s="127">
        <f>VLOOKUP(C81,verif!A:J,10,0)</f>
        <v>1551.4705515999999</v>
      </c>
      <c r="G81" s="127">
        <f>VLOOKUP(C81,verif!A:K,11,0)</f>
        <v>658.44757619999996</v>
      </c>
      <c r="H81" s="127">
        <f>VLOOKUP(C81,verif!A:L,12,0)</f>
        <v>634.05092319999994</v>
      </c>
      <c r="I81" s="187">
        <f t="shared" si="4"/>
        <v>24.396653000000015</v>
      </c>
      <c r="J81" s="128">
        <f t="shared" si="5"/>
        <v>3.7051777365172747E-2</v>
      </c>
      <c r="K81" s="129">
        <v>44628</v>
      </c>
      <c r="L81" s="131">
        <v>44787</v>
      </c>
      <c r="M81" s="156">
        <v>2</v>
      </c>
      <c r="Q81" s="148">
        <v>2022</v>
      </c>
      <c r="R81" s="148" t="s">
        <v>85</v>
      </c>
      <c r="S81" s="148" t="s">
        <v>446</v>
      </c>
      <c r="T81" s="148" t="s">
        <v>353</v>
      </c>
      <c r="U81" s="148">
        <v>2650986</v>
      </c>
    </row>
    <row r="82" spans="1:21" x14ac:dyDescent="0.2">
      <c r="A82" s="145">
        <v>80</v>
      </c>
      <c r="B82" s="150" t="s">
        <v>499</v>
      </c>
      <c r="C82" s="150" t="s">
        <v>499</v>
      </c>
      <c r="D82" s="150">
        <v>248514</v>
      </c>
      <c r="E82" s="150">
        <v>56763</v>
      </c>
      <c r="F82" s="127">
        <f>VLOOKUP(C82,verif!A:J,10,0)</f>
        <v>2069.8009904999999</v>
      </c>
      <c r="G82" s="127">
        <f>VLOOKUP(C82,verif!A:K,11,0)</f>
        <v>208.6862745</v>
      </c>
      <c r="H82" s="127">
        <f>VLOOKUP(C82,verif!A:L,12,0)</f>
        <v>205.26662229999999</v>
      </c>
      <c r="I82" s="187">
        <f t="shared" si="4"/>
        <v>3.4196522000000016</v>
      </c>
      <c r="J82" s="128">
        <f t="shared" si="5"/>
        <v>1.6386569783725768E-2</v>
      </c>
      <c r="K82" s="132">
        <v>44677</v>
      </c>
      <c r="L82" s="131">
        <v>44794</v>
      </c>
      <c r="M82" s="156">
        <v>1</v>
      </c>
      <c r="Q82" s="148">
        <v>2022</v>
      </c>
      <c r="R82" s="148" t="s">
        <v>85</v>
      </c>
      <c r="S82" s="148" t="s">
        <v>500</v>
      </c>
      <c r="T82" s="148" t="s">
        <v>353</v>
      </c>
      <c r="U82" s="148">
        <v>2650248</v>
      </c>
    </row>
    <row r="83" spans="1:21" x14ac:dyDescent="0.2">
      <c r="A83" s="145">
        <v>81</v>
      </c>
      <c r="B83" s="150" t="s">
        <v>501</v>
      </c>
      <c r="C83" s="150" t="s">
        <v>816</v>
      </c>
      <c r="D83" s="150">
        <v>20006</v>
      </c>
      <c r="E83" s="150">
        <v>23540</v>
      </c>
      <c r="F83" s="127">
        <f>VLOOKUP(C83,verif!A:J,10,0)</f>
        <v>15288.773551799999</v>
      </c>
      <c r="G83" s="127">
        <f>VLOOKUP(C83,verif!A:K,11,0)</f>
        <v>943.56581159999996</v>
      </c>
      <c r="H83" s="127">
        <f>VLOOKUP(C83,verif!A:L,12,0)</f>
        <v>941.40204349999999</v>
      </c>
      <c r="I83" s="187">
        <f t="shared" si="4"/>
        <v>2.1637680999999702</v>
      </c>
      <c r="J83" s="128">
        <f t="shared" si="5"/>
        <v>2.2931819629315301E-3</v>
      </c>
      <c r="K83" s="129">
        <v>44818</v>
      </c>
      <c r="L83" s="131">
        <v>44844</v>
      </c>
      <c r="M83" s="156">
        <v>2</v>
      </c>
      <c r="Q83" s="148">
        <v>2022</v>
      </c>
      <c r="R83" s="148" t="s">
        <v>85</v>
      </c>
      <c r="S83" s="148" t="s">
        <v>453</v>
      </c>
      <c r="T83" s="148" t="s">
        <v>353</v>
      </c>
      <c r="U83" s="148">
        <v>2694448</v>
      </c>
    </row>
    <row r="84" spans="1:21" x14ac:dyDescent="0.2">
      <c r="A84" s="145">
        <v>82</v>
      </c>
      <c r="B84" s="150" t="s">
        <v>502</v>
      </c>
      <c r="C84" s="150" t="s">
        <v>502</v>
      </c>
      <c r="D84" s="150">
        <v>285303</v>
      </c>
      <c r="E84" s="150">
        <v>288244</v>
      </c>
      <c r="F84" s="127">
        <f>VLOOKUP(C84,verif!A:J,10,0)</f>
        <v>3083.0230957999997</v>
      </c>
      <c r="G84" s="127">
        <f>VLOOKUP(C84,verif!A:K,11,0)</f>
        <v>155.00074859999998</v>
      </c>
      <c r="H84" s="127">
        <f>VLOOKUP(C84,verif!A:L,12,0)</f>
        <v>147.3853398</v>
      </c>
      <c r="I84" s="187">
        <f t="shared" si="4"/>
        <v>7.6154087999999831</v>
      </c>
      <c r="J84" s="128">
        <f t="shared" si="5"/>
        <v>4.9131432388449664E-2</v>
      </c>
      <c r="K84" s="129">
        <v>44804</v>
      </c>
      <c r="L84" s="131">
        <v>44860</v>
      </c>
      <c r="M84" s="156">
        <v>1</v>
      </c>
      <c r="Q84" s="148">
        <v>2022</v>
      </c>
      <c r="R84" s="148" t="s">
        <v>85</v>
      </c>
      <c r="S84" s="148" t="s">
        <v>503</v>
      </c>
      <c r="T84" s="148" t="s">
        <v>353</v>
      </c>
      <c r="U84" s="157">
        <v>2673686</v>
      </c>
    </row>
    <row r="85" spans="1:21" x14ac:dyDescent="0.2">
      <c r="A85" s="145">
        <v>83</v>
      </c>
      <c r="B85" s="150" t="s">
        <v>504</v>
      </c>
      <c r="C85" s="150" t="s">
        <v>504</v>
      </c>
      <c r="D85" s="150">
        <v>214734</v>
      </c>
      <c r="E85" s="150">
        <v>276473</v>
      </c>
      <c r="F85" s="127">
        <f>VLOOKUP(C85,verif!A:J,10,0)</f>
        <v>2804.2893838</v>
      </c>
      <c r="G85" s="127">
        <f>VLOOKUP(C85,verif!A:K,11,0)</f>
        <v>278.9691421</v>
      </c>
      <c r="H85" s="127">
        <f>VLOOKUP(C85,verif!A:L,12,0)</f>
        <v>275.93159029999998</v>
      </c>
      <c r="I85" s="159">
        <f t="shared" si="4"/>
        <v>3.037551800000017</v>
      </c>
      <c r="J85" s="128">
        <f t="shared" si="5"/>
        <v>1.0888486723421074E-2</v>
      </c>
      <c r="K85" s="129">
        <v>44735</v>
      </c>
      <c r="L85" s="131">
        <v>44923</v>
      </c>
      <c r="M85" s="156">
        <v>1</v>
      </c>
      <c r="Q85" s="148">
        <v>2022</v>
      </c>
      <c r="R85" s="148" t="s">
        <v>85</v>
      </c>
      <c r="S85" s="148" t="s">
        <v>505</v>
      </c>
      <c r="T85" s="148" t="s">
        <v>353</v>
      </c>
      <c r="U85" s="157">
        <v>2621323</v>
      </c>
    </row>
    <row r="86" spans="1:21" x14ac:dyDescent="0.2">
      <c r="A86" s="145">
        <v>84</v>
      </c>
      <c r="B86" s="150" t="s">
        <v>827</v>
      </c>
      <c r="C86" s="150" t="s">
        <v>813</v>
      </c>
      <c r="D86" s="150">
        <v>245891</v>
      </c>
      <c r="E86" s="150">
        <v>129062</v>
      </c>
      <c r="F86" s="127">
        <f>VLOOKUP(C86,verif!A:J,10,0)</f>
        <v>16941.030651599998</v>
      </c>
      <c r="G86" s="127">
        <f>VLOOKUP(C86,verif!A:K,11,0)</f>
        <v>827.55326509999998</v>
      </c>
      <c r="H86" s="127">
        <f>VLOOKUP(C86,verif!A:L,12,0)</f>
        <v>808.17545080000002</v>
      </c>
      <c r="I86" s="159">
        <f t="shared" si="4"/>
        <v>19.377814299999955</v>
      </c>
      <c r="J86" s="128">
        <f t="shared" si="5"/>
        <v>2.3415791003686483E-2</v>
      </c>
      <c r="K86" s="129">
        <v>44771</v>
      </c>
      <c r="L86" s="131">
        <v>45103</v>
      </c>
      <c r="M86" s="156">
        <v>2</v>
      </c>
      <c r="O86" s="185">
        <f t="shared" ref="O86:O91" si="6">12*250*I86</f>
        <v>58133.442899999864</v>
      </c>
      <c r="Q86" s="148">
        <v>2023</v>
      </c>
      <c r="R86" s="148" t="s">
        <v>85</v>
      </c>
      <c r="S86" s="148" t="s">
        <v>507</v>
      </c>
      <c r="T86" s="148" t="s">
        <v>353</v>
      </c>
      <c r="U86" s="157">
        <v>2648246</v>
      </c>
    </row>
    <row r="87" spans="1:21" x14ac:dyDescent="0.2">
      <c r="A87" s="145">
        <v>85</v>
      </c>
      <c r="B87" s="150" t="s">
        <v>826</v>
      </c>
      <c r="C87" s="150" t="s">
        <v>836</v>
      </c>
      <c r="D87" s="150">
        <v>150085</v>
      </c>
      <c r="E87" s="150">
        <v>279055</v>
      </c>
      <c r="F87" s="127">
        <f>VLOOKUP(C87,verif!A:J,10,0)</f>
        <v>18476.811022100002</v>
      </c>
      <c r="G87" s="127">
        <f>VLOOKUP(C87,verif!A:K,11,0)</f>
        <v>1056.6134792</v>
      </c>
      <c r="H87" s="127">
        <f>VLOOKUP(C87,verif!A:L,12,0)</f>
        <v>1033.8804478</v>
      </c>
      <c r="I87" s="159">
        <f t="shared" si="4"/>
        <v>22.733031400000073</v>
      </c>
      <c r="J87" s="128">
        <f t="shared" si="5"/>
        <v>2.1514992802488253E-2</v>
      </c>
      <c r="K87" s="129">
        <v>45027</v>
      </c>
      <c r="L87" s="131">
        <v>45117</v>
      </c>
      <c r="M87" s="156">
        <v>2</v>
      </c>
      <c r="O87" s="185">
        <f t="shared" si="6"/>
        <v>68199.094200000225</v>
      </c>
      <c r="Q87" s="148">
        <v>2023</v>
      </c>
      <c r="R87" s="148" t="s">
        <v>85</v>
      </c>
      <c r="S87" s="148" t="s">
        <v>497</v>
      </c>
      <c r="T87" s="148" t="s">
        <v>509</v>
      </c>
      <c r="U87" s="157">
        <v>2825689</v>
      </c>
    </row>
    <row r="88" spans="1:21" x14ac:dyDescent="0.2">
      <c r="A88" s="145">
        <v>86</v>
      </c>
      <c r="B88" s="150" t="s">
        <v>510</v>
      </c>
      <c r="C88" s="150" t="s">
        <v>802</v>
      </c>
      <c r="D88" s="150">
        <v>382892</v>
      </c>
      <c r="E88" s="150">
        <v>382896</v>
      </c>
      <c r="F88" s="127">
        <f>VLOOKUP(C88,verif!A:J,10,0)</f>
        <v>5051.4433953999996</v>
      </c>
      <c r="G88" s="127">
        <f>VLOOKUP(C88,verif!A:K,11,0)</f>
        <v>668.46708120000005</v>
      </c>
      <c r="H88" s="127">
        <f>VLOOKUP(C88,verif!A:L,12,0)</f>
        <v>665.33506110000008</v>
      </c>
      <c r="I88" s="187">
        <f t="shared" si="4"/>
        <v>3.132020099999977</v>
      </c>
      <c r="J88" s="128">
        <f t="shared" si="5"/>
        <v>4.6853767194900975E-3</v>
      </c>
      <c r="K88" s="129">
        <v>45008</v>
      </c>
      <c r="L88" s="131">
        <v>45119</v>
      </c>
      <c r="M88" s="156">
        <v>2</v>
      </c>
      <c r="O88" s="185">
        <f t="shared" si="6"/>
        <v>9396.0602999999319</v>
      </c>
      <c r="Q88" s="148">
        <v>2023</v>
      </c>
      <c r="R88" s="148" t="s">
        <v>85</v>
      </c>
      <c r="S88" s="148" t="s">
        <v>511</v>
      </c>
      <c r="T88" s="148" t="s">
        <v>509</v>
      </c>
      <c r="U88" s="157">
        <v>2814335</v>
      </c>
    </row>
    <row r="89" spans="1:21" x14ac:dyDescent="0.2">
      <c r="A89" s="145">
        <v>87</v>
      </c>
      <c r="B89" s="150" t="s">
        <v>512</v>
      </c>
      <c r="C89" s="150" t="s">
        <v>815</v>
      </c>
      <c r="D89" s="150">
        <v>79790</v>
      </c>
      <c r="E89" s="150">
        <v>330241</v>
      </c>
      <c r="F89" s="127">
        <f>VLOOKUP(C89,verif!A:J,10,0)</f>
        <v>9244.9975199</v>
      </c>
      <c r="G89" s="127">
        <f>VLOOKUP(C89,verif!A:K,11,0)</f>
        <v>599.14469140000006</v>
      </c>
      <c r="H89" s="127">
        <f>VLOOKUP(C89,verif!A:L,12,0)</f>
        <v>589.48295059999998</v>
      </c>
      <c r="I89" s="187">
        <f t="shared" si="4"/>
        <v>9.6617408000000751</v>
      </c>
      <c r="J89" s="128">
        <f t="shared" si="5"/>
        <v>1.6125889019268168E-2</v>
      </c>
      <c r="K89" s="129">
        <v>45118</v>
      </c>
      <c r="L89" s="131">
        <v>45161</v>
      </c>
      <c r="M89" s="156">
        <v>2</v>
      </c>
      <c r="O89" s="185">
        <f t="shared" si="6"/>
        <v>28985.222400000224</v>
      </c>
      <c r="Q89" s="148">
        <v>2023</v>
      </c>
      <c r="R89" s="148" t="s">
        <v>85</v>
      </c>
      <c r="S89" s="148" t="s">
        <v>619</v>
      </c>
      <c r="T89" s="148" t="s">
        <v>509</v>
      </c>
      <c r="U89" s="157">
        <v>2814335</v>
      </c>
    </row>
    <row r="90" spans="1:21" x14ac:dyDescent="0.2">
      <c r="A90" s="145">
        <v>88</v>
      </c>
      <c r="B90" s="150" t="s">
        <v>620</v>
      </c>
      <c r="C90" s="150" t="s">
        <v>807</v>
      </c>
      <c r="D90" s="150">
        <v>218856</v>
      </c>
      <c r="E90" s="150">
        <v>310761</v>
      </c>
      <c r="F90" s="127">
        <f>VLOOKUP(C90,verif!A:J,10,0)</f>
        <v>10059.4189406</v>
      </c>
      <c r="G90" s="127">
        <f>VLOOKUP(C90,verif!A:K,11,0)</f>
        <v>755.82052390000001</v>
      </c>
      <c r="H90" s="127">
        <f>VLOOKUP(C90,verif!A:L,12,0)</f>
        <v>749.91901780000001</v>
      </c>
      <c r="I90" s="187">
        <f t="shared" si="4"/>
        <v>5.901506100000006</v>
      </c>
      <c r="J90" s="128">
        <f t="shared" si="5"/>
        <v>7.8080786554306555E-3</v>
      </c>
      <c r="K90" s="129">
        <v>45014</v>
      </c>
      <c r="L90" s="131">
        <v>45217</v>
      </c>
      <c r="M90" s="156">
        <v>2</v>
      </c>
      <c r="O90" s="185">
        <f t="shared" si="6"/>
        <v>17704.518300000018</v>
      </c>
      <c r="Q90" s="148">
        <v>2023</v>
      </c>
      <c r="R90" s="148" t="s">
        <v>86</v>
      </c>
      <c r="S90" s="148" t="s">
        <v>621</v>
      </c>
      <c r="T90" s="148" t="s">
        <v>509</v>
      </c>
      <c r="U90" s="157" t="s">
        <v>622</v>
      </c>
    </row>
    <row r="91" spans="1:21" x14ac:dyDescent="0.2">
      <c r="A91" s="145">
        <v>89</v>
      </c>
      <c r="B91" s="150" t="s">
        <v>623</v>
      </c>
      <c r="C91" s="150" t="s">
        <v>623</v>
      </c>
      <c r="D91" s="150">
        <v>938292</v>
      </c>
      <c r="E91" s="150">
        <v>348699</v>
      </c>
      <c r="F91" s="127">
        <f>VLOOKUP(C91,verif!A:J,10,0)</f>
        <v>1691.0689503999999</v>
      </c>
      <c r="G91" s="127">
        <f>VLOOKUP(C91,verif!A:K,11,0)</f>
        <v>187.36564970000001</v>
      </c>
      <c r="H91" s="127">
        <f>VLOOKUP(C91,verif!A:L,12,0)</f>
        <v>171.24389410000001</v>
      </c>
      <c r="I91" s="187">
        <f t="shared" si="4"/>
        <v>16.1217556</v>
      </c>
      <c r="J91" s="128">
        <f t="shared" si="5"/>
        <v>8.6044350316150819E-2</v>
      </c>
      <c r="K91" s="129">
        <v>45126</v>
      </c>
      <c r="L91" s="131">
        <v>45273</v>
      </c>
      <c r="M91" s="156">
        <v>1</v>
      </c>
      <c r="O91" s="185">
        <f t="shared" si="6"/>
        <v>48365.266799999998</v>
      </c>
      <c r="Q91" s="148">
        <v>2023</v>
      </c>
      <c r="R91" s="148" t="s">
        <v>85</v>
      </c>
      <c r="S91" s="148" t="s">
        <v>631</v>
      </c>
      <c r="T91" s="148" t="s">
        <v>509</v>
      </c>
      <c r="U91" s="157" t="s">
        <v>624</v>
      </c>
    </row>
    <row r="92" spans="1:21" x14ac:dyDescent="0.2">
      <c r="H92" s="141" t="s">
        <v>238</v>
      </c>
      <c r="I92" s="185">
        <f>SUM(I3:I91)*12</f>
        <v>4631.9120760000023</v>
      </c>
      <c r="J92" s="185">
        <f>250*I92</f>
        <v>1157978.0190000006</v>
      </c>
    </row>
    <row r="94" spans="1:21" s="148" customFormat="1" ht="45" x14ac:dyDescent="0.2">
      <c r="A94" s="145"/>
      <c r="B94" s="145"/>
      <c r="C94" s="163" t="s">
        <v>513</v>
      </c>
      <c r="D94" s="163" t="s">
        <v>514</v>
      </c>
      <c r="E94" s="163" t="s">
        <v>515</v>
      </c>
      <c r="F94" s="163" t="s">
        <v>516</v>
      </c>
      <c r="G94" s="163" t="s">
        <v>517</v>
      </c>
      <c r="H94" s="163" t="s">
        <v>518</v>
      </c>
      <c r="I94" s="163" t="s">
        <v>519</v>
      </c>
      <c r="J94" s="164" t="s">
        <v>520</v>
      </c>
      <c r="K94" s="163" t="s">
        <v>521</v>
      </c>
      <c r="L94" s="163" t="s">
        <v>522</v>
      </c>
      <c r="M94" s="163" t="s">
        <v>523</v>
      </c>
    </row>
    <row r="95" spans="1:21" x14ac:dyDescent="0.2">
      <c r="A95" s="145"/>
      <c r="B95" s="145"/>
      <c r="C95" s="150" t="s">
        <v>524</v>
      </c>
      <c r="D95" s="150" t="s">
        <v>525</v>
      </c>
      <c r="E95" s="150" t="s">
        <v>525</v>
      </c>
      <c r="F95" s="127">
        <v>7861.7</v>
      </c>
      <c r="G95" s="127">
        <v>437.1</v>
      </c>
      <c r="H95" s="127">
        <v>421.1</v>
      </c>
      <c r="I95" s="162">
        <v>16.03</v>
      </c>
      <c r="J95" s="128">
        <v>3.6665160467417419E-2</v>
      </c>
      <c r="K95" s="127">
        <f>I95*0.25*12</f>
        <v>48.09</v>
      </c>
      <c r="L95" s="131" t="s">
        <v>526</v>
      </c>
      <c r="M95" s="165">
        <v>44634</v>
      </c>
      <c r="N95" s="128">
        <f>I95/G95</f>
        <v>3.6673530084648825E-2</v>
      </c>
      <c r="Q95" s="148"/>
      <c r="R95" s="148"/>
      <c r="S95" s="148"/>
      <c r="T95" s="148"/>
      <c r="U95" s="148"/>
    </row>
    <row r="96" spans="1:21" x14ac:dyDescent="0.2">
      <c r="A96" s="145"/>
      <c r="B96" s="145"/>
      <c r="C96" s="150" t="s">
        <v>506</v>
      </c>
      <c r="D96" s="150"/>
      <c r="E96" s="150"/>
      <c r="F96" s="127">
        <v>16946.127</v>
      </c>
      <c r="G96" s="161">
        <v>855.36760000000004</v>
      </c>
      <c r="H96" s="161">
        <v>834.15110000000004</v>
      </c>
      <c r="I96" s="159">
        <f>G96-H96</f>
        <v>21.216499999999996</v>
      </c>
      <c r="J96" s="128">
        <f>I96/G96</f>
        <v>2.4803955632642614E-2</v>
      </c>
      <c r="K96" s="127">
        <f t="shared" ref="K96:K97" si="7">I96*0.25*12</f>
        <v>63.649499999999989</v>
      </c>
      <c r="L96" s="131"/>
      <c r="M96" s="166">
        <v>45103</v>
      </c>
      <c r="N96" s="128">
        <f>I96/G96</f>
        <v>2.4803955632642614E-2</v>
      </c>
      <c r="Q96" s="148"/>
      <c r="R96" s="148"/>
      <c r="S96" s="148"/>
      <c r="T96" s="148"/>
      <c r="U96" s="148"/>
    </row>
    <row r="97" spans="1:21" x14ac:dyDescent="0.2">
      <c r="A97" s="145"/>
      <c r="B97" s="145"/>
      <c r="C97" s="150" t="s">
        <v>508</v>
      </c>
      <c r="D97" s="150" t="s">
        <v>525</v>
      </c>
      <c r="E97" s="150" t="s">
        <v>525</v>
      </c>
      <c r="F97" s="127">
        <v>19037.367999999999</v>
      </c>
      <c r="G97" s="161">
        <v>1098.3710000000001</v>
      </c>
      <c r="H97" s="161">
        <v>1072.827</v>
      </c>
      <c r="I97" s="159">
        <f>G97-H97</f>
        <v>25.544000000000096</v>
      </c>
      <c r="J97" s="128">
        <f>I97/G97</f>
        <v>2.3256258586579665E-2</v>
      </c>
      <c r="K97" s="127">
        <f t="shared" si="7"/>
        <v>76.632000000000289</v>
      </c>
      <c r="L97" s="131" t="s">
        <v>525</v>
      </c>
      <c r="M97" s="166">
        <v>45117</v>
      </c>
      <c r="N97" s="128">
        <f>I97/G97</f>
        <v>2.3256258586579665E-2</v>
      </c>
      <c r="Q97" s="148"/>
      <c r="R97" s="148"/>
      <c r="S97" s="148"/>
      <c r="T97" s="148"/>
      <c r="U97" s="148"/>
    </row>
    <row r="99" spans="1:21" x14ac:dyDescent="0.2">
      <c r="F99" s="141">
        <v>2299.0203999999999</v>
      </c>
      <c r="G99" s="141">
        <v>89.942599999999999</v>
      </c>
      <c r="H99" s="141">
        <v>86.349199999999996</v>
      </c>
      <c r="I99" s="141">
        <v>3.5934000000000026</v>
      </c>
      <c r="J99" s="141">
        <v>3.9952147258362582E-2</v>
      </c>
      <c r="K99" s="141">
        <v>43718</v>
      </c>
      <c r="L99" s="141">
        <v>43778</v>
      </c>
    </row>
  </sheetData>
  <conditionalFormatting sqref="B24:C24">
    <cfRule type="duplicateValues" dxfId="90" priority="44"/>
  </conditionalFormatting>
  <conditionalFormatting sqref="B39:C39 B26:C28">
    <cfRule type="duplicateValues" dxfId="89" priority="45"/>
  </conditionalFormatting>
  <conditionalFormatting sqref="B38:C38">
    <cfRule type="duplicateValues" dxfId="88" priority="43"/>
  </conditionalFormatting>
  <conditionalFormatting sqref="B33:C33">
    <cfRule type="duplicateValues" dxfId="87" priority="42"/>
  </conditionalFormatting>
  <conditionalFormatting sqref="B23:C23">
    <cfRule type="duplicateValues" dxfId="86" priority="41"/>
  </conditionalFormatting>
  <conditionalFormatting sqref="B34:C34">
    <cfRule type="duplicateValues" dxfId="85" priority="40"/>
  </conditionalFormatting>
  <conditionalFormatting sqref="B48:C48">
    <cfRule type="duplicateValues" dxfId="84" priority="39"/>
  </conditionalFormatting>
  <conditionalFormatting sqref="B32:C32">
    <cfRule type="duplicateValues" dxfId="83" priority="38"/>
  </conditionalFormatting>
  <conditionalFormatting sqref="C35:C36 C29:C30">
    <cfRule type="duplicateValues" dxfId="82" priority="37"/>
  </conditionalFormatting>
  <conditionalFormatting sqref="B42:C42">
    <cfRule type="duplicateValues" dxfId="81" priority="36"/>
  </conditionalFormatting>
  <conditionalFormatting sqref="B4:C4">
    <cfRule type="duplicateValues" dxfId="80" priority="46"/>
  </conditionalFormatting>
  <conditionalFormatting sqref="C43:C44">
    <cfRule type="duplicateValues" dxfId="79" priority="35"/>
  </conditionalFormatting>
  <conditionalFormatting sqref="B3:C3">
    <cfRule type="duplicateValues" dxfId="78" priority="34"/>
  </conditionalFormatting>
  <conditionalFormatting sqref="C11:C22">
    <cfRule type="duplicateValues" dxfId="77" priority="47"/>
  </conditionalFormatting>
  <conditionalFormatting sqref="B31:C31 B40:C41">
    <cfRule type="duplicateValues" dxfId="76" priority="48"/>
  </conditionalFormatting>
  <conditionalFormatting sqref="B47:C47">
    <cfRule type="duplicateValues" dxfId="75" priority="33"/>
  </conditionalFormatting>
  <conditionalFormatting sqref="B49:C49">
    <cfRule type="duplicateValues" dxfId="74" priority="32"/>
  </conditionalFormatting>
  <conditionalFormatting sqref="B8:C8">
    <cfRule type="duplicateValues" dxfId="73" priority="31"/>
  </conditionalFormatting>
  <conditionalFormatting sqref="C51:C52">
    <cfRule type="duplicateValues" dxfId="72" priority="49"/>
  </conditionalFormatting>
  <conditionalFormatting sqref="B53:C53">
    <cfRule type="duplicateValues" dxfId="71" priority="30"/>
  </conditionalFormatting>
  <conditionalFormatting sqref="C54:C55">
    <cfRule type="duplicateValues" dxfId="70" priority="29"/>
  </conditionalFormatting>
  <conditionalFormatting sqref="B56:C56">
    <cfRule type="duplicateValues" dxfId="69" priority="28"/>
  </conditionalFormatting>
  <conditionalFormatting sqref="B57:C57">
    <cfRule type="duplicateValues" dxfId="68" priority="27"/>
  </conditionalFormatting>
  <conditionalFormatting sqref="B58:C58">
    <cfRule type="duplicateValues" dxfId="67" priority="26"/>
  </conditionalFormatting>
  <conditionalFormatting sqref="S61">
    <cfRule type="duplicateValues" dxfId="66" priority="25"/>
  </conditionalFormatting>
  <conditionalFormatting sqref="B61:C61">
    <cfRule type="duplicateValues" dxfId="65" priority="24"/>
  </conditionalFormatting>
  <conditionalFormatting sqref="B62:C62">
    <cfRule type="duplicateValues" dxfId="64" priority="23"/>
  </conditionalFormatting>
  <conditionalFormatting sqref="B63:C63">
    <cfRule type="duplicateValues" dxfId="63" priority="22"/>
  </conditionalFormatting>
  <conditionalFormatting sqref="B64:C64">
    <cfRule type="duplicateValues" dxfId="62" priority="21"/>
  </conditionalFormatting>
  <conditionalFormatting sqref="B65:C65">
    <cfRule type="duplicateValues" dxfId="61" priority="20"/>
  </conditionalFormatting>
  <conditionalFormatting sqref="B66:C66">
    <cfRule type="duplicateValues" dxfId="60" priority="19"/>
  </conditionalFormatting>
  <conditionalFormatting sqref="C67:C68">
    <cfRule type="duplicateValues" dxfId="59" priority="18"/>
  </conditionalFormatting>
  <conditionalFormatting sqref="B60:C60">
    <cfRule type="duplicateValues" dxfId="58" priority="17"/>
  </conditionalFormatting>
  <conditionalFormatting sqref="C78:C79">
    <cfRule type="duplicateValues" dxfId="57" priority="16"/>
  </conditionalFormatting>
  <conditionalFormatting sqref="C69:C77">
    <cfRule type="duplicateValues" dxfId="56" priority="50"/>
  </conditionalFormatting>
  <conditionalFormatting sqref="C81:C82">
    <cfRule type="duplicateValues" dxfId="55" priority="51"/>
  </conditionalFormatting>
  <conditionalFormatting sqref="B7:C7">
    <cfRule type="duplicateValues" dxfId="54" priority="15"/>
  </conditionalFormatting>
  <conditionalFormatting sqref="B25:C25">
    <cfRule type="duplicateValues" dxfId="53" priority="14"/>
  </conditionalFormatting>
  <conditionalFormatting sqref="B37:C37">
    <cfRule type="duplicateValues" dxfId="52" priority="13"/>
  </conditionalFormatting>
  <conditionalFormatting sqref="B80:C80">
    <cfRule type="duplicateValues" dxfId="51" priority="12"/>
  </conditionalFormatting>
  <conditionalFormatting sqref="C98:C1048576 C92:C93 C1:C2 B50:C50 B5:C6 B9:C10 B45:C46">
    <cfRule type="duplicateValues" dxfId="50" priority="52"/>
  </conditionalFormatting>
  <conditionalFormatting sqref="C97">
    <cfRule type="duplicateValues" dxfId="49" priority="11"/>
  </conditionalFormatting>
  <conditionalFormatting sqref="B35:B36 B29:B30">
    <cfRule type="duplicateValues" dxfId="48" priority="5"/>
  </conditionalFormatting>
  <conditionalFormatting sqref="B43:B44">
    <cfRule type="duplicateValues" dxfId="47" priority="4"/>
  </conditionalFormatting>
  <conditionalFormatting sqref="B11:B22">
    <cfRule type="duplicateValues" dxfId="46" priority="6"/>
  </conditionalFormatting>
  <conditionalFormatting sqref="B51:B52">
    <cfRule type="duplicateValues" dxfId="45" priority="7"/>
  </conditionalFormatting>
  <conditionalFormatting sqref="B54:B55">
    <cfRule type="duplicateValues" dxfId="44" priority="3"/>
  </conditionalFormatting>
  <conditionalFormatting sqref="B67:B68">
    <cfRule type="duplicateValues" dxfId="43" priority="2"/>
  </conditionalFormatting>
  <conditionalFormatting sqref="B78:B79">
    <cfRule type="duplicateValues" dxfId="42" priority="1"/>
  </conditionalFormatting>
  <conditionalFormatting sqref="B69:B77">
    <cfRule type="duplicateValues" dxfId="41" priority="8"/>
  </conditionalFormatting>
  <conditionalFormatting sqref="B81:B82">
    <cfRule type="duplicateValues" dxfId="40" priority="9"/>
  </conditionalFormatting>
  <conditionalFormatting sqref="C95:C96">
    <cfRule type="duplicateValues" dxfId="39" priority="253"/>
  </conditionalFormatting>
  <conditionalFormatting sqref="C83:C91">
    <cfRule type="duplicateValues" dxfId="38" priority="260"/>
  </conditionalFormatting>
  <conditionalFormatting sqref="B83:B91">
    <cfRule type="duplicateValues" dxfId="37" priority="26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16A9-9F4B-4CEF-84D9-19FBF6BB83E6}">
  <dimension ref="A1:M92"/>
  <sheetViews>
    <sheetView workbookViewId="0">
      <selection activeCell="A2" sqref="A2:XFD2"/>
    </sheetView>
  </sheetViews>
  <sheetFormatPr defaultRowHeight="15" x14ac:dyDescent="0.25"/>
  <cols>
    <col min="1" max="1" width="11.7109375" bestFit="1" customWidth="1"/>
    <col min="3" max="3" width="31.7109375" bestFit="1" customWidth="1"/>
    <col min="10" max="10" width="10.5703125" bestFit="1" customWidth="1"/>
    <col min="11" max="12" width="13.28515625" bestFit="1" customWidth="1"/>
  </cols>
  <sheetData>
    <row r="1" spans="1:13" ht="75" x14ac:dyDescent="0.25">
      <c r="A1" s="216" t="s">
        <v>764</v>
      </c>
      <c r="B1" s="216" t="s">
        <v>791</v>
      </c>
      <c r="C1" s="216" t="s">
        <v>787</v>
      </c>
      <c r="D1" s="216" t="s">
        <v>788</v>
      </c>
      <c r="E1" s="216" t="s">
        <v>789</v>
      </c>
      <c r="F1" s="216" t="s">
        <v>792</v>
      </c>
      <c r="G1" s="216" t="s">
        <v>790</v>
      </c>
      <c r="H1" s="216" t="s">
        <v>793</v>
      </c>
      <c r="I1" s="216" t="s">
        <v>793</v>
      </c>
      <c r="J1" s="216" t="s">
        <v>787</v>
      </c>
      <c r="K1" s="216" t="s">
        <v>793</v>
      </c>
      <c r="L1" s="216" t="s">
        <v>793</v>
      </c>
    </row>
    <row r="2" spans="1:13" x14ac:dyDescent="0.25">
      <c r="A2" s="1" t="s">
        <v>430</v>
      </c>
      <c r="B2" s="1" t="s">
        <v>764</v>
      </c>
      <c r="C2" s="213">
        <v>10198128.531300001</v>
      </c>
      <c r="D2" s="213">
        <v>3861539.9079999998</v>
      </c>
      <c r="E2" s="214">
        <v>0.93520158946705478</v>
      </c>
      <c r="F2" s="213">
        <v>0</v>
      </c>
      <c r="G2" s="213">
        <v>0</v>
      </c>
      <c r="H2" s="213">
        <v>434688.10320000001</v>
      </c>
      <c r="I2" s="213">
        <v>433142.06790000002</v>
      </c>
      <c r="J2" s="124">
        <f t="shared" ref="J2:J65" si="0">C2/1000</f>
        <v>10198.128531300001</v>
      </c>
      <c r="K2" s="124">
        <f t="shared" ref="K2:K65" si="1">H2/1000</f>
        <v>434.6881032</v>
      </c>
      <c r="L2" s="124">
        <f t="shared" ref="L2:L65" si="2">I2/1000</f>
        <v>433.14206790000003</v>
      </c>
      <c r="M2" s="213">
        <f t="shared" ref="M2:M65" si="3">K2-L2</f>
        <v>1.5460352999999714</v>
      </c>
    </row>
    <row r="3" spans="1:13" x14ac:dyDescent="0.25">
      <c r="A3" s="1" t="s">
        <v>419</v>
      </c>
      <c r="B3" s="1" t="s">
        <v>764</v>
      </c>
      <c r="C3" s="213">
        <v>855275.13370000001</v>
      </c>
      <c r="D3" s="213">
        <v>290008.35110000003</v>
      </c>
      <c r="E3" s="214">
        <v>0.94703740147677151</v>
      </c>
      <c r="F3" s="213">
        <v>0</v>
      </c>
      <c r="G3" s="213">
        <v>0</v>
      </c>
      <c r="H3" s="213">
        <v>60190.724000000002</v>
      </c>
      <c r="I3" s="213">
        <v>58358.941200000001</v>
      </c>
      <c r="J3" s="124">
        <f t="shared" si="0"/>
        <v>855.27513369999997</v>
      </c>
      <c r="K3" s="124">
        <f t="shared" si="1"/>
        <v>60.190724000000003</v>
      </c>
      <c r="L3" s="124">
        <f t="shared" si="2"/>
        <v>58.358941200000004</v>
      </c>
      <c r="M3" s="213">
        <f t="shared" si="3"/>
        <v>1.8317827999999992</v>
      </c>
    </row>
    <row r="4" spans="1:13" x14ac:dyDescent="0.25">
      <c r="A4" s="1" t="s">
        <v>361</v>
      </c>
      <c r="B4" s="1" t="s">
        <v>764</v>
      </c>
      <c r="C4" s="213">
        <v>1838436.0663000001</v>
      </c>
      <c r="D4" s="213">
        <v>568381.45160000003</v>
      </c>
      <c r="E4" s="214">
        <v>0.95538246752812117</v>
      </c>
      <c r="F4" s="213">
        <v>0</v>
      </c>
      <c r="G4" s="213">
        <v>0</v>
      </c>
      <c r="H4" s="213">
        <v>112526.1146</v>
      </c>
      <c r="I4" s="213">
        <v>105494.6684</v>
      </c>
      <c r="J4" s="124">
        <f t="shared" si="0"/>
        <v>1838.4360663</v>
      </c>
      <c r="K4" s="124">
        <f t="shared" si="1"/>
        <v>112.5261146</v>
      </c>
      <c r="L4" s="124">
        <f t="shared" si="2"/>
        <v>105.49466839999999</v>
      </c>
      <c r="M4" s="213">
        <f t="shared" si="3"/>
        <v>7.0314462000000049</v>
      </c>
    </row>
    <row r="5" spans="1:13" x14ac:dyDescent="0.25">
      <c r="A5" s="1" t="s">
        <v>402</v>
      </c>
      <c r="B5" s="1" t="s">
        <v>764</v>
      </c>
      <c r="C5" s="213">
        <v>1229530.1387</v>
      </c>
      <c r="D5" s="213">
        <v>209025.49729999999</v>
      </c>
      <c r="E5" s="214">
        <v>0.9858551347514164</v>
      </c>
      <c r="F5" s="213">
        <v>0</v>
      </c>
      <c r="G5" s="213">
        <v>0</v>
      </c>
      <c r="H5" s="213">
        <v>83508.210300000006</v>
      </c>
      <c r="I5" s="213">
        <v>82030.184800000003</v>
      </c>
      <c r="J5" s="124">
        <f t="shared" si="0"/>
        <v>1229.5301387</v>
      </c>
      <c r="K5" s="124">
        <f t="shared" si="1"/>
        <v>83.508210300000002</v>
      </c>
      <c r="L5" s="124">
        <f t="shared" si="2"/>
        <v>82.030184800000001</v>
      </c>
      <c r="M5" s="213">
        <f t="shared" si="3"/>
        <v>1.4780255000000011</v>
      </c>
    </row>
    <row r="6" spans="1:13" x14ac:dyDescent="0.25">
      <c r="A6" s="1" t="s">
        <v>398</v>
      </c>
      <c r="B6" s="1" t="s">
        <v>764</v>
      </c>
      <c r="C6" s="213">
        <v>2851011.2590999999</v>
      </c>
      <c r="D6" s="213">
        <v>1190820.5464999999</v>
      </c>
      <c r="E6" s="214">
        <v>0.92274343968878603</v>
      </c>
      <c r="F6" s="213">
        <v>0</v>
      </c>
      <c r="G6" s="213">
        <v>0</v>
      </c>
      <c r="H6" s="213">
        <v>106744.5276</v>
      </c>
      <c r="I6" s="213">
        <v>105337.2334</v>
      </c>
      <c r="J6" s="124">
        <f t="shared" si="0"/>
        <v>2851.0112590999997</v>
      </c>
      <c r="K6" s="124">
        <f t="shared" si="1"/>
        <v>106.7445276</v>
      </c>
      <c r="L6" s="124">
        <f t="shared" si="2"/>
        <v>105.3372334</v>
      </c>
      <c r="M6" s="213">
        <f t="shared" si="3"/>
        <v>1.4072941999999955</v>
      </c>
    </row>
    <row r="7" spans="1:13" x14ac:dyDescent="0.25">
      <c r="A7" s="1" t="s">
        <v>485</v>
      </c>
      <c r="B7" s="1" t="s">
        <v>764</v>
      </c>
      <c r="C7" s="213">
        <v>1476600.6514999999</v>
      </c>
      <c r="D7" s="213">
        <v>744161.50029999996</v>
      </c>
      <c r="E7" s="214">
        <v>0.89300482903346645</v>
      </c>
      <c r="F7" s="213">
        <v>744000</v>
      </c>
      <c r="G7" s="213">
        <v>0</v>
      </c>
      <c r="H7" s="213">
        <v>88853.010500000004</v>
      </c>
      <c r="I7" s="213">
        <v>85923.191300000006</v>
      </c>
      <c r="J7" s="124">
        <f t="shared" si="0"/>
        <v>1476.6006514999999</v>
      </c>
      <c r="K7" s="124">
        <f t="shared" si="1"/>
        <v>88.853010500000011</v>
      </c>
      <c r="L7" s="124">
        <f t="shared" si="2"/>
        <v>85.923191299999999</v>
      </c>
      <c r="M7" s="213">
        <f t="shared" si="3"/>
        <v>2.9298192000000114</v>
      </c>
    </row>
    <row r="8" spans="1:13" x14ac:dyDescent="0.25">
      <c r="A8" s="1" t="s">
        <v>794</v>
      </c>
      <c r="B8" s="1" t="s">
        <v>764</v>
      </c>
      <c r="C8" s="213">
        <v>1975692.4961000001</v>
      </c>
      <c r="D8" s="213">
        <v>856286.66599999997</v>
      </c>
      <c r="E8" s="214">
        <v>0.91752965819088328</v>
      </c>
      <c r="F8" s="213">
        <v>0</v>
      </c>
      <c r="G8" s="213">
        <v>0</v>
      </c>
      <c r="H8" s="213">
        <v>116593.13219999999</v>
      </c>
      <c r="I8" s="213">
        <v>115143.2442</v>
      </c>
      <c r="J8" s="124">
        <f t="shared" si="0"/>
        <v>1975.6924961000002</v>
      </c>
      <c r="K8" s="124">
        <f t="shared" si="1"/>
        <v>116.5931322</v>
      </c>
      <c r="L8" s="124">
        <f t="shared" si="2"/>
        <v>115.1432442</v>
      </c>
      <c r="M8" s="213">
        <f t="shared" si="3"/>
        <v>1.4498880000000014</v>
      </c>
    </row>
    <row r="9" spans="1:13" x14ac:dyDescent="0.25">
      <c r="A9" s="1" t="s">
        <v>381</v>
      </c>
      <c r="B9" s="1" t="s">
        <v>764</v>
      </c>
      <c r="C9" s="213">
        <v>2037473.1483</v>
      </c>
      <c r="D9" s="213">
        <v>668819.48939999996</v>
      </c>
      <c r="E9" s="214">
        <v>0.95011966046117835</v>
      </c>
      <c r="F9" s="213">
        <v>0</v>
      </c>
      <c r="G9" s="213">
        <v>0</v>
      </c>
      <c r="H9" s="213">
        <v>68650.067899999995</v>
      </c>
      <c r="I9" s="213">
        <v>67072.807499999995</v>
      </c>
      <c r="J9" s="124">
        <f t="shared" si="0"/>
        <v>2037.4731483</v>
      </c>
      <c r="K9" s="124">
        <f t="shared" si="1"/>
        <v>68.650067899999996</v>
      </c>
      <c r="L9" s="124">
        <f t="shared" si="2"/>
        <v>67.072807499999996</v>
      </c>
      <c r="M9" s="213">
        <f t="shared" si="3"/>
        <v>1.5772604000000001</v>
      </c>
    </row>
    <row r="10" spans="1:13" x14ac:dyDescent="0.25">
      <c r="A10" s="1" t="s">
        <v>417</v>
      </c>
      <c r="B10" s="1" t="s">
        <v>764</v>
      </c>
      <c r="C10" s="213">
        <v>1665199.9343999999</v>
      </c>
      <c r="D10" s="213">
        <v>512453.60639999999</v>
      </c>
      <c r="E10" s="214">
        <v>0.95576539207688849</v>
      </c>
      <c r="F10" s="213">
        <v>0</v>
      </c>
      <c r="G10" s="213">
        <v>0</v>
      </c>
      <c r="H10" s="213">
        <v>63932.3969</v>
      </c>
      <c r="I10" s="213">
        <v>62093.383800000003</v>
      </c>
      <c r="J10" s="124">
        <f t="shared" si="0"/>
        <v>1665.1999343999998</v>
      </c>
      <c r="K10" s="124">
        <f t="shared" si="1"/>
        <v>63.932396900000001</v>
      </c>
      <c r="L10" s="124">
        <f t="shared" si="2"/>
        <v>62.093383800000005</v>
      </c>
      <c r="M10" s="213">
        <f t="shared" si="3"/>
        <v>1.8390130999999954</v>
      </c>
    </row>
    <row r="11" spans="1:13" x14ac:dyDescent="0.25">
      <c r="A11" s="1" t="s">
        <v>502</v>
      </c>
      <c r="B11" s="1" t="s">
        <v>764</v>
      </c>
      <c r="C11" s="213">
        <v>3083023.0957999998</v>
      </c>
      <c r="D11" s="213">
        <v>1281447.2609000001</v>
      </c>
      <c r="E11" s="214">
        <v>0.9234110766168705</v>
      </c>
      <c r="F11" s="213">
        <v>0</v>
      </c>
      <c r="G11" s="213">
        <v>0</v>
      </c>
      <c r="H11" s="213">
        <v>155000.74859999999</v>
      </c>
      <c r="I11" s="213">
        <v>147385.33979999999</v>
      </c>
      <c r="J11" s="124">
        <f t="shared" si="0"/>
        <v>3083.0230957999997</v>
      </c>
      <c r="K11" s="124">
        <f t="shared" si="1"/>
        <v>155.00074859999998</v>
      </c>
      <c r="L11" s="124">
        <f t="shared" si="2"/>
        <v>147.3853398</v>
      </c>
      <c r="M11" s="213">
        <f t="shared" si="3"/>
        <v>7.6154087999999831</v>
      </c>
    </row>
    <row r="12" spans="1:13" x14ac:dyDescent="0.25">
      <c r="A12" s="1" t="s">
        <v>415</v>
      </c>
      <c r="B12" s="1" t="s">
        <v>764</v>
      </c>
      <c r="C12" s="213">
        <v>2649314.9523</v>
      </c>
      <c r="D12" s="213">
        <v>1145623.7922</v>
      </c>
      <c r="E12" s="214">
        <v>0.91786030703362076</v>
      </c>
      <c r="F12" s="213">
        <v>0</v>
      </c>
      <c r="G12" s="213">
        <v>0</v>
      </c>
      <c r="H12" s="213">
        <v>123803.1792</v>
      </c>
      <c r="I12" s="213">
        <v>118746.62179999999</v>
      </c>
      <c r="J12" s="124">
        <f t="shared" si="0"/>
        <v>2649.3149523000002</v>
      </c>
      <c r="K12" s="124">
        <f t="shared" si="1"/>
        <v>123.8031792</v>
      </c>
      <c r="L12" s="124">
        <f t="shared" si="2"/>
        <v>118.7466218</v>
      </c>
      <c r="M12" s="213">
        <f t="shared" si="3"/>
        <v>5.0565574000000026</v>
      </c>
    </row>
    <row r="13" spans="1:13" x14ac:dyDescent="0.25">
      <c r="A13" s="1" t="s">
        <v>396</v>
      </c>
      <c r="B13" s="1" t="s">
        <v>764</v>
      </c>
      <c r="C13" s="213">
        <v>1908942.9147000001</v>
      </c>
      <c r="D13" s="213">
        <v>607692.16810000001</v>
      </c>
      <c r="E13" s="214">
        <v>0.95288232386173966</v>
      </c>
      <c r="F13" s="213">
        <v>0</v>
      </c>
      <c r="G13" s="213">
        <v>0</v>
      </c>
      <c r="H13" s="213">
        <v>75137.641600000003</v>
      </c>
      <c r="I13" s="213">
        <v>73810.429300000003</v>
      </c>
      <c r="J13" s="124">
        <f t="shared" si="0"/>
        <v>1908.9429147000001</v>
      </c>
      <c r="K13" s="124">
        <f t="shared" si="1"/>
        <v>75.137641600000009</v>
      </c>
      <c r="L13" s="124">
        <f t="shared" si="2"/>
        <v>73.81042930000001</v>
      </c>
      <c r="M13" s="213">
        <f t="shared" si="3"/>
        <v>1.3272122999999993</v>
      </c>
    </row>
    <row r="14" spans="1:13" x14ac:dyDescent="0.25">
      <c r="A14" s="1" t="s">
        <v>477</v>
      </c>
      <c r="B14" s="1" t="s">
        <v>764</v>
      </c>
      <c r="C14" s="213">
        <v>844196.86100000003</v>
      </c>
      <c r="D14" s="213">
        <v>356327.91950000002</v>
      </c>
      <c r="E14" s="214">
        <v>0.92129286823072487</v>
      </c>
      <c r="F14" s="213">
        <v>0</v>
      </c>
      <c r="G14" s="213">
        <v>0</v>
      </c>
      <c r="H14" s="213">
        <v>32003.508099999999</v>
      </c>
      <c r="I14" s="213">
        <v>29028.847699999998</v>
      </c>
      <c r="J14" s="124">
        <f t="shared" si="0"/>
        <v>844.19686100000001</v>
      </c>
      <c r="K14" s="124">
        <f t="shared" si="1"/>
        <v>32.003508099999998</v>
      </c>
      <c r="L14" s="124">
        <f t="shared" si="2"/>
        <v>29.0288477</v>
      </c>
      <c r="M14" s="213">
        <f t="shared" si="3"/>
        <v>2.9746603999999977</v>
      </c>
    </row>
    <row r="15" spans="1:13" x14ac:dyDescent="0.25">
      <c r="A15" s="1" t="s">
        <v>383</v>
      </c>
      <c r="B15" s="1" t="s">
        <v>764</v>
      </c>
      <c r="C15" s="213">
        <v>2291403.7011000002</v>
      </c>
      <c r="D15" s="213">
        <v>918123.18189999997</v>
      </c>
      <c r="E15" s="214">
        <v>0.92825837464188343</v>
      </c>
      <c r="F15" s="213">
        <v>0</v>
      </c>
      <c r="G15" s="213">
        <v>0</v>
      </c>
      <c r="H15" s="213">
        <v>89348.24</v>
      </c>
      <c r="I15" s="213">
        <v>86326.7601</v>
      </c>
      <c r="J15" s="124">
        <f t="shared" si="0"/>
        <v>2291.4037011</v>
      </c>
      <c r="K15" s="124">
        <f t="shared" si="1"/>
        <v>89.348240000000004</v>
      </c>
      <c r="L15" s="124">
        <f t="shared" si="2"/>
        <v>86.326760100000001</v>
      </c>
      <c r="M15" s="213">
        <f t="shared" si="3"/>
        <v>3.0214799000000028</v>
      </c>
    </row>
    <row r="16" spans="1:13" x14ac:dyDescent="0.25">
      <c r="A16" s="1" t="s">
        <v>394</v>
      </c>
      <c r="B16" s="1" t="s">
        <v>764</v>
      </c>
      <c r="C16" s="213">
        <v>722826.33770000003</v>
      </c>
      <c r="D16" s="213">
        <v>300379.72979999997</v>
      </c>
      <c r="E16" s="214">
        <v>0.92343841804974269</v>
      </c>
      <c r="F16" s="213">
        <v>0</v>
      </c>
      <c r="G16" s="213">
        <v>0</v>
      </c>
      <c r="H16" s="213">
        <v>28264.9005</v>
      </c>
      <c r="I16" s="213">
        <v>25422.227200000001</v>
      </c>
      <c r="J16" s="124">
        <f t="shared" si="0"/>
        <v>722.82633770000007</v>
      </c>
      <c r="K16" s="124">
        <f t="shared" si="1"/>
        <v>28.2649005</v>
      </c>
      <c r="L16" s="124">
        <f t="shared" si="2"/>
        <v>25.422227200000002</v>
      </c>
      <c r="M16" s="213">
        <f t="shared" si="3"/>
        <v>2.8426732999999977</v>
      </c>
    </row>
    <row r="17" spans="1:13" x14ac:dyDescent="0.25">
      <c r="A17" s="1" t="s">
        <v>358</v>
      </c>
      <c r="B17" s="1" t="s">
        <v>764</v>
      </c>
      <c r="C17" s="213">
        <v>673455.38020000001</v>
      </c>
      <c r="D17" s="213">
        <v>130098.29059999999</v>
      </c>
      <c r="E17" s="214">
        <v>0.98184721835780997</v>
      </c>
      <c r="F17" s="213">
        <v>0</v>
      </c>
      <c r="G17" s="213">
        <v>0</v>
      </c>
      <c r="H17" s="213">
        <v>89164.104500000001</v>
      </c>
      <c r="I17" s="213">
        <v>86536.586599999995</v>
      </c>
      <c r="J17" s="124">
        <f t="shared" si="0"/>
        <v>673.45538020000004</v>
      </c>
      <c r="K17" s="124">
        <f t="shared" si="1"/>
        <v>89.164104500000008</v>
      </c>
      <c r="L17" s="124">
        <f t="shared" si="2"/>
        <v>86.536586599999993</v>
      </c>
      <c r="M17" s="213">
        <f t="shared" si="3"/>
        <v>2.6275179000000151</v>
      </c>
    </row>
    <row r="18" spans="1:13" x14ac:dyDescent="0.25">
      <c r="A18" s="1" t="s">
        <v>377</v>
      </c>
      <c r="B18" s="1" t="s">
        <v>764</v>
      </c>
      <c r="C18" s="213">
        <v>1990934.5867999999</v>
      </c>
      <c r="D18" s="213">
        <v>869721.72950000002</v>
      </c>
      <c r="E18" s="214">
        <v>0.91637897371317978</v>
      </c>
      <c r="F18" s="213">
        <v>0</v>
      </c>
      <c r="G18" s="213">
        <v>0</v>
      </c>
      <c r="H18" s="213">
        <v>58540.841200000003</v>
      </c>
      <c r="I18" s="213">
        <v>55871.541599999997</v>
      </c>
      <c r="J18" s="124">
        <f t="shared" si="0"/>
        <v>1990.9345868</v>
      </c>
      <c r="K18" s="124">
        <f t="shared" si="1"/>
        <v>58.540841200000003</v>
      </c>
      <c r="L18" s="124">
        <f t="shared" si="2"/>
        <v>55.871541599999993</v>
      </c>
      <c r="M18" s="213">
        <f t="shared" si="3"/>
        <v>2.6692996000000093</v>
      </c>
    </row>
    <row r="19" spans="1:13" x14ac:dyDescent="0.25">
      <c r="A19" s="1" t="s">
        <v>623</v>
      </c>
      <c r="B19" s="1" t="s">
        <v>764</v>
      </c>
      <c r="C19" s="213">
        <v>1691068.9504</v>
      </c>
      <c r="D19" s="213">
        <v>819762.15249999997</v>
      </c>
      <c r="E19" s="214">
        <v>0.89984545217744227</v>
      </c>
      <c r="F19" s="213">
        <v>130196.61870000001</v>
      </c>
      <c r="G19" s="213">
        <v>-23264.075199999999</v>
      </c>
      <c r="H19" s="213">
        <v>187365.64970000001</v>
      </c>
      <c r="I19" s="213">
        <v>171243.8941</v>
      </c>
      <c r="J19" s="124">
        <f t="shared" si="0"/>
        <v>1691.0689503999999</v>
      </c>
      <c r="K19" s="124">
        <f t="shared" si="1"/>
        <v>187.36564970000001</v>
      </c>
      <c r="L19" s="124">
        <f t="shared" si="2"/>
        <v>171.24389410000001</v>
      </c>
      <c r="M19" s="213">
        <f t="shared" si="3"/>
        <v>16.1217556</v>
      </c>
    </row>
    <row r="20" spans="1:13" x14ac:dyDescent="0.25">
      <c r="A20" s="1" t="s">
        <v>444</v>
      </c>
      <c r="B20" s="1" t="s">
        <v>764</v>
      </c>
      <c r="C20" s="213">
        <v>2151485.7362000002</v>
      </c>
      <c r="D20" s="213">
        <v>745442.62959999999</v>
      </c>
      <c r="E20" s="214">
        <v>0.94489133397807978</v>
      </c>
      <c r="F20" s="213">
        <v>0</v>
      </c>
      <c r="G20" s="213">
        <v>0</v>
      </c>
      <c r="H20" s="213">
        <v>361654.57900000003</v>
      </c>
      <c r="I20" s="213">
        <v>358470.57</v>
      </c>
      <c r="J20" s="124">
        <f t="shared" si="0"/>
        <v>2151.4857362000002</v>
      </c>
      <c r="K20" s="124">
        <f t="shared" si="1"/>
        <v>361.65457900000001</v>
      </c>
      <c r="L20" s="124">
        <f t="shared" si="2"/>
        <v>358.47057000000001</v>
      </c>
      <c r="M20" s="213">
        <f t="shared" si="3"/>
        <v>3.1840090000000032</v>
      </c>
    </row>
    <row r="21" spans="1:13" x14ac:dyDescent="0.25">
      <c r="A21" s="1" t="s">
        <v>428</v>
      </c>
      <c r="B21" s="1" t="s">
        <v>764</v>
      </c>
      <c r="C21" s="213">
        <v>1349556.2749000001</v>
      </c>
      <c r="D21" s="213">
        <v>501681.91480000003</v>
      </c>
      <c r="E21" s="214">
        <v>0.93733044166021606</v>
      </c>
      <c r="F21" s="213">
        <v>0</v>
      </c>
      <c r="G21" s="213">
        <v>0</v>
      </c>
      <c r="H21" s="213">
        <v>84609.736399999994</v>
      </c>
      <c r="I21" s="213">
        <v>83500.0726</v>
      </c>
      <c r="J21" s="124">
        <f t="shared" si="0"/>
        <v>1349.5562749000001</v>
      </c>
      <c r="K21" s="124">
        <f t="shared" si="1"/>
        <v>84.609736399999989</v>
      </c>
      <c r="L21" s="124">
        <f t="shared" si="2"/>
        <v>83.500072599999996</v>
      </c>
      <c r="M21" s="213">
        <f t="shared" si="3"/>
        <v>1.1096637999999928</v>
      </c>
    </row>
    <row r="22" spans="1:13" x14ac:dyDescent="0.25">
      <c r="A22" s="1" t="s">
        <v>413</v>
      </c>
      <c r="B22" s="1" t="s">
        <v>764</v>
      </c>
      <c r="C22" s="213">
        <v>1249690.2875000001</v>
      </c>
      <c r="D22" s="213">
        <v>118756.2111</v>
      </c>
      <c r="E22" s="214">
        <v>0.99551514309977374</v>
      </c>
      <c r="F22" s="213">
        <v>0</v>
      </c>
      <c r="G22" s="213">
        <v>0</v>
      </c>
      <c r="H22" s="213">
        <v>166994.43030000001</v>
      </c>
      <c r="I22" s="213">
        <v>163436.96189999999</v>
      </c>
      <c r="J22" s="124">
        <f t="shared" si="0"/>
        <v>1249.6902875000001</v>
      </c>
      <c r="K22" s="124">
        <f t="shared" si="1"/>
        <v>166.9944303</v>
      </c>
      <c r="L22" s="124">
        <f t="shared" si="2"/>
        <v>163.4369619</v>
      </c>
      <c r="M22" s="213">
        <f t="shared" si="3"/>
        <v>3.5574684000000047</v>
      </c>
    </row>
    <row r="23" spans="1:13" x14ac:dyDescent="0.25">
      <c r="A23" s="1" t="s">
        <v>373</v>
      </c>
      <c r="B23" s="1" t="s">
        <v>764</v>
      </c>
      <c r="C23" s="213">
        <v>1589911.3810000001</v>
      </c>
      <c r="D23" s="213">
        <v>184758.43580000001</v>
      </c>
      <c r="E23" s="214">
        <v>0.9933156193011965</v>
      </c>
      <c r="F23" s="213">
        <v>0</v>
      </c>
      <c r="G23" s="213">
        <v>0</v>
      </c>
      <c r="H23" s="213">
        <v>171361.27979999999</v>
      </c>
      <c r="I23" s="213">
        <v>170264.639</v>
      </c>
      <c r="J23" s="124">
        <f t="shared" si="0"/>
        <v>1589.9113810000001</v>
      </c>
      <c r="K23" s="124">
        <f t="shared" si="1"/>
        <v>171.36127979999998</v>
      </c>
      <c r="L23" s="124">
        <f t="shared" si="2"/>
        <v>170.26463899999999</v>
      </c>
      <c r="M23" s="213">
        <f t="shared" si="3"/>
        <v>1.0966407999999888</v>
      </c>
    </row>
    <row r="24" spans="1:13" x14ac:dyDescent="0.25">
      <c r="A24" s="1" t="s">
        <v>408</v>
      </c>
      <c r="B24" s="1" t="s">
        <v>764</v>
      </c>
      <c r="C24" s="213">
        <v>1812445.4717999999</v>
      </c>
      <c r="D24" s="213">
        <v>339861.94030000002</v>
      </c>
      <c r="E24" s="214">
        <v>0.98286939579638199</v>
      </c>
      <c r="F24" s="213">
        <v>0</v>
      </c>
      <c r="G24" s="213">
        <v>0</v>
      </c>
      <c r="H24" s="213">
        <v>159297.78469999999</v>
      </c>
      <c r="I24" s="213">
        <v>155251.26389999999</v>
      </c>
      <c r="J24" s="124">
        <f t="shared" si="0"/>
        <v>1812.4454718</v>
      </c>
      <c r="K24" s="124">
        <f t="shared" si="1"/>
        <v>159.29778469999999</v>
      </c>
      <c r="L24" s="124">
        <f t="shared" si="2"/>
        <v>155.2512639</v>
      </c>
      <c r="M24" s="213">
        <f t="shared" si="3"/>
        <v>4.0465207999999961</v>
      </c>
    </row>
    <row r="25" spans="1:13" x14ac:dyDescent="0.25">
      <c r="A25" s="1" t="s">
        <v>504</v>
      </c>
      <c r="B25" s="1" t="s">
        <v>764</v>
      </c>
      <c r="C25" s="213">
        <v>2804289.3838</v>
      </c>
      <c r="D25" s="213">
        <v>-145974.05679999999</v>
      </c>
      <c r="E25" s="214">
        <v>0.99864794541883373</v>
      </c>
      <c r="F25" s="213">
        <v>501641.8</v>
      </c>
      <c r="G25" s="213">
        <v>0</v>
      </c>
      <c r="H25" s="213">
        <v>278969.1421</v>
      </c>
      <c r="I25" s="213">
        <v>275931.59029999998</v>
      </c>
      <c r="J25" s="124">
        <f t="shared" si="0"/>
        <v>2804.2893838</v>
      </c>
      <c r="K25" s="124">
        <f t="shared" si="1"/>
        <v>278.9691421</v>
      </c>
      <c r="L25" s="124">
        <f t="shared" si="2"/>
        <v>275.93159029999998</v>
      </c>
      <c r="M25" s="213">
        <f t="shared" si="3"/>
        <v>3.037551800000017</v>
      </c>
    </row>
    <row r="26" spans="1:13" x14ac:dyDescent="0.25">
      <c r="A26" s="1" t="s">
        <v>404</v>
      </c>
      <c r="B26" s="1" t="s">
        <v>764</v>
      </c>
      <c r="C26" s="213">
        <v>1254057.0009999999</v>
      </c>
      <c r="D26" s="213">
        <v>-99307.704400000002</v>
      </c>
      <c r="E26" s="214">
        <v>0.99687920951274966</v>
      </c>
      <c r="F26" s="213">
        <v>0</v>
      </c>
      <c r="G26" s="213">
        <v>0</v>
      </c>
      <c r="H26" s="213">
        <v>147209.80470000001</v>
      </c>
      <c r="I26" s="213">
        <v>144137.58170000001</v>
      </c>
      <c r="J26" s="124">
        <f t="shared" si="0"/>
        <v>1254.0570009999999</v>
      </c>
      <c r="K26" s="124">
        <f t="shared" si="1"/>
        <v>147.20980470000001</v>
      </c>
      <c r="L26" s="124">
        <f t="shared" si="2"/>
        <v>144.1375817</v>
      </c>
      <c r="M26" s="213">
        <f t="shared" si="3"/>
        <v>3.0722230000000081</v>
      </c>
    </row>
    <row r="27" spans="1:13" x14ac:dyDescent="0.25">
      <c r="A27" s="1" t="s">
        <v>495</v>
      </c>
      <c r="B27" s="1" t="s">
        <v>764</v>
      </c>
      <c r="C27" s="213">
        <v>1344160.132</v>
      </c>
      <c r="D27" s="213">
        <v>192083.87820000001</v>
      </c>
      <c r="E27" s="214">
        <v>0.98994320294051796</v>
      </c>
      <c r="F27" s="213">
        <v>0</v>
      </c>
      <c r="G27" s="213">
        <v>0</v>
      </c>
      <c r="H27" s="213">
        <v>132212.9008</v>
      </c>
      <c r="I27" s="213">
        <v>131003.9351</v>
      </c>
      <c r="J27" s="124">
        <f t="shared" si="0"/>
        <v>1344.160132</v>
      </c>
      <c r="K27" s="124">
        <f t="shared" si="1"/>
        <v>132.2129008</v>
      </c>
      <c r="L27" s="124">
        <f t="shared" si="2"/>
        <v>131.00393510000001</v>
      </c>
      <c r="M27" s="213">
        <f t="shared" si="3"/>
        <v>1.2089656999999931</v>
      </c>
    </row>
    <row r="28" spans="1:13" x14ac:dyDescent="0.25">
      <c r="A28" s="1" t="s">
        <v>371</v>
      </c>
      <c r="B28" s="1" t="s">
        <v>764</v>
      </c>
      <c r="C28" s="213">
        <v>1488790.9203000001</v>
      </c>
      <c r="D28" s="213">
        <v>390532.46130000002</v>
      </c>
      <c r="E28" s="214">
        <v>0.96727485286151316</v>
      </c>
      <c r="F28" s="213">
        <v>0</v>
      </c>
      <c r="G28" s="213">
        <v>0</v>
      </c>
      <c r="H28" s="213">
        <v>41164.277999999998</v>
      </c>
      <c r="I28" s="213">
        <v>36762.200900000003</v>
      </c>
      <c r="J28" s="124">
        <f t="shared" si="0"/>
        <v>1488.7909203000002</v>
      </c>
      <c r="K28" s="124">
        <f t="shared" si="1"/>
        <v>41.164277999999996</v>
      </c>
      <c r="L28" s="124">
        <f t="shared" si="2"/>
        <v>36.762200900000003</v>
      </c>
      <c r="M28" s="213">
        <f t="shared" si="3"/>
        <v>4.4020770999999925</v>
      </c>
    </row>
    <row r="29" spans="1:13" x14ac:dyDescent="0.25">
      <c r="A29" s="1" t="s">
        <v>449</v>
      </c>
      <c r="B29" s="1" t="s">
        <v>764</v>
      </c>
      <c r="C29" s="213">
        <v>1486261.7941000001</v>
      </c>
      <c r="D29" s="213">
        <v>567111.82999999996</v>
      </c>
      <c r="E29" s="214">
        <v>0.93429586039943668</v>
      </c>
      <c r="F29" s="213">
        <v>0</v>
      </c>
      <c r="G29" s="213">
        <v>0</v>
      </c>
      <c r="H29" s="213">
        <v>154586.65779999999</v>
      </c>
      <c r="I29" s="213">
        <v>147302.16800000001</v>
      </c>
      <c r="J29" s="124">
        <f t="shared" si="0"/>
        <v>1486.2617941000001</v>
      </c>
      <c r="K29" s="124">
        <f t="shared" si="1"/>
        <v>154.58665779999998</v>
      </c>
      <c r="L29" s="124">
        <f t="shared" si="2"/>
        <v>147.30216799999999</v>
      </c>
      <c r="M29" s="213">
        <f t="shared" si="3"/>
        <v>7.2844897999999887</v>
      </c>
    </row>
    <row r="30" spans="1:13" x14ac:dyDescent="0.25">
      <c r="A30" s="1" t="s">
        <v>355</v>
      </c>
      <c r="B30" s="1" t="s">
        <v>764</v>
      </c>
      <c r="C30" s="213">
        <v>3344758.5597999999</v>
      </c>
      <c r="D30" s="213">
        <v>1222572.6129000001</v>
      </c>
      <c r="E30" s="214">
        <v>0.93922424846553443</v>
      </c>
      <c r="F30" s="213">
        <v>0</v>
      </c>
      <c r="G30" s="213">
        <v>0</v>
      </c>
      <c r="H30" s="213">
        <v>190840.80489999999</v>
      </c>
      <c r="I30" s="213">
        <v>190838.52739999999</v>
      </c>
      <c r="J30" s="124">
        <f t="shared" si="0"/>
        <v>3344.7585598000001</v>
      </c>
      <c r="K30" s="124">
        <f t="shared" si="1"/>
        <v>190.84080489999999</v>
      </c>
      <c r="L30" s="124">
        <f t="shared" si="2"/>
        <v>190.8385274</v>
      </c>
      <c r="M30" s="213">
        <f t="shared" si="3"/>
        <v>2.2774999999910506E-3</v>
      </c>
    </row>
    <row r="31" spans="1:13" x14ac:dyDescent="0.25">
      <c r="A31" s="1" t="s">
        <v>460</v>
      </c>
      <c r="B31" s="1" t="s">
        <v>764</v>
      </c>
      <c r="C31" s="213">
        <v>2123657.4766000002</v>
      </c>
      <c r="D31" s="213">
        <v>939517.3456</v>
      </c>
      <c r="E31" s="214">
        <v>0.91450230980310332</v>
      </c>
      <c r="F31" s="213">
        <v>0</v>
      </c>
      <c r="G31" s="213">
        <v>0</v>
      </c>
      <c r="H31" s="213">
        <v>91571.895000000004</v>
      </c>
      <c r="I31" s="213">
        <v>85736.271399999998</v>
      </c>
      <c r="J31" s="124">
        <f t="shared" si="0"/>
        <v>2123.6574766000003</v>
      </c>
      <c r="K31" s="124">
        <f t="shared" si="1"/>
        <v>91.571894999999998</v>
      </c>
      <c r="L31" s="124">
        <f t="shared" si="2"/>
        <v>85.736271399999993</v>
      </c>
      <c r="M31" s="213">
        <f t="shared" si="3"/>
        <v>5.8356236000000052</v>
      </c>
    </row>
    <row r="32" spans="1:13" x14ac:dyDescent="0.25">
      <c r="A32" s="1" t="s">
        <v>795</v>
      </c>
      <c r="B32" s="1" t="s">
        <v>764</v>
      </c>
      <c r="C32" s="213">
        <v>2538145.2659</v>
      </c>
      <c r="D32" s="213">
        <v>902100.4706</v>
      </c>
      <c r="E32" s="214">
        <v>0.94225583496008214</v>
      </c>
      <c r="F32" s="213">
        <v>0</v>
      </c>
      <c r="G32" s="213">
        <v>0</v>
      </c>
      <c r="H32" s="213">
        <v>158963.07070000001</v>
      </c>
      <c r="I32" s="213">
        <v>155732.44279999999</v>
      </c>
      <c r="J32" s="124">
        <f t="shared" si="0"/>
        <v>2538.1452659000001</v>
      </c>
      <c r="K32" s="124">
        <f t="shared" si="1"/>
        <v>158.9630707</v>
      </c>
      <c r="L32" s="124">
        <f t="shared" si="2"/>
        <v>155.7324428</v>
      </c>
      <c r="M32" s="213">
        <f t="shared" si="3"/>
        <v>3.2306279000000018</v>
      </c>
    </row>
    <row r="33" spans="1:13" x14ac:dyDescent="0.25">
      <c r="A33" s="1" t="s">
        <v>487</v>
      </c>
      <c r="B33" s="1" t="s">
        <v>764</v>
      </c>
      <c r="C33" s="213">
        <v>300537.3872</v>
      </c>
      <c r="D33" s="213">
        <v>-89186.926200000002</v>
      </c>
      <c r="E33" s="214">
        <v>0.95867741724444999</v>
      </c>
      <c r="F33" s="213">
        <v>321300</v>
      </c>
      <c r="G33" s="213">
        <v>0</v>
      </c>
      <c r="H33" s="213">
        <v>109983.09729999999</v>
      </c>
      <c r="I33" s="213">
        <v>107702.336</v>
      </c>
      <c r="J33" s="124">
        <f t="shared" si="0"/>
        <v>300.53738720000001</v>
      </c>
      <c r="K33" s="124">
        <f t="shared" si="1"/>
        <v>109.9830973</v>
      </c>
      <c r="L33" s="124">
        <f t="shared" si="2"/>
        <v>107.702336</v>
      </c>
      <c r="M33" s="213">
        <f t="shared" si="3"/>
        <v>2.2807612999999947</v>
      </c>
    </row>
    <row r="34" spans="1:13" x14ac:dyDescent="0.25">
      <c r="A34" s="1" t="s">
        <v>483</v>
      </c>
      <c r="B34" s="1" t="s">
        <v>764</v>
      </c>
      <c r="C34" s="213">
        <v>779206.00919999997</v>
      </c>
      <c r="D34" s="213">
        <v>242227.49369999999</v>
      </c>
      <c r="E34" s="214">
        <v>0.95492354917420463</v>
      </c>
      <c r="F34" s="213">
        <v>0</v>
      </c>
      <c r="G34" s="213">
        <v>0</v>
      </c>
      <c r="H34" s="213">
        <v>33259.548499999997</v>
      </c>
      <c r="I34" s="213">
        <v>30459.8236</v>
      </c>
      <c r="J34" s="124">
        <f t="shared" si="0"/>
        <v>779.20600919999993</v>
      </c>
      <c r="K34" s="124">
        <f t="shared" si="1"/>
        <v>33.259548499999994</v>
      </c>
      <c r="L34" s="124">
        <f t="shared" si="2"/>
        <v>30.4598236</v>
      </c>
      <c r="M34" s="213">
        <f t="shared" si="3"/>
        <v>2.799724899999994</v>
      </c>
    </row>
    <row r="35" spans="1:13" x14ac:dyDescent="0.25">
      <c r="A35" s="1" t="s">
        <v>365</v>
      </c>
      <c r="B35" s="1" t="s">
        <v>764</v>
      </c>
      <c r="C35" s="213">
        <v>1773808.9173999999</v>
      </c>
      <c r="D35" s="213">
        <v>560304.35589999997</v>
      </c>
      <c r="E35" s="214">
        <v>0.95355886314028626</v>
      </c>
      <c r="F35" s="213">
        <v>0</v>
      </c>
      <c r="G35" s="213">
        <v>0</v>
      </c>
      <c r="H35" s="213">
        <v>78326.607900000003</v>
      </c>
      <c r="I35" s="213">
        <v>76411.030499999993</v>
      </c>
      <c r="J35" s="124">
        <f t="shared" si="0"/>
        <v>1773.8089173999999</v>
      </c>
      <c r="K35" s="124">
        <f t="shared" si="1"/>
        <v>78.326607899999999</v>
      </c>
      <c r="L35" s="124">
        <f t="shared" si="2"/>
        <v>76.411030499999995</v>
      </c>
      <c r="M35" s="213">
        <f t="shared" si="3"/>
        <v>1.9155774000000036</v>
      </c>
    </row>
    <row r="36" spans="1:13" x14ac:dyDescent="0.25">
      <c r="A36" s="1" t="s">
        <v>385</v>
      </c>
      <c r="B36" s="1" t="s">
        <v>764</v>
      </c>
      <c r="C36" s="213">
        <v>1343723.2419</v>
      </c>
      <c r="D36" s="213">
        <v>160040.72320000001</v>
      </c>
      <c r="E36" s="214">
        <v>0.99298188224729678</v>
      </c>
      <c r="F36" s="213">
        <v>0</v>
      </c>
      <c r="G36" s="213">
        <v>0</v>
      </c>
      <c r="H36" s="213">
        <v>119650.51949999999</v>
      </c>
      <c r="I36" s="213">
        <v>116793.3012</v>
      </c>
      <c r="J36" s="124">
        <f t="shared" si="0"/>
        <v>1343.7232418999999</v>
      </c>
      <c r="K36" s="124">
        <f t="shared" si="1"/>
        <v>119.6505195</v>
      </c>
      <c r="L36" s="124">
        <f t="shared" si="2"/>
        <v>116.7933012</v>
      </c>
      <c r="M36" s="213">
        <f t="shared" si="3"/>
        <v>2.8572182999999995</v>
      </c>
    </row>
    <row r="37" spans="1:13" x14ac:dyDescent="0.25">
      <c r="A37" s="1" t="s">
        <v>426</v>
      </c>
      <c r="B37" s="1" t="s">
        <v>764</v>
      </c>
      <c r="C37" s="213">
        <v>2388739.8177999998</v>
      </c>
      <c r="D37" s="213">
        <v>1003887.6581</v>
      </c>
      <c r="E37" s="214">
        <v>0.921897077895941</v>
      </c>
      <c r="F37" s="213">
        <v>0</v>
      </c>
      <c r="G37" s="213">
        <v>0</v>
      </c>
      <c r="H37" s="213">
        <v>134175.3573</v>
      </c>
      <c r="I37" s="213">
        <v>132322.19649999999</v>
      </c>
      <c r="J37" s="124">
        <f t="shared" si="0"/>
        <v>2388.7398177999999</v>
      </c>
      <c r="K37" s="124">
        <f t="shared" si="1"/>
        <v>134.1753573</v>
      </c>
      <c r="L37" s="124">
        <f t="shared" si="2"/>
        <v>132.32219649999999</v>
      </c>
      <c r="M37" s="213">
        <f t="shared" si="3"/>
        <v>1.8531608000000119</v>
      </c>
    </row>
    <row r="38" spans="1:13" x14ac:dyDescent="0.25">
      <c r="A38" s="1" t="s">
        <v>392</v>
      </c>
      <c r="B38" s="1" t="s">
        <v>764</v>
      </c>
      <c r="C38" s="213">
        <v>2299807.0274</v>
      </c>
      <c r="D38" s="213">
        <v>986738.10660000006</v>
      </c>
      <c r="E38" s="214">
        <v>0.9189848623899014</v>
      </c>
      <c r="F38" s="213">
        <v>0</v>
      </c>
      <c r="G38" s="213">
        <v>0</v>
      </c>
      <c r="H38" s="213">
        <v>81093.568700000003</v>
      </c>
      <c r="I38" s="213">
        <v>80012.459600000002</v>
      </c>
      <c r="J38" s="124">
        <f t="shared" si="0"/>
        <v>2299.8070274000002</v>
      </c>
      <c r="K38" s="124">
        <f t="shared" si="1"/>
        <v>81.093568700000006</v>
      </c>
      <c r="L38" s="124">
        <f t="shared" si="2"/>
        <v>80.0124596</v>
      </c>
      <c r="M38" s="213">
        <f t="shared" si="3"/>
        <v>1.0811091000000062</v>
      </c>
    </row>
    <row r="39" spans="1:13" x14ac:dyDescent="0.25">
      <c r="A39" s="1" t="s">
        <v>492</v>
      </c>
      <c r="B39" s="1" t="s">
        <v>764</v>
      </c>
      <c r="C39" s="213">
        <v>1942639.7228000001</v>
      </c>
      <c r="D39" s="213">
        <v>684495.35010000004</v>
      </c>
      <c r="E39" s="214">
        <v>0.94316424650210384</v>
      </c>
      <c r="F39" s="213">
        <v>0</v>
      </c>
      <c r="G39" s="213">
        <v>0</v>
      </c>
      <c r="H39" s="213">
        <v>103248.7558</v>
      </c>
      <c r="I39" s="213">
        <v>101609.53539999999</v>
      </c>
      <c r="J39" s="124">
        <f t="shared" si="0"/>
        <v>1942.6397228000001</v>
      </c>
      <c r="K39" s="124">
        <f t="shared" si="1"/>
        <v>103.2487558</v>
      </c>
      <c r="L39" s="124">
        <f t="shared" si="2"/>
        <v>101.6095354</v>
      </c>
      <c r="M39" s="213">
        <f t="shared" si="3"/>
        <v>1.6392203999999992</v>
      </c>
    </row>
    <row r="40" spans="1:13" x14ac:dyDescent="0.25">
      <c r="A40" s="1" t="s">
        <v>479</v>
      </c>
      <c r="B40" s="1" t="s">
        <v>764</v>
      </c>
      <c r="C40" s="213">
        <v>1332064.747</v>
      </c>
      <c r="D40" s="213">
        <v>379845.41729999997</v>
      </c>
      <c r="E40" s="214">
        <v>0.96166579747038639</v>
      </c>
      <c r="F40" s="213">
        <v>0</v>
      </c>
      <c r="G40" s="213">
        <v>0</v>
      </c>
      <c r="H40" s="213">
        <v>109958.4544</v>
      </c>
      <c r="I40" s="213">
        <v>109770.2825</v>
      </c>
      <c r="J40" s="124">
        <f t="shared" si="0"/>
        <v>1332.0647469999999</v>
      </c>
      <c r="K40" s="124">
        <f t="shared" si="1"/>
        <v>109.95845440000001</v>
      </c>
      <c r="L40" s="124">
        <f t="shared" si="2"/>
        <v>109.77028250000001</v>
      </c>
      <c r="M40" s="213">
        <f t="shared" si="3"/>
        <v>0.18817190000000039</v>
      </c>
    </row>
    <row r="41" spans="1:13" x14ac:dyDescent="0.25">
      <c r="A41" s="1" t="s">
        <v>410</v>
      </c>
      <c r="B41" s="1" t="s">
        <v>764</v>
      </c>
      <c r="C41" s="213">
        <v>2606189.3997</v>
      </c>
      <c r="D41" s="213">
        <v>1112409.2921</v>
      </c>
      <c r="E41" s="214">
        <v>0.91972272913636011</v>
      </c>
      <c r="F41" s="213">
        <v>0</v>
      </c>
      <c r="G41" s="213">
        <v>0</v>
      </c>
      <c r="H41" s="213">
        <v>110246.3768</v>
      </c>
      <c r="I41" s="213">
        <v>106347.13529999999</v>
      </c>
      <c r="J41" s="124">
        <f t="shared" si="0"/>
        <v>2606.1893996999997</v>
      </c>
      <c r="K41" s="124">
        <f t="shared" si="1"/>
        <v>110.24637679999999</v>
      </c>
      <c r="L41" s="124">
        <f t="shared" si="2"/>
        <v>106.34713529999999</v>
      </c>
      <c r="M41" s="213">
        <f t="shared" si="3"/>
        <v>3.8992415000000022</v>
      </c>
    </row>
    <row r="42" spans="1:13" x14ac:dyDescent="0.25">
      <c r="A42" s="1" t="s">
        <v>462</v>
      </c>
      <c r="B42" s="1" t="s">
        <v>764</v>
      </c>
      <c r="C42" s="213">
        <v>1366743.7542000001</v>
      </c>
      <c r="D42" s="213">
        <v>353453.43369999999</v>
      </c>
      <c r="E42" s="214">
        <v>0.96814944922629931</v>
      </c>
      <c r="F42" s="213">
        <v>0</v>
      </c>
      <c r="G42" s="213">
        <v>0</v>
      </c>
      <c r="H42" s="213">
        <v>128903.0788</v>
      </c>
      <c r="I42" s="213">
        <v>126532.7064</v>
      </c>
      <c r="J42" s="124">
        <f t="shared" si="0"/>
        <v>1366.7437542</v>
      </c>
      <c r="K42" s="124">
        <f t="shared" si="1"/>
        <v>128.9030788</v>
      </c>
      <c r="L42" s="124">
        <f t="shared" si="2"/>
        <v>126.5327064</v>
      </c>
      <c r="M42" s="213">
        <f t="shared" si="3"/>
        <v>2.3703724000000079</v>
      </c>
    </row>
    <row r="43" spans="1:13" x14ac:dyDescent="0.25">
      <c r="A43" s="1" t="s">
        <v>424</v>
      </c>
      <c r="B43" s="1" t="s">
        <v>764</v>
      </c>
      <c r="C43" s="213">
        <v>1381523.3306</v>
      </c>
      <c r="D43" s="213">
        <v>172609.7028</v>
      </c>
      <c r="E43" s="214">
        <v>0.99228501018974868</v>
      </c>
      <c r="F43" s="213">
        <v>0</v>
      </c>
      <c r="G43" s="213">
        <v>0</v>
      </c>
      <c r="H43" s="213">
        <v>50767.7814</v>
      </c>
      <c r="I43" s="213">
        <v>48650.4827</v>
      </c>
      <c r="J43" s="124">
        <f t="shared" si="0"/>
        <v>1381.5233306</v>
      </c>
      <c r="K43" s="124">
        <f t="shared" si="1"/>
        <v>50.767781399999997</v>
      </c>
      <c r="L43" s="124">
        <f t="shared" si="2"/>
        <v>48.650482699999998</v>
      </c>
      <c r="M43" s="213">
        <f t="shared" si="3"/>
        <v>2.1172986999999992</v>
      </c>
    </row>
    <row r="44" spans="1:13" x14ac:dyDescent="0.25">
      <c r="A44" s="1" t="s">
        <v>379</v>
      </c>
      <c r="B44" s="1" t="s">
        <v>764</v>
      </c>
      <c r="C44" s="213">
        <v>2029064.8269</v>
      </c>
      <c r="D44" s="213">
        <v>887119.27020000003</v>
      </c>
      <c r="E44" s="214">
        <v>0.9162562343336984</v>
      </c>
      <c r="F44" s="213">
        <v>0</v>
      </c>
      <c r="G44" s="213">
        <v>0</v>
      </c>
      <c r="H44" s="213">
        <v>88352.723499999993</v>
      </c>
      <c r="I44" s="213">
        <v>85771.204100000003</v>
      </c>
      <c r="J44" s="124">
        <f t="shared" si="0"/>
        <v>2029.0648269000001</v>
      </c>
      <c r="K44" s="124">
        <f t="shared" si="1"/>
        <v>88.352723499999996</v>
      </c>
      <c r="L44" s="124">
        <f t="shared" si="2"/>
        <v>85.771204100000006</v>
      </c>
      <c r="M44" s="213">
        <f t="shared" si="3"/>
        <v>2.5815193999999906</v>
      </c>
    </row>
    <row r="45" spans="1:13" x14ac:dyDescent="0.25">
      <c r="A45" s="1" t="s">
        <v>499</v>
      </c>
      <c r="B45" s="1" t="s">
        <v>764</v>
      </c>
      <c r="C45" s="213">
        <v>2069800.9905000001</v>
      </c>
      <c r="D45" s="213">
        <v>-151859.03150000001</v>
      </c>
      <c r="E45" s="214">
        <v>0.99731931964308318</v>
      </c>
      <c r="F45" s="213">
        <v>0</v>
      </c>
      <c r="G45" s="213">
        <v>0</v>
      </c>
      <c r="H45" s="213">
        <v>208686.2745</v>
      </c>
      <c r="I45" s="213">
        <v>205266.62229999999</v>
      </c>
      <c r="J45" s="124">
        <f t="shared" si="0"/>
        <v>2069.8009904999999</v>
      </c>
      <c r="K45" s="124">
        <f t="shared" si="1"/>
        <v>208.6862745</v>
      </c>
      <c r="L45" s="124">
        <f t="shared" si="2"/>
        <v>205.26662229999999</v>
      </c>
      <c r="M45" s="213">
        <f t="shared" si="3"/>
        <v>3.4196522000000016</v>
      </c>
    </row>
    <row r="46" spans="1:13" x14ac:dyDescent="0.25">
      <c r="A46" s="1" t="s">
        <v>436</v>
      </c>
      <c r="B46" s="1" t="s">
        <v>764</v>
      </c>
      <c r="C46" s="213">
        <v>1834936.3537999999</v>
      </c>
      <c r="D46" s="213">
        <v>571904.74380000005</v>
      </c>
      <c r="E46" s="214">
        <v>0.95470380356606155</v>
      </c>
      <c r="F46" s="213">
        <v>0</v>
      </c>
      <c r="G46" s="213">
        <v>0</v>
      </c>
      <c r="H46" s="213">
        <v>87572.815900000001</v>
      </c>
      <c r="I46" s="213">
        <v>85574.566300000006</v>
      </c>
      <c r="J46" s="124">
        <f t="shared" si="0"/>
        <v>1834.9363538</v>
      </c>
      <c r="K46" s="124">
        <f t="shared" si="1"/>
        <v>87.572815899999995</v>
      </c>
      <c r="L46" s="124">
        <f t="shared" si="2"/>
        <v>85.574566300000001</v>
      </c>
      <c r="M46" s="213">
        <f t="shared" si="3"/>
        <v>1.9982495999999941</v>
      </c>
    </row>
    <row r="47" spans="1:13" x14ac:dyDescent="0.25">
      <c r="A47" s="1" t="s">
        <v>422</v>
      </c>
      <c r="B47" s="1" t="s">
        <v>764</v>
      </c>
      <c r="C47" s="213">
        <v>1188176.3063000001</v>
      </c>
      <c r="D47" s="213">
        <v>38890.872799999997</v>
      </c>
      <c r="E47" s="214">
        <v>0.99946475229127874</v>
      </c>
      <c r="F47" s="213">
        <v>0</v>
      </c>
      <c r="G47" s="213">
        <v>0</v>
      </c>
      <c r="H47" s="213">
        <v>158302.334</v>
      </c>
      <c r="I47" s="213">
        <v>152608.065</v>
      </c>
      <c r="J47" s="124">
        <f t="shared" si="0"/>
        <v>1188.1763063000001</v>
      </c>
      <c r="K47" s="124">
        <f t="shared" si="1"/>
        <v>158.302334</v>
      </c>
      <c r="L47" s="124">
        <f t="shared" si="2"/>
        <v>152.60806500000001</v>
      </c>
      <c r="M47" s="213">
        <f t="shared" si="3"/>
        <v>5.6942689999999914</v>
      </c>
    </row>
    <row r="48" spans="1:13" x14ac:dyDescent="0.25">
      <c r="A48" s="1" t="s">
        <v>796</v>
      </c>
      <c r="B48" s="1" t="s">
        <v>764</v>
      </c>
      <c r="C48" s="213">
        <v>1669935.1102</v>
      </c>
      <c r="D48" s="213">
        <v>523246.54</v>
      </c>
      <c r="E48" s="214">
        <v>0.95425327497991164</v>
      </c>
      <c r="F48" s="213">
        <v>0</v>
      </c>
      <c r="G48" s="213">
        <v>0</v>
      </c>
      <c r="H48" s="213">
        <v>135204.01500000001</v>
      </c>
      <c r="I48" s="213">
        <v>129131.2124</v>
      </c>
      <c r="J48" s="124">
        <f t="shared" si="0"/>
        <v>1669.9351102000001</v>
      </c>
      <c r="K48" s="124">
        <f t="shared" si="1"/>
        <v>135.20401500000003</v>
      </c>
      <c r="L48" s="124">
        <f t="shared" si="2"/>
        <v>129.13121240000001</v>
      </c>
      <c r="M48" s="213">
        <f t="shared" si="3"/>
        <v>6.072802600000017</v>
      </c>
    </row>
    <row r="49" spans="1:13" x14ac:dyDescent="0.25">
      <c r="A49" s="1" t="s">
        <v>367</v>
      </c>
      <c r="B49" s="1" t="s">
        <v>764</v>
      </c>
      <c r="C49" s="213">
        <v>4208557.1029000003</v>
      </c>
      <c r="D49" s="213">
        <v>1756291.4913999999</v>
      </c>
      <c r="E49" s="214">
        <v>0.92286455575667203</v>
      </c>
      <c r="F49" s="213">
        <v>0</v>
      </c>
      <c r="G49" s="213">
        <v>0</v>
      </c>
      <c r="H49" s="213">
        <v>209218.90530000001</v>
      </c>
      <c r="I49" s="213">
        <v>204000.90220000001</v>
      </c>
      <c r="J49" s="124">
        <f t="shared" si="0"/>
        <v>4208.5571029000002</v>
      </c>
      <c r="K49" s="124">
        <f t="shared" si="1"/>
        <v>209.21890530000002</v>
      </c>
      <c r="L49" s="124">
        <f t="shared" si="2"/>
        <v>204.00090220000001</v>
      </c>
      <c r="M49" s="213">
        <f t="shared" si="3"/>
        <v>5.2180031000000042</v>
      </c>
    </row>
    <row r="50" spans="1:13" x14ac:dyDescent="0.25">
      <c r="A50" s="1" t="s">
        <v>458</v>
      </c>
      <c r="B50" s="1" t="s">
        <v>764</v>
      </c>
      <c r="C50" s="213">
        <v>1850866.4929</v>
      </c>
      <c r="D50" s="213">
        <v>723509.41330000001</v>
      </c>
      <c r="E50" s="214">
        <v>0.93136954587902898</v>
      </c>
      <c r="F50" s="213">
        <v>0</v>
      </c>
      <c r="G50" s="213">
        <v>0</v>
      </c>
      <c r="H50" s="213">
        <v>82694.300399999993</v>
      </c>
      <c r="I50" s="213">
        <v>71544.005999999994</v>
      </c>
      <c r="J50" s="124">
        <f t="shared" si="0"/>
        <v>1850.8664928999999</v>
      </c>
      <c r="K50" s="124">
        <f t="shared" si="1"/>
        <v>82.694300399999989</v>
      </c>
      <c r="L50" s="124">
        <f t="shared" si="2"/>
        <v>71.544005999999996</v>
      </c>
      <c r="M50" s="213">
        <f t="shared" si="3"/>
        <v>11.150294399999993</v>
      </c>
    </row>
    <row r="51" spans="1:13" x14ac:dyDescent="0.25">
      <c r="A51" s="1" t="s">
        <v>481</v>
      </c>
      <c r="B51" s="1" t="s">
        <v>764</v>
      </c>
      <c r="C51" s="213">
        <v>1507483.2904000001</v>
      </c>
      <c r="D51" s="213">
        <v>311932.8187</v>
      </c>
      <c r="E51" s="214">
        <v>0.97925529945898315</v>
      </c>
      <c r="F51" s="213">
        <v>0</v>
      </c>
      <c r="G51" s="213">
        <v>0</v>
      </c>
      <c r="H51" s="213">
        <v>133968.8192</v>
      </c>
      <c r="I51" s="213">
        <v>124592.45299999999</v>
      </c>
      <c r="J51" s="124">
        <f t="shared" si="0"/>
        <v>1507.4832904</v>
      </c>
      <c r="K51" s="124">
        <f t="shared" si="1"/>
        <v>133.96881919999998</v>
      </c>
      <c r="L51" s="124">
        <f t="shared" si="2"/>
        <v>124.59245299999999</v>
      </c>
      <c r="M51" s="213">
        <f t="shared" si="3"/>
        <v>9.3763661999999925</v>
      </c>
    </row>
    <row r="52" spans="1:13" x14ac:dyDescent="0.25">
      <c r="A52" s="1" t="s">
        <v>440</v>
      </c>
      <c r="B52" s="1" t="s">
        <v>764</v>
      </c>
      <c r="C52" s="213">
        <v>3711076.2747999998</v>
      </c>
      <c r="D52" s="213">
        <v>942417.09699999995</v>
      </c>
      <c r="E52" s="214">
        <v>0.96923565824734237</v>
      </c>
      <c r="F52" s="213">
        <v>0</v>
      </c>
      <c r="G52" s="213">
        <v>0</v>
      </c>
      <c r="H52" s="213">
        <v>212105.53419999999</v>
      </c>
      <c r="I52" s="213">
        <v>210014.27559999999</v>
      </c>
      <c r="J52" s="124">
        <f t="shared" si="0"/>
        <v>3711.0762747999997</v>
      </c>
      <c r="K52" s="124">
        <f t="shared" si="1"/>
        <v>212.10553419999999</v>
      </c>
      <c r="L52" s="124">
        <f t="shared" si="2"/>
        <v>210.01427559999999</v>
      </c>
      <c r="M52" s="213">
        <f t="shared" si="3"/>
        <v>2.0912586000000033</v>
      </c>
    </row>
    <row r="53" spans="1:13" x14ac:dyDescent="0.25">
      <c r="A53" s="1" t="s">
        <v>490</v>
      </c>
      <c r="B53" s="1" t="s">
        <v>764</v>
      </c>
      <c r="C53" s="213">
        <v>1300601.5356999999</v>
      </c>
      <c r="D53" s="213">
        <v>-4537.0443999999998</v>
      </c>
      <c r="E53" s="214">
        <v>0.99999391551850825</v>
      </c>
      <c r="F53" s="213">
        <v>298969.53610000003</v>
      </c>
      <c r="G53" s="213">
        <v>0</v>
      </c>
      <c r="H53" s="213">
        <v>174424.89550000001</v>
      </c>
      <c r="I53" s="213">
        <v>172717.37899999999</v>
      </c>
      <c r="J53" s="124">
        <f t="shared" si="0"/>
        <v>1300.6015356999999</v>
      </c>
      <c r="K53" s="124">
        <f t="shared" si="1"/>
        <v>174.42489550000002</v>
      </c>
      <c r="L53" s="124">
        <f t="shared" si="2"/>
        <v>172.71737899999999</v>
      </c>
      <c r="M53" s="213">
        <f t="shared" si="3"/>
        <v>1.7075165000000254</v>
      </c>
    </row>
    <row r="54" spans="1:13" x14ac:dyDescent="0.25">
      <c r="A54" s="1" t="s">
        <v>797</v>
      </c>
      <c r="B54" s="1" t="s">
        <v>764</v>
      </c>
      <c r="C54" s="213">
        <v>2147637.2538999999</v>
      </c>
      <c r="D54" s="213">
        <v>474390.1103</v>
      </c>
      <c r="E54" s="214">
        <v>0.97646189215292611</v>
      </c>
      <c r="F54" s="213">
        <v>0</v>
      </c>
      <c r="G54" s="213">
        <v>0</v>
      </c>
      <c r="H54" s="213">
        <v>280858.652</v>
      </c>
      <c r="I54" s="213">
        <v>251602.9026</v>
      </c>
      <c r="J54" s="124">
        <f t="shared" si="0"/>
        <v>2147.6372538999999</v>
      </c>
      <c r="K54" s="124">
        <f t="shared" si="1"/>
        <v>280.85865200000001</v>
      </c>
      <c r="L54" s="124">
        <f t="shared" si="2"/>
        <v>251.60290259999999</v>
      </c>
      <c r="M54" s="213">
        <f t="shared" si="3"/>
        <v>29.255749400000013</v>
      </c>
    </row>
    <row r="55" spans="1:13" x14ac:dyDescent="0.25">
      <c r="A55" s="1" t="s">
        <v>375</v>
      </c>
      <c r="B55" s="1" t="s">
        <v>764</v>
      </c>
      <c r="C55" s="213">
        <v>1862838.1155000001</v>
      </c>
      <c r="D55" s="213">
        <v>799407.39399999997</v>
      </c>
      <c r="E55" s="214">
        <v>0.91895770434941682</v>
      </c>
      <c r="F55" s="213">
        <v>0</v>
      </c>
      <c r="G55" s="213">
        <v>0</v>
      </c>
      <c r="H55" s="213">
        <v>69587.020600000003</v>
      </c>
      <c r="I55" s="213">
        <v>69006.123800000001</v>
      </c>
      <c r="J55" s="124">
        <f t="shared" si="0"/>
        <v>1862.8381155000002</v>
      </c>
      <c r="K55" s="124">
        <f t="shared" si="1"/>
        <v>69.587020600000002</v>
      </c>
      <c r="L55" s="124">
        <f t="shared" si="2"/>
        <v>69.006123799999997</v>
      </c>
      <c r="M55" s="213">
        <f t="shared" si="3"/>
        <v>0.58089680000000499</v>
      </c>
    </row>
    <row r="56" spans="1:13" x14ac:dyDescent="0.25">
      <c r="A56" s="1" t="s">
        <v>400</v>
      </c>
      <c r="B56" s="1" t="s">
        <v>764</v>
      </c>
      <c r="C56" s="213">
        <v>1786128.3376</v>
      </c>
      <c r="D56" s="213">
        <v>779539.40170000005</v>
      </c>
      <c r="E56" s="214">
        <v>0.91651342963706162</v>
      </c>
      <c r="F56" s="213">
        <v>0</v>
      </c>
      <c r="G56" s="213">
        <v>0</v>
      </c>
      <c r="H56" s="213">
        <v>195984.7574</v>
      </c>
      <c r="I56" s="213">
        <v>194186.003</v>
      </c>
      <c r="J56" s="124">
        <f t="shared" si="0"/>
        <v>1786.1283375999999</v>
      </c>
      <c r="K56" s="124">
        <f t="shared" si="1"/>
        <v>195.98475740000001</v>
      </c>
      <c r="L56" s="124">
        <f t="shared" si="2"/>
        <v>194.186003</v>
      </c>
      <c r="M56" s="213">
        <f t="shared" si="3"/>
        <v>1.7987544000000071</v>
      </c>
    </row>
    <row r="57" spans="1:13" x14ac:dyDescent="0.25">
      <c r="A57" s="1" t="s">
        <v>387</v>
      </c>
      <c r="B57" s="1" t="s">
        <v>764</v>
      </c>
      <c r="C57" s="213">
        <v>1044980.7445</v>
      </c>
      <c r="D57" s="213">
        <v>-463746.89150000003</v>
      </c>
      <c r="E57" s="214">
        <v>0.91403507677016849</v>
      </c>
      <c r="F57" s="213">
        <v>0</v>
      </c>
      <c r="G57" s="213">
        <v>0</v>
      </c>
      <c r="H57" s="213">
        <v>38306.263400000003</v>
      </c>
      <c r="I57" s="213">
        <v>37842.277499999997</v>
      </c>
      <c r="J57" s="124">
        <f t="shared" si="0"/>
        <v>1044.9807445000001</v>
      </c>
      <c r="K57" s="124">
        <f t="shared" si="1"/>
        <v>38.306263400000006</v>
      </c>
      <c r="L57" s="124">
        <f t="shared" si="2"/>
        <v>37.842277499999994</v>
      </c>
      <c r="M57" s="213">
        <f t="shared" si="3"/>
        <v>0.4639859000000115</v>
      </c>
    </row>
    <row r="58" spans="1:13" x14ac:dyDescent="0.25">
      <c r="A58" s="1" t="s">
        <v>390</v>
      </c>
      <c r="B58" s="1" t="s">
        <v>764</v>
      </c>
      <c r="C58" s="213">
        <v>666695.86769999994</v>
      </c>
      <c r="D58" s="213">
        <v>191310.7512</v>
      </c>
      <c r="E58" s="214">
        <v>0.96120866059297716</v>
      </c>
      <c r="F58" s="213">
        <v>0</v>
      </c>
      <c r="G58" s="213">
        <v>0</v>
      </c>
      <c r="H58" s="213">
        <v>80746.813500000004</v>
      </c>
      <c r="I58" s="213">
        <v>78468.1351</v>
      </c>
      <c r="J58" s="124">
        <f t="shared" si="0"/>
        <v>666.69586769999989</v>
      </c>
      <c r="K58" s="124">
        <f t="shared" si="1"/>
        <v>80.746813500000002</v>
      </c>
      <c r="L58" s="124">
        <f t="shared" si="2"/>
        <v>78.468135099999998</v>
      </c>
      <c r="M58" s="213">
        <f t="shared" si="3"/>
        <v>2.278678400000004</v>
      </c>
    </row>
    <row r="59" spans="1:13" x14ac:dyDescent="0.25">
      <c r="A59" s="1" t="s">
        <v>351</v>
      </c>
      <c r="B59" s="1" t="s">
        <v>764</v>
      </c>
      <c r="C59" s="213">
        <v>2306572.1713</v>
      </c>
      <c r="D59" s="213">
        <v>752973.46219999995</v>
      </c>
      <c r="E59" s="214">
        <v>0.95062891972813612</v>
      </c>
      <c r="F59" s="213">
        <v>0</v>
      </c>
      <c r="G59" s="213">
        <v>0</v>
      </c>
      <c r="H59" s="213">
        <v>109025.4639</v>
      </c>
      <c r="I59" s="213">
        <v>106400.5511</v>
      </c>
      <c r="J59" s="124">
        <f t="shared" si="0"/>
        <v>2306.5721713000003</v>
      </c>
      <c r="K59" s="124">
        <f t="shared" si="1"/>
        <v>109.02546390000001</v>
      </c>
      <c r="L59" s="124">
        <f t="shared" si="2"/>
        <v>106.4005511</v>
      </c>
      <c r="M59" s="213">
        <f t="shared" si="3"/>
        <v>2.6249128000000042</v>
      </c>
    </row>
    <row r="60" spans="1:13" x14ac:dyDescent="0.25">
      <c r="A60" s="1" t="s">
        <v>438</v>
      </c>
      <c r="B60" s="1" t="s">
        <v>764</v>
      </c>
      <c r="C60" s="213">
        <v>1308389.5782999999</v>
      </c>
      <c r="D60" s="213">
        <v>113840.5218</v>
      </c>
      <c r="E60" s="214">
        <v>0.9962361502300775</v>
      </c>
      <c r="F60" s="213">
        <v>0</v>
      </c>
      <c r="G60" s="213">
        <v>0</v>
      </c>
      <c r="H60" s="213">
        <v>44128.524700000002</v>
      </c>
      <c r="I60" s="213">
        <v>42705.9182</v>
      </c>
      <c r="J60" s="124">
        <f t="shared" si="0"/>
        <v>1308.3895783</v>
      </c>
      <c r="K60" s="124">
        <f t="shared" si="1"/>
        <v>44.1285247</v>
      </c>
      <c r="L60" s="124">
        <f t="shared" si="2"/>
        <v>42.705918199999999</v>
      </c>
      <c r="M60" s="213">
        <f t="shared" si="3"/>
        <v>1.4226065000000006</v>
      </c>
    </row>
    <row r="61" spans="1:13" x14ac:dyDescent="0.25">
      <c r="A61" s="1" t="s">
        <v>798</v>
      </c>
      <c r="B61" s="1" t="s">
        <v>336</v>
      </c>
      <c r="C61" s="213">
        <v>1445206.1333999999</v>
      </c>
      <c r="D61" s="213">
        <v>392657.81920000003</v>
      </c>
      <c r="E61" s="214">
        <v>0.96501581813922921</v>
      </c>
      <c r="F61" s="213">
        <v>628588.1</v>
      </c>
      <c r="G61" s="213">
        <v>0</v>
      </c>
      <c r="H61" s="213">
        <v>196161.83859999999</v>
      </c>
      <c r="I61" s="213">
        <v>178015.6655</v>
      </c>
      <c r="J61" s="124">
        <f t="shared" si="0"/>
        <v>1445.2061334</v>
      </c>
      <c r="K61" s="124">
        <f t="shared" si="1"/>
        <v>196.16183859999998</v>
      </c>
      <c r="L61" s="124">
        <f t="shared" si="2"/>
        <v>178.01566550000001</v>
      </c>
      <c r="M61" s="213">
        <f t="shared" si="3"/>
        <v>18.14617309999997</v>
      </c>
    </row>
    <row r="62" spans="1:13" x14ac:dyDescent="0.25">
      <c r="A62" s="1" t="s">
        <v>799</v>
      </c>
      <c r="B62" s="1" t="s">
        <v>336</v>
      </c>
      <c r="C62" s="213">
        <v>17446397.950399999</v>
      </c>
      <c r="D62" s="213">
        <v>5637697.3503999999</v>
      </c>
      <c r="E62" s="214">
        <v>0.95155189244768557</v>
      </c>
      <c r="F62" s="213">
        <v>0</v>
      </c>
      <c r="G62" s="213">
        <v>0</v>
      </c>
      <c r="H62" s="213">
        <v>971150.98820000002</v>
      </c>
      <c r="I62" s="213">
        <v>968750.01820000005</v>
      </c>
      <c r="J62" s="124">
        <f t="shared" si="0"/>
        <v>17446.397950399998</v>
      </c>
      <c r="K62" s="124">
        <f t="shared" si="1"/>
        <v>971.15098820000003</v>
      </c>
      <c r="L62" s="124">
        <f t="shared" si="2"/>
        <v>968.7500182</v>
      </c>
      <c r="M62" s="213">
        <f t="shared" si="3"/>
        <v>2.4009700000000294</v>
      </c>
    </row>
    <row r="63" spans="1:13" x14ac:dyDescent="0.25">
      <c r="A63" s="1" t="s">
        <v>825</v>
      </c>
      <c r="B63" s="1" t="s">
        <v>336</v>
      </c>
      <c r="C63" s="213">
        <v>18478353.158599999</v>
      </c>
      <c r="D63" s="213">
        <v>8190866.5438000001</v>
      </c>
      <c r="E63" s="214">
        <v>0.91421019703809991</v>
      </c>
      <c r="F63" s="213">
        <v>589376.25490000006</v>
      </c>
      <c r="G63" s="213">
        <v>0</v>
      </c>
      <c r="H63" s="213">
        <v>1058504.186</v>
      </c>
      <c r="I63" s="213">
        <v>1056613.4791999999</v>
      </c>
      <c r="J63" s="124">
        <f t="shared" si="0"/>
        <v>18478.353158599999</v>
      </c>
      <c r="K63" s="124">
        <f t="shared" si="1"/>
        <v>1058.5041859999999</v>
      </c>
      <c r="L63" s="124">
        <f t="shared" si="2"/>
        <v>1056.6134792</v>
      </c>
      <c r="M63" s="213">
        <f t="shared" si="3"/>
        <v>1.8907067999998617</v>
      </c>
    </row>
    <row r="64" spans="1:13" x14ac:dyDescent="0.25">
      <c r="A64" s="1" t="s">
        <v>801</v>
      </c>
      <c r="B64" s="1" t="s">
        <v>336</v>
      </c>
      <c r="C64" s="213">
        <v>21132162.760200001</v>
      </c>
      <c r="D64" s="213">
        <v>8554550.8910000008</v>
      </c>
      <c r="E64" s="214">
        <v>0.92693069635541858</v>
      </c>
      <c r="F64" s="213">
        <v>0</v>
      </c>
      <c r="G64" s="213">
        <v>0</v>
      </c>
      <c r="H64" s="213">
        <v>395079.20549999998</v>
      </c>
      <c r="I64" s="213">
        <v>389199.02360000001</v>
      </c>
      <c r="J64" s="124">
        <f t="shared" si="0"/>
        <v>21132.162760200001</v>
      </c>
      <c r="K64" s="124">
        <f t="shared" si="1"/>
        <v>395.0792055</v>
      </c>
      <c r="L64" s="124">
        <f t="shared" si="2"/>
        <v>389.19902360000003</v>
      </c>
      <c r="M64" s="213">
        <f t="shared" si="3"/>
        <v>5.8801818999999682</v>
      </c>
    </row>
    <row r="65" spans="1:13" x14ac:dyDescent="0.25">
      <c r="A65" s="1" t="s">
        <v>802</v>
      </c>
      <c r="B65" s="1" t="s">
        <v>336</v>
      </c>
      <c r="C65" s="213">
        <v>5051443.3953999998</v>
      </c>
      <c r="D65" s="213">
        <v>1408172.5222</v>
      </c>
      <c r="E65" s="214">
        <v>0.96327193040583736</v>
      </c>
      <c r="F65" s="213">
        <v>652035.51069999998</v>
      </c>
      <c r="G65" s="213">
        <v>0</v>
      </c>
      <c r="H65" s="213">
        <v>668467.08120000002</v>
      </c>
      <c r="I65" s="213">
        <v>665335.06110000005</v>
      </c>
      <c r="J65" s="124">
        <f t="shared" si="0"/>
        <v>5051.4433953999996</v>
      </c>
      <c r="K65" s="124">
        <f t="shared" si="1"/>
        <v>668.46708120000005</v>
      </c>
      <c r="L65" s="124">
        <f t="shared" si="2"/>
        <v>665.33506110000008</v>
      </c>
      <c r="M65" s="213">
        <f t="shared" si="3"/>
        <v>3.132020099999977</v>
      </c>
    </row>
    <row r="66" spans="1:13" x14ac:dyDescent="0.25">
      <c r="A66" s="1" t="s">
        <v>803</v>
      </c>
      <c r="B66" s="1" t="s">
        <v>336</v>
      </c>
      <c r="C66" s="213">
        <v>8415132.5574999992</v>
      </c>
      <c r="D66" s="213">
        <v>2391168.3081</v>
      </c>
      <c r="E66" s="214">
        <v>0.96192016182685214</v>
      </c>
      <c r="F66" s="213">
        <v>0</v>
      </c>
      <c r="G66" s="213">
        <v>0</v>
      </c>
      <c r="H66" s="213">
        <v>595716.66150000005</v>
      </c>
      <c r="I66" s="213">
        <v>590393.52</v>
      </c>
      <c r="J66" s="124">
        <f t="shared" ref="J66:J91" si="4">C66/1000</f>
        <v>8415.1325574999992</v>
      </c>
      <c r="K66" s="124">
        <f t="shared" ref="K66:K91" si="5">H66/1000</f>
        <v>595.7166615000001</v>
      </c>
      <c r="L66" s="124">
        <f t="shared" ref="L66:L91" si="6">I66/1000</f>
        <v>590.39351999999997</v>
      </c>
      <c r="M66" s="213">
        <f t="shared" ref="M66:M91" si="7">K66-L66</f>
        <v>5.3231415000001334</v>
      </c>
    </row>
    <row r="67" spans="1:13" x14ac:dyDescent="0.25">
      <c r="A67" s="1" t="s">
        <v>804</v>
      </c>
      <c r="B67" s="1" t="s">
        <v>336</v>
      </c>
      <c r="C67" s="213">
        <v>22887627.9234</v>
      </c>
      <c r="D67" s="213">
        <v>5252645.7285000002</v>
      </c>
      <c r="E67" s="214">
        <v>0.97466213368478061</v>
      </c>
      <c r="F67" s="213">
        <v>0</v>
      </c>
      <c r="G67" s="213">
        <v>0</v>
      </c>
      <c r="H67" s="213">
        <v>1044281.0689</v>
      </c>
      <c r="I67" s="213">
        <v>1040763.2486</v>
      </c>
      <c r="J67" s="124">
        <f t="shared" si="4"/>
        <v>22887.627923399999</v>
      </c>
      <c r="K67" s="124">
        <f t="shared" si="5"/>
        <v>1044.2810689</v>
      </c>
      <c r="L67" s="124">
        <f t="shared" si="6"/>
        <v>1040.7632486</v>
      </c>
      <c r="M67" s="213">
        <f t="shared" si="7"/>
        <v>3.5178203000000394</v>
      </c>
    </row>
    <row r="68" spans="1:13" x14ac:dyDescent="0.25">
      <c r="A68" s="1" t="s">
        <v>805</v>
      </c>
      <c r="B68" s="1" t="s">
        <v>336</v>
      </c>
      <c r="C68" s="213">
        <v>10089953.7831</v>
      </c>
      <c r="D68" s="213">
        <v>3411486.3656000001</v>
      </c>
      <c r="E68" s="214">
        <v>0.94731784643735972</v>
      </c>
      <c r="F68" s="213">
        <v>0</v>
      </c>
      <c r="G68" s="213">
        <v>0</v>
      </c>
      <c r="H68" s="213">
        <v>363050.26740000001</v>
      </c>
      <c r="I68" s="213">
        <v>359926.44929999998</v>
      </c>
      <c r="J68" s="124">
        <f t="shared" si="4"/>
        <v>10089.9537831</v>
      </c>
      <c r="K68" s="124">
        <f t="shared" si="5"/>
        <v>363.0502674</v>
      </c>
      <c r="L68" s="124">
        <f t="shared" si="6"/>
        <v>359.9264493</v>
      </c>
      <c r="M68" s="213">
        <f t="shared" si="7"/>
        <v>3.123818099999994</v>
      </c>
    </row>
    <row r="69" spans="1:13" x14ac:dyDescent="0.25">
      <c r="A69" s="1" t="s">
        <v>806</v>
      </c>
      <c r="B69" s="1" t="s">
        <v>336</v>
      </c>
      <c r="C69" s="213">
        <v>7603527.5072999997</v>
      </c>
      <c r="D69" s="213">
        <v>2598571.6376999998</v>
      </c>
      <c r="E69" s="214">
        <v>0.94626437642720895</v>
      </c>
      <c r="F69" s="213">
        <v>0</v>
      </c>
      <c r="G69" s="213">
        <v>0</v>
      </c>
      <c r="H69" s="213">
        <v>329724.54269999999</v>
      </c>
      <c r="I69" s="213">
        <v>328932.22639999999</v>
      </c>
      <c r="J69" s="124">
        <f t="shared" si="4"/>
        <v>7603.5275072999993</v>
      </c>
      <c r="K69" s="124">
        <f t="shared" si="5"/>
        <v>329.72454269999997</v>
      </c>
      <c r="L69" s="124">
        <f t="shared" si="6"/>
        <v>328.93222639999999</v>
      </c>
      <c r="M69" s="213">
        <f t="shared" si="7"/>
        <v>0.79231629999998177</v>
      </c>
    </row>
    <row r="70" spans="1:13" x14ac:dyDescent="0.25">
      <c r="A70" s="1" t="s">
        <v>807</v>
      </c>
      <c r="B70" s="1" t="s">
        <v>336</v>
      </c>
      <c r="C70" s="213">
        <v>10059418.9406</v>
      </c>
      <c r="D70" s="213">
        <v>4508092.5236</v>
      </c>
      <c r="E70" s="214">
        <v>0.91255341269236057</v>
      </c>
      <c r="F70" s="213">
        <v>322372.12729999999</v>
      </c>
      <c r="G70" s="213">
        <v>-950.19910000000004</v>
      </c>
      <c r="H70" s="213">
        <v>755820.52390000003</v>
      </c>
      <c r="I70" s="213">
        <v>749919.01780000003</v>
      </c>
      <c r="J70" s="124">
        <f t="shared" si="4"/>
        <v>10059.4189406</v>
      </c>
      <c r="K70" s="124">
        <f t="shared" si="5"/>
        <v>755.82052390000001</v>
      </c>
      <c r="L70" s="124">
        <f t="shared" si="6"/>
        <v>749.91901780000001</v>
      </c>
      <c r="M70" s="213">
        <f t="shared" si="7"/>
        <v>5.901506100000006</v>
      </c>
    </row>
    <row r="71" spans="1:13" x14ac:dyDescent="0.25">
      <c r="A71" s="1" t="s">
        <v>808</v>
      </c>
      <c r="B71" s="1" t="s">
        <v>336</v>
      </c>
      <c r="C71" s="213">
        <v>7863599.3823999995</v>
      </c>
      <c r="D71" s="213">
        <v>1689951.8422999999</v>
      </c>
      <c r="E71" s="214">
        <v>0.97767755789302524</v>
      </c>
      <c r="F71" s="213">
        <v>0</v>
      </c>
      <c r="G71" s="213">
        <v>0</v>
      </c>
      <c r="H71" s="213">
        <v>437507.31280000001</v>
      </c>
      <c r="I71" s="213">
        <v>421184.74589999998</v>
      </c>
      <c r="J71" s="124">
        <f t="shared" si="4"/>
        <v>7863.5993823999997</v>
      </c>
      <c r="K71" s="124">
        <f t="shared" si="5"/>
        <v>437.50731280000002</v>
      </c>
      <c r="L71" s="124">
        <f t="shared" si="6"/>
        <v>421.1847459</v>
      </c>
      <c r="M71" s="213">
        <f t="shared" si="7"/>
        <v>16.322566900000027</v>
      </c>
    </row>
    <row r="72" spans="1:13" x14ac:dyDescent="0.25">
      <c r="A72" s="1" t="s">
        <v>809</v>
      </c>
      <c r="B72" s="1" t="s">
        <v>336</v>
      </c>
      <c r="C72" s="213">
        <v>7791843.3974000001</v>
      </c>
      <c r="D72" s="213">
        <v>3077373.9832000001</v>
      </c>
      <c r="E72" s="214">
        <v>0.93008809099011791</v>
      </c>
      <c r="F72" s="213">
        <v>0</v>
      </c>
      <c r="G72" s="213">
        <v>0</v>
      </c>
      <c r="H72" s="213">
        <v>411505.0147</v>
      </c>
      <c r="I72" s="213">
        <v>407481.8505</v>
      </c>
      <c r="J72" s="124">
        <f t="shared" si="4"/>
        <v>7791.8433974</v>
      </c>
      <c r="K72" s="124">
        <f t="shared" si="5"/>
        <v>411.5050147</v>
      </c>
      <c r="L72" s="124">
        <f t="shared" si="6"/>
        <v>407.48185050000001</v>
      </c>
      <c r="M72" s="213">
        <f t="shared" si="7"/>
        <v>4.0231641999999965</v>
      </c>
    </row>
    <row r="73" spans="1:13" x14ac:dyDescent="0.25">
      <c r="A73" s="1" t="s">
        <v>810</v>
      </c>
      <c r="B73" s="1" t="s">
        <v>336</v>
      </c>
      <c r="C73" s="213">
        <v>12713564.789999999</v>
      </c>
      <c r="D73" s="213">
        <v>5296370.2752999999</v>
      </c>
      <c r="E73" s="214">
        <v>0.92310136858997227</v>
      </c>
      <c r="F73" s="213">
        <v>0</v>
      </c>
      <c r="G73" s="213">
        <v>0</v>
      </c>
      <c r="H73" s="213">
        <v>604751.64780000004</v>
      </c>
      <c r="I73" s="213">
        <v>604404.08689999999</v>
      </c>
      <c r="J73" s="124">
        <f t="shared" si="4"/>
        <v>12713.564789999999</v>
      </c>
      <c r="K73" s="124">
        <f t="shared" si="5"/>
        <v>604.7516478</v>
      </c>
      <c r="L73" s="124">
        <f t="shared" si="6"/>
        <v>604.40408690000004</v>
      </c>
      <c r="M73" s="213">
        <f t="shared" si="7"/>
        <v>0.3475608999999622</v>
      </c>
    </row>
    <row r="74" spans="1:13" x14ac:dyDescent="0.25">
      <c r="A74" s="1" t="s">
        <v>811</v>
      </c>
      <c r="B74" s="1" t="s">
        <v>336</v>
      </c>
      <c r="C74" s="213">
        <v>4505823.2111</v>
      </c>
      <c r="D74" s="213">
        <v>1578239.3818000001</v>
      </c>
      <c r="E74" s="214">
        <v>0.94377987585206691</v>
      </c>
      <c r="F74" s="213">
        <v>0</v>
      </c>
      <c r="G74" s="213">
        <v>0</v>
      </c>
      <c r="H74" s="213">
        <v>266637.85930000001</v>
      </c>
      <c r="I74" s="213">
        <v>265052.87420000002</v>
      </c>
      <c r="J74" s="124">
        <f t="shared" si="4"/>
        <v>4505.8232110999998</v>
      </c>
      <c r="K74" s="124">
        <f t="shared" si="5"/>
        <v>266.6378593</v>
      </c>
      <c r="L74" s="124">
        <f t="shared" si="6"/>
        <v>265.05287420000002</v>
      </c>
      <c r="M74" s="213">
        <f t="shared" si="7"/>
        <v>1.584985099999983</v>
      </c>
    </row>
    <row r="75" spans="1:13" x14ac:dyDescent="0.25">
      <c r="A75" s="1" t="s">
        <v>812</v>
      </c>
      <c r="B75" s="1" t="s">
        <v>336</v>
      </c>
      <c r="C75" s="213">
        <v>10865237.243000001</v>
      </c>
      <c r="D75" s="213">
        <v>2408633.2201</v>
      </c>
      <c r="E75" s="214">
        <v>0.97629851118622535</v>
      </c>
      <c r="F75" s="213">
        <v>0</v>
      </c>
      <c r="G75" s="213">
        <v>0</v>
      </c>
      <c r="H75" s="213">
        <v>601869.12490000005</v>
      </c>
      <c r="I75" s="213">
        <v>599362.3898</v>
      </c>
      <c r="J75" s="124">
        <f t="shared" si="4"/>
        <v>10865.237243000001</v>
      </c>
      <c r="K75" s="124">
        <f t="shared" si="5"/>
        <v>601.86912490000009</v>
      </c>
      <c r="L75" s="124">
        <f t="shared" si="6"/>
        <v>599.36238979999996</v>
      </c>
      <c r="M75" s="213">
        <f t="shared" si="7"/>
        <v>2.5067351000001281</v>
      </c>
    </row>
    <row r="76" spans="1:13" x14ac:dyDescent="0.25">
      <c r="A76" s="1" t="s">
        <v>813</v>
      </c>
      <c r="B76" s="1" t="s">
        <v>336</v>
      </c>
      <c r="C76" s="213">
        <v>16941030.6516</v>
      </c>
      <c r="D76" s="213">
        <v>5981098.4519999996</v>
      </c>
      <c r="E76" s="214">
        <v>0.94295694266692831</v>
      </c>
      <c r="F76" s="213">
        <v>915604.89650000003</v>
      </c>
      <c r="G76" s="213">
        <v>0</v>
      </c>
      <c r="H76" s="213">
        <v>827553.26509999996</v>
      </c>
      <c r="I76" s="213">
        <v>808175.45079999999</v>
      </c>
      <c r="J76" s="124">
        <f t="shared" si="4"/>
        <v>16941.030651599998</v>
      </c>
      <c r="K76" s="124">
        <f t="shared" si="5"/>
        <v>827.55326509999998</v>
      </c>
      <c r="L76" s="124">
        <f t="shared" si="6"/>
        <v>808.17545080000002</v>
      </c>
      <c r="M76" s="213">
        <f t="shared" si="7"/>
        <v>19.377814299999955</v>
      </c>
    </row>
    <row r="77" spans="1:13" x14ac:dyDescent="0.25">
      <c r="A77" s="1" t="s">
        <v>814</v>
      </c>
      <c r="B77" s="1" t="s">
        <v>336</v>
      </c>
      <c r="C77" s="213">
        <v>6976909.5334000001</v>
      </c>
      <c r="D77" s="213">
        <v>2418703.4123999998</v>
      </c>
      <c r="E77" s="214">
        <v>0.94483446170010321</v>
      </c>
      <c r="F77" s="213">
        <v>0</v>
      </c>
      <c r="G77" s="213">
        <v>0</v>
      </c>
      <c r="H77" s="213">
        <v>317419.29950000002</v>
      </c>
      <c r="I77" s="213">
        <v>316848.6188</v>
      </c>
      <c r="J77" s="124">
        <f t="shared" si="4"/>
        <v>6976.9095334000003</v>
      </c>
      <c r="K77" s="124">
        <f t="shared" si="5"/>
        <v>317.41929950000002</v>
      </c>
      <c r="L77" s="124">
        <f t="shared" si="6"/>
        <v>316.8486188</v>
      </c>
      <c r="M77" s="213">
        <f t="shared" si="7"/>
        <v>0.57068070000002535</v>
      </c>
    </row>
    <row r="78" spans="1:13" x14ac:dyDescent="0.25">
      <c r="A78" s="1" t="s">
        <v>815</v>
      </c>
      <c r="B78" s="1" t="s">
        <v>336</v>
      </c>
      <c r="C78" s="213">
        <v>9244997.5198999997</v>
      </c>
      <c r="D78" s="213">
        <v>3254890.7182</v>
      </c>
      <c r="E78" s="214">
        <v>0.94324780702931399</v>
      </c>
      <c r="F78" s="213">
        <v>811015.63540000003</v>
      </c>
      <c r="G78" s="213">
        <v>0</v>
      </c>
      <c r="H78" s="213">
        <v>599144.69140000001</v>
      </c>
      <c r="I78" s="213">
        <v>589482.95059999998</v>
      </c>
      <c r="J78" s="124">
        <f t="shared" si="4"/>
        <v>9244.9975199</v>
      </c>
      <c r="K78" s="124">
        <f t="shared" si="5"/>
        <v>599.14469140000006</v>
      </c>
      <c r="L78" s="124">
        <f t="shared" si="6"/>
        <v>589.48295059999998</v>
      </c>
      <c r="M78" s="213">
        <f t="shared" si="7"/>
        <v>9.6617408000000751</v>
      </c>
    </row>
    <row r="79" spans="1:13" x14ac:dyDescent="0.25">
      <c r="A79" s="1" t="s">
        <v>817</v>
      </c>
      <c r="B79" s="1" t="s">
        <v>336</v>
      </c>
      <c r="C79" s="213">
        <v>18122043.864599999</v>
      </c>
      <c r="D79" s="213">
        <v>5978367.4823000003</v>
      </c>
      <c r="E79" s="214">
        <v>0.94965838413667458</v>
      </c>
      <c r="F79" s="213">
        <v>0</v>
      </c>
      <c r="G79" s="213">
        <v>0</v>
      </c>
      <c r="H79" s="213">
        <v>1027061.9194</v>
      </c>
      <c r="I79" s="213">
        <v>1023442.5222</v>
      </c>
      <c r="J79" s="124">
        <f t="shared" si="4"/>
        <v>18122.0438646</v>
      </c>
      <c r="K79" s="124">
        <f t="shared" si="5"/>
        <v>1027.0619194000001</v>
      </c>
      <c r="L79" s="124">
        <f t="shared" si="6"/>
        <v>1023.4425222</v>
      </c>
      <c r="M79" s="213">
        <f t="shared" si="7"/>
        <v>3.619397200000094</v>
      </c>
    </row>
    <row r="80" spans="1:13" x14ac:dyDescent="0.25">
      <c r="A80" s="1" t="s">
        <v>818</v>
      </c>
      <c r="B80" s="1" t="s">
        <v>336</v>
      </c>
      <c r="C80" s="213">
        <v>1551470.5515999999</v>
      </c>
      <c r="D80" s="213">
        <v>-407004.43819999998</v>
      </c>
      <c r="E80" s="214">
        <v>0.9672702381435303</v>
      </c>
      <c r="F80" s="213">
        <v>2524600.5199000002</v>
      </c>
      <c r="G80" s="213">
        <v>0</v>
      </c>
      <c r="H80" s="213">
        <v>658447.57620000001</v>
      </c>
      <c r="I80" s="213">
        <v>634050.92319999996</v>
      </c>
      <c r="J80" s="124">
        <f t="shared" si="4"/>
        <v>1551.4705515999999</v>
      </c>
      <c r="K80" s="124">
        <f t="shared" si="5"/>
        <v>658.44757619999996</v>
      </c>
      <c r="L80" s="124">
        <f t="shared" si="6"/>
        <v>634.05092319999994</v>
      </c>
      <c r="M80" s="213">
        <f t="shared" si="7"/>
        <v>24.396653000000015</v>
      </c>
    </row>
    <row r="81" spans="1:13" x14ac:dyDescent="0.25">
      <c r="A81" s="1" t="s">
        <v>819</v>
      </c>
      <c r="B81" s="1" t="s">
        <v>336</v>
      </c>
      <c r="C81" s="213">
        <v>12709730.812899999</v>
      </c>
      <c r="D81" s="213">
        <v>5288609.0367999999</v>
      </c>
      <c r="E81" s="214">
        <v>0.9232602404920609</v>
      </c>
      <c r="F81" s="213">
        <v>0</v>
      </c>
      <c r="G81" s="213">
        <v>0</v>
      </c>
      <c r="H81" s="213">
        <v>600595.68629999994</v>
      </c>
      <c r="I81" s="213">
        <v>587755.89619999996</v>
      </c>
      <c r="J81" s="124">
        <f t="shared" si="4"/>
        <v>12709.730812899999</v>
      </c>
      <c r="K81" s="124">
        <f t="shared" si="5"/>
        <v>600.5956862999999</v>
      </c>
      <c r="L81" s="124">
        <f t="shared" si="6"/>
        <v>587.75589619999994</v>
      </c>
      <c r="M81" s="213">
        <f t="shared" si="7"/>
        <v>12.839790099999959</v>
      </c>
    </row>
    <row r="82" spans="1:13" x14ac:dyDescent="0.25">
      <c r="A82" s="1" t="s">
        <v>820</v>
      </c>
      <c r="B82" s="1" t="s">
        <v>336</v>
      </c>
      <c r="C82" s="213">
        <v>15286727.3539</v>
      </c>
      <c r="D82" s="213">
        <v>5378010.5790999997</v>
      </c>
      <c r="E82" s="214">
        <v>0.94332500157796784</v>
      </c>
      <c r="F82" s="213">
        <v>0</v>
      </c>
      <c r="G82" s="213">
        <v>0</v>
      </c>
      <c r="H82" s="213">
        <v>940995.56259999995</v>
      </c>
      <c r="I82" s="213">
        <v>935376.81110000005</v>
      </c>
      <c r="J82" s="124">
        <f t="shared" si="4"/>
        <v>15286.7273539</v>
      </c>
      <c r="K82" s="124">
        <f t="shared" si="5"/>
        <v>940.99556259999997</v>
      </c>
      <c r="L82" s="124">
        <f t="shared" si="6"/>
        <v>935.37681110000005</v>
      </c>
      <c r="M82" s="213">
        <f t="shared" si="7"/>
        <v>5.6187514999999166</v>
      </c>
    </row>
    <row r="83" spans="1:13" x14ac:dyDescent="0.25">
      <c r="A83" s="1" t="s">
        <v>800</v>
      </c>
      <c r="B83" s="1" t="s">
        <v>336</v>
      </c>
      <c r="C83" s="213">
        <v>5092667.4609000003</v>
      </c>
      <c r="D83" s="213">
        <v>1676421.0086999999</v>
      </c>
      <c r="E83" s="214">
        <v>0.94985925257806103</v>
      </c>
      <c r="F83" s="213">
        <v>1586976.6041000001</v>
      </c>
      <c r="G83" s="213">
        <v>0</v>
      </c>
      <c r="H83" s="213">
        <v>608119.43160000001</v>
      </c>
      <c r="I83" s="213">
        <v>605089.52579999994</v>
      </c>
      <c r="J83" s="124">
        <f t="shared" si="4"/>
        <v>5092.6674609000002</v>
      </c>
      <c r="K83" s="124">
        <f t="shared" si="5"/>
        <v>608.11943159999998</v>
      </c>
      <c r="L83" s="124">
        <f t="shared" si="6"/>
        <v>605.08952579999993</v>
      </c>
      <c r="M83" s="213">
        <f t="shared" si="7"/>
        <v>3.0299058000000514</v>
      </c>
    </row>
    <row r="84" spans="1:13" x14ac:dyDescent="0.25">
      <c r="A84" s="1" t="s">
        <v>816</v>
      </c>
      <c r="B84" s="1" t="s">
        <v>336</v>
      </c>
      <c r="C84" s="213">
        <v>15288773.5518</v>
      </c>
      <c r="D84" s="213">
        <v>5380381.1736000003</v>
      </c>
      <c r="E84" s="214">
        <v>0.94329311283284256</v>
      </c>
      <c r="F84" s="213">
        <v>0</v>
      </c>
      <c r="G84" s="213">
        <v>0</v>
      </c>
      <c r="H84" s="213">
        <v>943565.81160000002</v>
      </c>
      <c r="I84" s="213">
        <v>941402.04350000003</v>
      </c>
      <c r="J84" s="124">
        <f t="shared" si="4"/>
        <v>15288.773551799999</v>
      </c>
      <c r="K84" s="124">
        <f t="shared" si="5"/>
        <v>943.56581159999996</v>
      </c>
      <c r="L84" s="124">
        <f t="shared" si="6"/>
        <v>941.40204349999999</v>
      </c>
      <c r="M84" s="213">
        <f t="shared" si="7"/>
        <v>2.1637680999999702</v>
      </c>
    </row>
    <row r="85" spans="1:13" x14ac:dyDescent="0.25">
      <c r="A85" s="1" t="s">
        <v>363</v>
      </c>
      <c r="B85" s="1" t="s">
        <v>764</v>
      </c>
      <c r="C85" s="213">
        <v>2204889.3002999998</v>
      </c>
      <c r="D85" s="213">
        <v>852298.73069999996</v>
      </c>
      <c r="E85" s="214">
        <v>0.93273985917921809</v>
      </c>
      <c r="F85" s="213">
        <v>0</v>
      </c>
      <c r="G85" s="213">
        <v>0</v>
      </c>
      <c r="H85" s="213">
        <v>137704.0563</v>
      </c>
      <c r="I85" s="213">
        <v>131244.8505</v>
      </c>
      <c r="J85" s="124">
        <f t="shared" si="4"/>
        <v>2204.8893002999998</v>
      </c>
      <c r="K85" s="124">
        <f t="shared" si="5"/>
        <v>137.70405629999999</v>
      </c>
      <c r="L85" s="124">
        <f t="shared" si="6"/>
        <v>131.24485050000001</v>
      </c>
      <c r="M85" s="213">
        <f t="shared" si="7"/>
        <v>6.4592057999999781</v>
      </c>
    </row>
    <row r="86" spans="1:13" x14ac:dyDescent="0.25">
      <c r="A86" s="1" t="s">
        <v>693</v>
      </c>
      <c r="B86" s="1" t="s">
        <v>336</v>
      </c>
      <c r="C86" s="213">
        <v>5211119.4721999997</v>
      </c>
      <c r="D86" s="213">
        <v>1695395.5308000001</v>
      </c>
      <c r="E86" s="214">
        <v>0.95093845096646235</v>
      </c>
      <c r="F86" s="213">
        <v>0</v>
      </c>
      <c r="G86" s="213">
        <v>0</v>
      </c>
      <c r="H86" s="213">
        <v>236957.53690000001</v>
      </c>
      <c r="I86" s="213">
        <v>224710.25020000001</v>
      </c>
      <c r="J86" s="124">
        <f t="shared" si="4"/>
        <v>5211.1194722</v>
      </c>
      <c r="K86" s="124">
        <f t="shared" si="5"/>
        <v>236.95753690000001</v>
      </c>
      <c r="L86" s="124">
        <f t="shared" si="6"/>
        <v>224.71025020000002</v>
      </c>
      <c r="M86" s="213">
        <f t="shared" si="7"/>
        <v>12.247286699999989</v>
      </c>
    </row>
    <row r="87" spans="1:13" x14ac:dyDescent="0.25">
      <c r="A87" s="1" t="s">
        <v>744</v>
      </c>
      <c r="B87" s="1" t="s">
        <v>336</v>
      </c>
      <c r="C87" s="213">
        <v>14821168.859200001</v>
      </c>
      <c r="D87" s="213">
        <v>5643654.4013</v>
      </c>
      <c r="E87" s="214">
        <v>0.93454027437656229</v>
      </c>
      <c r="F87" s="213">
        <v>0</v>
      </c>
      <c r="G87" s="213">
        <v>0</v>
      </c>
      <c r="H87" s="213">
        <v>513850.24280000001</v>
      </c>
      <c r="I87" s="213">
        <v>509475.23220000003</v>
      </c>
      <c r="J87" s="124">
        <f t="shared" si="4"/>
        <v>14821.168859200001</v>
      </c>
      <c r="K87" s="124">
        <f t="shared" si="5"/>
        <v>513.85024280000005</v>
      </c>
      <c r="L87" s="124">
        <f t="shared" si="6"/>
        <v>509.47523220000005</v>
      </c>
      <c r="M87" s="213">
        <f t="shared" si="7"/>
        <v>4.375010599999996</v>
      </c>
    </row>
    <row r="88" spans="1:13" x14ac:dyDescent="0.25">
      <c r="A88" s="1" t="s">
        <v>823</v>
      </c>
      <c r="B88" s="1" t="s">
        <v>336</v>
      </c>
      <c r="C88" s="213">
        <v>4753285.1357000005</v>
      </c>
      <c r="D88" s="213">
        <v>1198464.5019</v>
      </c>
      <c r="E88" s="214">
        <v>0.96965367928839918</v>
      </c>
      <c r="F88" s="213">
        <v>0</v>
      </c>
      <c r="G88" s="213">
        <v>0</v>
      </c>
      <c r="H88" s="213">
        <v>411633.5269</v>
      </c>
      <c r="I88" s="213">
        <v>405220.88419999997</v>
      </c>
      <c r="J88" s="124">
        <f t="shared" si="4"/>
        <v>4753.2851357000009</v>
      </c>
      <c r="K88" s="124">
        <f t="shared" si="5"/>
        <v>411.63352689999999</v>
      </c>
      <c r="L88" s="124">
        <f t="shared" si="6"/>
        <v>405.22088419999994</v>
      </c>
      <c r="M88" s="213">
        <f t="shared" si="7"/>
        <v>6.412642700000049</v>
      </c>
    </row>
    <row r="89" spans="1:13" x14ac:dyDescent="0.25">
      <c r="A89" s="1" t="s">
        <v>821</v>
      </c>
      <c r="B89" s="1" t="s">
        <v>336</v>
      </c>
      <c r="C89" s="213">
        <v>2773396.5400999999</v>
      </c>
      <c r="D89" s="213">
        <v>372200.16480000003</v>
      </c>
      <c r="E89" s="214">
        <v>0.99111452549940604</v>
      </c>
      <c r="F89" s="213">
        <v>2524600.5199000002</v>
      </c>
      <c r="G89" s="213">
        <v>0</v>
      </c>
      <c r="H89" s="213">
        <v>441405.93469999998</v>
      </c>
      <c r="I89" s="213">
        <v>438377.73109999998</v>
      </c>
      <c r="J89" s="124">
        <f t="shared" si="4"/>
        <v>2773.3965401</v>
      </c>
      <c r="K89" s="124">
        <f t="shared" si="5"/>
        <v>441.40593469999999</v>
      </c>
      <c r="L89" s="124">
        <f t="shared" si="6"/>
        <v>438.37773109999995</v>
      </c>
      <c r="M89" s="213">
        <f t="shared" si="7"/>
        <v>3.0282036000000403</v>
      </c>
    </row>
    <row r="90" spans="1:13" x14ac:dyDescent="0.25">
      <c r="A90" s="1" t="s">
        <v>822</v>
      </c>
      <c r="B90" s="1" t="s">
        <v>336</v>
      </c>
      <c r="C90" s="213">
        <v>5761904.5782000003</v>
      </c>
      <c r="D90" s="213">
        <v>1564129.8193999999</v>
      </c>
      <c r="E90" s="214">
        <v>0.96507347079850803</v>
      </c>
      <c r="F90" s="213">
        <v>0</v>
      </c>
      <c r="G90" s="213">
        <v>0</v>
      </c>
      <c r="H90" s="213">
        <v>264222.5319</v>
      </c>
      <c r="I90" s="213">
        <v>261893.23449999999</v>
      </c>
      <c r="J90" s="124">
        <f t="shared" si="4"/>
        <v>5761.9045782000003</v>
      </c>
      <c r="K90" s="124">
        <f t="shared" si="5"/>
        <v>264.22253189999998</v>
      </c>
      <c r="L90" s="124">
        <f t="shared" si="6"/>
        <v>261.89323450000001</v>
      </c>
      <c r="M90" s="213">
        <f t="shared" si="7"/>
        <v>2.3292973999999731</v>
      </c>
    </row>
    <row r="91" spans="1:13" x14ac:dyDescent="0.25">
      <c r="A91" s="1" t="s">
        <v>824</v>
      </c>
      <c r="B91" s="1" t="s">
        <v>336</v>
      </c>
      <c r="C91" s="213">
        <v>9943978.0613000002</v>
      </c>
      <c r="D91" s="213">
        <v>3177271.3536999999</v>
      </c>
      <c r="E91" s="214">
        <v>0.9525575708432944</v>
      </c>
      <c r="F91" s="213">
        <v>0</v>
      </c>
      <c r="G91" s="213">
        <v>0</v>
      </c>
      <c r="H91" s="213">
        <v>691135.18539999996</v>
      </c>
      <c r="I91" s="213">
        <v>689087.90370000002</v>
      </c>
      <c r="J91" s="124">
        <f t="shared" si="4"/>
        <v>9943.9780613000003</v>
      </c>
      <c r="K91" s="124">
        <f t="shared" si="5"/>
        <v>691.13518539999995</v>
      </c>
      <c r="L91" s="124">
        <f t="shared" si="6"/>
        <v>689.08790369999997</v>
      </c>
      <c r="M91" s="213">
        <f t="shared" si="7"/>
        <v>2.047281699999985</v>
      </c>
    </row>
    <row r="92" spans="1:13" x14ac:dyDescent="0.25">
      <c r="A92" t="s">
        <v>837</v>
      </c>
      <c r="B92" t="s">
        <v>336</v>
      </c>
      <c r="C92">
        <v>18476811.022100002</v>
      </c>
      <c r="D92">
        <v>8188941.8954999996</v>
      </c>
      <c r="E92">
        <v>0.91423294574469716</v>
      </c>
      <c r="F92">
        <v>589376.25490000006</v>
      </c>
      <c r="G92">
        <v>0</v>
      </c>
      <c r="H92">
        <v>1056613.4791999999</v>
      </c>
      <c r="I92">
        <v>1033880.4478</v>
      </c>
      <c r="J92" s="124">
        <f t="shared" ref="J92" si="8">C92/1000</f>
        <v>18476.811022100002</v>
      </c>
      <c r="K92" s="124">
        <f t="shared" ref="K92" si="9">H92/1000</f>
        <v>1056.6134792</v>
      </c>
      <c r="L92" s="124">
        <f t="shared" ref="L92" si="10">I92/1000</f>
        <v>1033.8804478</v>
      </c>
      <c r="M92" s="213">
        <f t="shared" ref="M92" si="11">K92-L92</f>
        <v>22.733031400000073</v>
      </c>
    </row>
  </sheetData>
  <conditionalFormatting sqref="A92:A1048576">
    <cfRule type="duplicateValues" dxfId="36" priority="84"/>
  </conditionalFormatting>
  <conditionalFormatting sqref="A82:A83 A1 A85:A91 A60:A77">
    <cfRule type="duplicateValues" dxfId="35" priority="11"/>
  </conditionalFormatting>
  <conditionalFormatting sqref="A82:A83 A85:A91 A60:A77">
    <cfRule type="duplicateValues" dxfId="34" priority="10"/>
  </conditionalFormatting>
  <conditionalFormatting sqref="A82:A83 A85:A91 A1:A77">
    <cfRule type="duplicateValues" dxfId="33" priority="9"/>
  </conditionalFormatting>
  <conditionalFormatting sqref="A78:A81">
    <cfRule type="duplicateValues" dxfId="32" priority="5"/>
  </conditionalFormatting>
  <conditionalFormatting sqref="A78:A81">
    <cfRule type="duplicateValues" dxfId="31" priority="6"/>
    <cfRule type="duplicateValues" dxfId="30" priority="7"/>
    <cfRule type="duplicateValues" dxfId="29" priority="8"/>
  </conditionalFormatting>
  <conditionalFormatting sqref="A84">
    <cfRule type="duplicateValues" dxfId="28" priority="1"/>
  </conditionalFormatting>
  <conditionalFormatting sqref="A84">
    <cfRule type="duplicateValues" dxfId="27" priority="2"/>
    <cfRule type="duplicateValues" dxfId="26" priority="3"/>
    <cfRule type="duplicateValues" dxfId="25" priority="4"/>
  </conditionalFormatting>
  <conditionalFormatting sqref="A63:A86 A2:A61">
    <cfRule type="duplicateValues" dxfId="24" priority="16"/>
  </conditionalFormatting>
  <conditionalFormatting sqref="A2:A59">
    <cfRule type="duplicateValues" dxfId="23" priority="270"/>
  </conditionalFormatting>
  <conditionalFormatting sqref="A2:A59">
    <cfRule type="duplicateValues" dxfId="22" priority="271"/>
    <cfRule type="duplicateValues" dxfId="21" priority="272"/>
    <cfRule type="duplicateValues" dxfId="20" priority="273"/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Y31"/>
  <sheetViews>
    <sheetView topLeftCell="A10" zoomScaleNormal="100" workbookViewId="0">
      <selection activeCell="E47" sqref="E47"/>
    </sheetView>
  </sheetViews>
  <sheetFormatPr defaultRowHeight="15" x14ac:dyDescent="0.25"/>
  <cols>
    <col min="1" max="1" width="11.5703125" bestFit="1" customWidth="1"/>
    <col min="2" max="2" width="11.85546875" bestFit="1" customWidth="1"/>
    <col min="5" max="5" width="14.5703125" customWidth="1"/>
    <col min="6" max="6" width="12.85546875" bestFit="1" customWidth="1"/>
    <col min="7" max="7" width="10.28515625" bestFit="1" customWidth="1"/>
    <col min="8" max="8" width="14" customWidth="1"/>
    <col min="9" max="9" width="11.85546875" bestFit="1" customWidth="1"/>
    <col min="10" max="11" width="11.85546875" customWidth="1"/>
    <col min="12" max="12" width="10.42578125" customWidth="1"/>
    <col min="13" max="13" width="12.28515625" bestFit="1" customWidth="1"/>
    <col min="14" max="14" width="10.42578125" customWidth="1"/>
    <col min="15" max="15" width="9.7109375" customWidth="1"/>
    <col min="16" max="16" width="10.140625" customWidth="1"/>
    <col min="21" max="22" width="11.85546875" customWidth="1"/>
    <col min="23" max="23" width="10.42578125" customWidth="1"/>
    <col min="24" max="24" width="15.140625" bestFit="1" customWidth="1"/>
    <col min="25" max="25" width="18.5703125" customWidth="1"/>
    <col min="26" max="26" width="13.28515625" customWidth="1"/>
  </cols>
  <sheetData>
    <row r="1" spans="1:25" ht="30" x14ac:dyDescent="0.25">
      <c r="A1" s="89" t="s">
        <v>527</v>
      </c>
      <c r="B1" s="89" t="s">
        <v>321</v>
      </c>
      <c r="C1" s="90" t="s">
        <v>339</v>
      </c>
      <c r="D1" s="90" t="s">
        <v>340</v>
      </c>
      <c r="E1" s="90" t="s">
        <v>341</v>
      </c>
      <c r="F1" s="90" t="s">
        <v>322</v>
      </c>
      <c r="G1" s="90" t="s">
        <v>323</v>
      </c>
      <c r="H1" s="91" t="s">
        <v>324</v>
      </c>
      <c r="I1" s="91" t="s">
        <v>325</v>
      </c>
      <c r="J1" s="91" t="s">
        <v>326</v>
      </c>
      <c r="K1" s="91" t="s">
        <v>327</v>
      </c>
      <c r="L1" s="91" t="s">
        <v>328</v>
      </c>
      <c r="M1" s="91" t="s">
        <v>528</v>
      </c>
      <c r="N1" s="91" t="s">
        <v>529</v>
      </c>
      <c r="O1" s="90" t="s">
        <v>332</v>
      </c>
      <c r="P1" s="90" t="s">
        <v>332</v>
      </c>
      <c r="Q1" s="90" t="s">
        <v>333</v>
      </c>
      <c r="R1" s="90" t="s">
        <v>334</v>
      </c>
      <c r="S1" s="102"/>
      <c r="T1" s="21" t="s">
        <v>336</v>
      </c>
      <c r="U1" s="96" t="s">
        <v>337</v>
      </c>
      <c r="V1" s="96" t="s">
        <v>338</v>
      </c>
      <c r="W1" s="97" t="s">
        <v>530</v>
      </c>
      <c r="X1" s="21" t="s">
        <v>531</v>
      </c>
    </row>
    <row r="2" spans="1:25" x14ac:dyDescent="0.25">
      <c r="A2" s="92">
        <v>1</v>
      </c>
      <c r="B2" s="92" t="s">
        <v>363</v>
      </c>
      <c r="C2" s="101">
        <v>9</v>
      </c>
      <c r="D2" s="101">
        <v>129</v>
      </c>
      <c r="E2" s="101">
        <v>26</v>
      </c>
      <c r="F2" s="92">
        <v>44055</v>
      </c>
      <c r="G2" s="92">
        <v>44169</v>
      </c>
      <c r="H2" s="94">
        <v>2201252.5</v>
      </c>
      <c r="I2" s="94">
        <v>138093.29999999999</v>
      </c>
      <c r="J2" s="94">
        <v>131574</v>
      </c>
      <c r="K2" s="88">
        <f>I2-J2</f>
        <v>6519.2999999999884</v>
      </c>
      <c r="L2" s="93">
        <f>K2/I2</f>
        <v>4.72093866972546E-2</v>
      </c>
      <c r="M2" s="94">
        <f>ROUND(N2*12*50,0)</f>
        <v>3912</v>
      </c>
      <c r="N2" s="95">
        <f>K2/1000</f>
        <v>6.5192999999999888</v>
      </c>
      <c r="O2" s="112">
        <v>8.0376899999999996</v>
      </c>
      <c r="P2" s="112">
        <v>8.1006</v>
      </c>
      <c r="Q2" s="113">
        <f>(P2/O2 -1)*100</f>
        <v>0.78268756321779875</v>
      </c>
      <c r="R2" s="1">
        <v>2019</v>
      </c>
      <c r="S2" s="1" t="s">
        <v>85</v>
      </c>
      <c r="T2" s="1" t="s">
        <v>364</v>
      </c>
      <c r="U2" s="1" t="s">
        <v>353</v>
      </c>
      <c r="V2" s="1">
        <v>1952707</v>
      </c>
      <c r="W2" s="100" t="s">
        <v>532</v>
      </c>
      <c r="X2" s="100" t="s">
        <v>532</v>
      </c>
      <c r="Y2">
        <v>1</v>
      </c>
    </row>
    <row r="3" spans="1:25" x14ac:dyDescent="0.25">
      <c r="A3" s="92">
        <v>2</v>
      </c>
      <c r="B3" s="2" t="s">
        <v>421</v>
      </c>
      <c r="C3" s="101">
        <v>58</v>
      </c>
      <c r="D3" s="101">
        <v>439</v>
      </c>
      <c r="E3" s="101">
        <v>158</v>
      </c>
      <c r="F3" s="2">
        <v>319112</v>
      </c>
      <c r="G3" s="2">
        <v>139164</v>
      </c>
      <c r="H3" s="94">
        <v>14842320.1</v>
      </c>
      <c r="I3" s="94">
        <v>554548.19999999995</v>
      </c>
      <c r="J3" s="94">
        <v>550353.4</v>
      </c>
      <c r="K3" s="88">
        <f>I3-J3</f>
        <v>4194.7999999999302</v>
      </c>
      <c r="L3" s="93">
        <f>K3/I3</f>
        <v>7.5643559928603686E-3</v>
      </c>
      <c r="M3" s="94">
        <f>ROUND(N3*12*50,0)</f>
        <v>2517</v>
      </c>
      <c r="N3" s="95">
        <f>K3/1000</f>
        <v>4.1947999999999306</v>
      </c>
      <c r="O3" s="112">
        <v>8.1659399999999991</v>
      </c>
      <c r="P3" s="112">
        <v>8.2174500000000013</v>
      </c>
      <c r="Q3" s="113">
        <f>(P3/O3 -1)*100</f>
        <v>0.63079082138739473</v>
      </c>
      <c r="R3" s="1">
        <v>2020</v>
      </c>
      <c r="S3" s="1" t="s">
        <v>85</v>
      </c>
      <c r="T3" s="1" t="s">
        <v>407</v>
      </c>
      <c r="U3" s="1" t="s">
        <v>353</v>
      </c>
      <c r="V3" s="1">
        <v>2002753</v>
      </c>
      <c r="W3" s="100">
        <v>43790</v>
      </c>
      <c r="X3" s="103">
        <v>44049</v>
      </c>
      <c r="Y3" s="1">
        <v>2</v>
      </c>
    </row>
    <row r="4" spans="1:25" x14ac:dyDescent="0.25">
      <c r="A4" s="92" t="s">
        <v>533</v>
      </c>
      <c r="B4" s="2" t="s">
        <v>534</v>
      </c>
      <c r="C4" s="101">
        <v>14</v>
      </c>
      <c r="D4" s="101">
        <v>124</v>
      </c>
      <c r="E4" s="92"/>
      <c r="F4" s="92">
        <v>130817</v>
      </c>
      <c r="G4" s="92">
        <v>48676</v>
      </c>
      <c r="H4" s="125">
        <v>2267022.5</v>
      </c>
      <c r="I4" s="125">
        <v>269080.09999999998</v>
      </c>
      <c r="J4" s="125">
        <v>264829.90000000002</v>
      </c>
      <c r="K4" s="126">
        <f>I4-J4</f>
        <v>4250.1999999999534</v>
      </c>
      <c r="L4" s="93">
        <f>K4/I4</f>
        <v>1.579529664215211E-2</v>
      </c>
      <c r="M4" s="94"/>
      <c r="N4" s="95">
        <f>K4/1000</f>
        <v>4.2501999999999533</v>
      </c>
      <c r="O4" s="112">
        <f>8291.71/1000</f>
        <v>8.2917099999999984</v>
      </c>
      <c r="P4" s="112">
        <f>8160.99/1000</f>
        <v>8.16099</v>
      </c>
      <c r="Q4" s="113">
        <f>(P4/O4 -1)*100</f>
        <v>-1.5765143739952081</v>
      </c>
      <c r="R4" s="1" t="s">
        <v>533</v>
      </c>
      <c r="S4" s="1"/>
      <c r="T4" s="1" t="s">
        <v>429</v>
      </c>
      <c r="U4" s="1" t="s">
        <v>535</v>
      </c>
      <c r="V4" s="1" t="s">
        <v>535</v>
      </c>
      <c r="W4" s="1" t="s">
        <v>535</v>
      </c>
      <c r="X4" s="1" t="s">
        <v>535</v>
      </c>
      <c r="Y4" s="1" t="s">
        <v>535</v>
      </c>
    </row>
    <row r="5" spans="1:25" x14ac:dyDescent="0.25">
      <c r="A5" s="92">
        <v>3</v>
      </c>
      <c r="B5" s="2" t="s">
        <v>447</v>
      </c>
      <c r="C5" s="101">
        <v>23</v>
      </c>
      <c r="D5" s="101">
        <v>318</v>
      </c>
      <c r="E5" s="101">
        <v>64</v>
      </c>
      <c r="F5" s="92">
        <v>302068</v>
      </c>
      <c r="G5" s="92">
        <v>257774</v>
      </c>
      <c r="H5" s="94">
        <v>5196536.0999999996</v>
      </c>
      <c r="I5" s="94">
        <v>236833</v>
      </c>
      <c r="J5" s="94">
        <v>224374.3</v>
      </c>
      <c r="K5" s="88">
        <f>I5-J5</f>
        <v>12458.700000000012</v>
      </c>
      <c r="L5" s="93">
        <f>K5/I5</f>
        <v>5.2605422386238457E-2</v>
      </c>
      <c r="M5" s="94">
        <f>ROUND(N5*12*50,0)</f>
        <v>7475</v>
      </c>
      <c r="N5" s="95">
        <f>K5/1000</f>
        <v>12.458700000000011</v>
      </c>
      <c r="O5" s="112">
        <v>7.9210000000000003</v>
      </c>
      <c r="P5" s="112">
        <v>8.1769999999999996</v>
      </c>
      <c r="Q5" s="113">
        <f>(P5/O5 -1)*100</f>
        <v>3.2319151622269837</v>
      </c>
      <c r="R5" s="1">
        <v>2020</v>
      </c>
      <c r="S5" s="1" t="s">
        <v>85</v>
      </c>
      <c r="T5" s="1" t="s">
        <v>448</v>
      </c>
      <c r="U5" s="1" t="s">
        <v>353</v>
      </c>
      <c r="V5" s="1">
        <v>2195237</v>
      </c>
      <c r="W5" s="100">
        <v>44111</v>
      </c>
      <c r="X5" s="103">
        <v>44145</v>
      </c>
      <c r="Y5" s="1">
        <v>2</v>
      </c>
    </row>
    <row r="6" spans="1:25" x14ac:dyDescent="0.25">
      <c r="M6" s="99">
        <f>SUM(K4:K5)</f>
        <v>16708.899999999965</v>
      </c>
      <c r="N6" s="98">
        <f>SUM(L4:L5)</f>
        <v>6.8400719028390566E-2</v>
      </c>
    </row>
    <row r="7" spans="1:25" x14ac:dyDescent="0.25">
      <c r="F7" s="108"/>
      <c r="G7" s="109"/>
      <c r="H7" s="124">
        <f t="shared" ref="H7:J10" si="0">H2/1000</f>
        <v>2201.2525000000001</v>
      </c>
      <c r="I7" s="123">
        <f t="shared" si="0"/>
        <v>138.0933</v>
      </c>
      <c r="J7" s="123">
        <f t="shared" si="0"/>
        <v>131.57400000000001</v>
      </c>
      <c r="K7" s="123">
        <f>I7-J7</f>
        <v>6.519299999999987</v>
      </c>
      <c r="L7" s="110">
        <f>N2/1000</f>
        <v>6.5192999999999892E-3</v>
      </c>
      <c r="M7" s="111">
        <f>M2/1000</f>
        <v>3.9119999999999999</v>
      </c>
      <c r="N7" s="98">
        <f>O2</f>
        <v>8.0376899999999996</v>
      </c>
    </row>
    <row r="8" spans="1:25" x14ac:dyDescent="0.25">
      <c r="F8" s="108"/>
      <c r="G8" s="109"/>
      <c r="H8" s="124">
        <f t="shared" si="0"/>
        <v>14842.320099999999</v>
      </c>
      <c r="I8" s="123">
        <f t="shared" si="0"/>
        <v>554.54819999999995</v>
      </c>
      <c r="J8" s="123">
        <f t="shared" si="0"/>
        <v>550.35340000000008</v>
      </c>
      <c r="K8" s="123">
        <f>I8-J8</f>
        <v>4.1947999999998729</v>
      </c>
      <c r="L8" s="110">
        <f>N3/1000</f>
        <v>4.1947999999999309E-3</v>
      </c>
      <c r="M8" s="111">
        <f>M3/1000</f>
        <v>2.5169999999999999</v>
      </c>
      <c r="N8" s="98">
        <f>O3</f>
        <v>8.1659399999999991</v>
      </c>
    </row>
    <row r="9" spans="1:25" x14ac:dyDescent="0.25">
      <c r="F9" s="108"/>
      <c r="G9" s="109"/>
      <c r="H9" s="124">
        <f t="shared" si="0"/>
        <v>2267.0225</v>
      </c>
      <c r="I9" s="123">
        <f t="shared" si="0"/>
        <v>269.08009999999996</v>
      </c>
      <c r="J9" s="123">
        <f t="shared" si="0"/>
        <v>264.82990000000001</v>
      </c>
      <c r="K9" s="123">
        <f>I9-J9</f>
        <v>4.2501999999999498</v>
      </c>
      <c r="L9" s="110">
        <f>N4/1000</f>
        <v>4.2501999999999531E-3</v>
      </c>
      <c r="M9" s="111">
        <f>M4/1000</f>
        <v>0</v>
      </c>
      <c r="N9" s="98">
        <f>O4</f>
        <v>8.2917099999999984</v>
      </c>
    </row>
    <row r="10" spans="1:25" x14ac:dyDescent="0.25">
      <c r="F10" s="108"/>
      <c r="G10" s="109"/>
      <c r="H10" s="124">
        <f t="shared" si="0"/>
        <v>5196.5360999999994</v>
      </c>
      <c r="I10" s="123">
        <f t="shared" si="0"/>
        <v>236.833</v>
      </c>
      <c r="J10" s="123">
        <f t="shared" si="0"/>
        <v>224.37429999999998</v>
      </c>
      <c r="K10" s="123">
        <f>I10-J10</f>
        <v>12.458700000000022</v>
      </c>
      <c r="L10" s="110">
        <f>N5/1000</f>
        <v>1.2458700000000012E-2</v>
      </c>
      <c r="M10" s="111">
        <f>M5/1000</f>
        <v>7.4749999999999996</v>
      </c>
      <c r="N10" s="98">
        <f>O5</f>
        <v>7.9210000000000003</v>
      </c>
    </row>
    <row r="11" spans="1:25" x14ac:dyDescent="0.25">
      <c r="M11" s="105"/>
      <c r="N11" s="98"/>
    </row>
    <row r="12" spans="1:25" ht="45" x14ac:dyDescent="0.25">
      <c r="A12" s="89" t="s">
        <v>527</v>
      </c>
      <c r="B12" s="90" t="s">
        <v>536</v>
      </c>
      <c r="C12" s="90" t="s">
        <v>339</v>
      </c>
      <c r="D12" s="90" t="s">
        <v>340</v>
      </c>
      <c r="E12" s="90" t="s">
        <v>537</v>
      </c>
      <c r="F12" s="90" t="s">
        <v>538</v>
      </c>
      <c r="G12" s="90" t="s">
        <v>539</v>
      </c>
      <c r="H12" s="90" t="s">
        <v>540</v>
      </c>
      <c r="I12" s="91" t="s">
        <v>541</v>
      </c>
      <c r="J12" s="102" t="s">
        <v>542</v>
      </c>
      <c r="L12" s="102"/>
      <c r="M12" s="102"/>
      <c r="N12" s="102"/>
      <c r="O12" s="102"/>
      <c r="P12" s="102"/>
      <c r="Q12" s="102"/>
      <c r="U12" s="90" t="s">
        <v>334</v>
      </c>
    </row>
    <row r="13" spans="1:25" x14ac:dyDescent="0.25">
      <c r="A13" s="92">
        <v>1</v>
      </c>
      <c r="B13" s="92" t="s">
        <v>363</v>
      </c>
      <c r="C13" s="92">
        <v>9</v>
      </c>
      <c r="D13" s="92">
        <v>129</v>
      </c>
      <c r="E13" s="104">
        <v>38323000000000</v>
      </c>
      <c r="F13" s="107">
        <v>18445</v>
      </c>
      <c r="G13" s="92">
        <v>6</v>
      </c>
      <c r="H13" s="106">
        <v>12434</v>
      </c>
      <c r="I13" s="107">
        <v>1029</v>
      </c>
      <c r="J13" s="92"/>
    </row>
    <row r="14" spans="1:25" x14ac:dyDescent="0.25">
      <c r="A14" s="92">
        <v>2</v>
      </c>
      <c r="B14" s="2" t="s">
        <v>407</v>
      </c>
      <c r="C14" s="92">
        <v>58</v>
      </c>
      <c r="D14" s="92">
        <v>439</v>
      </c>
      <c r="E14" s="104">
        <v>3.2650000000000001E+76</v>
      </c>
      <c r="F14" s="107">
        <v>43048</v>
      </c>
      <c r="G14" s="92">
        <v>62</v>
      </c>
      <c r="H14" s="106">
        <v>54564</v>
      </c>
      <c r="I14" s="107">
        <v>968</v>
      </c>
      <c r="J14" s="92"/>
    </row>
    <row r="15" spans="1:25" x14ac:dyDescent="0.25">
      <c r="A15" s="92">
        <v>3</v>
      </c>
      <c r="B15" s="92" t="s">
        <v>369</v>
      </c>
      <c r="C15" s="92">
        <v>5</v>
      </c>
      <c r="D15" s="92">
        <v>87</v>
      </c>
      <c r="E15" s="104">
        <v>49177128</v>
      </c>
      <c r="F15" s="107">
        <v>23600</v>
      </c>
      <c r="G15" s="92">
        <v>5</v>
      </c>
      <c r="H15" s="106">
        <v>11265</v>
      </c>
      <c r="I15" s="107">
        <v>1399</v>
      </c>
      <c r="J15" s="92"/>
    </row>
    <row r="16" spans="1:25" x14ac:dyDescent="0.25">
      <c r="A16" s="92">
        <v>4</v>
      </c>
      <c r="B16" s="92" t="s">
        <v>361</v>
      </c>
      <c r="C16" s="92">
        <v>7</v>
      </c>
      <c r="D16" s="92">
        <v>97</v>
      </c>
      <c r="E16" s="104">
        <v>21243000000</v>
      </c>
      <c r="F16" s="107">
        <v>23590</v>
      </c>
      <c r="G16" s="92">
        <v>5</v>
      </c>
      <c r="H16" s="106">
        <v>13632</v>
      </c>
      <c r="I16" s="107">
        <v>1360</v>
      </c>
      <c r="J16" s="92"/>
    </row>
    <row r="17" spans="1:25" x14ac:dyDescent="0.25">
      <c r="A17" s="92">
        <v>5</v>
      </c>
      <c r="B17" s="92" t="s">
        <v>375</v>
      </c>
      <c r="C17" s="92">
        <v>6</v>
      </c>
      <c r="D17" s="92">
        <v>95</v>
      </c>
      <c r="E17" s="104">
        <v>1267300000</v>
      </c>
      <c r="F17" s="107">
        <v>11636</v>
      </c>
      <c r="G17" s="92">
        <v>11</v>
      </c>
      <c r="H17" s="106">
        <v>9957</v>
      </c>
      <c r="I17" s="92">
        <v>220</v>
      </c>
      <c r="J17" s="92"/>
    </row>
    <row r="19" spans="1:25" x14ac:dyDescent="0.25">
      <c r="A19" t="s">
        <v>777</v>
      </c>
    </row>
    <row r="20" spans="1:25" ht="30" x14ac:dyDescent="0.25">
      <c r="A20" s="89" t="s">
        <v>527</v>
      </c>
      <c r="B20" s="89" t="s">
        <v>321</v>
      </c>
      <c r="C20" s="90" t="s">
        <v>339</v>
      </c>
      <c r="D20" s="90" t="s">
        <v>340</v>
      </c>
      <c r="E20" s="90" t="s">
        <v>341</v>
      </c>
      <c r="F20" s="90" t="s">
        <v>322</v>
      </c>
      <c r="G20" s="90" t="s">
        <v>323</v>
      </c>
      <c r="H20" s="91" t="s">
        <v>324</v>
      </c>
      <c r="I20" s="91" t="s">
        <v>325</v>
      </c>
      <c r="J20" s="91" t="s">
        <v>326</v>
      </c>
      <c r="K20" s="91" t="s">
        <v>327</v>
      </c>
      <c r="L20" s="91" t="s">
        <v>328</v>
      </c>
      <c r="M20" s="91" t="s">
        <v>780</v>
      </c>
      <c r="N20" s="91" t="s">
        <v>529</v>
      </c>
      <c r="O20" s="90" t="s">
        <v>332</v>
      </c>
      <c r="P20" s="90" t="s">
        <v>332</v>
      </c>
      <c r="Q20" s="90" t="s">
        <v>333</v>
      </c>
      <c r="R20" s="90" t="s">
        <v>334</v>
      </c>
      <c r="S20" s="102"/>
      <c r="T20" s="21" t="s">
        <v>336</v>
      </c>
      <c r="U20" s="96" t="s">
        <v>337</v>
      </c>
      <c r="V20" s="96" t="s">
        <v>338</v>
      </c>
      <c r="W20" s="97" t="s">
        <v>530</v>
      </c>
      <c r="X20" s="21" t="s">
        <v>531</v>
      </c>
    </row>
    <row r="21" spans="1:25" x14ac:dyDescent="0.25">
      <c r="A21" s="92">
        <v>2</v>
      </c>
      <c r="B21" s="2" t="s">
        <v>407</v>
      </c>
      <c r="C21" s="101">
        <v>58</v>
      </c>
      <c r="D21" s="101">
        <v>439</v>
      </c>
      <c r="E21" s="101">
        <v>158</v>
      </c>
      <c r="F21" s="2">
        <v>319112</v>
      </c>
      <c r="G21" s="2">
        <v>139164</v>
      </c>
      <c r="H21" s="124">
        <v>14821168.9</v>
      </c>
      <c r="I21" s="124">
        <v>513850.2</v>
      </c>
      <c r="J21" s="124">
        <v>509476.9</v>
      </c>
      <c r="K21" s="212">
        <f>I21-J21</f>
        <v>4373.2999999999884</v>
      </c>
      <c r="L21" s="93">
        <f>K21/I21</f>
        <v>8.5108461571095778E-3</v>
      </c>
      <c r="M21" s="94">
        <f>ROUND(N21*50*12,0)</f>
        <v>2624</v>
      </c>
      <c r="N21" s="95">
        <f>K21/1000</f>
        <v>4.373299999999988</v>
      </c>
      <c r="O21" s="112">
        <v>8.1659399999999991</v>
      </c>
      <c r="P21" s="112">
        <v>8.2174500000000013</v>
      </c>
      <c r="Q21" s="113">
        <f>(P21/O21 -1)*100</f>
        <v>0.63079082138739473</v>
      </c>
      <c r="R21" s="1">
        <v>2020</v>
      </c>
      <c r="S21" s="1" t="s">
        <v>85</v>
      </c>
      <c r="T21" s="1" t="s">
        <v>407</v>
      </c>
      <c r="U21" s="1" t="s">
        <v>353</v>
      </c>
      <c r="V21" s="1">
        <v>2002753</v>
      </c>
      <c r="W21" s="100">
        <v>43790</v>
      </c>
      <c r="X21" s="103">
        <v>44049</v>
      </c>
      <c r="Y21" s="1">
        <v>2</v>
      </c>
    </row>
    <row r="22" spans="1:25" x14ac:dyDescent="0.25">
      <c r="A22" s="92"/>
      <c r="B22" s="2" t="s">
        <v>779</v>
      </c>
      <c r="C22" s="101"/>
      <c r="D22" s="101"/>
      <c r="E22" s="101"/>
      <c r="F22" s="2"/>
      <c r="G22" s="2"/>
      <c r="H22" s="124">
        <v>14821168.9</v>
      </c>
      <c r="I22" s="124">
        <v>513850.2</v>
      </c>
      <c r="J22">
        <v>477780.8</v>
      </c>
      <c r="K22" s="212">
        <f>I22-J22</f>
        <v>36069.400000000023</v>
      </c>
      <c r="L22" s="93">
        <f>K22/I22</f>
        <v>7.0194387391500523E-2</v>
      </c>
      <c r="M22" s="94">
        <f t="shared" ref="M22:M25" si="1">ROUND(N22*50*12,0)</f>
        <v>21642</v>
      </c>
      <c r="N22" s="95">
        <f>K22/1000</f>
        <v>36.069400000000023</v>
      </c>
      <c r="O22" s="112"/>
      <c r="P22" s="112"/>
      <c r="Q22" s="113"/>
      <c r="R22" s="1"/>
      <c r="S22" s="1"/>
      <c r="T22" s="1"/>
      <c r="U22" s="1"/>
      <c r="V22" s="1"/>
      <c r="W22" s="100"/>
      <c r="X22" s="103"/>
      <c r="Y22" s="1"/>
    </row>
    <row r="23" spans="1:25" x14ac:dyDescent="0.25">
      <c r="A23" s="92" t="s">
        <v>533</v>
      </c>
      <c r="B23" s="2" t="s">
        <v>534</v>
      </c>
      <c r="C23" s="101">
        <v>8</v>
      </c>
      <c r="D23" s="101">
        <v>124</v>
      </c>
      <c r="E23" s="92"/>
      <c r="F23" s="92">
        <v>130817</v>
      </c>
      <c r="G23" s="92">
        <v>48676</v>
      </c>
      <c r="H23" s="125">
        <v>2267022.5</v>
      </c>
      <c r="I23" s="125">
        <v>269080.09999999998</v>
      </c>
      <c r="J23" s="125">
        <v>264829.90000000002</v>
      </c>
      <c r="K23" s="126">
        <f>I23-J23</f>
        <v>4250.1999999999534</v>
      </c>
      <c r="L23" s="93">
        <f>K23/I23</f>
        <v>1.579529664215211E-2</v>
      </c>
      <c r="M23" s="94">
        <f t="shared" si="1"/>
        <v>2550</v>
      </c>
      <c r="N23" s="95">
        <f>K23/1000</f>
        <v>4.2501999999999533</v>
      </c>
      <c r="O23" s="112">
        <f>8291.71/1000</f>
        <v>8.2917099999999984</v>
      </c>
      <c r="P23" s="112">
        <f>8160.99/1000</f>
        <v>8.16099</v>
      </c>
      <c r="Q23" s="113">
        <f>(P23/O23 -1)*100</f>
        <v>-1.5765143739952081</v>
      </c>
      <c r="R23" s="1" t="s">
        <v>533</v>
      </c>
      <c r="S23" s="1"/>
      <c r="T23" s="1" t="s">
        <v>429</v>
      </c>
      <c r="U23" s="1" t="s">
        <v>535</v>
      </c>
      <c r="V23" s="1" t="s">
        <v>535</v>
      </c>
      <c r="W23" s="1" t="s">
        <v>535</v>
      </c>
      <c r="X23" s="1" t="s">
        <v>535</v>
      </c>
      <c r="Y23" s="1" t="s">
        <v>535</v>
      </c>
    </row>
    <row r="24" spans="1:25" x14ac:dyDescent="0.25">
      <c r="A24" s="92">
        <v>3</v>
      </c>
      <c r="B24" s="2" t="s">
        <v>448</v>
      </c>
      <c r="C24" s="101">
        <v>23</v>
      </c>
      <c r="D24" s="101">
        <v>318</v>
      </c>
      <c r="E24" s="101">
        <v>64</v>
      </c>
      <c r="F24" s="92">
        <v>302068</v>
      </c>
      <c r="G24" s="92">
        <v>257774</v>
      </c>
      <c r="H24" s="124">
        <v>5211119.5</v>
      </c>
      <c r="I24" s="124">
        <v>236957.5</v>
      </c>
      <c r="J24" s="124">
        <v>224696.4</v>
      </c>
      <c r="K24" s="212">
        <f>I24-J24</f>
        <v>12261.100000000006</v>
      </c>
      <c r="L24" s="93">
        <f>K24/I24</f>
        <v>5.1743878121604109E-2</v>
      </c>
      <c r="M24" s="94">
        <f t="shared" si="1"/>
        <v>7357</v>
      </c>
      <c r="N24" s="95">
        <f>K24/1000</f>
        <v>12.261100000000006</v>
      </c>
      <c r="O24" s="112">
        <v>7.9210000000000003</v>
      </c>
      <c r="P24" s="112">
        <v>8.1769999999999996</v>
      </c>
      <c r="Q24" s="113">
        <f>(P24/O24 -1)*100</f>
        <v>3.2319151622269837</v>
      </c>
      <c r="R24" s="1">
        <v>2020</v>
      </c>
      <c r="S24" s="1" t="s">
        <v>85</v>
      </c>
      <c r="T24" s="1" t="s">
        <v>448</v>
      </c>
      <c r="U24" s="1" t="s">
        <v>353</v>
      </c>
      <c r="V24" s="1">
        <v>2195237</v>
      </c>
      <c r="W24" s="100">
        <v>44111</v>
      </c>
      <c r="X24" s="103">
        <v>44145</v>
      </c>
      <c r="Y24" s="1">
        <v>2</v>
      </c>
    </row>
    <row r="25" spans="1:25" x14ac:dyDescent="0.25">
      <c r="A25" s="92">
        <v>3</v>
      </c>
      <c r="B25" s="2" t="s">
        <v>778</v>
      </c>
      <c r="C25" s="101">
        <v>23</v>
      </c>
      <c r="D25" s="101">
        <v>318</v>
      </c>
      <c r="E25" s="101">
        <v>64</v>
      </c>
      <c r="F25" s="92">
        <v>302068</v>
      </c>
      <c r="G25" s="92">
        <v>257774</v>
      </c>
      <c r="H25" s="124">
        <v>5211119.5</v>
      </c>
      <c r="I25" s="124">
        <v>236957.5</v>
      </c>
      <c r="J25" s="124">
        <v>221100.3</v>
      </c>
      <c r="K25" s="212">
        <f>I25-J25</f>
        <v>15857.200000000012</v>
      </c>
      <c r="L25" s="93">
        <f>K25/I25</f>
        <v>6.6920017302680906E-2</v>
      </c>
      <c r="M25" s="94">
        <f t="shared" si="1"/>
        <v>9514</v>
      </c>
      <c r="N25" s="95">
        <f>K25/1000</f>
        <v>15.857200000000011</v>
      </c>
      <c r="O25" s="112">
        <v>7.9210000000000003</v>
      </c>
      <c r="P25" s="112">
        <v>8.1769999999999996</v>
      </c>
      <c r="Q25" s="113">
        <f>(P25/O25 -1)*100</f>
        <v>3.2319151622269837</v>
      </c>
      <c r="R25" s="1">
        <v>2020</v>
      </c>
      <c r="S25" s="1" t="s">
        <v>85</v>
      </c>
      <c r="T25" s="1" t="s">
        <v>448</v>
      </c>
      <c r="U25" s="1" t="s">
        <v>353</v>
      </c>
      <c r="V25" s="1">
        <v>2195237</v>
      </c>
      <c r="W25" s="100">
        <v>44111</v>
      </c>
      <c r="X25" s="103">
        <v>44145</v>
      </c>
      <c r="Y25" s="1">
        <v>2</v>
      </c>
    </row>
    <row r="28" spans="1:25" x14ac:dyDescent="0.25">
      <c r="H28" t="s">
        <v>693</v>
      </c>
      <c r="I28">
        <v>1.04</v>
      </c>
      <c r="J28">
        <v>5203052.5</v>
      </c>
      <c r="K28">
        <v>224696.4</v>
      </c>
      <c r="L28" s="210">
        <v>4.3189999999999999E-2</v>
      </c>
      <c r="M28" t="s">
        <v>763</v>
      </c>
    </row>
    <row r="29" spans="1:25" x14ac:dyDescent="0.25">
      <c r="H29">
        <v>14816916.699999999</v>
      </c>
      <c r="I29">
        <v>509476.9</v>
      </c>
      <c r="J29" s="210">
        <v>3.4380000000000001E-2</v>
      </c>
    </row>
    <row r="30" spans="1:25" x14ac:dyDescent="0.25">
      <c r="H30">
        <v>14786164.6</v>
      </c>
      <c r="I30">
        <v>477780.8</v>
      </c>
      <c r="J30" s="210">
        <v>3.2309999999999998E-2</v>
      </c>
    </row>
    <row r="31" spans="1:25" x14ac:dyDescent="0.25">
      <c r="J31" s="124">
        <v>221100.3</v>
      </c>
    </row>
  </sheetData>
  <conditionalFormatting sqref="B26:B1048576 B18:B19 B6:B11">
    <cfRule type="duplicateValues" dxfId="19" priority="52"/>
  </conditionalFormatting>
  <conditionalFormatting sqref="B12">
    <cfRule type="duplicateValues" dxfId="18" priority="28"/>
  </conditionalFormatting>
  <conditionalFormatting sqref="B13">
    <cfRule type="duplicateValues" dxfId="17" priority="25"/>
  </conditionalFormatting>
  <conditionalFormatting sqref="B15:B17">
    <cfRule type="duplicateValues" dxfId="16" priority="113"/>
  </conditionalFormatting>
  <conditionalFormatting sqref="B14">
    <cfRule type="duplicateValues" dxfId="15" priority="23"/>
  </conditionalFormatting>
  <conditionalFormatting sqref="B3">
    <cfRule type="duplicateValues" dxfId="14" priority="7"/>
  </conditionalFormatting>
  <conditionalFormatting sqref="B2">
    <cfRule type="duplicateValues" dxfId="13" priority="6"/>
  </conditionalFormatting>
  <conditionalFormatting sqref="B4">
    <cfRule type="duplicateValues" dxfId="12" priority="5"/>
  </conditionalFormatting>
  <conditionalFormatting sqref="B1 B5">
    <cfRule type="duplicateValues" dxfId="11" priority="8"/>
  </conditionalFormatting>
  <conditionalFormatting sqref="B21:B22">
    <cfRule type="duplicateValues" dxfId="10" priority="3"/>
  </conditionalFormatting>
  <conditionalFormatting sqref="B23">
    <cfRule type="duplicateValues" dxfId="9" priority="1"/>
  </conditionalFormatting>
  <conditionalFormatting sqref="B20 B24:B25">
    <cfRule type="duplicateValues" dxfId="8" priority="4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7"/>
  <sheetViews>
    <sheetView workbookViewId="0">
      <selection activeCell="A2" sqref="A2:D7"/>
    </sheetView>
  </sheetViews>
  <sheetFormatPr defaultRowHeight="15" x14ac:dyDescent="0.25"/>
  <cols>
    <col min="1" max="1" width="9.28515625" bestFit="1" customWidth="1"/>
    <col min="2" max="2" width="11.42578125" bestFit="1" customWidth="1"/>
    <col min="3" max="3" width="12.5703125" bestFit="1" customWidth="1"/>
    <col min="4" max="4" width="8.140625" bestFit="1" customWidth="1"/>
  </cols>
  <sheetData>
    <row r="2" spans="1:4" x14ac:dyDescent="0.25">
      <c r="A2" s="22" t="s">
        <v>543</v>
      </c>
      <c r="B2" s="22" t="s">
        <v>544</v>
      </c>
      <c r="C2" s="22" t="s">
        <v>545</v>
      </c>
      <c r="D2" s="22" t="s">
        <v>546</v>
      </c>
    </row>
    <row r="3" spans="1:4" x14ac:dyDescent="0.25">
      <c r="A3" s="64" t="s">
        <v>82</v>
      </c>
      <c r="B3" s="2">
        <v>37</v>
      </c>
      <c r="C3" s="2">
        <v>36</v>
      </c>
      <c r="D3" s="17">
        <f>1-C3/B3</f>
        <v>2.7027027027026973E-2</v>
      </c>
    </row>
    <row r="4" spans="1:4" x14ac:dyDescent="0.25">
      <c r="A4" s="64" t="s">
        <v>83</v>
      </c>
      <c r="B4" s="2">
        <v>74</v>
      </c>
      <c r="C4" s="1">
        <v>57</v>
      </c>
      <c r="D4" s="17">
        <f>1-C4/B4</f>
        <v>0.22972972972972971</v>
      </c>
    </row>
    <row r="5" spans="1:4" x14ac:dyDescent="0.25">
      <c r="A5" s="64" t="s">
        <v>84</v>
      </c>
      <c r="B5" s="2">
        <v>107</v>
      </c>
      <c r="C5" s="2">
        <v>100</v>
      </c>
      <c r="D5" s="17">
        <f>1-C5/B5</f>
        <v>6.5420560747663559E-2</v>
      </c>
    </row>
    <row r="6" spans="1:4" x14ac:dyDescent="0.25">
      <c r="A6" s="64" t="s">
        <v>547</v>
      </c>
      <c r="B6" s="2">
        <v>156</v>
      </c>
      <c r="C6" s="2">
        <v>118</v>
      </c>
      <c r="D6" s="17">
        <f>1-C6/B6</f>
        <v>0.24358974358974361</v>
      </c>
    </row>
    <row r="7" spans="1:4" x14ac:dyDescent="0.25">
      <c r="A7" s="64" t="s">
        <v>548</v>
      </c>
      <c r="B7" s="2">
        <v>473</v>
      </c>
      <c r="C7" s="2">
        <v>363</v>
      </c>
      <c r="D7" s="17">
        <f>1-C7/B7</f>
        <v>0.23255813953488369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U5"/>
  <sheetViews>
    <sheetView workbookViewId="0">
      <selection activeCell="G36" sqref="G36"/>
    </sheetView>
  </sheetViews>
  <sheetFormatPr defaultRowHeight="15" x14ac:dyDescent="0.25"/>
  <cols>
    <col min="1" max="1" width="20.28515625" bestFit="1" customWidth="1"/>
    <col min="2" max="10" width="19" bestFit="1" customWidth="1"/>
    <col min="11" max="97" width="20.140625" bestFit="1" customWidth="1"/>
  </cols>
  <sheetData>
    <row r="1" spans="1:99" x14ac:dyDescent="0.25">
      <c r="A1" t="s">
        <v>549</v>
      </c>
      <c r="B1">
        <v>0</v>
      </c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>
        <v>3.5</v>
      </c>
      <c r="Q1">
        <v>3.75</v>
      </c>
      <c r="R1">
        <v>4</v>
      </c>
      <c r="S1">
        <v>4.25</v>
      </c>
      <c r="T1">
        <v>4.5</v>
      </c>
      <c r="U1">
        <v>4.75</v>
      </c>
      <c r="V1">
        <v>5</v>
      </c>
      <c r="W1">
        <v>5.25</v>
      </c>
      <c r="X1">
        <v>5.5</v>
      </c>
      <c r="Y1">
        <v>5.75</v>
      </c>
      <c r="Z1">
        <v>6</v>
      </c>
      <c r="AA1">
        <v>6.25</v>
      </c>
      <c r="AB1">
        <v>6.5</v>
      </c>
      <c r="AC1">
        <v>6.75</v>
      </c>
      <c r="AD1">
        <v>7</v>
      </c>
      <c r="AE1">
        <v>7.25</v>
      </c>
      <c r="AF1">
        <v>7.5</v>
      </c>
      <c r="AG1">
        <v>7.75</v>
      </c>
      <c r="AH1">
        <v>8</v>
      </c>
      <c r="AI1">
        <v>8.25</v>
      </c>
      <c r="AJ1">
        <v>8.5</v>
      </c>
      <c r="AK1">
        <v>8.75</v>
      </c>
      <c r="AL1">
        <v>9</v>
      </c>
      <c r="AM1">
        <v>9.25</v>
      </c>
      <c r="AN1">
        <v>9.5</v>
      </c>
      <c r="AO1">
        <v>9.75</v>
      </c>
      <c r="AP1">
        <v>10</v>
      </c>
      <c r="AQ1">
        <v>10.25</v>
      </c>
      <c r="AR1">
        <v>10.5</v>
      </c>
      <c r="AS1">
        <v>10.75</v>
      </c>
      <c r="AT1">
        <v>11</v>
      </c>
      <c r="AU1">
        <v>11.25</v>
      </c>
      <c r="AV1">
        <v>11.5</v>
      </c>
      <c r="AW1">
        <v>11.75</v>
      </c>
      <c r="AX1">
        <v>12</v>
      </c>
      <c r="AY1">
        <v>12.25</v>
      </c>
      <c r="AZ1">
        <v>12.5</v>
      </c>
      <c r="BA1">
        <v>12.75</v>
      </c>
      <c r="BB1">
        <v>13</v>
      </c>
      <c r="BC1">
        <v>13.25</v>
      </c>
      <c r="BD1">
        <v>13.5</v>
      </c>
      <c r="BE1">
        <v>13.75</v>
      </c>
      <c r="BF1">
        <v>14</v>
      </c>
      <c r="BG1">
        <v>14.25</v>
      </c>
      <c r="BH1">
        <v>14.5</v>
      </c>
      <c r="BI1">
        <v>14.75</v>
      </c>
      <c r="BJ1">
        <v>15</v>
      </c>
      <c r="BK1">
        <v>15.25</v>
      </c>
      <c r="BL1">
        <v>15.5</v>
      </c>
      <c r="BM1">
        <v>15.75</v>
      </c>
      <c r="BN1">
        <v>16</v>
      </c>
      <c r="BO1">
        <v>16.25</v>
      </c>
      <c r="BP1">
        <v>16.5</v>
      </c>
      <c r="BQ1">
        <v>16.75</v>
      </c>
      <c r="BR1">
        <v>17</v>
      </c>
      <c r="BS1">
        <v>17.25</v>
      </c>
      <c r="BT1">
        <v>17.5</v>
      </c>
      <c r="BU1">
        <v>17.75</v>
      </c>
      <c r="BV1">
        <v>18</v>
      </c>
      <c r="BW1">
        <v>18.25</v>
      </c>
      <c r="BX1">
        <v>18.5</v>
      </c>
      <c r="BY1">
        <v>18.75</v>
      </c>
      <c r="BZ1">
        <v>19</v>
      </c>
      <c r="CA1">
        <v>19.25</v>
      </c>
      <c r="CB1">
        <v>19.5</v>
      </c>
      <c r="CC1">
        <v>19.75</v>
      </c>
      <c r="CD1">
        <v>20</v>
      </c>
      <c r="CE1">
        <v>20.25</v>
      </c>
      <c r="CF1">
        <v>20.5</v>
      </c>
      <c r="CG1">
        <v>20.75</v>
      </c>
      <c r="CH1">
        <v>21</v>
      </c>
      <c r="CI1">
        <v>21.25</v>
      </c>
      <c r="CJ1">
        <v>21.5</v>
      </c>
      <c r="CK1">
        <v>21.75</v>
      </c>
      <c r="CL1">
        <v>22</v>
      </c>
      <c r="CM1">
        <v>22.25</v>
      </c>
      <c r="CN1">
        <v>22.5</v>
      </c>
      <c r="CO1">
        <v>22.75</v>
      </c>
      <c r="CP1">
        <v>23</v>
      </c>
      <c r="CQ1">
        <v>23.25</v>
      </c>
      <c r="CR1">
        <v>23.5</v>
      </c>
      <c r="CS1">
        <v>23.75</v>
      </c>
    </row>
    <row r="2" spans="1:99" x14ac:dyDescent="0.25">
      <c r="A2" t="s">
        <v>549</v>
      </c>
      <c r="B2" s="238">
        <v>1</v>
      </c>
      <c r="C2" s="238"/>
      <c r="D2" s="238"/>
      <c r="E2" s="238"/>
      <c r="F2" s="238">
        <v>4.1666666666670099E-2</v>
      </c>
      <c r="G2" s="238"/>
      <c r="H2" s="238"/>
      <c r="I2" s="238"/>
      <c r="J2" s="238">
        <v>8.3333333333339907E-2</v>
      </c>
      <c r="K2" s="238"/>
      <c r="L2" s="238"/>
      <c r="M2" s="238"/>
      <c r="N2" s="238">
        <v>0.12500000000000999</v>
      </c>
      <c r="O2" s="238"/>
      <c r="P2" s="238"/>
      <c r="Q2" s="238"/>
      <c r="R2" s="238">
        <v>0.16666666666668001</v>
      </c>
      <c r="S2" s="238"/>
      <c r="T2" s="238"/>
      <c r="U2" s="238"/>
      <c r="V2" s="238">
        <v>0.20833333333335</v>
      </c>
      <c r="W2" s="238"/>
      <c r="X2" s="238"/>
      <c r="Y2" s="238"/>
      <c r="Z2" s="238">
        <v>0.25000000000001998</v>
      </c>
      <c r="AA2" s="238"/>
      <c r="AB2" s="238"/>
      <c r="AC2" s="238"/>
      <c r="AD2" s="238">
        <v>0.29166666666669</v>
      </c>
      <c r="AE2" s="238"/>
      <c r="AF2" s="238"/>
      <c r="AG2" s="238"/>
      <c r="AH2" s="238">
        <v>0.33333333333336002</v>
      </c>
      <c r="AI2" s="238"/>
      <c r="AJ2" s="238"/>
      <c r="AK2" s="238"/>
      <c r="AL2" s="238">
        <v>0.37500000000002998</v>
      </c>
      <c r="AM2" s="238"/>
      <c r="AN2" s="238"/>
      <c r="AO2" s="238"/>
      <c r="AP2" s="238">
        <v>0.41666666666669999</v>
      </c>
      <c r="AQ2" s="238"/>
      <c r="AR2" s="238"/>
      <c r="AS2" s="238"/>
      <c r="AT2" s="238">
        <v>0.45833333333339998</v>
      </c>
      <c r="AU2" s="238"/>
      <c r="AV2" s="238"/>
      <c r="AW2" s="238"/>
      <c r="AX2" s="238">
        <v>0.5</v>
      </c>
      <c r="AY2" s="238"/>
      <c r="AZ2" s="238"/>
      <c r="BA2" s="238"/>
      <c r="BB2" s="238">
        <v>0.54166666666670005</v>
      </c>
      <c r="BC2" s="238"/>
      <c r="BD2" s="238"/>
      <c r="BE2" s="238"/>
      <c r="BF2" s="238">
        <v>0.58333333333339998</v>
      </c>
      <c r="BG2" s="238"/>
      <c r="BH2" s="238"/>
      <c r="BI2" s="238"/>
      <c r="BJ2" s="238">
        <v>0.62500000000009903</v>
      </c>
      <c r="BK2" s="238"/>
      <c r="BL2" s="238"/>
      <c r="BM2" s="238"/>
      <c r="BN2" s="238">
        <v>0.66666666666670005</v>
      </c>
      <c r="BO2" s="238"/>
      <c r="BP2" s="238"/>
      <c r="BQ2" s="238"/>
      <c r="BR2" s="238">
        <v>0.70833333333339998</v>
      </c>
      <c r="BS2" s="238"/>
      <c r="BT2" s="238"/>
      <c r="BU2" s="238"/>
      <c r="BV2" s="238">
        <v>0.75000000000009903</v>
      </c>
      <c r="BW2" s="238"/>
      <c r="BX2" s="238"/>
      <c r="BY2" s="238"/>
      <c r="BZ2" s="238">
        <v>0.79166666666670005</v>
      </c>
      <c r="CA2" s="238"/>
      <c r="CB2" s="238"/>
      <c r="CC2" s="238"/>
      <c r="CD2" s="238">
        <v>0.83333333333339998</v>
      </c>
      <c r="CE2" s="238"/>
      <c r="CF2" s="238"/>
      <c r="CG2" s="238"/>
      <c r="CH2" s="238">
        <v>0.87500000000009903</v>
      </c>
      <c r="CI2" s="238"/>
      <c r="CJ2" s="238"/>
      <c r="CK2" s="238"/>
      <c r="CL2" s="238">
        <v>0.91666666666670005</v>
      </c>
      <c r="CM2" s="238"/>
      <c r="CN2" s="238"/>
      <c r="CO2" s="238"/>
      <c r="CP2" s="238">
        <v>0.95833333333339998</v>
      </c>
      <c r="CQ2" s="238"/>
      <c r="CR2" s="238"/>
      <c r="CS2" s="238"/>
    </row>
    <row r="3" spans="1:99" x14ac:dyDescent="0.25">
      <c r="A3" t="s">
        <v>549</v>
      </c>
      <c r="B3" s="67">
        <v>1</v>
      </c>
      <c r="C3" s="67">
        <v>1.0416666666666666E-2</v>
      </c>
      <c r="D3" s="67">
        <v>2.0833333333329901E-2</v>
      </c>
      <c r="E3" s="67">
        <v>3.125E-2</v>
      </c>
      <c r="F3" s="67">
        <v>4.1666666666670099E-2</v>
      </c>
      <c r="G3" s="67">
        <v>5.20833333333304E-2</v>
      </c>
      <c r="H3" s="67">
        <v>6.25E-2</v>
      </c>
      <c r="I3" s="67">
        <v>7.29166666666696E-2</v>
      </c>
      <c r="J3" s="67">
        <v>8.3333333333333398E-2</v>
      </c>
      <c r="K3" s="67">
        <v>9.3750000000000097E-2</v>
      </c>
      <c r="L3" s="67">
        <v>0.104166666666667</v>
      </c>
      <c r="M3" s="67">
        <v>0.114583333333333</v>
      </c>
      <c r="N3" s="67">
        <v>0.125</v>
      </c>
      <c r="O3" s="67">
        <v>0.13541666666666699</v>
      </c>
      <c r="P3" s="67">
        <v>0.14583333333333401</v>
      </c>
      <c r="Q3" s="67">
        <v>0.15625</v>
      </c>
      <c r="R3" s="67">
        <v>0.16666666666666699</v>
      </c>
      <c r="S3" s="67">
        <v>0.17708333333333401</v>
      </c>
      <c r="T3" s="67">
        <v>0.1875</v>
      </c>
      <c r="U3" s="67">
        <v>0.19791666666666699</v>
      </c>
      <c r="V3" s="67">
        <v>0.20833333333333401</v>
      </c>
      <c r="W3" s="67">
        <v>0.21875</v>
      </c>
      <c r="X3" s="67">
        <v>0.22916666666666699</v>
      </c>
      <c r="Y3" s="67">
        <v>0.23958333333333401</v>
      </c>
      <c r="Z3" s="67">
        <v>0.25</v>
      </c>
      <c r="AA3" s="67">
        <v>0.26041666666666702</v>
      </c>
      <c r="AB3" s="67">
        <v>0.27083333333333398</v>
      </c>
      <c r="AC3" s="67">
        <v>0.28125</v>
      </c>
      <c r="AD3" s="67">
        <v>0.29166666666666702</v>
      </c>
      <c r="AE3" s="67">
        <v>0.30208333333333398</v>
      </c>
      <c r="AF3" s="67">
        <v>0.3125</v>
      </c>
      <c r="AG3" s="67">
        <v>0.32291666666666702</v>
      </c>
      <c r="AH3" s="67">
        <v>0.33333333333333398</v>
      </c>
      <c r="AI3" s="67">
        <v>0.34375</v>
      </c>
      <c r="AJ3" s="67">
        <v>0.35416666666666702</v>
      </c>
      <c r="AK3" s="67">
        <v>0.36458333333333398</v>
      </c>
      <c r="AL3" s="67">
        <v>0.375</v>
      </c>
      <c r="AM3" s="67">
        <v>0.38541666666666702</v>
      </c>
      <c r="AN3" s="67">
        <v>0.39583333333333398</v>
      </c>
      <c r="AO3" s="67">
        <v>0.40625</v>
      </c>
      <c r="AP3" s="67">
        <v>0.41666666666666702</v>
      </c>
      <c r="AQ3" s="67">
        <v>0.42708333333333398</v>
      </c>
      <c r="AR3" s="67">
        <v>0.4375</v>
      </c>
      <c r="AS3" s="67">
        <v>0.44791666666666702</v>
      </c>
      <c r="AT3" s="67">
        <v>0.45833333333333398</v>
      </c>
      <c r="AU3" s="67">
        <v>0.468750000000001</v>
      </c>
      <c r="AV3" s="67">
        <v>0.47916666666666702</v>
      </c>
      <c r="AW3" s="67">
        <v>0.48958333333333398</v>
      </c>
      <c r="AX3" s="67">
        <v>0.500000000000001</v>
      </c>
      <c r="AY3" s="67">
        <v>0.51041666666666696</v>
      </c>
      <c r="AZ3" s="67">
        <v>0.52083333333333404</v>
      </c>
      <c r="BA3" s="67">
        <v>0.531250000000001</v>
      </c>
      <c r="BB3" s="67">
        <v>0.54166666666666696</v>
      </c>
      <c r="BC3" s="67">
        <v>0.55208333333333404</v>
      </c>
      <c r="BD3" s="67">
        <v>0.562500000000001</v>
      </c>
      <c r="BE3" s="67">
        <v>0.57291666666666696</v>
      </c>
      <c r="BF3" s="67">
        <v>0.58333333333333404</v>
      </c>
      <c r="BG3" s="67">
        <v>0.593750000000001</v>
      </c>
      <c r="BH3" s="67">
        <v>0.60416666666666696</v>
      </c>
      <c r="BI3" s="67">
        <v>0.61458333333333404</v>
      </c>
      <c r="BJ3" s="67">
        <v>0.625000000000001</v>
      </c>
      <c r="BK3" s="67">
        <v>0.63541666666666696</v>
      </c>
      <c r="BL3" s="67">
        <v>0.64583333333333404</v>
      </c>
      <c r="BM3" s="67">
        <v>0.656250000000001</v>
      </c>
      <c r="BN3" s="67">
        <v>0.66666666666666696</v>
      </c>
      <c r="BO3" s="67">
        <v>0.67708333333333404</v>
      </c>
      <c r="BP3" s="67">
        <v>0.687500000000001</v>
      </c>
      <c r="BQ3" s="67">
        <v>0.69791666666666696</v>
      </c>
      <c r="BR3" s="67">
        <v>0.70833333333333404</v>
      </c>
      <c r="BS3" s="67">
        <v>0.718750000000001</v>
      </c>
      <c r="BT3" s="67">
        <v>0.72916666666666696</v>
      </c>
      <c r="BU3" s="67">
        <v>0.73958333333333404</v>
      </c>
      <c r="BV3" s="67">
        <v>0.750000000000001</v>
      </c>
      <c r="BW3" s="67">
        <v>0.76041666666666696</v>
      </c>
      <c r="BX3" s="67">
        <v>0.77083333333333404</v>
      </c>
      <c r="BY3" s="67">
        <v>0.781250000000001</v>
      </c>
      <c r="BZ3" s="67">
        <v>0.79166666666666696</v>
      </c>
      <c r="CA3" s="67">
        <v>0.80208333333333404</v>
      </c>
      <c r="CB3" s="67">
        <v>0.812500000000001</v>
      </c>
      <c r="CC3" s="67">
        <v>0.82291666666666696</v>
      </c>
      <c r="CD3" s="67">
        <v>0.83333333333333404</v>
      </c>
      <c r="CE3" s="67">
        <v>0.843750000000001</v>
      </c>
      <c r="CF3" s="67">
        <v>0.85416666666666696</v>
      </c>
      <c r="CG3" s="67">
        <v>0.86458333333333404</v>
      </c>
      <c r="CH3" s="67">
        <v>0.875000000000001</v>
      </c>
      <c r="CI3" s="67">
        <v>0.88541666666666696</v>
      </c>
      <c r="CJ3" s="67">
        <v>0.89583333333333404</v>
      </c>
      <c r="CK3" s="67">
        <v>0.906250000000001</v>
      </c>
      <c r="CL3" s="67">
        <v>0.91666666666666696</v>
      </c>
      <c r="CM3" s="67">
        <v>0.92708333333333404</v>
      </c>
      <c r="CN3" s="67">
        <v>0.937500000000001</v>
      </c>
      <c r="CO3" s="67">
        <v>0.94791666666666696</v>
      </c>
      <c r="CP3" s="67">
        <v>0.95833333333333404</v>
      </c>
      <c r="CQ3" s="67">
        <v>0.968750000000001</v>
      </c>
      <c r="CR3" s="67">
        <v>0.97916666666666696</v>
      </c>
      <c r="CS3" s="67">
        <v>0.98958333333333404</v>
      </c>
    </row>
    <row r="4" spans="1:99" x14ac:dyDescent="0.25">
      <c r="A4">
        <v>3009011164</v>
      </c>
      <c r="B4">
        <v>0.246</v>
      </c>
      <c r="C4">
        <v>0.2</v>
      </c>
      <c r="D4">
        <v>0.13100000000000001</v>
      </c>
      <c r="E4">
        <v>0.17199999999999999</v>
      </c>
      <c r="F4">
        <v>0.113</v>
      </c>
      <c r="G4">
        <v>0.108</v>
      </c>
      <c r="H4">
        <v>0.106</v>
      </c>
      <c r="I4">
        <v>0.11</v>
      </c>
      <c r="J4">
        <v>0.10199999999999999</v>
      </c>
      <c r="K4">
        <v>9.4E-2</v>
      </c>
      <c r="L4">
        <v>9.1999999999999998E-2</v>
      </c>
      <c r="M4">
        <v>9.8000000000000004E-2</v>
      </c>
      <c r="N4">
        <v>9.6000000000000002E-2</v>
      </c>
      <c r="O4">
        <v>0.10100000000000001</v>
      </c>
      <c r="P4">
        <v>9.5000000000000001E-2</v>
      </c>
      <c r="Q4">
        <v>9.2999999999999999E-2</v>
      </c>
      <c r="R4">
        <v>0.107</v>
      </c>
      <c r="S4">
        <v>0.107</v>
      </c>
      <c r="T4">
        <v>0.106</v>
      </c>
      <c r="U4">
        <v>0.11700000000000001</v>
      </c>
      <c r="V4">
        <v>0.24199999999999999</v>
      </c>
      <c r="W4">
        <v>0.30199999999999999</v>
      </c>
      <c r="X4">
        <v>0.34499999999999997</v>
      </c>
      <c r="Y4">
        <v>0.32800000000000001</v>
      </c>
      <c r="Z4">
        <v>0.50900000000000001</v>
      </c>
      <c r="AA4">
        <v>0.58199999999999996</v>
      </c>
      <c r="AB4">
        <v>0.71199999999999997</v>
      </c>
      <c r="AC4">
        <v>0.67900000000000005</v>
      </c>
      <c r="AD4">
        <v>0.84799999999999998</v>
      </c>
      <c r="AE4">
        <v>0.86899999999999999</v>
      </c>
      <c r="AF4">
        <v>0.88700000000000001</v>
      </c>
      <c r="AG4">
        <v>0.86499999999999999</v>
      </c>
      <c r="AH4">
        <v>0.90500000000000003</v>
      </c>
      <c r="AI4">
        <v>0.89800000000000002</v>
      </c>
      <c r="AJ4">
        <v>0.90200000000000002</v>
      </c>
      <c r="AK4">
        <v>0.90500000000000003</v>
      </c>
      <c r="AL4">
        <v>0.92100000000000004</v>
      </c>
      <c r="AM4">
        <v>0.94399999999999995</v>
      </c>
      <c r="AN4">
        <v>0.96099999999999997</v>
      </c>
      <c r="AO4">
        <v>0.95099999999999996</v>
      </c>
      <c r="AP4">
        <v>0.98899999999999999</v>
      </c>
      <c r="AQ4">
        <v>0.98</v>
      </c>
      <c r="AR4">
        <v>0.96699999999999997</v>
      </c>
      <c r="AS4">
        <v>0.96</v>
      </c>
      <c r="AT4">
        <v>0.90800000000000003</v>
      </c>
      <c r="AU4">
        <v>0.86399999999999999</v>
      </c>
      <c r="AV4">
        <v>0.84699999999999998</v>
      </c>
      <c r="AW4">
        <v>0.85099999999999998</v>
      </c>
      <c r="AX4">
        <v>0.89100000000000001</v>
      </c>
      <c r="AY4">
        <v>0.92100000000000004</v>
      </c>
      <c r="AZ4">
        <v>0.98099999999999998</v>
      </c>
      <c r="BA4">
        <v>0.94499999999999995</v>
      </c>
      <c r="BB4">
        <v>1</v>
      </c>
      <c r="BC4">
        <v>0.98799999999999999</v>
      </c>
      <c r="BD4">
        <v>0.97899999999999998</v>
      </c>
      <c r="BE4">
        <v>0.99199999999999999</v>
      </c>
      <c r="BF4">
        <v>0.95699999999999996</v>
      </c>
      <c r="BG4">
        <v>0.95799999999999996</v>
      </c>
      <c r="BH4">
        <v>0.96499999999999997</v>
      </c>
      <c r="BI4">
        <v>0.94699999999999995</v>
      </c>
      <c r="BJ4">
        <v>0.94299999999999995</v>
      </c>
      <c r="BK4">
        <v>0.94599999999999995</v>
      </c>
      <c r="BL4">
        <v>0.91200000000000003</v>
      </c>
      <c r="BM4">
        <v>0.9</v>
      </c>
      <c r="BN4">
        <v>0.82</v>
      </c>
      <c r="BO4">
        <v>0.69699999999999995</v>
      </c>
      <c r="BP4">
        <v>0.63</v>
      </c>
      <c r="BQ4">
        <v>0.69599999999999995</v>
      </c>
      <c r="BR4">
        <v>0.624</v>
      </c>
      <c r="BS4">
        <v>0.61099999999999999</v>
      </c>
      <c r="BT4">
        <v>0.60599999999999998</v>
      </c>
      <c r="BU4">
        <v>0.60399999999999998</v>
      </c>
      <c r="BV4">
        <v>0.56899999999999995</v>
      </c>
      <c r="BW4">
        <v>0.55500000000000005</v>
      </c>
      <c r="BX4">
        <v>0.54900000000000004</v>
      </c>
      <c r="BY4">
        <v>0.54900000000000004</v>
      </c>
      <c r="BZ4">
        <v>0.47799999999999998</v>
      </c>
      <c r="CA4">
        <v>0.45600000000000002</v>
      </c>
      <c r="CB4">
        <v>0.36199999999999999</v>
      </c>
      <c r="CC4">
        <v>0.32900000000000001</v>
      </c>
      <c r="CD4">
        <v>0.27100000000000002</v>
      </c>
      <c r="CE4">
        <v>0.30099999999999999</v>
      </c>
      <c r="CF4">
        <v>0.39700000000000002</v>
      </c>
      <c r="CG4">
        <v>0.42599999999999999</v>
      </c>
      <c r="CH4">
        <v>0.54700000000000004</v>
      </c>
      <c r="CI4">
        <v>0.53500000000000003</v>
      </c>
      <c r="CJ4">
        <v>0.53200000000000003</v>
      </c>
      <c r="CK4">
        <v>0.53400000000000003</v>
      </c>
      <c r="CL4">
        <v>0.51100000000000001</v>
      </c>
      <c r="CM4">
        <v>0.51400000000000001</v>
      </c>
      <c r="CN4">
        <v>0.49399999999999999</v>
      </c>
      <c r="CO4">
        <v>0.49199999999999999</v>
      </c>
      <c r="CP4">
        <v>0.42699999999999999</v>
      </c>
      <c r="CQ4">
        <v>0.41099999999999998</v>
      </c>
      <c r="CR4">
        <v>0.32600000000000001</v>
      </c>
      <c r="CS4">
        <v>0.34699999999999998</v>
      </c>
      <c r="CT4">
        <f>SUM(B4:CS4)/4</f>
        <v>13.935</v>
      </c>
      <c r="CU4" t="e">
        <f>"new loadshape."&amp;#REF!&amp;" npts=96 interval=0.25 mult=("&amp;B4&amp;" "&amp;C4&amp;" "&amp;D4&amp;" "&amp;E4&amp;" "&amp;F4&amp;"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"&amp;AS4&amp;" "&amp;AT4&amp;" "&amp;AU4&amp;" "&amp;AV4&amp;" "&amp;AW4&amp;" "&amp;AX4&amp;" "&amp;AY4&amp;" "&amp;AZ4&amp;" "&amp;BA4&amp;" "&amp;BB4&amp;" "&amp;BC4&amp;" "&amp;BD4&amp;" "&amp;BE4&amp;" "&amp;BF4&amp;" "&amp;BG4&amp;" "&amp;BH4&amp;" "&amp;BI4&amp;" "&amp;BJ4&amp;" "&amp;BK4&amp;" "&amp;BL4&amp;" "&amp;BM4&amp;" "&amp;BN4&amp;" "&amp;BO4&amp;" "&amp;BP4&amp;" "&amp;BQ4&amp;" "&amp;BR4&amp;" "&amp;BS4&amp;" "&amp;BT4&amp;" "&amp;BU4&amp;" "&amp;BV4&amp;" "&amp;BW4&amp;" "&amp;BX4&amp;" "&amp;BY4&amp;" "&amp;BZ4&amp;" "&amp;CA4&amp;" "&amp;CB4&amp;" "&amp;CC4&amp;" "&amp;CD4&amp;" "&amp;CE4&amp;" "&amp;CF4&amp;" "&amp;CG4&amp;" "&amp;CH4&amp;" "&amp;CI4&amp;" "&amp;CJ4&amp;" "&amp;CK4&amp;" "&amp;CL4&amp;" "&amp;CM4&amp;" "&amp;CN4&amp;" "&amp;CO4&amp;" "&amp;CP4&amp;" "&amp;CQ4&amp;" "&amp;CR4&amp;" "&amp;CS4&amp;")"</f>
        <v>#REF!</v>
      </c>
    </row>
    <row r="5" spans="1:99" x14ac:dyDescent="0.25">
      <c r="A5">
        <v>3009011164</v>
      </c>
      <c r="B5">
        <v>0.7354841271</v>
      </c>
      <c r="C5">
        <v>0.72399823939999997</v>
      </c>
      <c r="D5">
        <v>0.67788176359999996</v>
      </c>
      <c r="E5">
        <v>0.70522532810000005</v>
      </c>
      <c r="F5">
        <v>0.71191429660000005</v>
      </c>
      <c r="G5">
        <v>0.70312017800000004</v>
      </c>
      <c r="H5">
        <v>0.70475632840000002</v>
      </c>
      <c r="I5">
        <v>0.71195898950000003</v>
      </c>
      <c r="J5">
        <v>0.71823593990000001</v>
      </c>
      <c r="K5">
        <v>0.71305744319999997</v>
      </c>
      <c r="L5">
        <v>0.70915774389999997</v>
      </c>
      <c r="M5">
        <v>0.70993092459999996</v>
      </c>
      <c r="N5">
        <v>0.70714706620000001</v>
      </c>
      <c r="O5">
        <v>0.70997769470000005</v>
      </c>
      <c r="P5">
        <v>0.70657106780000001</v>
      </c>
      <c r="Q5">
        <v>0.70487942079999999</v>
      </c>
      <c r="R5">
        <v>0.72456695179999997</v>
      </c>
      <c r="S5">
        <v>0.73000792189999997</v>
      </c>
      <c r="T5">
        <v>0.73784450010000002</v>
      </c>
      <c r="U5">
        <v>0.68952569249999995</v>
      </c>
      <c r="V5">
        <v>0.790158311</v>
      </c>
      <c r="W5">
        <v>0.79837689359999997</v>
      </c>
      <c r="X5">
        <v>0.7673183281</v>
      </c>
      <c r="Y5">
        <v>0.78091831119999999</v>
      </c>
      <c r="Z5">
        <v>0.80076377570000001</v>
      </c>
      <c r="AA5">
        <v>0.81096457249999998</v>
      </c>
      <c r="AB5">
        <v>0.84328206029999997</v>
      </c>
      <c r="AC5">
        <v>0.86021781890000004</v>
      </c>
      <c r="AD5">
        <v>0.86266522729999995</v>
      </c>
      <c r="AE5">
        <v>0.86238365210000001</v>
      </c>
      <c r="AF5">
        <v>0.87358697740000002</v>
      </c>
      <c r="AG5">
        <v>0.87297942210000001</v>
      </c>
      <c r="AH5">
        <v>0.8712384433</v>
      </c>
      <c r="AI5">
        <v>0.87157769809999996</v>
      </c>
      <c r="AJ5">
        <v>0.87087729459999996</v>
      </c>
      <c r="AK5">
        <v>0.87264468829999997</v>
      </c>
      <c r="AL5">
        <v>0.87239722559999999</v>
      </c>
      <c r="AM5">
        <v>0.87036984620000002</v>
      </c>
      <c r="AN5">
        <v>0.87325016330000005</v>
      </c>
      <c r="AO5">
        <v>0.87767907489999997</v>
      </c>
      <c r="AP5">
        <v>0.85995056739999998</v>
      </c>
      <c r="AQ5">
        <v>0.86038315880000005</v>
      </c>
      <c r="AR5">
        <v>0.86282253630000005</v>
      </c>
      <c r="AS5">
        <v>0.86128880230000004</v>
      </c>
      <c r="AT5">
        <v>0.86407011960000002</v>
      </c>
      <c r="AU5">
        <v>0.87200377169999999</v>
      </c>
      <c r="AV5">
        <v>0.87355292019999997</v>
      </c>
      <c r="AW5">
        <v>0.87343095530000003</v>
      </c>
      <c r="AX5">
        <v>0.87019610670000003</v>
      </c>
      <c r="AY5">
        <v>0.87174652880000003</v>
      </c>
      <c r="AZ5">
        <v>0.871175001</v>
      </c>
      <c r="BA5">
        <v>0.86827320379999995</v>
      </c>
      <c r="BB5">
        <v>0.8594128593</v>
      </c>
      <c r="BC5">
        <v>0.86016216000000001</v>
      </c>
      <c r="BD5">
        <v>0.85800444809999998</v>
      </c>
      <c r="BE5">
        <v>0.86799832020000001</v>
      </c>
      <c r="BF5">
        <v>0.86087992400000002</v>
      </c>
      <c r="BG5">
        <v>0.86409577770000001</v>
      </c>
      <c r="BH5">
        <v>0.86114481269999998</v>
      </c>
      <c r="BI5">
        <v>0.86377579270000004</v>
      </c>
      <c r="BJ5">
        <v>0.86599037889999997</v>
      </c>
      <c r="BK5">
        <v>0.86517355730000001</v>
      </c>
      <c r="BL5">
        <v>0.86106632750000001</v>
      </c>
      <c r="BM5">
        <v>0.8629315863</v>
      </c>
      <c r="BN5">
        <v>0.84898055459999999</v>
      </c>
      <c r="BO5">
        <v>0.81469694839999995</v>
      </c>
      <c r="BP5">
        <v>0.81021128509999996</v>
      </c>
      <c r="BQ5">
        <v>0.84292793040000003</v>
      </c>
      <c r="BR5">
        <v>0.84496174410000002</v>
      </c>
      <c r="BS5">
        <v>0.84203727029999997</v>
      </c>
      <c r="BT5">
        <v>0.83912912439999998</v>
      </c>
      <c r="BU5">
        <v>0.84909450740000003</v>
      </c>
      <c r="BV5">
        <v>0.84504498579999998</v>
      </c>
      <c r="BW5">
        <v>0.83642349999999999</v>
      </c>
      <c r="BX5">
        <v>0.82723375060000004</v>
      </c>
      <c r="BY5">
        <v>0.83996899059999997</v>
      </c>
      <c r="BZ5">
        <v>0.77904168250000005</v>
      </c>
      <c r="CA5">
        <v>0.7730817753</v>
      </c>
      <c r="CB5">
        <v>0.70483990860000001</v>
      </c>
      <c r="CC5">
        <v>0.75471318909999996</v>
      </c>
      <c r="CD5">
        <v>0.64328888559999997</v>
      </c>
      <c r="CE5">
        <v>0.67581679299999997</v>
      </c>
      <c r="CF5">
        <v>0.74652328479999996</v>
      </c>
      <c r="CG5">
        <v>0.81447662170000001</v>
      </c>
      <c r="CH5">
        <v>0.83122218650000002</v>
      </c>
      <c r="CI5">
        <v>0.83193673040000005</v>
      </c>
      <c r="CJ5">
        <v>0.83535517049999997</v>
      </c>
      <c r="CK5">
        <v>0.83507962140000003</v>
      </c>
      <c r="CL5">
        <v>0.82493528999999999</v>
      </c>
      <c r="CM5">
        <v>0.82758315449999997</v>
      </c>
      <c r="CN5">
        <v>0.81968210590000001</v>
      </c>
      <c r="CO5">
        <v>0.82494346210000002</v>
      </c>
      <c r="CP5">
        <v>0.80059373249999999</v>
      </c>
      <c r="CQ5">
        <v>0.81046154189999997</v>
      </c>
      <c r="CR5">
        <v>0.75691445099999999</v>
      </c>
      <c r="CS5">
        <v>0.80280976120000003</v>
      </c>
    </row>
  </sheetData>
  <mergeCells count="24">
    <mergeCell ref="CP2:CS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13"/>
  <sheetViews>
    <sheetView zoomScale="145" zoomScaleNormal="145" workbookViewId="0">
      <selection activeCell="B10" sqref="B10"/>
    </sheetView>
  </sheetViews>
  <sheetFormatPr defaultRowHeight="15" x14ac:dyDescent="0.25"/>
  <cols>
    <col min="2" max="2" width="24.5703125" bestFit="1" customWidth="1"/>
    <col min="10" max="10" width="9.5703125" bestFit="1" customWidth="1"/>
  </cols>
  <sheetData>
    <row r="1" spans="2:10" x14ac:dyDescent="0.25">
      <c r="B1" s="85" t="s">
        <v>550</v>
      </c>
      <c r="C1" s="72">
        <v>33</v>
      </c>
      <c r="D1" s="72">
        <v>70</v>
      </c>
      <c r="E1" s="72">
        <v>84</v>
      </c>
      <c r="F1" s="79">
        <v>136</v>
      </c>
      <c r="G1" s="21"/>
      <c r="H1" s="21">
        <v>119</v>
      </c>
      <c r="I1" s="21">
        <v>417</v>
      </c>
    </row>
    <row r="2" spans="2:10" x14ac:dyDescent="0.25">
      <c r="B2" s="85" t="s">
        <v>551</v>
      </c>
      <c r="C2" s="73">
        <v>202.69</v>
      </c>
      <c r="D2" s="73">
        <v>225</v>
      </c>
      <c r="E2" s="73">
        <v>531.99</v>
      </c>
      <c r="F2" s="80">
        <v>320.36</v>
      </c>
      <c r="G2" s="71"/>
      <c r="H2" s="71"/>
      <c r="I2" s="69"/>
    </row>
    <row r="3" spans="2:10" x14ac:dyDescent="0.25">
      <c r="B3" s="86" t="s">
        <v>552</v>
      </c>
      <c r="C3" s="74">
        <v>139.55000000000001</v>
      </c>
      <c r="D3" s="74">
        <v>99.66</v>
      </c>
      <c r="E3" s="74">
        <v>469.88</v>
      </c>
      <c r="F3" s="81">
        <v>280.19</v>
      </c>
      <c r="G3" s="71"/>
      <c r="H3" s="71"/>
      <c r="I3" s="69"/>
    </row>
    <row r="4" spans="2:10" x14ac:dyDescent="0.25">
      <c r="B4" s="87" t="s">
        <v>553</v>
      </c>
      <c r="C4" s="75">
        <v>33</v>
      </c>
      <c r="D4" s="75">
        <v>70</v>
      </c>
      <c r="E4" s="75">
        <v>84</v>
      </c>
      <c r="F4" s="82">
        <v>136</v>
      </c>
      <c r="G4" s="71"/>
      <c r="H4" s="71"/>
      <c r="I4" s="69"/>
    </row>
    <row r="5" spans="2:10" x14ac:dyDescent="0.25">
      <c r="B5" s="85" t="s">
        <v>554</v>
      </c>
      <c r="C5" s="73">
        <v>205.622939967847</v>
      </c>
      <c r="D5" s="73">
        <v>453.96957718021804</v>
      </c>
      <c r="E5" s="73">
        <v>1641.83625876727</v>
      </c>
      <c r="F5" s="83" t="s">
        <v>555</v>
      </c>
      <c r="G5" s="71"/>
      <c r="H5" s="71">
        <v>2185.0752317086203</v>
      </c>
      <c r="I5" s="71">
        <v>4019.9566791502298</v>
      </c>
      <c r="J5" s="69">
        <v>1000</v>
      </c>
    </row>
    <row r="6" spans="2:10" x14ac:dyDescent="0.25">
      <c r="B6" s="87" t="s">
        <v>556</v>
      </c>
      <c r="C6" s="76">
        <v>147.01724365733199</v>
      </c>
      <c r="D6" s="76">
        <v>173.86247581769098</v>
      </c>
      <c r="E6" s="76">
        <v>477.18573019570198</v>
      </c>
      <c r="F6" s="84">
        <v>349.042193233251</v>
      </c>
      <c r="G6" s="71"/>
      <c r="H6" s="71">
        <v>894.97415085107502</v>
      </c>
      <c r="I6" s="71">
        <v>670.91706034504296</v>
      </c>
    </row>
    <row r="7" spans="2:10" x14ac:dyDescent="0.25">
      <c r="B7" s="87" t="s">
        <v>557</v>
      </c>
      <c r="C7" s="76">
        <v>162.170650168441</v>
      </c>
      <c r="D7" s="78">
        <v>415.48409899985</v>
      </c>
      <c r="E7" s="76">
        <v>475.411860593239</v>
      </c>
      <c r="F7" s="84">
        <v>342.75121138408201</v>
      </c>
      <c r="G7" s="71"/>
      <c r="H7" s="71">
        <v>957.30686801433001</v>
      </c>
      <c r="I7" s="71">
        <v>727.69330042401498</v>
      </c>
    </row>
    <row r="8" spans="2:10" x14ac:dyDescent="0.25">
      <c r="B8" s="86" t="s">
        <v>558</v>
      </c>
      <c r="C8" s="77">
        <v>152.37311535052501</v>
      </c>
      <c r="D8" s="74">
        <v>415.48409899985</v>
      </c>
      <c r="E8" s="77">
        <v>475.411860593239</v>
      </c>
      <c r="F8" s="81">
        <v>342.75121138408201</v>
      </c>
      <c r="G8" s="71"/>
      <c r="H8" s="71">
        <v>957.30686801433001</v>
      </c>
      <c r="I8" s="71">
        <v>727.69330042401498</v>
      </c>
    </row>
    <row r="9" spans="2:10" x14ac:dyDescent="0.25">
      <c r="B9" s="21"/>
      <c r="C9" s="69"/>
      <c r="D9" s="69"/>
      <c r="E9" s="69"/>
      <c r="F9" s="69"/>
      <c r="G9" s="69"/>
      <c r="I9" s="69"/>
    </row>
    <row r="10" spans="2:10" x14ac:dyDescent="0.25">
      <c r="B10" s="21"/>
      <c r="C10" s="69"/>
      <c r="D10" s="69"/>
      <c r="E10" s="69"/>
      <c r="F10" s="69"/>
      <c r="G10" s="69"/>
      <c r="I10" s="69"/>
    </row>
    <row r="11" spans="2:10" x14ac:dyDescent="0.25">
      <c r="B11" s="21"/>
      <c r="C11" s="69"/>
      <c r="D11" s="69"/>
      <c r="E11" s="69"/>
      <c r="F11" s="69"/>
      <c r="G11" s="69"/>
      <c r="I11" s="69"/>
    </row>
    <row r="12" spans="2:10" x14ac:dyDescent="0.25">
      <c r="B12" s="21" t="s">
        <v>559</v>
      </c>
      <c r="C12" s="69">
        <v>0.178540325027813</v>
      </c>
      <c r="D12" s="69">
        <v>0.41548409899985</v>
      </c>
      <c r="E12" s="69"/>
      <c r="F12" s="70" t="s">
        <v>97</v>
      </c>
      <c r="G12" s="70"/>
      <c r="I12" s="69">
        <v>1.33644688260971</v>
      </c>
    </row>
    <row r="13" spans="2:10" x14ac:dyDescent="0.25">
      <c r="B13" s="21" t="s">
        <v>560</v>
      </c>
      <c r="C13" s="69">
        <v>0.168297362305937</v>
      </c>
      <c r="D13" s="69">
        <v>0.17386247581769099</v>
      </c>
      <c r="E13" s="69"/>
      <c r="F13" s="70" t="s">
        <v>97</v>
      </c>
      <c r="G13" s="70"/>
      <c r="H13" s="69"/>
      <c r="I13" s="69">
        <v>4.0211060343119502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4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1" t="s">
        <v>561</v>
      </c>
      <c r="B1" s="1"/>
      <c r="C1" s="1" t="s">
        <v>562</v>
      </c>
      <c r="F1" s="1" t="s">
        <v>563</v>
      </c>
      <c r="G1" s="1" t="s">
        <v>564</v>
      </c>
    </row>
    <row r="2" spans="1:7" x14ac:dyDescent="0.25">
      <c r="A2">
        <v>1</v>
      </c>
      <c r="B2">
        <v>12.66</v>
      </c>
      <c r="C2">
        <v>1</v>
      </c>
      <c r="D2">
        <v>12.66</v>
      </c>
      <c r="E2">
        <v>1</v>
      </c>
      <c r="F2">
        <f>C2</f>
        <v>1</v>
      </c>
      <c r="G2">
        <f>E2</f>
        <v>1</v>
      </c>
    </row>
    <row r="3" spans="1:7" x14ac:dyDescent="0.25">
      <c r="A3">
        <v>2</v>
      </c>
      <c r="B3">
        <v>12.62</v>
      </c>
      <c r="C3">
        <v>0.99709999999999999</v>
      </c>
      <c r="D3">
        <v>12.62</v>
      </c>
      <c r="E3">
        <v>0.99719999999999998</v>
      </c>
      <c r="F3">
        <f t="shared" ref="F3:F34" si="0">C3</f>
        <v>0.99709999999999999</v>
      </c>
      <c r="G3">
        <f t="shared" ref="G3:G34" si="1">E3</f>
        <v>0.99719999999999998</v>
      </c>
    </row>
    <row r="4" spans="1:7" x14ac:dyDescent="0.25">
      <c r="A4">
        <v>3</v>
      </c>
      <c r="B4">
        <v>12.45</v>
      </c>
      <c r="C4">
        <v>0.98299999999999998</v>
      </c>
      <c r="D4">
        <v>12.5</v>
      </c>
      <c r="E4">
        <v>0.98709999999999998</v>
      </c>
      <c r="F4">
        <f t="shared" si="0"/>
        <v>0.98299999999999998</v>
      </c>
      <c r="G4">
        <f t="shared" si="1"/>
        <v>0.98709999999999998</v>
      </c>
    </row>
    <row r="5" spans="1:7" x14ac:dyDescent="0.25">
      <c r="A5">
        <v>4</v>
      </c>
      <c r="B5">
        <v>12.35</v>
      </c>
      <c r="C5">
        <v>0.97560000000000002</v>
      </c>
      <c r="D5">
        <v>12.44</v>
      </c>
      <c r="E5">
        <v>0.98260000000000003</v>
      </c>
      <c r="F5">
        <f t="shared" si="0"/>
        <v>0.97560000000000002</v>
      </c>
      <c r="G5">
        <f t="shared" si="1"/>
        <v>0.98260000000000003</v>
      </c>
    </row>
    <row r="6" spans="1:7" x14ac:dyDescent="0.25">
      <c r="A6">
        <v>5</v>
      </c>
      <c r="B6">
        <v>12.26</v>
      </c>
      <c r="C6">
        <v>0.96819999999999995</v>
      </c>
      <c r="D6">
        <v>12.39</v>
      </c>
      <c r="E6">
        <v>0.97829999999999995</v>
      </c>
      <c r="F6">
        <f t="shared" si="0"/>
        <v>0.96819999999999995</v>
      </c>
      <c r="G6">
        <f t="shared" si="1"/>
        <v>0.97829999999999995</v>
      </c>
    </row>
    <row r="7" spans="1:7" x14ac:dyDescent="0.25">
      <c r="A7">
        <v>6</v>
      </c>
      <c r="B7">
        <v>12.03</v>
      </c>
      <c r="C7">
        <v>0.94979999999999998</v>
      </c>
      <c r="D7">
        <v>12.25</v>
      </c>
      <c r="E7">
        <v>0.96750000000000003</v>
      </c>
      <c r="F7">
        <f t="shared" si="0"/>
        <v>0.94979999999999998</v>
      </c>
      <c r="G7">
        <f t="shared" si="1"/>
        <v>0.96750000000000003</v>
      </c>
    </row>
    <row r="8" spans="1:7" x14ac:dyDescent="0.25">
      <c r="A8">
        <v>7</v>
      </c>
      <c r="B8">
        <v>11.98</v>
      </c>
      <c r="C8">
        <v>0.94640000000000002</v>
      </c>
      <c r="D8">
        <v>12.24</v>
      </c>
      <c r="E8">
        <v>0.96679999999999999</v>
      </c>
      <c r="F8">
        <f t="shared" si="0"/>
        <v>0.94640000000000002</v>
      </c>
      <c r="G8">
        <f t="shared" si="1"/>
        <v>0.96679999999999999</v>
      </c>
    </row>
    <row r="9" spans="1:7" x14ac:dyDescent="0.25">
      <c r="A9">
        <v>8</v>
      </c>
      <c r="B9">
        <v>11.92</v>
      </c>
      <c r="C9">
        <v>0.94159999999999999</v>
      </c>
      <c r="D9">
        <v>12.33</v>
      </c>
      <c r="E9">
        <v>0.97409999999999997</v>
      </c>
      <c r="F9">
        <f t="shared" si="0"/>
        <v>0.94159999999999999</v>
      </c>
      <c r="G9">
        <f t="shared" si="1"/>
        <v>0.97409999999999997</v>
      </c>
    </row>
    <row r="10" spans="1:7" x14ac:dyDescent="0.25">
      <c r="A10">
        <v>9</v>
      </c>
      <c r="B10">
        <v>11.84</v>
      </c>
      <c r="C10">
        <v>0.93530000000000002</v>
      </c>
      <c r="D10">
        <v>12.29</v>
      </c>
      <c r="E10">
        <v>0.9708</v>
      </c>
      <c r="F10">
        <f t="shared" si="0"/>
        <v>0.93530000000000002</v>
      </c>
      <c r="G10">
        <f t="shared" si="1"/>
        <v>0.9708</v>
      </c>
    </row>
    <row r="11" spans="1:7" x14ac:dyDescent="0.25">
      <c r="A11">
        <v>10</v>
      </c>
      <c r="B11">
        <v>11.77</v>
      </c>
      <c r="C11">
        <v>0.92949999999999999</v>
      </c>
      <c r="D11">
        <v>12.28</v>
      </c>
      <c r="E11">
        <v>0.97030000000000005</v>
      </c>
      <c r="F11">
        <f t="shared" si="0"/>
        <v>0.92949999999999999</v>
      </c>
      <c r="G11">
        <f t="shared" si="1"/>
        <v>0.97030000000000005</v>
      </c>
    </row>
    <row r="12" spans="1:7" x14ac:dyDescent="0.25">
      <c r="A12">
        <v>11</v>
      </c>
      <c r="B12">
        <v>11.76</v>
      </c>
      <c r="C12">
        <v>0.92869999999999997</v>
      </c>
      <c r="D12">
        <v>12.29</v>
      </c>
      <c r="E12">
        <v>0.97040000000000004</v>
      </c>
      <c r="F12">
        <f t="shared" si="0"/>
        <v>0.92869999999999997</v>
      </c>
      <c r="G12">
        <f t="shared" si="1"/>
        <v>0.97040000000000004</v>
      </c>
    </row>
    <row r="13" spans="1:7" x14ac:dyDescent="0.25">
      <c r="A13">
        <v>12</v>
      </c>
      <c r="B13">
        <v>11.74</v>
      </c>
      <c r="C13">
        <v>0.92720000000000002</v>
      </c>
      <c r="D13">
        <v>12.29</v>
      </c>
      <c r="E13">
        <v>0.97070000000000001</v>
      </c>
      <c r="F13">
        <f t="shared" si="0"/>
        <v>0.92720000000000002</v>
      </c>
      <c r="G13">
        <f t="shared" si="1"/>
        <v>0.97070000000000001</v>
      </c>
    </row>
    <row r="14" spans="1:7" x14ac:dyDescent="0.25">
      <c r="A14">
        <v>13</v>
      </c>
      <c r="B14">
        <v>11.66</v>
      </c>
      <c r="C14">
        <v>0.92110000000000003</v>
      </c>
      <c r="D14">
        <v>12.26</v>
      </c>
      <c r="E14">
        <v>0.96809999999999996</v>
      </c>
      <c r="F14">
        <f t="shared" si="0"/>
        <v>0.92110000000000003</v>
      </c>
      <c r="G14">
        <f t="shared" si="1"/>
        <v>0.96809999999999996</v>
      </c>
    </row>
    <row r="15" spans="1:7" x14ac:dyDescent="0.25">
      <c r="A15">
        <v>14</v>
      </c>
      <c r="B15">
        <v>11.63</v>
      </c>
      <c r="C15">
        <v>0.91879999999999995</v>
      </c>
      <c r="D15">
        <v>12.25</v>
      </c>
      <c r="E15">
        <v>0.96730000000000005</v>
      </c>
      <c r="F15">
        <f t="shared" si="0"/>
        <v>0.91879999999999995</v>
      </c>
      <c r="G15">
        <f t="shared" si="1"/>
        <v>0.96730000000000005</v>
      </c>
    </row>
    <row r="16" spans="1:7" x14ac:dyDescent="0.25">
      <c r="A16">
        <v>15</v>
      </c>
      <c r="B16">
        <v>11.61</v>
      </c>
      <c r="C16">
        <v>0.91739999999999999</v>
      </c>
      <c r="D16">
        <v>12.29</v>
      </c>
      <c r="E16">
        <v>0.9708</v>
      </c>
      <c r="F16">
        <f t="shared" si="0"/>
        <v>0.91739999999999999</v>
      </c>
      <c r="G16">
        <f t="shared" si="1"/>
        <v>0.9708</v>
      </c>
    </row>
    <row r="17" spans="1:7" x14ac:dyDescent="0.25">
      <c r="A17">
        <v>16</v>
      </c>
      <c r="B17">
        <v>11.6</v>
      </c>
      <c r="C17">
        <v>0.91610000000000003</v>
      </c>
      <c r="D17">
        <v>12.27</v>
      </c>
      <c r="E17">
        <v>0.96909999999999996</v>
      </c>
      <c r="F17">
        <f t="shared" si="0"/>
        <v>0.91610000000000003</v>
      </c>
      <c r="G17">
        <f t="shared" si="1"/>
        <v>0.96909999999999996</v>
      </c>
    </row>
    <row r="18" spans="1:7" x14ac:dyDescent="0.25">
      <c r="A18">
        <v>17</v>
      </c>
      <c r="B18">
        <v>11.57</v>
      </c>
      <c r="C18">
        <v>0.91400000000000003</v>
      </c>
      <c r="D18">
        <v>12.23</v>
      </c>
      <c r="E18">
        <v>0.96619999999999995</v>
      </c>
      <c r="F18">
        <f t="shared" si="0"/>
        <v>0.91400000000000003</v>
      </c>
      <c r="G18">
        <f t="shared" si="1"/>
        <v>0.96619999999999995</v>
      </c>
    </row>
    <row r="19" spans="1:7" x14ac:dyDescent="0.25">
      <c r="A19">
        <v>18</v>
      </c>
      <c r="B19">
        <v>11.56</v>
      </c>
      <c r="C19">
        <v>0.91339999999999999</v>
      </c>
      <c r="D19">
        <v>12.22</v>
      </c>
      <c r="E19">
        <v>0.96519999999999995</v>
      </c>
      <c r="F19">
        <f t="shared" si="0"/>
        <v>0.91339999999999999</v>
      </c>
      <c r="G19">
        <f t="shared" si="1"/>
        <v>0.96519999999999995</v>
      </c>
    </row>
    <row r="20" spans="1:7" x14ac:dyDescent="0.25">
      <c r="A20">
        <v>19</v>
      </c>
      <c r="B20">
        <v>12.62</v>
      </c>
      <c r="C20">
        <v>0.99660000000000004</v>
      </c>
      <c r="D20">
        <v>12.6</v>
      </c>
      <c r="E20">
        <v>0.99519999999999997</v>
      </c>
      <c r="F20">
        <f t="shared" si="0"/>
        <v>0.99660000000000004</v>
      </c>
      <c r="G20">
        <f t="shared" si="1"/>
        <v>0.99519999999999997</v>
      </c>
    </row>
    <row r="21" spans="1:7" x14ac:dyDescent="0.25">
      <c r="A21">
        <v>20</v>
      </c>
      <c r="B21">
        <v>12.57</v>
      </c>
      <c r="C21">
        <v>0.99299999999999999</v>
      </c>
      <c r="D21">
        <v>12.39</v>
      </c>
      <c r="E21">
        <v>0.97860000000000003</v>
      </c>
      <c r="F21">
        <f t="shared" si="0"/>
        <v>0.99299999999999999</v>
      </c>
      <c r="G21">
        <f t="shared" si="1"/>
        <v>0.97860000000000003</v>
      </c>
    </row>
    <row r="22" spans="1:7" x14ac:dyDescent="0.25">
      <c r="A22">
        <v>21</v>
      </c>
      <c r="B22">
        <v>12.56</v>
      </c>
      <c r="C22">
        <v>0.99229999999999996</v>
      </c>
      <c r="D22">
        <v>12.33</v>
      </c>
      <c r="E22">
        <v>0.97409999999999997</v>
      </c>
      <c r="F22">
        <f t="shared" si="0"/>
        <v>0.99229999999999996</v>
      </c>
      <c r="G22">
        <f t="shared" si="1"/>
        <v>0.97409999999999997</v>
      </c>
    </row>
    <row r="23" spans="1:7" x14ac:dyDescent="0.25">
      <c r="A23">
        <v>22</v>
      </c>
      <c r="B23">
        <v>12.55</v>
      </c>
      <c r="C23">
        <v>0.99170000000000003</v>
      </c>
      <c r="D23">
        <v>12.29</v>
      </c>
      <c r="E23">
        <v>0.97070000000000001</v>
      </c>
      <c r="F23">
        <f t="shared" si="0"/>
        <v>0.99170000000000003</v>
      </c>
      <c r="G23">
        <f t="shared" si="1"/>
        <v>0.97070000000000001</v>
      </c>
    </row>
    <row r="24" spans="1:7" x14ac:dyDescent="0.25">
      <c r="A24">
        <v>23</v>
      </c>
      <c r="B24">
        <v>12.4</v>
      </c>
      <c r="C24">
        <v>0.97940000000000005</v>
      </c>
      <c r="D24">
        <v>12.45</v>
      </c>
      <c r="E24">
        <v>0.98350000000000004</v>
      </c>
      <c r="F24">
        <f t="shared" si="0"/>
        <v>0.97940000000000005</v>
      </c>
      <c r="G24">
        <f t="shared" si="1"/>
        <v>0.98350000000000004</v>
      </c>
    </row>
    <row r="25" spans="1:7" x14ac:dyDescent="0.25">
      <c r="A25">
        <v>24</v>
      </c>
      <c r="B25">
        <v>12.32</v>
      </c>
      <c r="C25">
        <v>0.9728</v>
      </c>
      <c r="D25">
        <v>12.37</v>
      </c>
      <c r="E25">
        <v>0.97689999999999999</v>
      </c>
      <c r="F25">
        <f t="shared" si="0"/>
        <v>0.9728</v>
      </c>
      <c r="G25">
        <f t="shared" si="1"/>
        <v>0.97689999999999999</v>
      </c>
    </row>
    <row r="26" spans="1:7" x14ac:dyDescent="0.25">
      <c r="A26">
        <v>25</v>
      </c>
      <c r="B26">
        <v>12.27</v>
      </c>
      <c r="C26">
        <v>0.96940000000000004</v>
      </c>
      <c r="D26">
        <v>12.33</v>
      </c>
      <c r="E26">
        <v>0.97360000000000002</v>
      </c>
      <c r="F26">
        <f t="shared" si="0"/>
        <v>0.96940000000000004</v>
      </c>
      <c r="G26">
        <f t="shared" si="1"/>
        <v>0.97360000000000002</v>
      </c>
    </row>
    <row r="27" spans="1:7" x14ac:dyDescent="0.25">
      <c r="A27">
        <v>26</v>
      </c>
      <c r="B27">
        <v>12</v>
      </c>
      <c r="C27">
        <v>0.94789999999999996</v>
      </c>
      <c r="D27">
        <v>12.23</v>
      </c>
      <c r="E27">
        <v>0.9657</v>
      </c>
      <c r="F27">
        <f t="shared" si="0"/>
        <v>0.94789999999999996</v>
      </c>
      <c r="G27">
        <f t="shared" si="1"/>
        <v>0.9657</v>
      </c>
    </row>
    <row r="28" spans="1:7" x14ac:dyDescent="0.25">
      <c r="A28">
        <v>27</v>
      </c>
      <c r="B28">
        <v>11.97</v>
      </c>
      <c r="C28">
        <v>0.94540000000000002</v>
      </c>
      <c r="D28">
        <v>12.2</v>
      </c>
      <c r="E28">
        <v>0.96330000000000005</v>
      </c>
      <c r="F28">
        <f t="shared" si="0"/>
        <v>0.94540000000000002</v>
      </c>
      <c r="G28">
        <f t="shared" si="1"/>
        <v>0.96330000000000005</v>
      </c>
    </row>
    <row r="29" spans="1:7" x14ac:dyDescent="0.25">
      <c r="A29">
        <v>28</v>
      </c>
      <c r="B29">
        <v>11.82</v>
      </c>
      <c r="C29">
        <v>0.93389999999999995</v>
      </c>
      <c r="D29">
        <v>12.06</v>
      </c>
      <c r="E29">
        <v>0.95279999999999998</v>
      </c>
      <c r="F29">
        <f t="shared" si="0"/>
        <v>0.93389999999999995</v>
      </c>
      <c r="G29">
        <f t="shared" si="1"/>
        <v>0.95279999999999998</v>
      </c>
    </row>
    <row r="30" spans="1:7" x14ac:dyDescent="0.25">
      <c r="A30">
        <v>29</v>
      </c>
      <c r="B30">
        <v>11.72</v>
      </c>
      <c r="C30">
        <v>0.92569999999999997</v>
      </c>
      <c r="D30">
        <v>11.97</v>
      </c>
      <c r="E30">
        <v>0.94530000000000003</v>
      </c>
      <c r="F30">
        <f t="shared" si="0"/>
        <v>0.92569999999999997</v>
      </c>
      <c r="G30">
        <f t="shared" si="1"/>
        <v>0.94530000000000003</v>
      </c>
    </row>
    <row r="31" spans="1:7" x14ac:dyDescent="0.25">
      <c r="A31">
        <v>30</v>
      </c>
      <c r="B31">
        <v>11.67</v>
      </c>
      <c r="C31">
        <v>0.92220000000000002</v>
      </c>
      <c r="D31">
        <v>11.93</v>
      </c>
      <c r="E31">
        <v>0.94210000000000005</v>
      </c>
      <c r="F31">
        <f t="shared" si="0"/>
        <v>0.92220000000000002</v>
      </c>
      <c r="G31">
        <f t="shared" si="1"/>
        <v>0.94210000000000005</v>
      </c>
    </row>
    <row r="32" spans="1:7" x14ac:dyDescent="0.25">
      <c r="A32">
        <v>31</v>
      </c>
      <c r="B32">
        <v>11.62</v>
      </c>
      <c r="C32">
        <v>0.91800000000000004</v>
      </c>
      <c r="D32">
        <v>11.88</v>
      </c>
      <c r="E32">
        <v>0.93869999999999998</v>
      </c>
      <c r="F32">
        <f t="shared" si="0"/>
        <v>0.91800000000000004</v>
      </c>
      <c r="G32">
        <f t="shared" si="1"/>
        <v>0.93869999999999998</v>
      </c>
    </row>
    <row r="33" spans="1:7" x14ac:dyDescent="0.25">
      <c r="A33">
        <v>32</v>
      </c>
      <c r="B33">
        <v>11.61</v>
      </c>
      <c r="C33">
        <v>0.91710000000000003</v>
      </c>
      <c r="D33">
        <v>11.88</v>
      </c>
      <c r="E33">
        <v>0.93799999999999994</v>
      </c>
      <c r="F33">
        <f t="shared" si="0"/>
        <v>0.91710000000000003</v>
      </c>
      <c r="G33">
        <f t="shared" si="1"/>
        <v>0.93799999999999994</v>
      </c>
    </row>
    <row r="34" spans="1:7" x14ac:dyDescent="0.25">
      <c r="A34">
        <v>33</v>
      </c>
      <c r="B34">
        <v>11.61</v>
      </c>
      <c r="C34">
        <v>0.91679999999999995</v>
      </c>
      <c r="D34">
        <v>12.22</v>
      </c>
      <c r="E34">
        <v>0.96519999999999995</v>
      </c>
      <c r="F34">
        <f t="shared" si="0"/>
        <v>0.91679999999999995</v>
      </c>
      <c r="G34">
        <f t="shared" si="1"/>
        <v>0.96519999999999995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workbookViewId="0">
      <selection activeCell="A14" sqref="A14"/>
    </sheetView>
  </sheetViews>
  <sheetFormatPr defaultRowHeight="15" x14ac:dyDescent="0.25"/>
  <cols>
    <col min="1" max="1" width="12.5703125" bestFit="1" customWidth="1"/>
    <col min="2" max="2" width="15.28515625" bestFit="1" customWidth="1"/>
    <col min="3" max="3" width="14.28515625" bestFit="1" customWidth="1"/>
    <col min="4" max="4" width="10.5703125" customWidth="1"/>
    <col min="5" max="5" width="8.42578125" customWidth="1"/>
    <col min="6" max="6" width="14.28515625" bestFit="1" customWidth="1"/>
  </cols>
  <sheetData>
    <row r="2" spans="1:7" x14ac:dyDescent="0.25">
      <c r="A2" t="s">
        <v>0</v>
      </c>
      <c r="B2" s="3">
        <v>3326657</v>
      </c>
      <c r="C2" s="3">
        <v>3055</v>
      </c>
      <c r="D2" s="4">
        <v>9.2000000000000003E-4</v>
      </c>
      <c r="E2" s="5">
        <v>6.0000000000000002E-5</v>
      </c>
      <c r="F2" s="3">
        <f>ROUND(B2,0)</f>
        <v>3326657</v>
      </c>
      <c r="G2" s="3">
        <f>ROUND(C2,0)</f>
        <v>3055</v>
      </c>
    </row>
    <row r="3" spans="1:7" x14ac:dyDescent="0.25">
      <c r="A3" t="s">
        <v>1</v>
      </c>
      <c r="B3" s="3">
        <v>27342379</v>
      </c>
      <c r="C3" s="3">
        <v>158682</v>
      </c>
      <c r="D3" s="4">
        <v>5.7999999999999996E-3</v>
      </c>
      <c r="E3" s="5">
        <v>3.2000000000000002E-3</v>
      </c>
      <c r="F3" s="3">
        <f t="shared" ref="F3:G11" si="0">ROUND(B3,0)</f>
        <v>27342379</v>
      </c>
      <c r="G3" s="3">
        <f t="shared" si="0"/>
        <v>158682</v>
      </c>
    </row>
    <row r="4" spans="1:7" x14ac:dyDescent="0.25">
      <c r="A4" t="s">
        <v>2</v>
      </c>
      <c r="B4" s="3">
        <v>239012</v>
      </c>
      <c r="C4" s="3">
        <v>501</v>
      </c>
      <c r="D4" s="4">
        <v>2.0899999999999998E-3</v>
      </c>
      <c r="E4" s="5">
        <v>1.0000000000000001E-5</v>
      </c>
      <c r="F4" s="3">
        <f t="shared" si="0"/>
        <v>239012</v>
      </c>
      <c r="G4" s="3">
        <f t="shared" si="0"/>
        <v>501</v>
      </c>
    </row>
    <row r="5" spans="1:7" x14ac:dyDescent="0.25">
      <c r="A5" t="s">
        <v>3</v>
      </c>
      <c r="B5" s="3">
        <v>4158331</v>
      </c>
      <c r="C5" s="3">
        <v>27277</v>
      </c>
      <c r="D5" s="4">
        <v>6.5599999999999999E-3</v>
      </c>
      <c r="E5" s="5">
        <v>5.5000000000000003E-4</v>
      </c>
      <c r="F5" s="3">
        <f t="shared" si="0"/>
        <v>4158331</v>
      </c>
      <c r="G5" s="3">
        <f t="shared" si="0"/>
        <v>27277</v>
      </c>
    </row>
    <row r="6" spans="1:7" x14ac:dyDescent="0.25">
      <c r="A6" t="s">
        <v>4</v>
      </c>
      <c r="B6" s="3">
        <v>21821918</v>
      </c>
      <c r="C6" s="3">
        <v>838117</v>
      </c>
      <c r="D6" s="4">
        <v>3.841E-2</v>
      </c>
      <c r="E6" s="5">
        <v>1.6930000000000001E-2</v>
      </c>
      <c r="F6" s="3">
        <f t="shared" si="0"/>
        <v>21821918</v>
      </c>
      <c r="G6" s="3">
        <f t="shared" si="0"/>
        <v>838117</v>
      </c>
    </row>
    <row r="7" spans="1:7" x14ac:dyDescent="0.25">
      <c r="A7" t="s">
        <v>5</v>
      </c>
      <c r="B7" s="3">
        <v>46940531</v>
      </c>
      <c r="C7" s="3">
        <v>1604325</v>
      </c>
      <c r="D7" s="4">
        <v>3.4180000000000002E-2</v>
      </c>
      <c r="E7" s="5">
        <v>3.2399999999999998E-2</v>
      </c>
      <c r="F7" s="3">
        <f t="shared" si="0"/>
        <v>46940531</v>
      </c>
      <c r="G7" s="3">
        <f t="shared" si="0"/>
        <v>1604325</v>
      </c>
    </row>
    <row r="8" spans="1:7" x14ac:dyDescent="0.25">
      <c r="A8" t="s">
        <v>6</v>
      </c>
      <c r="B8" s="3">
        <v>4648836</v>
      </c>
      <c r="C8" s="3">
        <v>241867</v>
      </c>
      <c r="D8" s="4">
        <v>5.203E-2</v>
      </c>
      <c r="E8" s="5">
        <v>4.8900000000000002E-3</v>
      </c>
      <c r="F8" s="3">
        <f t="shared" si="0"/>
        <v>4648836</v>
      </c>
      <c r="G8" s="3">
        <f t="shared" si="0"/>
        <v>241867</v>
      </c>
    </row>
    <row r="9" spans="1:7" x14ac:dyDescent="0.25">
      <c r="A9" t="s">
        <v>7</v>
      </c>
      <c r="B9" s="3">
        <v>32554184</v>
      </c>
      <c r="C9" s="3">
        <v>1051902</v>
      </c>
      <c r="D9" s="4">
        <v>3.2309999999999998E-2</v>
      </c>
      <c r="E9" s="5">
        <v>2.1250000000000002E-2</v>
      </c>
      <c r="F9" s="3">
        <f t="shared" si="0"/>
        <v>32554184</v>
      </c>
      <c r="G9" s="3">
        <f t="shared" si="0"/>
        <v>1051902</v>
      </c>
    </row>
    <row r="10" spans="1:7" x14ac:dyDescent="0.25">
      <c r="A10" t="s">
        <v>8</v>
      </c>
      <c r="B10" s="3">
        <v>17083778</v>
      </c>
      <c r="C10" s="3">
        <v>305448</v>
      </c>
      <c r="D10" s="4">
        <v>1.788E-2</v>
      </c>
      <c r="E10" s="5">
        <v>6.1700000000000001E-3</v>
      </c>
      <c r="F10" s="3">
        <f t="shared" si="0"/>
        <v>17083778</v>
      </c>
      <c r="G10" s="3">
        <f t="shared" si="0"/>
        <v>305448</v>
      </c>
    </row>
    <row r="11" spans="1:7" x14ac:dyDescent="0.25">
      <c r="A11" t="s">
        <v>9</v>
      </c>
      <c r="B11" s="3">
        <v>18479788</v>
      </c>
      <c r="C11" s="3">
        <v>108528</v>
      </c>
      <c r="D11" s="4">
        <v>5.8700000000000002E-3</v>
      </c>
      <c r="E11" s="5">
        <v>2.1900000000000001E-3</v>
      </c>
      <c r="F11" s="3">
        <f t="shared" si="0"/>
        <v>18479788</v>
      </c>
      <c r="G11" s="3">
        <f t="shared" si="0"/>
        <v>108528</v>
      </c>
    </row>
    <row r="12" spans="1:7" x14ac:dyDescent="0.25">
      <c r="E12" s="5">
        <f>SUM(E2:E11)</f>
        <v>8.7649999999999992E-2</v>
      </c>
      <c r="G12" s="57">
        <f>SUM(G2:G11)</f>
        <v>4339702</v>
      </c>
    </row>
    <row r="14" spans="1:7" x14ac:dyDescent="0.25">
      <c r="A14" t="s">
        <v>595</v>
      </c>
    </row>
    <row r="15" spans="1:7" x14ac:dyDescent="0.25">
      <c r="A15" t="s">
        <v>596</v>
      </c>
    </row>
    <row r="16" spans="1:7" x14ac:dyDescent="0.25">
      <c r="A16" t="s">
        <v>597</v>
      </c>
    </row>
    <row r="17" spans="1:1" x14ac:dyDescent="0.25">
      <c r="A17" t="s">
        <v>598</v>
      </c>
    </row>
    <row r="18" spans="1:1" x14ac:dyDescent="0.25">
      <c r="A18" t="s">
        <v>599</v>
      </c>
    </row>
    <row r="19" spans="1:1" x14ac:dyDescent="0.25">
      <c r="A19" t="s">
        <v>600</v>
      </c>
    </row>
    <row r="20" spans="1:1" x14ac:dyDescent="0.25">
      <c r="A20" t="s">
        <v>601</v>
      </c>
    </row>
    <row r="21" spans="1:1" x14ac:dyDescent="0.25">
      <c r="A21" t="s">
        <v>602</v>
      </c>
    </row>
    <row r="22" spans="1:1" x14ac:dyDescent="0.25">
      <c r="A22" t="s">
        <v>603</v>
      </c>
    </row>
    <row r="23" spans="1:1" x14ac:dyDescent="0.25">
      <c r="A23" t="s">
        <v>604</v>
      </c>
    </row>
    <row r="24" spans="1:1" x14ac:dyDescent="0.25">
      <c r="A24" t="s">
        <v>605</v>
      </c>
    </row>
    <row r="25" spans="1:1" x14ac:dyDescent="0.25">
      <c r="A25" t="s">
        <v>606</v>
      </c>
    </row>
    <row r="26" spans="1:1" x14ac:dyDescent="0.25">
      <c r="A26" t="s">
        <v>607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5"/>
  <sheetViews>
    <sheetView workbookViewId="0">
      <selection activeCell="I1" sqref="I1:K1048576"/>
    </sheetView>
  </sheetViews>
  <sheetFormatPr defaultRowHeight="15" x14ac:dyDescent="0.25"/>
  <sheetData>
    <row r="1" spans="1:7" x14ac:dyDescent="0.25">
      <c r="A1" s="1" t="s">
        <v>561</v>
      </c>
      <c r="B1" s="1"/>
      <c r="C1" s="1" t="s">
        <v>562</v>
      </c>
      <c r="F1" s="1" t="s">
        <v>563</v>
      </c>
      <c r="G1" s="1" t="s">
        <v>564</v>
      </c>
    </row>
    <row r="2" spans="1:7" x14ac:dyDescent="0.25">
      <c r="A2">
        <v>1</v>
      </c>
      <c r="B2">
        <v>11.4</v>
      </c>
      <c r="C2">
        <v>1</v>
      </c>
      <c r="D2">
        <v>11.4</v>
      </c>
      <c r="E2">
        <v>1</v>
      </c>
      <c r="F2">
        <f>C2</f>
        <v>1</v>
      </c>
      <c r="G2">
        <f t="shared" ref="G2:G33" si="0">E2</f>
        <v>1</v>
      </c>
    </row>
    <row r="3" spans="1:7" x14ac:dyDescent="0.25">
      <c r="A3">
        <v>2</v>
      </c>
      <c r="B3">
        <v>11.4</v>
      </c>
      <c r="C3">
        <v>1</v>
      </c>
      <c r="D3">
        <v>11.4</v>
      </c>
      <c r="E3">
        <v>1</v>
      </c>
      <c r="F3">
        <f t="shared" ref="F3:F66" si="1">C3</f>
        <v>1</v>
      </c>
      <c r="G3">
        <f t="shared" si="0"/>
        <v>1</v>
      </c>
    </row>
    <row r="4" spans="1:7" x14ac:dyDescent="0.25">
      <c r="A4">
        <v>3</v>
      </c>
      <c r="B4">
        <v>11.4</v>
      </c>
      <c r="C4">
        <v>1</v>
      </c>
      <c r="D4">
        <v>11.4</v>
      </c>
      <c r="E4">
        <v>1</v>
      </c>
      <c r="F4">
        <f t="shared" si="1"/>
        <v>1</v>
      </c>
      <c r="G4">
        <f t="shared" si="0"/>
        <v>1</v>
      </c>
    </row>
    <row r="5" spans="1:7" x14ac:dyDescent="0.25">
      <c r="A5">
        <v>4</v>
      </c>
      <c r="B5">
        <v>11.4</v>
      </c>
      <c r="C5">
        <v>1</v>
      </c>
      <c r="D5">
        <v>11.4</v>
      </c>
      <c r="E5">
        <v>1</v>
      </c>
      <c r="F5">
        <f t="shared" si="1"/>
        <v>1</v>
      </c>
      <c r="G5">
        <f t="shared" si="0"/>
        <v>1</v>
      </c>
    </row>
    <row r="6" spans="1:7" x14ac:dyDescent="0.25">
      <c r="A6">
        <v>5</v>
      </c>
      <c r="B6">
        <v>11.4</v>
      </c>
      <c r="C6">
        <v>1</v>
      </c>
      <c r="D6">
        <v>11.4</v>
      </c>
      <c r="E6">
        <v>1</v>
      </c>
      <c r="F6">
        <f t="shared" si="1"/>
        <v>1</v>
      </c>
      <c r="G6">
        <f t="shared" si="0"/>
        <v>1</v>
      </c>
    </row>
    <row r="7" spans="1:7" x14ac:dyDescent="0.25">
      <c r="A7">
        <v>6</v>
      </c>
      <c r="B7">
        <v>11.4</v>
      </c>
      <c r="C7">
        <v>1</v>
      </c>
      <c r="D7">
        <v>11.4</v>
      </c>
      <c r="E7">
        <v>1</v>
      </c>
      <c r="F7">
        <f t="shared" si="1"/>
        <v>1</v>
      </c>
      <c r="G7">
        <f t="shared" si="0"/>
        <v>1</v>
      </c>
    </row>
    <row r="8" spans="1:7" x14ac:dyDescent="0.25">
      <c r="A8">
        <v>7</v>
      </c>
      <c r="B8">
        <v>11.4</v>
      </c>
      <c r="C8">
        <v>1</v>
      </c>
      <c r="D8">
        <v>11.4</v>
      </c>
      <c r="E8">
        <v>1</v>
      </c>
      <c r="F8">
        <f t="shared" si="1"/>
        <v>1</v>
      </c>
      <c r="G8">
        <f t="shared" si="0"/>
        <v>1</v>
      </c>
    </row>
    <row r="9" spans="1:7" x14ac:dyDescent="0.25">
      <c r="A9">
        <v>8</v>
      </c>
      <c r="B9">
        <v>11.4</v>
      </c>
      <c r="C9">
        <v>1</v>
      </c>
      <c r="D9">
        <v>11.4</v>
      </c>
      <c r="E9">
        <v>1</v>
      </c>
      <c r="F9">
        <f t="shared" si="1"/>
        <v>1</v>
      </c>
      <c r="G9">
        <f t="shared" si="0"/>
        <v>1</v>
      </c>
    </row>
    <row r="10" spans="1:7" x14ac:dyDescent="0.25">
      <c r="A10">
        <v>9</v>
      </c>
      <c r="B10">
        <v>11.4</v>
      </c>
      <c r="C10">
        <v>1</v>
      </c>
      <c r="D10">
        <v>11.4</v>
      </c>
      <c r="E10">
        <v>1</v>
      </c>
      <c r="F10">
        <f t="shared" si="1"/>
        <v>1</v>
      </c>
      <c r="G10">
        <f t="shared" si="0"/>
        <v>1</v>
      </c>
    </row>
    <row r="11" spans="1:7" x14ac:dyDescent="0.25">
      <c r="A11">
        <v>10</v>
      </c>
      <c r="B11">
        <v>11.4</v>
      </c>
      <c r="C11">
        <v>1</v>
      </c>
      <c r="D11">
        <v>11.4</v>
      </c>
      <c r="E11">
        <v>1</v>
      </c>
      <c r="F11">
        <f t="shared" si="1"/>
        <v>1</v>
      </c>
      <c r="G11">
        <f t="shared" si="0"/>
        <v>1</v>
      </c>
    </row>
    <row r="12" spans="1:7" x14ac:dyDescent="0.25">
      <c r="A12">
        <v>11</v>
      </c>
      <c r="B12">
        <v>11.4</v>
      </c>
      <c r="C12">
        <v>1</v>
      </c>
      <c r="D12">
        <v>11.4</v>
      </c>
      <c r="E12">
        <v>1</v>
      </c>
      <c r="F12">
        <f t="shared" si="1"/>
        <v>1</v>
      </c>
      <c r="G12">
        <f t="shared" si="0"/>
        <v>1</v>
      </c>
    </row>
    <row r="13" spans="1:7" x14ac:dyDescent="0.25">
      <c r="A13">
        <v>13</v>
      </c>
      <c r="B13">
        <v>11.02</v>
      </c>
      <c r="C13">
        <v>0.96679999999999999</v>
      </c>
      <c r="D13">
        <v>11.17</v>
      </c>
      <c r="E13">
        <v>0.97989999999999999</v>
      </c>
      <c r="F13">
        <f t="shared" si="1"/>
        <v>0.96679999999999999</v>
      </c>
      <c r="G13">
        <f t="shared" si="0"/>
        <v>0.97989999999999999</v>
      </c>
    </row>
    <row r="14" spans="1:7" x14ac:dyDescent="0.25">
      <c r="A14">
        <v>14</v>
      </c>
      <c r="B14">
        <v>10.84</v>
      </c>
      <c r="C14">
        <v>0.95089999999999997</v>
      </c>
      <c r="D14">
        <v>11.06</v>
      </c>
      <c r="E14">
        <v>0.97019999999999995</v>
      </c>
      <c r="F14">
        <f t="shared" si="1"/>
        <v>0.95089999999999997</v>
      </c>
      <c r="G14">
        <f t="shared" si="0"/>
        <v>0.97019999999999995</v>
      </c>
    </row>
    <row r="15" spans="1:7" x14ac:dyDescent="0.25">
      <c r="A15">
        <v>15</v>
      </c>
      <c r="B15">
        <v>10.78</v>
      </c>
      <c r="C15">
        <v>0.94530000000000003</v>
      </c>
      <c r="D15">
        <v>11.02</v>
      </c>
      <c r="E15">
        <v>0.96699999999999997</v>
      </c>
      <c r="F15">
        <f t="shared" si="1"/>
        <v>0.94530000000000003</v>
      </c>
      <c r="G15">
        <f t="shared" si="0"/>
        <v>0.96699999999999997</v>
      </c>
    </row>
    <row r="16" spans="1:7" x14ac:dyDescent="0.25">
      <c r="A16">
        <v>16</v>
      </c>
      <c r="B16">
        <v>10.65</v>
      </c>
      <c r="C16">
        <v>0.93400000000000005</v>
      </c>
      <c r="D16">
        <v>10.96</v>
      </c>
      <c r="E16">
        <v>0.96109999999999995</v>
      </c>
      <c r="F16">
        <f t="shared" si="1"/>
        <v>0.93400000000000005</v>
      </c>
      <c r="G16">
        <f t="shared" si="0"/>
        <v>0.96109999999999995</v>
      </c>
    </row>
    <row r="17" spans="1:7" x14ac:dyDescent="0.25">
      <c r="A17">
        <v>17</v>
      </c>
      <c r="B17">
        <v>10.62</v>
      </c>
      <c r="C17">
        <v>0.93200000000000005</v>
      </c>
      <c r="D17">
        <v>10.95</v>
      </c>
      <c r="E17">
        <v>0.96020000000000005</v>
      </c>
      <c r="F17">
        <f t="shared" si="1"/>
        <v>0.93200000000000005</v>
      </c>
      <c r="G17">
        <f t="shared" si="0"/>
        <v>0.96020000000000005</v>
      </c>
    </row>
    <row r="18" spans="1:7" x14ac:dyDescent="0.25">
      <c r="A18">
        <v>18</v>
      </c>
      <c r="B18">
        <v>10.61</v>
      </c>
      <c r="C18">
        <v>0.9304</v>
      </c>
      <c r="D18">
        <v>10.92</v>
      </c>
      <c r="E18">
        <v>0.9577</v>
      </c>
      <c r="F18">
        <f t="shared" si="1"/>
        <v>0.9304</v>
      </c>
      <c r="G18">
        <f t="shared" si="0"/>
        <v>0.9577</v>
      </c>
    </row>
    <row r="19" spans="1:7" x14ac:dyDescent="0.25">
      <c r="A19">
        <v>19</v>
      </c>
      <c r="B19">
        <v>10.6</v>
      </c>
      <c r="C19">
        <v>0.92979999999999996</v>
      </c>
      <c r="D19">
        <v>10.91</v>
      </c>
      <c r="E19">
        <v>0.95709999999999995</v>
      </c>
      <c r="F19">
        <f t="shared" si="1"/>
        <v>0.92979999999999996</v>
      </c>
      <c r="G19">
        <f t="shared" si="0"/>
        <v>0.95709999999999995</v>
      </c>
    </row>
    <row r="20" spans="1:7" x14ac:dyDescent="0.25">
      <c r="A20">
        <v>20</v>
      </c>
      <c r="B20">
        <v>10.59</v>
      </c>
      <c r="C20">
        <v>0.92889999999999995</v>
      </c>
      <c r="D20">
        <v>10.9</v>
      </c>
      <c r="E20">
        <v>0.95620000000000005</v>
      </c>
      <c r="F20">
        <f t="shared" si="1"/>
        <v>0.92889999999999995</v>
      </c>
      <c r="G20">
        <f t="shared" si="0"/>
        <v>0.95620000000000005</v>
      </c>
    </row>
    <row r="21" spans="1:7" x14ac:dyDescent="0.25">
      <c r="A21">
        <v>21</v>
      </c>
      <c r="B21">
        <v>10.6</v>
      </c>
      <c r="C21">
        <v>0.92969999999999997</v>
      </c>
      <c r="D21">
        <v>10.91</v>
      </c>
      <c r="E21">
        <v>0.95689999999999997</v>
      </c>
      <c r="F21">
        <f t="shared" si="1"/>
        <v>0.92969999999999997</v>
      </c>
      <c r="G21">
        <f t="shared" si="0"/>
        <v>0.95689999999999997</v>
      </c>
    </row>
    <row r="22" spans="1:7" x14ac:dyDescent="0.25">
      <c r="A22">
        <v>23</v>
      </c>
      <c r="B22">
        <v>11.15</v>
      </c>
      <c r="C22">
        <v>0.97850000000000004</v>
      </c>
      <c r="D22">
        <v>11.21</v>
      </c>
      <c r="E22">
        <v>0.98370000000000002</v>
      </c>
      <c r="F22">
        <f t="shared" si="1"/>
        <v>0.97850000000000004</v>
      </c>
      <c r="G22">
        <f t="shared" si="0"/>
        <v>0.98370000000000002</v>
      </c>
    </row>
    <row r="23" spans="1:7" x14ac:dyDescent="0.25">
      <c r="A23">
        <v>24</v>
      </c>
      <c r="B23">
        <v>11.15</v>
      </c>
      <c r="C23">
        <v>0.97809999999999997</v>
      </c>
      <c r="D23">
        <v>10.99</v>
      </c>
      <c r="E23">
        <v>0.96440000000000003</v>
      </c>
      <c r="F23">
        <f t="shared" si="1"/>
        <v>0.97809999999999997</v>
      </c>
      <c r="G23">
        <f t="shared" si="0"/>
        <v>0.96440000000000003</v>
      </c>
    </row>
    <row r="24" spans="1:7" x14ac:dyDescent="0.25">
      <c r="A24">
        <v>25</v>
      </c>
      <c r="B24">
        <v>11.14</v>
      </c>
      <c r="C24">
        <v>0.97740000000000005</v>
      </c>
      <c r="D24">
        <v>11.2</v>
      </c>
      <c r="E24">
        <v>0.98260000000000003</v>
      </c>
      <c r="F24">
        <f t="shared" si="1"/>
        <v>0.97740000000000005</v>
      </c>
      <c r="G24">
        <f t="shared" si="0"/>
        <v>0.98260000000000003</v>
      </c>
    </row>
    <row r="25" spans="1:7" x14ac:dyDescent="0.25">
      <c r="A25">
        <v>27</v>
      </c>
      <c r="B25">
        <v>11.23</v>
      </c>
      <c r="C25">
        <v>0.98540000000000005</v>
      </c>
      <c r="D25">
        <v>11.21</v>
      </c>
      <c r="E25">
        <v>0.98340000000000005</v>
      </c>
      <c r="F25">
        <f t="shared" si="1"/>
        <v>0.98540000000000005</v>
      </c>
      <c r="G25">
        <f t="shared" si="0"/>
        <v>0.98340000000000005</v>
      </c>
    </row>
    <row r="26" spans="1:7" x14ac:dyDescent="0.25">
      <c r="A26">
        <v>28</v>
      </c>
      <c r="B26">
        <v>11.19</v>
      </c>
      <c r="C26">
        <v>0.9819</v>
      </c>
      <c r="D26">
        <v>11.17</v>
      </c>
      <c r="E26">
        <v>0.97940000000000005</v>
      </c>
      <c r="F26">
        <f t="shared" si="1"/>
        <v>0.9819</v>
      </c>
      <c r="G26">
        <f t="shared" si="0"/>
        <v>0.97940000000000005</v>
      </c>
    </row>
    <row r="27" spans="1:7" x14ac:dyDescent="0.25">
      <c r="A27">
        <v>29</v>
      </c>
      <c r="B27">
        <v>11.09</v>
      </c>
      <c r="C27">
        <v>0.97309999999999997</v>
      </c>
      <c r="D27">
        <v>11.05</v>
      </c>
      <c r="E27">
        <v>0.96919999999999995</v>
      </c>
      <c r="F27">
        <f t="shared" si="1"/>
        <v>0.97309999999999997</v>
      </c>
      <c r="G27">
        <f t="shared" si="0"/>
        <v>0.96919999999999995</v>
      </c>
    </row>
    <row r="28" spans="1:7" x14ac:dyDescent="0.25">
      <c r="A28">
        <v>30</v>
      </c>
      <c r="B28">
        <v>11.07</v>
      </c>
      <c r="C28">
        <v>0.97140000000000004</v>
      </c>
      <c r="D28">
        <v>11.02</v>
      </c>
      <c r="E28">
        <v>0.96709999999999996</v>
      </c>
      <c r="F28">
        <f t="shared" si="1"/>
        <v>0.97140000000000004</v>
      </c>
      <c r="G28">
        <f t="shared" si="0"/>
        <v>0.96709999999999996</v>
      </c>
    </row>
    <row r="29" spans="1:7" x14ac:dyDescent="0.25">
      <c r="A29">
        <v>31</v>
      </c>
      <c r="B29">
        <v>11.04</v>
      </c>
      <c r="C29">
        <v>0.96830000000000005</v>
      </c>
      <c r="D29">
        <v>10.97</v>
      </c>
      <c r="E29">
        <v>0.96240000000000003</v>
      </c>
      <c r="F29">
        <f t="shared" si="1"/>
        <v>0.96830000000000005</v>
      </c>
      <c r="G29">
        <f t="shared" si="0"/>
        <v>0.96240000000000003</v>
      </c>
    </row>
    <row r="30" spans="1:7" x14ac:dyDescent="0.25">
      <c r="A30">
        <v>32</v>
      </c>
      <c r="B30">
        <v>11.01</v>
      </c>
      <c r="C30">
        <v>0.9657</v>
      </c>
      <c r="D30">
        <v>10.94</v>
      </c>
      <c r="E30">
        <v>0.95979999999999999</v>
      </c>
      <c r="F30">
        <f t="shared" si="1"/>
        <v>0.9657</v>
      </c>
      <c r="G30">
        <f t="shared" si="0"/>
        <v>0.95979999999999999</v>
      </c>
    </row>
    <row r="31" spans="1:7" x14ac:dyDescent="0.25">
      <c r="A31">
        <v>33</v>
      </c>
      <c r="B31">
        <v>11.01</v>
      </c>
      <c r="C31">
        <v>0.96560000000000001</v>
      </c>
      <c r="D31">
        <v>10.94</v>
      </c>
      <c r="E31">
        <v>0.9597</v>
      </c>
      <c r="F31">
        <f t="shared" si="1"/>
        <v>0.96560000000000001</v>
      </c>
      <c r="G31">
        <f t="shared" si="0"/>
        <v>0.9597</v>
      </c>
    </row>
    <row r="32" spans="1:7" x14ac:dyDescent="0.25">
      <c r="A32">
        <v>34</v>
      </c>
      <c r="B32">
        <v>11.01</v>
      </c>
      <c r="C32">
        <v>0.96550000000000002</v>
      </c>
      <c r="D32">
        <v>10.94</v>
      </c>
      <c r="E32">
        <v>0.95960000000000001</v>
      </c>
      <c r="F32">
        <f t="shared" si="1"/>
        <v>0.96550000000000002</v>
      </c>
      <c r="G32">
        <f t="shared" si="0"/>
        <v>0.95960000000000001</v>
      </c>
    </row>
    <row r="33" spans="1:7" x14ac:dyDescent="0.25">
      <c r="A33">
        <v>35</v>
      </c>
      <c r="B33">
        <v>11.01</v>
      </c>
      <c r="C33">
        <v>0.96540000000000004</v>
      </c>
      <c r="D33">
        <v>10.94</v>
      </c>
      <c r="E33">
        <v>0.95950000000000002</v>
      </c>
      <c r="F33">
        <f t="shared" si="1"/>
        <v>0.96540000000000004</v>
      </c>
      <c r="G33">
        <f t="shared" si="0"/>
        <v>0.95950000000000002</v>
      </c>
    </row>
    <row r="34" spans="1:7" x14ac:dyDescent="0.25">
      <c r="A34">
        <v>36</v>
      </c>
      <c r="B34">
        <v>11.36</v>
      </c>
      <c r="C34">
        <v>0.99680000000000002</v>
      </c>
      <c r="D34">
        <v>11.36</v>
      </c>
      <c r="E34">
        <v>0.99680000000000002</v>
      </c>
      <c r="F34">
        <f t="shared" si="1"/>
        <v>0.99680000000000002</v>
      </c>
      <c r="G34">
        <f t="shared" ref="G34:G65" si="2">E34</f>
        <v>0.99680000000000002</v>
      </c>
    </row>
    <row r="35" spans="1:7" x14ac:dyDescent="0.25">
      <c r="A35">
        <v>37</v>
      </c>
      <c r="B35">
        <v>11.31</v>
      </c>
      <c r="C35">
        <v>0.99239999999999995</v>
      </c>
      <c r="D35">
        <v>11.31</v>
      </c>
      <c r="E35">
        <v>0.99219999999999997</v>
      </c>
      <c r="F35">
        <f t="shared" si="1"/>
        <v>0.99239999999999995</v>
      </c>
      <c r="G35">
        <f t="shared" si="2"/>
        <v>0.99219999999999997</v>
      </c>
    </row>
    <row r="36" spans="1:7" x14ac:dyDescent="0.25">
      <c r="A36">
        <v>38</v>
      </c>
      <c r="B36">
        <v>11.2</v>
      </c>
      <c r="C36">
        <v>0.98229999999999995</v>
      </c>
      <c r="D36">
        <v>11.19</v>
      </c>
      <c r="E36">
        <v>0.98170000000000002</v>
      </c>
      <c r="F36">
        <f t="shared" si="1"/>
        <v>0.98229999999999995</v>
      </c>
      <c r="G36">
        <f t="shared" si="2"/>
        <v>0.98170000000000002</v>
      </c>
    </row>
    <row r="37" spans="1:7" x14ac:dyDescent="0.25">
      <c r="A37">
        <v>39</v>
      </c>
      <c r="B37">
        <v>11.17</v>
      </c>
      <c r="C37">
        <v>0.97970000000000002</v>
      </c>
      <c r="D37">
        <v>11.16</v>
      </c>
      <c r="E37">
        <v>0.97899999999999998</v>
      </c>
      <c r="F37">
        <f t="shared" si="1"/>
        <v>0.97970000000000002</v>
      </c>
      <c r="G37">
        <f t="shared" si="2"/>
        <v>0.97899999999999998</v>
      </c>
    </row>
    <row r="38" spans="1:7" x14ac:dyDescent="0.25">
      <c r="A38">
        <v>40</v>
      </c>
      <c r="B38">
        <v>11.16</v>
      </c>
      <c r="C38">
        <v>0.97919999999999996</v>
      </c>
      <c r="D38">
        <v>11.15</v>
      </c>
      <c r="E38">
        <v>0.97840000000000005</v>
      </c>
      <c r="F38">
        <f t="shared" si="1"/>
        <v>0.97919999999999996</v>
      </c>
      <c r="G38">
        <f t="shared" si="2"/>
        <v>0.97840000000000005</v>
      </c>
    </row>
    <row r="39" spans="1:7" x14ac:dyDescent="0.25">
      <c r="A39">
        <v>42</v>
      </c>
      <c r="B39">
        <v>11.13</v>
      </c>
      <c r="C39">
        <v>0.97629999999999995</v>
      </c>
      <c r="D39">
        <v>11.23</v>
      </c>
      <c r="E39">
        <v>0.98509999999999998</v>
      </c>
      <c r="F39">
        <f t="shared" si="1"/>
        <v>0.97629999999999995</v>
      </c>
      <c r="G39">
        <f t="shared" si="2"/>
        <v>0.98509999999999998</v>
      </c>
    </row>
    <row r="40" spans="1:7" x14ac:dyDescent="0.25">
      <c r="A40">
        <v>43</v>
      </c>
      <c r="B40">
        <v>11.08</v>
      </c>
      <c r="C40">
        <v>0.97189999999999999</v>
      </c>
      <c r="D40">
        <v>11.22</v>
      </c>
      <c r="E40">
        <v>0.98419999999999996</v>
      </c>
      <c r="F40">
        <f t="shared" si="1"/>
        <v>0.97189999999999999</v>
      </c>
      <c r="G40">
        <f t="shared" si="2"/>
        <v>0.98419999999999996</v>
      </c>
    </row>
    <row r="41" spans="1:7" x14ac:dyDescent="0.25">
      <c r="A41">
        <v>44</v>
      </c>
      <c r="B41">
        <v>11.07</v>
      </c>
      <c r="C41">
        <v>0.97119999999999995</v>
      </c>
      <c r="D41">
        <v>11.22</v>
      </c>
      <c r="E41">
        <v>0.98409999999999997</v>
      </c>
      <c r="F41">
        <f t="shared" si="1"/>
        <v>0.97119999999999995</v>
      </c>
      <c r="G41">
        <f t="shared" si="2"/>
        <v>0.98409999999999997</v>
      </c>
    </row>
    <row r="42" spans="1:7" x14ac:dyDescent="0.25">
      <c r="A42">
        <v>45</v>
      </c>
      <c r="B42">
        <v>11.02</v>
      </c>
      <c r="C42">
        <v>0.9667</v>
      </c>
      <c r="D42">
        <v>11.2</v>
      </c>
      <c r="E42">
        <v>0.98209999999999997</v>
      </c>
      <c r="F42">
        <f t="shared" si="1"/>
        <v>0.9667</v>
      </c>
      <c r="G42">
        <f t="shared" si="2"/>
        <v>0.98209999999999997</v>
      </c>
    </row>
    <row r="43" spans="1:7" x14ac:dyDescent="0.25">
      <c r="A43">
        <v>46</v>
      </c>
      <c r="B43">
        <v>11.01</v>
      </c>
      <c r="C43">
        <v>0.96619999999999995</v>
      </c>
      <c r="D43">
        <v>11.19</v>
      </c>
      <c r="E43">
        <v>0.98170000000000002</v>
      </c>
      <c r="F43">
        <f t="shared" si="1"/>
        <v>0.96619999999999995</v>
      </c>
      <c r="G43">
        <f t="shared" si="2"/>
        <v>0.98170000000000002</v>
      </c>
    </row>
    <row r="44" spans="1:7" x14ac:dyDescent="0.25">
      <c r="A44">
        <v>47</v>
      </c>
      <c r="B44">
        <v>10.97</v>
      </c>
      <c r="C44">
        <v>0.96220000000000006</v>
      </c>
      <c r="D44">
        <v>11.15</v>
      </c>
      <c r="E44">
        <v>0.97840000000000005</v>
      </c>
      <c r="F44">
        <f t="shared" si="1"/>
        <v>0.96220000000000006</v>
      </c>
      <c r="G44">
        <f t="shared" si="2"/>
        <v>0.97840000000000005</v>
      </c>
    </row>
    <row r="45" spans="1:7" x14ac:dyDescent="0.25">
      <c r="A45">
        <v>48</v>
      </c>
      <c r="B45">
        <v>10.97</v>
      </c>
      <c r="C45">
        <v>0.96189999999999998</v>
      </c>
      <c r="D45">
        <v>11.15</v>
      </c>
      <c r="E45">
        <v>0.97819999999999996</v>
      </c>
      <c r="F45">
        <f t="shared" si="1"/>
        <v>0.96189999999999998</v>
      </c>
      <c r="G45">
        <f t="shared" si="2"/>
        <v>0.97819999999999996</v>
      </c>
    </row>
    <row r="46" spans="1:7" x14ac:dyDescent="0.25">
      <c r="A46">
        <v>49</v>
      </c>
      <c r="B46">
        <v>10.96</v>
      </c>
      <c r="C46">
        <v>0.9617</v>
      </c>
      <c r="D46">
        <v>11.15</v>
      </c>
      <c r="E46">
        <v>0.97809999999999997</v>
      </c>
      <c r="F46">
        <f t="shared" si="1"/>
        <v>0.9617</v>
      </c>
      <c r="G46">
        <f t="shared" si="2"/>
        <v>0.97809999999999997</v>
      </c>
    </row>
    <row r="47" spans="1:7" x14ac:dyDescent="0.25">
      <c r="A47">
        <v>50</v>
      </c>
      <c r="B47">
        <v>10.96</v>
      </c>
      <c r="C47">
        <v>0.96160000000000001</v>
      </c>
      <c r="D47">
        <v>11.15</v>
      </c>
      <c r="E47">
        <v>0.97819999999999996</v>
      </c>
      <c r="F47">
        <f t="shared" si="1"/>
        <v>0.96160000000000001</v>
      </c>
      <c r="G47">
        <f t="shared" si="2"/>
        <v>0.97819999999999996</v>
      </c>
    </row>
    <row r="48" spans="1:7" x14ac:dyDescent="0.25">
      <c r="A48">
        <v>51</v>
      </c>
      <c r="B48">
        <v>10.96</v>
      </c>
      <c r="C48">
        <v>0.96150000000000002</v>
      </c>
      <c r="D48">
        <v>11.15</v>
      </c>
      <c r="E48">
        <v>0.97799999999999998</v>
      </c>
      <c r="F48">
        <f t="shared" si="1"/>
        <v>0.96150000000000002</v>
      </c>
      <c r="G48">
        <f t="shared" si="2"/>
        <v>0.97799999999999998</v>
      </c>
    </row>
    <row r="49" spans="1:7" x14ac:dyDescent="0.25">
      <c r="A49">
        <v>52</v>
      </c>
      <c r="B49">
        <v>10.95</v>
      </c>
      <c r="C49">
        <v>0.9607</v>
      </c>
      <c r="D49">
        <v>11.14</v>
      </c>
      <c r="E49">
        <v>0.97719999999999996</v>
      </c>
      <c r="F49">
        <f t="shared" si="1"/>
        <v>0.9607</v>
      </c>
      <c r="G49">
        <f t="shared" si="2"/>
        <v>0.97719999999999996</v>
      </c>
    </row>
    <row r="50" spans="1:7" x14ac:dyDescent="0.25">
      <c r="A50">
        <v>53</v>
      </c>
      <c r="B50">
        <v>10.95</v>
      </c>
      <c r="C50">
        <v>0.96050000000000002</v>
      </c>
      <c r="D50">
        <v>11.15</v>
      </c>
      <c r="E50">
        <v>0.9778</v>
      </c>
      <c r="F50">
        <f t="shared" si="1"/>
        <v>0.96050000000000002</v>
      </c>
      <c r="G50">
        <f t="shared" si="2"/>
        <v>0.9778</v>
      </c>
    </row>
    <row r="51" spans="1:7" x14ac:dyDescent="0.25">
      <c r="A51">
        <v>55</v>
      </c>
      <c r="B51">
        <v>11.38</v>
      </c>
      <c r="C51">
        <v>0.99790000000000001</v>
      </c>
      <c r="D51">
        <v>11.35</v>
      </c>
      <c r="E51">
        <v>0.99539999999999995</v>
      </c>
      <c r="F51">
        <f t="shared" si="1"/>
        <v>0.99790000000000001</v>
      </c>
      <c r="G51">
        <f t="shared" si="2"/>
        <v>0.99539999999999995</v>
      </c>
    </row>
    <row r="52" spans="1:7" x14ac:dyDescent="0.25">
      <c r="A52">
        <v>56</v>
      </c>
      <c r="B52">
        <v>11.34</v>
      </c>
      <c r="C52">
        <v>0.99509999999999998</v>
      </c>
      <c r="D52">
        <v>11.28</v>
      </c>
      <c r="E52">
        <v>0.98939999999999995</v>
      </c>
      <c r="F52">
        <f t="shared" si="1"/>
        <v>0.99509999999999998</v>
      </c>
      <c r="G52">
        <f t="shared" si="2"/>
        <v>0.98939999999999995</v>
      </c>
    </row>
    <row r="53" spans="1:7" x14ac:dyDescent="0.25">
      <c r="A53">
        <v>57</v>
      </c>
      <c r="B53">
        <v>11.33</v>
      </c>
      <c r="C53">
        <v>0.99419999999999997</v>
      </c>
      <c r="D53">
        <v>11.2</v>
      </c>
      <c r="E53">
        <v>0.98270000000000002</v>
      </c>
      <c r="F53">
        <f t="shared" si="1"/>
        <v>0.99419999999999997</v>
      </c>
      <c r="G53">
        <f t="shared" si="2"/>
        <v>0.98270000000000002</v>
      </c>
    </row>
    <row r="54" spans="1:7" x14ac:dyDescent="0.25">
      <c r="A54">
        <v>61</v>
      </c>
      <c r="B54">
        <v>11.11</v>
      </c>
      <c r="C54">
        <v>0.97450000000000003</v>
      </c>
      <c r="D54">
        <v>11.03</v>
      </c>
      <c r="E54">
        <v>0.96760000000000002</v>
      </c>
      <c r="F54">
        <f t="shared" si="1"/>
        <v>0.97450000000000003</v>
      </c>
      <c r="G54">
        <f t="shared" si="2"/>
        <v>0.96760000000000002</v>
      </c>
    </row>
    <row r="55" spans="1:7" x14ac:dyDescent="0.25">
      <c r="A55">
        <v>62</v>
      </c>
      <c r="B55">
        <v>11.07</v>
      </c>
      <c r="C55">
        <v>0.9708</v>
      </c>
      <c r="D55">
        <v>10.98</v>
      </c>
      <c r="E55">
        <v>0.96289999999999998</v>
      </c>
      <c r="F55">
        <f t="shared" si="1"/>
        <v>0.9708</v>
      </c>
      <c r="G55">
        <f t="shared" si="2"/>
        <v>0.96289999999999998</v>
      </c>
    </row>
    <row r="56" spans="1:7" x14ac:dyDescent="0.25">
      <c r="A56">
        <v>63</v>
      </c>
      <c r="B56">
        <v>11.05</v>
      </c>
      <c r="C56">
        <v>0.96960000000000002</v>
      </c>
      <c r="D56">
        <v>10.96</v>
      </c>
      <c r="E56">
        <v>0.96120000000000005</v>
      </c>
      <c r="F56">
        <f t="shared" si="1"/>
        <v>0.96960000000000002</v>
      </c>
      <c r="G56">
        <f t="shared" si="2"/>
        <v>0.96120000000000005</v>
      </c>
    </row>
    <row r="57" spans="1:7" x14ac:dyDescent="0.25">
      <c r="A57">
        <v>64</v>
      </c>
      <c r="B57">
        <v>11.03</v>
      </c>
      <c r="C57">
        <v>0.96789999999999998</v>
      </c>
      <c r="D57">
        <v>10.93</v>
      </c>
      <c r="E57">
        <v>0.95840000000000003</v>
      </c>
      <c r="F57">
        <f t="shared" si="1"/>
        <v>0.96789999999999998</v>
      </c>
      <c r="G57">
        <f t="shared" si="2"/>
        <v>0.95840000000000003</v>
      </c>
    </row>
    <row r="58" spans="1:7" x14ac:dyDescent="0.25">
      <c r="A58">
        <v>65</v>
      </c>
      <c r="B58">
        <v>11.03</v>
      </c>
      <c r="C58">
        <v>0.96730000000000005</v>
      </c>
      <c r="D58">
        <v>10.92</v>
      </c>
      <c r="E58">
        <v>0.95799999999999996</v>
      </c>
      <c r="F58">
        <f t="shared" si="1"/>
        <v>0.96730000000000005</v>
      </c>
      <c r="G58">
        <f t="shared" si="2"/>
        <v>0.95799999999999996</v>
      </c>
    </row>
    <row r="59" spans="1:7" x14ac:dyDescent="0.25">
      <c r="A59">
        <v>66</v>
      </c>
      <c r="B59">
        <v>11.02</v>
      </c>
      <c r="C59">
        <v>0.96699999999999997</v>
      </c>
      <c r="D59">
        <v>10.95</v>
      </c>
      <c r="E59">
        <v>0.9607</v>
      </c>
      <c r="F59">
        <f t="shared" si="1"/>
        <v>0.96699999999999997</v>
      </c>
      <c r="G59">
        <f t="shared" si="2"/>
        <v>0.9607</v>
      </c>
    </row>
    <row r="60" spans="1:7" x14ac:dyDescent="0.25">
      <c r="A60">
        <v>68</v>
      </c>
      <c r="B60">
        <v>11.13</v>
      </c>
      <c r="C60">
        <v>0.97599999999999998</v>
      </c>
      <c r="D60">
        <v>11.01</v>
      </c>
      <c r="E60">
        <v>0.96589999999999998</v>
      </c>
      <c r="F60">
        <f t="shared" si="1"/>
        <v>0.97599999999999998</v>
      </c>
      <c r="G60">
        <f t="shared" si="2"/>
        <v>0.96589999999999998</v>
      </c>
    </row>
    <row r="61" spans="1:7" x14ac:dyDescent="0.25">
      <c r="A61">
        <v>69</v>
      </c>
      <c r="B61">
        <v>11.11</v>
      </c>
      <c r="C61">
        <v>0.97450000000000003</v>
      </c>
      <c r="D61">
        <v>10.99</v>
      </c>
      <c r="E61">
        <v>0.96389999999999998</v>
      </c>
      <c r="F61">
        <f t="shared" si="1"/>
        <v>0.97450000000000003</v>
      </c>
      <c r="G61">
        <f t="shared" si="2"/>
        <v>0.96389999999999998</v>
      </c>
    </row>
    <row r="62" spans="1:7" x14ac:dyDescent="0.25">
      <c r="A62">
        <v>71</v>
      </c>
      <c r="B62">
        <v>11.09</v>
      </c>
      <c r="C62">
        <v>0.97299999999999998</v>
      </c>
      <c r="D62">
        <v>10.96</v>
      </c>
      <c r="E62">
        <v>0.96120000000000005</v>
      </c>
      <c r="F62">
        <f t="shared" si="1"/>
        <v>0.97299999999999998</v>
      </c>
      <c r="G62">
        <f t="shared" si="2"/>
        <v>0.96120000000000005</v>
      </c>
    </row>
    <row r="63" spans="1:7" x14ac:dyDescent="0.25">
      <c r="A63">
        <v>72</v>
      </c>
      <c r="B63">
        <v>11.09</v>
      </c>
      <c r="C63">
        <v>0.97250000000000003</v>
      </c>
      <c r="D63">
        <v>10.96</v>
      </c>
      <c r="E63">
        <v>0.96120000000000005</v>
      </c>
      <c r="F63">
        <f t="shared" si="1"/>
        <v>0.97250000000000003</v>
      </c>
      <c r="G63">
        <f t="shared" si="2"/>
        <v>0.96120000000000005</v>
      </c>
    </row>
    <row r="64" spans="1:7" x14ac:dyDescent="0.25">
      <c r="A64">
        <v>73</v>
      </c>
      <c r="B64">
        <v>11.07</v>
      </c>
      <c r="C64">
        <v>0.97089999999999999</v>
      </c>
      <c r="D64">
        <v>10.91</v>
      </c>
      <c r="E64">
        <v>0.95660000000000001</v>
      </c>
      <c r="F64">
        <f t="shared" si="1"/>
        <v>0.97089999999999999</v>
      </c>
      <c r="G64">
        <f t="shared" si="2"/>
        <v>0.95660000000000001</v>
      </c>
    </row>
    <row r="65" spans="1:7" x14ac:dyDescent="0.25">
      <c r="A65">
        <v>74</v>
      </c>
      <c r="B65">
        <v>11.04</v>
      </c>
      <c r="C65">
        <v>0.96809999999999996</v>
      </c>
      <c r="D65">
        <v>10.92</v>
      </c>
      <c r="E65">
        <v>0.95750000000000002</v>
      </c>
      <c r="F65">
        <f t="shared" si="1"/>
        <v>0.96809999999999996</v>
      </c>
      <c r="G65">
        <f t="shared" si="2"/>
        <v>0.95750000000000002</v>
      </c>
    </row>
    <row r="66" spans="1:7" x14ac:dyDescent="0.25">
      <c r="A66">
        <v>75</v>
      </c>
      <c r="B66">
        <v>11.03</v>
      </c>
      <c r="C66">
        <v>0.96789999999999998</v>
      </c>
      <c r="D66">
        <v>10.92</v>
      </c>
      <c r="E66">
        <v>0.95779999999999998</v>
      </c>
      <c r="F66">
        <f t="shared" si="1"/>
        <v>0.96789999999999998</v>
      </c>
      <c r="G66">
        <f t="shared" ref="G66:G71" si="3">E66</f>
        <v>0.95779999999999998</v>
      </c>
    </row>
    <row r="67" spans="1:7" x14ac:dyDescent="0.25">
      <c r="A67">
        <v>77</v>
      </c>
      <c r="B67">
        <v>11.25</v>
      </c>
      <c r="C67">
        <v>0.9869</v>
      </c>
      <c r="D67">
        <v>11.26</v>
      </c>
      <c r="E67">
        <v>0.98799999999999999</v>
      </c>
      <c r="F67">
        <f>C67</f>
        <v>0.9869</v>
      </c>
      <c r="G67">
        <f t="shared" si="3"/>
        <v>0.98799999999999999</v>
      </c>
    </row>
    <row r="68" spans="1:7" x14ac:dyDescent="0.25">
      <c r="A68">
        <v>79</v>
      </c>
      <c r="B68">
        <v>10.95</v>
      </c>
      <c r="C68">
        <v>0.96060000000000001</v>
      </c>
      <c r="D68">
        <v>10.99</v>
      </c>
      <c r="E68">
        <v>0.96379999999999999</v>
      </c>
      <c r="F68">
        <f>C68</f>
        <v>0.96060000000000001</v>
      </c>
      <c r="G68">
        <f t="shared" si="3"/>
        <v>0.96379999999999999</v>
      </c>
    </row>
    <row r="69" spans="1:7" x14ac:dyDescent="0.25">
      <c r="A69">
        <v>82</v>
      </c>
      <c r="B69">
        <v>10.82</v>
      </c>
      <c r="C69">
        <v>0.94930000000000003</v>
      </c>
      <c r="D69">
        <v>10.87</v>
      </c>
      <c r="E69">
        <v>0.9536</v>
      </c>
      <c r="F69">
        <f>C69</f>
        <v>0.94930000000000003</v>
      </c>
      <c r="G69">
        <f t="shared" si="3"/>
        <v>0.9536</v>
      </c>
    </row>
    <row r="70" spans="1:7" x14ac:dyDescent="0.25">
      <c r="A70">
        <v>83</v>
      </c>
      <c r="B70">
        <v>10.82</v>
      </c>
      <c r="C70">
        <v>0.94920000000000004</v>
      </c>
      <c r="D70">
        <v>11.2</v>
      </c>
      <c r="E70">
        <v>0.98240000000000005</v>
      </c>
      <c r="F70">
        <f>C70</f>
        <v>0.94920000000000004</v>
      </c>
      <c r="G70">
        <f t="shared" si="3"/>
        <v>0.98240000000000005</v>
      </c>
    </row>
    <row r="71" spans="1:7" x14ac:dyDescent="0.25">
      <c r="A71">
        <v>86</v>
      </c>
      <c r="B71">
        <v>11.21</v>
      </c>
      <c r="C71">
        <v>0.9829</v>
      </c>
      <c r="D71">
        <v>11.1</v>
      </c>
      <c r="E71">
        <v>0.97330000000000005</v>
      </c>
      <c r="F71">
        <f>C71</f>
        <v>0.9829</v>
      </c>
      <c r="G71">
        <f t="shared" si="3"/>
        <v>0.97330000000000005</v>
      </c>
    </row>
    <row r="72" spans="1:7" x14ac:dyDescent="0.25">
      <c r="A72">
        <v>87</v>
      </c>
      <c r="B72">
        <v>11.2</v>
      </c>
      <c r="C72">
        <v>0.98260000000000003</v>
      </c>
      <c r="D72">
        <v>11.08</v>
      </c>
      <c r="E72">
        <v>0.9718</v>
      </c>
      <c r="F72">
        <f t="shared" ref="F72:F95" si="4">C72</f>
        <v>0.98260000000000003</v>
      </c>
      <c r="G72">
        <f t="shared" ref="G72:G95" si="5">E72</f>
        <v>0.9718</v>
      </c>
    </row>
    <row r="73" spans="1:7" x14ac:dyDescent="0.25">
      <c r="A73">
        <v>89</v>
      </c>
      <c r="B73">
        <v>10.97</v>
      </c>
      <c r="C73">
        <v>0.96209999999999996</v>
      </c>
      <c r="D73">
        <v>11.03</v>
      </c>
      <c r="E73">
        <v>0.96750000000000003</v>
      </c>
      <c r="F73">
        <f t="shared" si="4"/>
        <v>0.96209999999999996</v>
      </c>
      <c r="G73">
        <f t="shared" si="5"/>
        <v>0.96750000000000003</v>
      </c>
    </row>
    <row r="74" spans="1:7" x14ac:dyDescent="0.25">
      <c r="A74">
        <v>90</v>
      </c>
      <c r="B74">
        <v>10.92</v>
      </c>
      <c r="C74">
        <v>0.95789999999999997</v>
      </c>
      <c r="D74">
        <v>10.99</v>
      </c>
      <c r="E74">
        <v>0.96399999999999997</v>
      </c>
      <c r="F74">
        <f t="shared" si="4"/>
        <v>0.95789999999999997</v>
      </c>
      <c r="G74">
        <f t="shared" si="5"/>
        <v>0.96399999999999997</v>
      </c>
    </row>
    <row r="75" spans="1:7" x14ac:dyDescent="0.25">
      <c r="A75">
        <v>91</v>
      </c>
      <c r="B75">
        <v>10.88</v>
      </c>
      <c r="C75">
        <v>0.95469999999999999</v>
      </c>
      <c r="D75">
        <v>10.97</v>
      </c>
      <c r="E75">
        <v>0.96209999999999996</v>
      </c>
      <c r="F75">
        <f t="shared" si="4"/>
        <v>0.95469999999999999</v>
      </c>
      <c r="G75">
        <f t="shared" si="5"/>
        <v>0.96209999999999996</v>
      </c>
    </row>
    <row r="76" spans="1:7" x14ac:dyDescent="0.25">
      <c r="A76">
        <v>92</v>
      </c>
      <c r="B76">
        <v>10.85</v>
      </c>
      <c r="C76">
        <v>0.95209999999999995</v>
      </c>
      <c r="D76">
        <v>10.95</v>
      </c>
      <c r="E76">
        <v>0.96060000000000001</v>
      </c>
      <c r="F76">
        <f t="shared" si="4"/>
        <v>0.95209999999999995</v>
      </c>
      <c r="G76">
        <f t="shared" si="5"/>
        <v>0.96060000000000001</v>
      </c>
    </row>
    <row r="77" spans="1:7" x14ac:dyDescent="0.25">
      <c r="A77">
        <v>93</v>
      </c>
      <c r="B77">
        <v>10.84</v>
      </c>
      <c r="C77">
        <v>0.95109999999999995</v>
      </c>
      <c r="D77">
        <v>10.95</v>
      </c>
      <c r="E77">
        <v>0.96050000000000002</v>
      </c>
      <c r="F77">
        <f t="shared" si="4"/>
        <v>0.95109999999999995</v>
      </c>
      <c r="G77">
        <f t="shared" si="5"/>
        <v>0.96050000000000002</v>
      </c>
    </row>
    <row r="78" spans="1:7" x14ac:dyDescent="0.25">
      <c r="A78">
        <v>94</v>
      </c>
      <c r="B78">
        <v>10.81</v>
      </c>
      <c r="C78">
        <v>0.94820000000000004</v>
      </c>
      <c r="D78">
        <v>10.96</v>
      </c>
      <c r="E78">
        <v>0.9617</v>
      </c>
      <c r="F78">
        <f t="shared" si="4"/>
        <v>0.94820000000000004</v>
      </c>
      <c r="G78">
        <f t="shared" si="5"/>
        <v>0.9617</v>
      </c>
    </row>
    <row r="79" spans="1:7" x14ac:dyDescent="0.25">
      <c r="A79">
        <v>12</v>
      </c>
      <c r="B79">
        <v>11.19</v>
      </c>
      <c r="C79">
        <v>0.98129999999999995</v>
      </c>
      <c r="D79">
        <v>11.27</v>
      </c>
      <c r="E79">
        <v>0.98880000000000001</v>
      </c>
      <c r="F79">
        <f t="shared" si="4"/>
        <v>0.98129999999999995</v>
      </c>
      <c r="G79">
        <f t="shared" si="5"/>
        <v>0.98880000000000001</v>
      </c>
    </row>
    <row r="80" spans="1:7" x14ac:dyDescent="0.25">
      <c r="A80">
        <v>22</v>
      </c>
      <c r="B80">
        <v>11.36</v>
      </c>
      <c r="C80">
        <v>0.99619999999999997</v>
      </c>
      <c r="D80">
        <v>11.37</v>
      </c>
      <c r="E80">
        <v>0.99719999999999998</v>
      </c>
      <c r="F80">
        <f t="shared" si="4"/>
        <v>0.99619999999999997</v>
      </c>
      <c r="G80">
        <f t="shared" si="5"/>
        <v>0.99719999999999998</v>
      </c>
    </row>
    <row r="81" spans="1:7" x14ac:dyDescent="0.25">
      <c r="A81">
        <v>26</v>
      </c>
      <c r="B81">
        <v>11.28</v>
      </c>
      <c r="C81">
        <v>0.98899999999999999</v>
      </c>
      <c r="D81">
        <v>11.26</v>
      </c>
      <c r="E81">
        <v>0.98760000000000003</v>
      </c>
      <c r="F81">
        <f t="shared" si="4"/>
        <v>0.98899999999999999</v>
      </c>
      <c r="G81">
        <f t="shared" si="5"/>
        <v>0.98760000000000003</v>
      </c>
    </row>
    <row r="82" spans="1:7" x14ac:dyDescent="0.25">
      <c r="A82">
        <v>41</v>
      </c>
      <c r="B82">
        <v>11.24</v>
      </c>
      <c r="C82">
        <v>0.9859</v>
      </c>
      <c r="D82">
        <v>11.3</v>
      </c>
      <c r="E82">
        <v>0.99119999999999997</v>
      </c>
      <c r="F82">
        <f t="shared" si="4"/>
        <v>0.9859</v>
      </c>
      <c r="G82">
        <f t="shared" si="5"/>
        <v>0.99119999999999997</v>
      </c>
    </row>
    <row r="83" spans="1:7" x14ac:dyDescent="0.25">
      <c r="A83">
        <v>54</v>
      </c>
      <c r="B83">
        <v>11.39</v>
      </c>
      <c r="C83">
        <v>0.99880000000000002</v>
      </c>
      <c r="D83">
        <v>11.37</v>
      </c>
      <c r="E83">
        <v>0.99719999999999998</v>
      </c>
      <c r="F83">
        <f t="shared" si="4"/>
        <v>0.99880000000000002</v>
      </c>
      <c r="G83">
        <f t="shared" si="5"/>
        <v>0.99719999999999998</v>
      </c>
    </row>
    <row r="84" spans="1:7" x14ac:dyDescent="0.25">
      <c r="A84">
        <v>58</v>
      </c>
      <c r="B84">
        <v>11.21</v>
      </c>
      <c r="C84">
        <v>0.98309999999999997</v>
      </c>
      <c r="D84">
        <v>11.15</v>
      </c>
      <c r="E84">
        <v>0.97850000000000004</v>
      </c>
      <c r="F84">
        <f t="shared" si="4"/>
        <v>0.98309999999999997</v>
      </c>
      <c r="G84">
        <f t="shared" si="5"/>
        <v>0.97850000000000004</v>
      </c>
    </row>
    <row r="85" spans="1:7" x14ac:dyDescent="0.25">
      <c r="A85">
        <v>59</v>
      </c>
      <c r="B85">
        <v>11.17</v>
      </c>
      <c r="C85">
        <v>0.9798</v>
      </c>
      <c r="D85">
        <v>11.11</v>
      </c>
      <c r="E85">
        <v>0.97430000000000005</v>
      </c>
      <c r="F85">
        <f t="shared" si="4"/>
        <v>0.9798</v>
      </c>
      <c r="G85">
        <f t="shared" si="5"/>
        <v>0.97430000000000005</v>
      </c>
    </row>
    <row r="86" spans="1:7" x14ac:dyDescent="0.25">
      <c r="A86">
        <v>60</v>
      </c>
      <c r="B86">
        <v>11.13</v>
      </c>
      <c r="C86">
        <v>0.97650000000000003</v>
      </c>
      <c r="D86">
        <v>11.06</v>
      </c>
      <c r="E86">
        <v>0.97009999999999996</v>
      </c>
      <c r="F86">
        <f t="shared" si="4"/>
        <v>0.97650000000000003</v>
      </c>
      <c r="G86">
        <f t="shared" si="5"/>
        <v>0.97009999999999996</v>
      </c>
    </row>
    <row r="87" spans="1:7" x14ac:dyDescent="0.25">
      <c r="A87">
        <v>67</v>
      </c>
      <c r="B87">
        <v>11.3</v>
      </c>
      <c r="C87">
        <v>0.99119999999999997</v>
      </c>
      <c r="D87">
        <v>11.26</v>
      </c>
      <c r="E87">
        <v>0.98750000000000004</v>
      </c>
      <c r="F87">
        <f t="shared" si="4"/>
        <v>0.99119999999999997</v>
      </c>
      <c r="G87">
        <f t="shared" si="5"/>
        <v>0.98750000000000004</v>
      </c>
    </row>
    <row r="88" spans="1:7" x14ac:dyDescent="0.25">
      <c r="A88">
        <v>70</v>
      </c>
      <c r="B88">
        <v>11.1</v>
      </c>
      <c r="C88">
        <v>0.97360000000000002</v>
      </c>
      <c r="D88">
        <v>10.97</v>
      </c>
      <c r="E88">
        <v>0.96230000000000004</v>
      </c>
      <c r="F88">
        <f t="shared" si="4"/>
        <v>0.97360000000000002</v>
      </c>
      <c r="G88">
        <f t="shared" si="5"/>
        <v>0.96230000000000004</v>
      </c>
    </row>
    <row r="89" spans="1:7" x14ac:dyDescent="0.25">
      <c r="A89">
        <v>76</v>
      </c>
      <c r="B89">
        <v>11.36</v>
      </c>
      <c r="C89">
        <v>0.99639999999999995</v>
      </c>
      <c r="D89">
        <v>11.36</v>
      </c>
      <c r="E89">
        <v>0.99680000000000002</v>
      </c>
      <c r="F89">
        <f t="shared" si="4"/>
        <v>0.99639999999999995</v>
      </c>
      <c r="G89">
        <f t="shared" si="5"/>
        <v>0.99680000000000002</v>
      </c>
    </row>
    <row r="90" spans="1:7" x14ac:dyDescent="0.25">
      <c r="A90">
        <v>78</v>
      </c>
      <c r="B90">
        <v>11.14</v>
      </c>
      <c r="C90">
        <v>0.97750000000000004</v>
      </c>
      <c r="D90">
        <v>11.16</v>
      </c>
      <c r="E90">
        <v>0.97929999999999995</v>
      </c>
      <c r="F90">
        <f t="shared" si="4"/>
        <v>0.97750000000000004</v>
      </c>
      <c r="G90">
        <f t="shared" si="5"/>
        <v>0.97929999999999995</v>
      </c>
    </row>
    <row r="91" spans="1:7" x14ac:dyDescent="0.25">
      <c r="A91">
        <v>80</v>
      </c>
      <c r="B91">
        <v>10.92</v>
      </c>
      <c r="C91">
        <v>0.95750000000000002</v>
      </c>
      <c r="D91">
        <v>10.96</v>
      </c>
      <c r="E91">
        <v>0.96099999999999997</v>
      </c>
      <c r="F91">
        <f t="shared" si="4"/>
        <v>0.95750000000000002</v>
      </c>
      <c r="G91">
        <f t="shared" si="5"/>
        <v>0.96099999999999997</v>
      </c>
    </row>
    <row r="92" spans="1:7" x14ac:dyDescent="0.25">
      <c r="A92">
        <v>81</v>
      </c>
      <c r="B92">
        <v>10.86</v>
      </c>
      <c r="C92">
        <v>0.95289999999999997</v>
      </c>
      <c r="D92">
        <v>10.91</v>
      </c>
      <c r="E92">
        <v>0.95679999999999998</v>
      </c>
      <c r="F92">
        <f t="shared" si="4"/>
        <v>0.95289999999999997</v>
      </c>
      <c r="G92">
        <f t="shared" si="5"/>
        <v>0.95679999999999998</v>
      </c>
    </row>
    <row r="93" spans="1:7" x14ac:dyDescent="0.25">
      <c r="A93">
        <v>84</v>
      </c>
      <c r="B93">
        <v>11.25</v>
      </c>
      <c r="C93">
        <v>0.98660000000000003</v>
      </c>
      <c r="D93">
        <v>11.16</v>
      </c>
      <c r="E93">
        <v>0.97909999999999997</v>
      </c>
      <c r="F93">
        <f t="shared" si="4"/>
        <v>0.98660000000000003</v>
      </c>
      <c r="G93">
        <f t="shared" si="5"/>
        <v>0.97909999999999997</v>
      </c>
    </row>
    <row r="94" spans="1:7" x14ac:dyDescent="0.25">
      <c r="A94">
        <v>85</v>
      </c>
      <c r="B94">
        <v>11.23</v>
      </c>
      <c r="C94">
        <v>0.98529999999999995</v>
      </c>
      <c r="D94">
        <v>11.14</v>
      </c>
      <c r="E94">
        <v>0.97699999999999998</v>
      </c>
      <c r="F94">
        <f t="shared" si="4"/>
        <v>0.98529999999999995</v>
      </c>
      <c r="G94">
        <f t="shared" si="5"/>
        <v>0.97699999999999998</v>
      </c>
    </row>
    <row r="95" spans="1:7" x14ac:dyDescent="0.25">
      <c r="A95">
        <v>88</v>
      </c>
      <c r="B95">
        <v>11.11</v>
      </c>
      <c r="C95">
        <v>0.97499999999999998</v>
      </c>
      <c r="D95">
        <v>11.16</v>
      </c>
      <c r="E95">
        <v>0.97860000000000003</v>
      </c>
      <c r="F95">
        <f t="shared" si="4"/>
        <v>0.97499999999999998</v>
      </c>
      <c r="G95">
        <f t="shared" si="5"/>
        <v>0.97860000000000003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1"/>
  <sheetViews>
    <sheetView workbookViewId="0">
      <selection activeCell="N36" sqref="N36"/>
    </sheetView>
  </sheetViews>
  <sheetFormatPr defaultRowHeight="15" x14ac:dyDescent="0.25"/>
  <sheetData>
    <row r="1" spans="1:7" x14ac:dyDescent="0.25">
      <c r="A1" s="1" t="s">
        <v>561</v>
      </c>
      <c r="B1" s="1"/>
      <c r="C1" s="1" t="s">
        <v>562</v>
      </c>
      <c r="F1" s="1" t="s">
        <v>563</v>
      </c>
      <c r="G1" s="1" t="s">
        <v>564</v>
      </c>
    </row>
    <row r="2" spans="1:7" x14ac:dyDescent="0.25">
      <c r="A2">
        <v>1</v>
      </c>
      <c r="B2">
        <v>12.66</v>
      </c>
      <c r="C2">
        <v>1</v>
      </c>
      <c r="D2">
        <v>12.66</v>
      </c>
      <c r="E2">
        <v>0.99990000000000001</v>
      </c>
      <c r="F2">
        <f>C2</f>
        <v>1</v>
      </c>
      <c r="G2">
        <f t="shared" ref="G2:G33" si="0">E2</f>
        <v>0.99990000000000001</v>
      </c>
    </row>
    <row r="3" spans="1:7" x14ac:dyDescent="0.25">
      <c r="A3">
        <v>2</v>
      </c>
      <c r="B3">
        <v>12.66</v>
      </c>
      <c r="C3">
        <v>0.99990000000000001</v>
      </c>
      <c r="D3">
        <v>12.66</v>
      </c>
      <c r="E3">
        <v>0.99990000000000001</v>
      </c>
      <c r="F3">
        <f t="shared" ref="F3:F66" si="1">C3</f>
        <v>0.99990000000000001</v>
      </c>
      <c r="G3">
        <f t="shared" si="0"/>
        <v>0.99990000000000001</v>
      </c>
    </row>
    <row r="4" spans="1:7" x14ac:dyDescent="0.25">
      <c r="A4">
        <v>3</v>
      </c>
      <c r="B4">
        <v>12.66</v>
      </c>
      <c r="C4">
        <v>0.99990000000000001</v>
      </c>
      <c r="D4">
        <v>12.66</v>
      </c>
      <c r="E4">
        <v>0.99980000000000002</v>
      </c>
      <c r="F4">
        <f t="shared" si="1"/>
        <v>0.99990000000000001</v>
      </c>
      <c r="G4">
        <f t="shared" si="0"/>
        <v>0.99980000000000002</v>
      </c>
    </row>
    <row r="5" spans="1:7" x14ac:dyDescent="0.25">
      <c r="A5">
        <v>4</v>
      </c>
      <c r="B5">
        <v>12.66</v>
      </c>
      <c r="C5">
        <v>0.99990000000000001</v>
      </c>
      <c r="D5">
        <v>12.66</v>
      </c>
      <c r="E5">
        <v>0.99980000000000002</v>
      </c>
      <c r="F5">
        <f t="shared" si="1"/>
        <v>0.99990000000000001</v>
      </c>
      <c r="G5">
        <f t="shared" si="0"/>
        <v>0.99980000000000002</v>
      </c>
    </row>
    <row r="6" spans="1:7" x14ac:dyDescent="0.25">
      <c r="A6">
        <v>29</v>
      </c>
      <c r="B6">
        <v>12.66</v>
      </c>
      <c r="C6">
        <v>0.99990000000000001</v>
      </c>
      <c r="D6">
        <v>12.66</v>
      </c>
      <c r="E6">
        <v>0.99980000000000002</v>
      </c>
      <c r="F6">
        <f t="shared" si="1"/>
        <v>0.99990000000000001</v>
      </c>
      <c r="G6">
        <f t="shared" si="0"/>
        <v>0.99980000000000002</v>
      </c>
    </row>
    <row r="7" spans="1:7" x14ac:dyDescent="0.25">
      <c r="A7">
        <v>5</v>
      </c>
      <c r="B7">
        <v>12.66</v>
      </c>
      <c r="C7">
        <v>0.99980000000000002</v>
      </c>
      <c r="D7">
        <v>12.66</v>
      </c>
      <c r="E7">
        <v>0.99980000000000002</v>
      </c>
      <c r="F7">
        <f t="shared" si="1"/>
        <v>0.99980000000000002</v>
      </c>
      <c r="G7">
        <f t="shared" si="0"/>
        <v>0.99980000000000002</v>
      </c>
    </row>
    <row r="8" spans="1:7" x14ac:dyDescent="0.25">
      <c r="A8">
        <v>37</v>
      </c>
      <c r="B8">
        <v>12.66</v>
      </c>
      <c r="C8">
        <v>0.99990000000000001</v>
      </c>
      <c r="D8">
        <v>12.66</v>
      </c>
      <c r="E8">
        <v>0.99970000000000003</v>
      </c>
      <c r="F8">
        <f t="shared" si="1"/>
        <v>0.99990000000000001</v>
      </c>
      <c r="G8">
        <f t="shared" si="0"/>
        <v>0.99970000000000003</v>
      </c>
    </row>
    <row r="9" spans="1:7" x14ac:dyDescent="0.25">
      <c r="A9">
        <v>6</v>
      </c>
      <c r="B9">
        <v>12.65</v>
      </c>
      <c r="C9">
        <v>0.999</v>
      </c>
      <c r="D9">
        <v>12.66</v>
      </c>
      <c r="E9">
        <v>0.99960000000000004</v>
      </c>
      <c r="F9">
        <f t="shared" si="1"/>
        <v>0.999</v>
      </c>
      <c r="G9">
        <f t="shared" si="0"/>
        <v>0.99960000000000004</v>
      </c>
    </row>
    <row r="10" spans="1:7" x14ac:dyDescent="0.25">
      <c r="A10">
        <v>48</v>
      </c>
      <c r="B10">
        <v>12.66</v>
      </c>
      <c r="C10">
        <v>0.99980000000000002</v>
      </c>
      <c r="D10">
        <v>12.66</v>
      </c>
      <c r="E10">
        <v>0.99970000000000003</v>
      </c>
      <c r="F10">
        <f t="shared" si="1"/>
        <v>0.99980000000000002</v>
      </c>
      <c r="G10">
        <f t="shared" si="0"/>
        <v>0.99970000000000003</v>
      </c>
    </row>
    <row r="11" spans="1:7" x14ac:dyDescent="0.25">
      <c r="A11">
        <v>7</v>
      </c>
      <c r="B11">
        <v>12.53</v>
      </c>
      <c r="C11">
        <v>0.99009999999999998</v>
      </c>
      <c r="D11">
        <v>12.63</v>
      </c>
      <c r="E11">
        <v>0.99760000000000004</v>
      </c>
      <c r="F11">
        <f t="shared" si="1"/>
        <v>0.99009999999999998</v>
      </c>
      <c r="G11">
        <f t="shared" si="0"/>
        <v>0.99760000000000004</v>
      </c>
    </row>
    <row r="12" spans="1:7" x14ac:dyDescent="0.25">
      <c r="A12">
        <v>8</v>
      </c>
      <c r="B12">
        <v>12.42</v>
      </c>
      <c r="C12">
        <v>0.98080000000000001</v>
      </c>
      <c r="D12">
        <v>12.6</v>
      </c>
      <c r="E12">
        <v>0.99539999999999995</v>
      </c>
      <c r="F12">
        <f t="shared" si="1"/>
        <v>0.98080000000000001</v>
      </c>
      <c r="G12">
        <f t="shared" si="0"/>
        <v>0.99539999999999995</v>
      </c>
    </row>
    <row r="13" spans="1:7" x14ac:dyDescent="0.25">
      <c r="A13">
        <v>9</v>
      </c>
      <c r="B13">
        <v>12.39</v>
      </c>
      <c r="C13">
        <v>0.97860000000000003</v>
      </c>
      <c r="D13">
        <v>12.6</v>
      </c>
      <c r="E13">
        <v>0.99490000000000001</v>
      </c>
      <c r="F13">
        <f t="shared" si="1"/>
        <v>0.97860000000000003</v>
      </c>
      <c r="G13">
        <f t="shared" si="0"/>
        <v>0.99490000000000001</v>
      </c>
    </row>
    <row r="14" spans="1:7" x14ac:dyDescent="0.25">
      <c r="A14">
        <v>10</v>
      </c>
      <c r="B14">
        <v>12.38</v>
      </c>
      <c r="C14">
        <v>0.97750000000000004</v>
      </c>
      <c r="D14">
        <v>12.59</v>
      </c>
      <c r="E14">
        <v>0.99470000000000003</v>
      </c>
      <c r="F14">
        <f t="shared" si="1"/>
        <v>0.97750000000000004</v>
      </c>
      <c r="G14">
        <f t="shared" si="0"/>
        <v>0.99470000000000003</v>
      </c>
    </row>
    <row r="15" spans="1:7" x14ac:dyDescent="0.25">
      <c r="A15">
        <v>52</v>
      </c>
      <c r="B15">
        <v>12.39</v>
      </c>
      <c r="C15">
        <v>0.97860000000000003</v>
      </c>
      <c r="D15">
        <v>12.6</v>
      </c>
      <c r="E15">
        <v>0.99490000000000001</v>
      </c>
      <c r="F15">
        <f t="shared" si="1"/>
        <v>0.97860000000000003</v>
      </c>
      <c r="G15">
        <f t="shared" si="0"/>
        <v>0.99490000000000001</v>
      </c>
    </row>
    <row r="16" spans="1:7" x14ac:dyDescent="0.25">
      <c r="A16">
        <v>11</v>
      </c>
      <c r="B16">
        <v>12.31</v>
      </c>
      <c r="C16">
        <v>0.97250000000000003</v>
      </c>
      <c r="D16">
        <v>12.56</v>
      </c>
      <c r="E16">
        <v>0.99209999999999998</v>
      </c>
      <c r="F16">
        <f t="shared" si="1"/>
        <v>0.97250000000000003</v>
      </c>
      <c r="G16">
        <f t="shared" si="0"/>
        <v>0.99209999999999998</v>
      </c>
    </row>
    <row r="17" spans="1:7" x14ac:dyDescent="0.25">
      <c r="A17">
        <v>54</v>
      </c>
      <c r="B17">
        <v>12.34</v>
      </c>
      <c r="C17">
        <v>0.97470000000000001</v>
      </c>
      <c r="D17">
        <v>12.59</v>
      </c>
      <c r="E17">
        <v>0.99470000000000003</v>
      </c>
      <c r="F17">
        <f t="shared" si="1"/>
        <v>0.97470000000000001</v>
      </c>
      <c r="G17">
        <f t="shared" si="0"/>
        <v>0.99470000000000003</v>
      </c>
    </row>
    <row r="18" spans="1:7" x14ac:dyDescent="0.25">
      <c r="A18">
        <v>12</v>
      </c>
      <c r="B18">
        <v>12.3</v>
      </c>
      <c r="C18">
        <v>0.97140000000000004</v>
      </c>
      <c r="D18">
        <v>12.55</v>
      </c>
      <c r="E18">
        <v>0.99160000000000004</v>
      </c>
      <c r="F18">
        <f t="shared" si="1"/>
        <v>0.97140000000000004</v>
      </c>
      <c r="G18">
        <f t="shared" si="0"/>
        <v>0.99160000000000004</v>
      </c>
    </row>
    <row r="19" spans="1:7" x14ac:dyDescent="0.25">
      <c r="A19">
        <v>13</v>
      </c>
      <c r="B19">
        <v>12.26</v>
      </c>
      <c r="C19">
        <v>0.96830000000000005</v>
      </c>
      <c r="D19">
        <v>12.54</v>
      </c>
      <c r="E19">
        <v>0.99050000000000005</v>
      </c>
      <c r="F19">
        <f t="shared" si="1"/>
        <v>0.96830000000000005</v>
      </c>
      <c r="G19">
        <f t="shared" si="0"/>
        <v>0.99050000000000005</v>
      </c>
    </row>
    <row r="20" spans="1:7" x14ac:dyDescent="0.25">
      <c r="A20">
        <v>44</v>
      </c>
      <c r="B20">
        <v>12.64</v>
      </c>
      <c r="C20">
        <v>0.99850000000000005</v>
      </c>
      <c r="D20">
        <v>12.22</v>
      </c>
      <c r="E20">
        <v>0.96550000000000002</v>
      </c>
      <c r="F20">
        <f t="shared" si="1"/>
        <v>0.99850000000000005</v>
      </c>
      <c r="G20">
        <f t="shared" si="0"/>
        <v>0.96550000000000002</v>
      </c>
    </row>
    <row r="21" spans="1:7" x14ac:dyDescent="0.25">
      <c r="A21">
        <v>67</v>
      </c>
      <c r="B21">
        <v>12.3</v>
      </c>
      <c r="C21">
        <v>0.97140000000000004</v>
      </c>
      <c r="D21">
        <v>12.55</v>
      </c>
      <c r="E21">
        <v>0.99150000000000005</v>
      </c>
      <c r="F21">
        <f t="shared" si="1"/>
        <v>0.97140000000000004</v>
      </c>
      <c r="G21">
        <f t="shared" si="0"/>
        <v>0.99150000000000005</v>
      </c>
    </row>
    <row r="22" spans="1:7" x14ac:dyDescent="0.25">
      <c r="A22">
        <v>14</v>
      </c>
      <c r="B22">
        <v>12.22</v>
      </c>
      <c r="C22">
        <v>0.96540000000000004</v>
      </c>
      <c r="D22">
        <v>11.68</v>
      </c>
      <c r="E22">
        <v>0.92290000000000005</v>
      </c>
      <c r="F22">
        <f t="shared" si="1"/>
        <v>0.96540000000000004</v>
      </c>
      <c r="G22">
        <f t="shared" si="0"/>
        <v>0.92290000000000005</v>
      </c>
    </row>
    <row r="23" spans="1:7" x14ac:dyDescent="0.25">
      <c r="A23">
        <v>69</v>
      </c>
      <c r="B23">
        <v>12.25</v>
      </c>
      <c r="C23">
        <v>0.96799999999999997</v>
      </c>
      <c r="D23">
        <v>12.54</v>
      </c>
      <c r="E23">
        <v>0.99009999999999998</v>
      </c>
      <c r="F23">
        <f t="shared" si="1"/>
        <v>0.96799999999999997</v>
      </c>
      <c r="G23">
        <f t="shared" si="0"/>
        <v>0.99009999999999998</v>
      </c>
    </row>
    <row r="24" spans="1:7" x14ac:dyDescent="0.25">
      <c r="A24">
        <v>15</v>
      </c>
      <c r="B24">
        <v>12.19</v>
      </c>
      <c r="C24">
        <v>0.96250000000000002</v>
      </c>
      <c r="D24">
        <v>11.89</v>
      </c>
      <c r="E24">
        <v>0.93910000000000005</v>
      </c>
      <c r="F24">
        <f t="shared" si="1"/>
        <v>0.96250000000000002</v>
      </c>
      <c r="G24">
        <f t="shared" si="0"/>
        <v>0.93910000000000005</v>
      </c>
    </row>
    <row r="25" spans="1:7" x14ac:dyDescent="0.25">
      <c r="A25">
        <v>22</v>
      </c>
      <c r="B25">
        <v>12.12</v>
      </c>
      <c r="C25">
        <v>0.95699999999999996</v>
      </c>
      <c r="D25">
        <v>11.55</v>
      </c>
      <c r="E25">
        <v>0.91220000000000001</v>
      </c>
      <c r="F25">
        <f t="shared" si="1"/>
        <v>0.95699999999999996</v>
      </c>
      <c r="G25">
        <f t="shared" si="0"/>
        <v>0.91220000000000001</v>
      </c>
    </row>
    <row r="26" spans="1:7" x14ac:dyDescent="0.25">
      <c r="A26">
        <v>16</v>
      </c>
      <c r="B26">
        <v>12.15</v>
      </c>
      <c r="C26">
        <v>0.9597</v>
      </c>
      <c r="D26">
        <v>11.87</v>
      </c>
      <c r="E26">
        <v>0.93769999999999998</v>
      </c>
      <c r="F26">
        <f t="shared" si="1"/>
        <v>0.9597</v>
      </c>
      <c r="G26">
        <f t="shared" si="0"/>
        <v>0.93769999999999998</v>
      </c>
    </row>
    <row r="27" spans="1:7" x14ac:dyDescent="0.25">
      <c r="A27">
        <v>47</v>
      </c>
      <c r="B27">
        <v>12.64</v>
      </c>
      <c r="C27">
        <v>0.99839999999999995</v>
      </c>
      <c r="D27">
        <v>12.18</v>
      </c>
      <c r="E27">
        <v>0.96240000000000003</v>
      </c>
      <c r="F27">
        <f t="shared" si="1"/>
        <v>0.99839999999999995</v>
      </c>
      <c r="G27">
        <f t="shared" si="0"/>
        <v>0.96240000000000003</v>
      </c>
    </row>
    <row r="28" spans="1:7" x14ac:dyDescent="0.25">
      <c r="A28">
        <v>17</v>
      </c>
      <c r="B28">
        <v>12.14</v>
      </c>
      <c r="C28">
        <v>0.95909999999999995</v>
      </c>
      <c r="D28">
        <v>11.87</v>
      </c>
      <c r="E28">
        <v>0.93740000000000001</v>
      </c>
      <c r="F28">
        <f t="shared" si="1"/>
        <v>0.95909999999999995</v>
      </c>
      <c r="G28">
        <f t="shared" si="0"/>
        <v>0.93740000000000001</v>
      </c>
    </row>
    <row r="29" spans="1:7" x14ac:dyDescent="0.25">
      <c r="A29">
        <v>18</v>
      </c>
      <c r="B29">
        <v>12.13</v>
      </c>
      <c r="C29">
        <v>0.95830000000000004</v>
      </c>
      <c r="D29">
        <v>11.86</v>
      </c>
      <c r="E29">
        <v>0.93710000000000004</v>
      </c>
      <c r="F29">
        <f t="shared" si="1"/>
        <v>0.95830000000000004</v>
      </c>
      <c r="G29">
        <f t="shared" si="0"/>
        <v>0.93710000000000004</v>
      </c>
    </row>
    <row r="30" spans="1:7" x14ac:dyDescent="0.25">
      <c r="A30">
        <v>19</v>
      </c>
      <c r="B30">
        <v>12.13</v>
      </c>
      <c r="C30">
        <v>0.95820000000000005</v>
      </c>
      <c r="D30">
        <v>11.86</v>
      </c>
      <c r="E30">
        <v>0.93710000000000004</v>
      </c>
      <c r="F30">
        <f t="shared" si="1"/>
        <v>0.95820000000000005</v>
      </c>
      <c r="G30">
        <f t="shared" si="0"/>
        <v>0.93710000000000004</v>
      </c>
    </row>
    <row r="31" spans="1:7" x14ac:dyDescent="0.25">
      <c r="A31">
        <v>20</v>
      </c>
      <c r="B31">
        <v>12.13</v>
      </c>
      <c r="C31">
        <v>0.95779999999999998</v>
      </c>
      <c r="D31">
        <v>11.86</v>
      </c>
      <c r="E31">
        <v>0.93710000000000004</v>
      </c>
      <c r="F31">
        <f t="shared" si="1"/>
        <v>0.95779999999999998</v>
      </c>
      <c r="G31">
        <f t="shared" si="0"/>
        <v>0.93710000000000004</v>
      </c>
    </row>
    <row r="32" spans="1:7" x14ac:dyDescent="0.25">
      <c r="A32">
        <v>21</v>
      </c>
      <c r="B32">
        <v>12.12</v>
      </c>
      <c r="C32">
        <v>0.95750000000000002</v>
      </c>
      <c r="D32">
        <v>11.86</v>
      </c>
      <c r="E32">
        <v>0.93710000000000004</v>
      </c>
      <c r="F32">
        <f t="shared" si="1"/>
        <v>0.95750000000000002</v>
      </c>
      <c r="G32">
        <f t="shared" si="0"/>
        <v>0.93710000000000004</v>
      </c>
    </row>
    <row r="33" spans="1:7" x14ac:dyDescent="0.25">
      <c r="A33">
        <v>23</v>
      </c>
      <c r="B33">
        <v>12.12</v>
      </c>
      <c r="C33">
        <v>0.95699999999999996</v>
      </c>
      <c r="D33">
        <v>11.55</v>
      </c>
      <c r="E33">
        <v>0.91200000000000003</v>
      </c>
      <c r="F33">
        <f t="shared" si="1"/>
        <v>0.95699999999999996</v>
      </c>
      <c r="G33">
        <f t="shared" si="0"/>
        <v>0.91200000000000003</v>
      </c>
    </row>
    <row r="34" spans="1:7" x14ac:dyDescent="0.25">
      <c r="A34">
        <v>24</v>
      </c>
      <c r="B34">
        <v>12.11</v>
      </c>
      <c r="C34">
        <v>0.95689999999999997</v>
      </c>
      <c r="D34">
        <v>11.52</v>
      </c>
      <c r="E34">
        <v>0.90969999999999995</v>
      </c>
      <c r="F34">
        <f t="shared" si="1"/>
        <v>0.95689999999999997</v>
      </c>
      <c r="G34">
        <f t="shared" ref="G34:G65" si="2">E34</f>
        <v>0.90969999999999995</v>
      </c>
    </row>
    <row r="35" spans="1:7" x14ac:dyDescent="0.25">
      <c r="A35">
        <v>25</v>
      </c>
      <c r="B35">
        <v>12.11</v>
      </c>
      <c r="C35">
        <v>0.95679999999999998</v>
      </c>
      <c r="D35">
        <v>11.45</v>
      </c>
      <c r="E35">
        <v>0.90469999999999995</v>
      </c>
      <c r="F35">
        <f t="shared" si="1"/>
        <v>0.95679999999999998</v>
      </c>
      <c r="G35">
        <f t="shared" si="2"/>
        <v>0.90469999999999995</v>
      </c>
    </row>
    <row r="36" spans="1:7" x14ac:dyDescent="0.25">
      <c r="A36">
        <v>26</v>
      </c>
      <c r="B36">
        <v>12.11</v>
      </c>
      <c r="C36">
        <v>0.95660000000000001</v>
      </c>
      <c r="D36">
        <v>11.32</v>
      </c>
      <c r="E36">
        <v>0.89400000000000002</v>
      </c>
      <c r="F36">
        <f t="shared" si="1"/>
        <v>0.95660000000000001</v>
      </c>
      <c r="G36">
        <f t="shared" si="2"/>
        <v>0.89400000000000002</v>
      </c>
    </row>
    <row r="37" spans="1:7" x14ac:dyDescent="0.25">
      <c r="A37">
        <v>27</v>
      </c>
      <c r="B37">
        <v>12.11</v>
      </c>
      <c r="C37">
        <v>0.95650000000000002</v>
      </c>
      <c r="D37">
        <v>11.26</v>
      </c>
      <c r="E37">
        <v>0.88959999999999995</v>
      </c>
      <c r="F37">
        <f t="shared" si="1"/>
        <v>0.95650000000000002</v>
      </c>
      <c r="G37">
        <f t="shared" si="2"/>
        <v>0.88959999999999995</v>
      </c>
    </row>
    <row r="38" spans="1:7" x14ac:dyDescent="0.25">
      <c r="A38">
        <v>28</v>
      </c>
      <c r="B38">
        <v>12.11</v>
      </c>
      <c r="C38">
        <v>0.95650000000000002</v>
      </c>
      <c r="D38">
        <v>11.23</v>
      </c>
      <c r="E38">
        <v>0.88719999999999999</v>
      </c>
      <c r="F38">
        <f t="shared" si="1"/>
        <v>0.95650000000000002</v>
      </c>
      <c r="G38">
        <f t="shared" si="2"/>
        <v>0.88719999999999999</v>
      </c>
    </row>
    <row r="39" spans="1:7" x14ac:dyDescent="0.25">
      <c r="A39">
        <v>66</v>
      </c>
      <c r="B39">
        <v>11.51</v>
      </c>
      <c r="C39">
        <v>0.9093</v>
      </c>
      <c r="D39">
        <v>10.99</v>
      </c>
      <c r="E39">
        <v>0.86780000000000002</v>
      </c>
      <c r="F39">
        <f t="shared" si="1"/>
        <v>0.9093</v>
      </c>
      <c r="G39">
        <f t="shared" si="2"/>
        <v>0.86780000000000002</v>
      </c>
    </row>
    <row r="40" spans="1:7" x14ac:dyDescent="0.25">
      <c r="A40">
        <v>30</v>
      </c>
      <c r="B40">
        <v>12.66</v>
      </c>
      <c r="C40">
        <v>0.99980000000000002</v>
      </c>
      <c r="D40">
        <v>12.66</v>
      </c>
      <c r="E40">
        <v>0.99980000000000002</v>
      </c>
      <c r="F40">
        <f t="shared" si="1"/>
        <v>0.99980000000000002</v>
      </c>
      <c r="G40">
        <f t="shared" si="2"/>
        <v>0.99980000000000002</v>
      </c>
    </row>
    <row r="41" spans="1:7" x14ac:dyDescent="0.25">
      <c r="A41">
        <v>31</v>
      </c>
      <c r="B41">
        <v>12.66</v>
      </c>
      <c r="C41">
        <v>0.99970000000000003</v>
      </c>
      <c r="D41">
        <v>12.66</v>
      </c>
      <c r="E41">
        <v>0.99970000000000003</v>
      </c>
      <c r="F41">
        <f t="shared" si="1"/>
        <v>0.99970000000000003</v>
      </c>
      <c r="G41">
        <f t="shared" si="2"/>
        <v>0.99970000000000003</v>
      </c>
    </row>
    <row r="42" spans="1:7" x14ac:dyDescent="0.25">
      <c r="A42">
        <v>32</v>
      </c>
      <c r="B42">
        <v>12.66</v>
      </c>
      <c r="C42">
        <v>0.99970000000000003</v>
      </c>
      <c r="D42">
        <v>12.66</v>
      </c>
      <c r="E42">
        <v>0.99960000000000004</v>
      </c>
      <c r="F42">
        <f t="shared" si="1"/>
        <v>0.99970000000000003</v>
      </c>
      <c r="G42">
        <f t="shared" si="2"/>
        <v>0.99960000000000004</v>
      </c>
    </row>
    <row r="43" spans="1:7" x14ac:dyDescent="0.25">
      <c r="A43">
        <v>33</v>
      </c>
      <c r="B43">
        <v>12.65</v>
      </c>
      <c r="C43">
        <v>0.99960000000000004</v>
      </c>
      <c r="D43">
        <v>12.65</v>
      </c>
      <c r="E43">
        <v>0.99950000000000006</v>
      </c>
      <c r="F43">
        <f t="shared" si="1"/>
        <v>0.99960000000000004</v>
      </c>
      <c r="G43">
        <f t="shared" si="2"/>
        <v>0.99950000000000006</v>
      </c>
    </row>
    <row r="44" spans="1:7" x14ac:dyDescent="0.25">
      <c r="A44">
        <v>34</v>
      </c>
      <c r="B44">
        <v>12.65</v>
      </c>
      <c r="C44">
        <v>0.99929999999999997</v>
      </c>
      <c r="D44">
        <v>12.65</v>
      </c>
      <c r="E44">
        <v>0.99929999999999997</v>
      </c>
      <c r="F44">
        <f t="shared" si="1"/>
        <v>0.99929999999999997</v>
      </c>
      <c r="G44">
        <f t="shared" si="2"/>
        <v>0.99929999999999997</v>
      </c>
    </row>
    <row r="45" spans="1:7" x14ac:dyDescent="0.25">
      <c r="A45">
        <v>35</v>
      </c>
      <c r="B45">
        <v>12.65</v>
      </c>
      <c r="C45">
        <v>0.999</v>
      </c>
      <c r="D45">
        <v>12.65</v>
      </c>
      <c r="E45">
        <v>0.99890000000000001</v>
      </c>
      <c r="F45">
        <f t="shared" si="1"/>
        <v>0.999</v>
      </c>
      <c r="G45">
        <f t="shared" si="2"/>
        <v>0.99890000000000001</v>
      </c>
    </row>
    <row r="46" spans="1:7" x14ac:dyDescent="0.25">
      <c r="A46">
        <v>36</v>
      </c>
      <c r="B46">
        <v>12.65</v>
      </c>
      <c r="C46">
        <v>0.99890000000000001</v>
      </c>
      <c r="D46">
        <v>12.65</v>
      </c>
      <c r="E46">
        <v>0.99890000000000001</v>
      </c>
      <c r="F46">
        <f t="shared" si="1"/>
        <v>0.99890000000000001</v>
      </c>
      <c r="G46">
        <f t="shared" si="2"/>
        <v>0.99890000000000001</v>
      </c>
    </row>
    <row r="47" spans="1:7" x14ac:dyDescent="0.25">
      <c r="A47">
        <v>38</v>
      </c>
      <c r="B47">
        <v>12.66</v>
      </c>
      <c r="C47">
        <v>0.99970000000000003</v>
      </c>
      <c r="D47">
        <v>12.62</v>
      </c>
      <c r="E47">
        <v>0.99709999999999999</v>
      </c>
      <c r="F47">
        <f t="shared" si="1"/>
        <v>0.99970000000000003</v>
      </c>
      <c r="G47">
        <f t="shared" si="2"/>
        <v>0.99709999999999999</v>
      </c>
    </row>
    <row r="48" spans="1:7" x14ac:dyDescent="0.25">
      <c r="A48">
        <v>39</v>
      </c>
      <c r="B48">
        <v>12.65</v>
      </c>
      <c r="C48">
        <v>0.99960000000000004</v>
      </c>
      <c r="D48">
        <v>12.59</v>
      </c>
      <c r="E48">
        <v>0.99429999999999996</v>
      </c>
      <c r="F48">
        <f t="shared" si="1"/>
        <v>0.99960000000000004</v>
      </c>
      <c r="G48">
        <f t="shared" si="2"/>
        <v>0.99429999999999996</v>
      </c>
    </row>
    <row r="49" spans="1:7" x14ac:dyDescent="0.25">
      <c r="A49">
        <v>40</v>
      </c>
      <c r="B49">
        <v>12.65</v>
      </c>
      <c r="C49">
        <v>0.99950000000000006</v>
      </c>
      <c r="D49">
        <v>12.58</v>
      </c>
      <c r="E49">
        <v>0.99350000000000005</v>
      </c>
      <c r="F49">
        <f t="shared" si="1"/>
        <v>0.99950000000000006</v>
      </c>
      <c r="G49">
        <f t="shared" si="2"/>
        <v>0.99350000000000005</v>
      </c>
    </row>
    <row r="50" spans="1:7" x14ac:dyDescent="0.25">
      <c r="A50">
        <v>41</v>
      </c>
      <c r="B50">
        <v>12.65</v>
      </c>
      <c r="C50">
        <v>0.99950000000000006</v>
      </c>
      <c r="D50">
        <v>12.58</v>
      </c>
      <c r="E50">
        <v>0.99350000000000005</v>
      </c>
      <c r="F50">
        <f t="shared" si="1"/>
        <v>0.99950000000000006</v>
      </c>
      <c r="G50">
        <f t="shared" si="2"/>
        <v>0.99350000000000005</v>
      </c>
    </row>
    <row r="51" spans="1:7" x14ac:dyDescent="0.25">
      <c r="A51">
        <v>42</v>
      </c>
      <c r="B51">
        <v>12.65</v>
      </c>
      <c r="C51">
        <v>0.99890000000000001</v>
      </c>
      <c r="D51">
        <v>12.34</v>
      </c>
      <c r="E51">
        <v>0.97460000000000002</v>
      </c>
      <c r="F51">
        <f t="shared" si="1"/>
        <v>0.99890000000000001</v>
      </c>
      <c r="G51">
        <f t="shared" si="2"/>
        <v>0.97460000000000002</v>
      </c>
    </row>
    <row r="52" spans="1:7" x14ac:dyDescent="0.25">
      <c r="A52">
        <v>43</v>
      </c>
      <c r="B52">
        <v>12.64</v>
      </c>
      <c r="C52">
        <v>0.99860000000000004</v>
      </c>
      <c r="D52">
        <v>12.24</v>
      </c>
      <c r="E52">
        <v>0.96660000000000001</v>
      </c>
      <c r="F52">
        <f t="shared" si="1"/>
        <v>0.99860000000000004</v>
      </c>
      <c r="G52">
        <f t="shared" si="2"/>
        <v>0.96660000000000001</v>
      </c>
    </row>
    <row r="53" spans="1:7" x14ac:dyDescent="0.25">
      <c r="A53">
        <v>45</v>
      </c>
      <c r="B53">
        <v>12.64</v>
      </c>
      <c r="C53">
        <v>0.99850000000000005</v>
      </c>
      <c r="D53">
        <v>12.22</v>
      </c>
      <c r="E53">
        <v>0.96530000000000005</v>
      </c>
      <c r="F53">
        <f t="shared" si="1"/>
        <v>0.99850000000000005</v>
      </c>
      <c r="G53">
        <f t="shared" si="2"/>
        <v>0.96530000000000005</v>
      </c>
    </row>
    <row r="54" spans="1:7" x14ac:dyDescent="0.25">
      <c r="A54">
        <v>46</v>
      </c>
      <c r="B54">
        <v>12.64</v>
      </c>
      <c r="C54">
        <v>0.99839999999999995</v>
      </c>
      <c r="D54">
        <v>12.18</v>
      </c>
      <c r="E54">
        <v>0.96240000000000003</v>
      </c>
      <c r="F54">
        <f t="shared" si="1"/>
        <v>0.99839999999999995</v>
      </c>
      <c r="G54">
        <f t="shared" si="2"/>
        <v>0.96240000000000003</v>
      </c>
    </row>
    <row r="55" spans="1:7" x14ac:dyDescent="0.25">
      <c r="A55">
        <v>49</v>
      </c>
      <c r="B55">
        <v>12.64</v>
      </c>
      <c r="C55">
        <v>0.99850000000000005</v>
      </c>
      <c r="D55">
        <v>12.64</v>
      </c>
      <c r="E55">
        <v>0.99839999999999995</v>
      </c>
      <c r="F55">
        <f t="shared" si="1"/>
        <v>0.99850000000000005</v>
      </c>
      <c r="G55">
        <f t="shared" si="2"/>
        <v>0.99839999999999995</v>
      </c>
    </row>
    <row r="56" spans="1:7" x14ac:dyDescent="0.25">
      <c r="A56">
        <v>50</v>
      </c>
      <c r="B56">
        <v>12.59</v>
      </c>
      <c r="C56">
        <v>0.99470000000000003</v>
      </c>
      <c r="D56">
        <v>12.58</v>
      </c>
      <c r="E56">
        <v>0.99399999999999999</v>
      </c>
      <c r="F56">
        <f t="shared" si="1"/>
        <v>0.99470000000000003</v>
      </c>
      <c r="G56">
        <f t="shared" si="2"/>
        <v>0.99399999999999999</v>
      </c>
    </row>
    <row r="57" spans="1:7" x14ac:dyDescent="0.25">
      <c r="A57">
        <v>51</v>
      </c>
      <c r="B57">
        <v>12.59</v>
      </c>
      <c r="C57">
        <v>0.99409999999999998</v>
      </c>
      <c r="D57">
        <v>12.58</v>
      </c>
      <c r="E57">
        <v>0.99329999999999996</v>
      </c>
      <c r="F57">
        <f t="shared" si="1"/>
        <v>0.99409999999999998</v>
      </c>
      <c r="G57">
        <f t="shared" si="2"/>
        <v>0.99329999999999996</v>
      </c>
    </row>
    <row r="58" spans="1:7" x14ac:dyDescent="0.25">
      <c r="A58">
        <v>60</v>
      </c>
      <c r="B58">
        <v>11.71</v>
      </c>
      <c r="C58">
        <v>0.92490000000000006</v>
      </c>
      <c r="D58">
        <v>12.55</v>
      </c>
      <c r="E58">
        <v>0.99119999999999997</v>
      </c>
      <c r="F58">
        <f t="shared" si="1"/>
        <v>0.92490000000000006</v>
      </c>
      <c r="G58">
        <f t="shared" si="2"/>
        <v>0.99119999999999997</v>
      </c>
    </row>
    <row r="59" spans="1:7" x14ac:dyDescent="0.25">
      <c r="A59">
        <v>53</v>
      </c>
      <c r="B59">
        <v>12.39</v>
      </c>
      <c r="C59">
        <v>0.97860000000000003</v>
      </c>
      <c r="D59">
        <v>12.6</v>
      </c>
      <c r="E59">
        <v>0.99490000000000001</v>
      </c>
      <c r="F59">
        <f t="shared" si="1"/>
        <v>0.97860000000000003</v>
      </c>
      <c r="G59">
        <f t="shared" si="2"/>
        <v>0.99490000000000001</v>
      </c>
    </row>
    <row r="60" spans="1:7" x14ac:dyDescent="0.25">
      <c r="A60">
        <v>55</v>
      </c>
      <c r="B60">
        <v>12.3</v>
      </c>
      <c r="C60">
        <v>0.97150000000000003</v>
      </c>
      <c r="D60">
        <v>12.59</v>
      </c>
      <c r="E60">
        <v>0.99460000000000004</v>
      </c>
      <c r="F60">
        <f t="shared" si="1"/>
        <v>0.97150000000000003</v>
      </c>
      <c r="G60">
        <f t="shared" si="2"/>
        <v>0.99460000000000004</v>
      </c>
    </row>
    <row r="61" spans="1:7" x14ac:dyDescent="0.25">
      <c r="A61">
        <v>56</v>
      </c>
      <c r="B61">
        <v>12.24</v>
      </c>
      <c r="C61">
        <v>0.96699999999999997</v>
      </c>
      <c r="D61">
        <v>12.59</v>
      </c>
      <c r="E61">
        <v>0.99450000000000005</v>
      </c>
      <c r="F61">
        <f t="shared" si="1"/>
        <v>0.96699999999999997</v>
      </c>
      <c r="G61">
        <f t="shared" si="2"/>
        <v>0.99450000000000005</v>
      </c>
    </row>
    <row r="62" spans="1:7" x14ac:dyDescent="0.25">
      <c r="A62">
        <v>57</v>
      </c>
      <c r="B62">
        <v>12.19</v>
      </c>
      <c r="C62">
        <v>0.9627</v>
      </c>
      <c r="D62">
        <v>12.59</v>
      </c>
      <c r="E62">
        <v>0.99450000000000005</v>
      </c>
      <c r="F62">
        <f t="shared" si="1"/>
        <v>0.9627</v>
      </c>
      <c r="G62">
        <f t="shared" si="2"/>
        <v>0.99450000000000005</v>
      </c>
    </row>
    <row r="63" spans="1:7" x14ac:dyDescent="0.25">
      <c r="A63">
        <v>58</v>
      </c>
      <c r="B63">
        <v>11.9</v>
      </c>
      <c r="C63">
        <v>0.94020000000000004</v>
      </c>
      <c r="D63">
        <v>12.59</v>
      </c>
      <c r="E63">
        <v>0.99450000000000005</v>
      </c>
      <c r="F63">
        <f t="shared" si="1"/>
        <v>0.94020000000000004</v>
      </c>
      <c r="G63">
        <f t="shared" si="2"/>
        <v>0.99450000000000005</v>
      </c>
    </row>
    <row r="64" spans="1:7" x14ac:dyDescent="0.25">
      <c r="A64">
        <v>59</v>
      </c>
      <c r="B64">
        <v>11.76</v>
      </c>
      <c r="C64">
        <v>0.92920000000000003</v>
      </c>
      <c r="D64">
        <v>12.55</v>
      </c>
      <c r="E64">
        <v>0.99119999999999997</v>
      </c>
      <c r="F64">
        <f t="shared" si="1"/>
        <v>0.92920000000000003</v>
      </c>
      <c r="G64">
        <f t="shared" si="2"/>
        <v>0.99119999999999997</v>
      </c>
    </row>
    <row r="65" spans="1:7" x14ac:dyDescent="0.25">
      <c r="A65">
        <v>61</v>
      </c>
      <c r="B65">
        <v>11.65</v>
      </c>
      <c r="C65">
        <v>0.91990000000000005</v>
      </c>
      <c r="D65">
        <v>10.64</v>
      </c>
      <c r="E65">
        <v>0.84050000000000002</v>
      </c>
      <c r="F65">
        <f t="shared" si="1"/>
        <v>0.91990000000000005</v>
      </c>
      <c r="G65">
        <f t="shared" si="2"/>
        <v>0.84050000000000002</v>
      </c>
    </row>
    <row r="66" spans="1:7" x14ac:dyDescent="0.25">
      <c r="A66">
        <v>62</v>
      </c>
      <c r="B66">
        <v>11.55</v>
      </c>
      <c r="C66">
        <v>0.91249999999999998</v>
      </c>
      <c r="D66">
        <v>10.64</v>
      </c>
      <c r="E66">
        <v>0.84050000000000002</v>
      </c>
      <c r="F66">
        <f t="shared" si="1"/>
        <v>0.91249999999999998</v>
      </c>
      <c r="G66">
        <f t="shared" ref="G66:G71" si="3">E66</f>
        <v>0.84050000000000002</v>
      </c>
    </row>
    <row r="67" spans="1:7" x14ac:dyDescent="0.25">
      <c r="A67">
        <v>63</v>
      </c>
      <c r="B67">
        <v>11.55</v>
      </c>
      <c r="C67">
        <v>0.91220000000000001</v>
      </c>
      <c r="D67">
        <v>10.66</v>
      </c>
      <c r="E67">
        <v>0.84160000000000001</v>
      </c>
      <c r="F67">
        <f>C67</f>
        <v>0.91220000000000001</v>
      </c>
      <c r="G67">
        <f t="shared" si="3"/>
        <v>0.84160000000000001</v>
      </c>
    </row>
    <row r="68" spans="1:7" x14ac:dyDescent="0.25">
      <c r="A68">
        <v>64</v>
      </c>
      <c r="B68">
        <v>11.54</v>
      </c>
      <c r="C68">
        <v>0.91180000000000005</v>
      </c>
      <c r="D68">
        <v>10.68</v>
      </c>
      <c r="E68">
        <v>0.84350000000000003</v>
      </c>
      <c r="F68">
        <f>C68</f>
        <v>0.91180000000000005</v>
      </c>
      <c r="G68">
        <f t="shared" si="3"/>
        <v>0.84350000000000003</v>
      </c>
    </row>
    <row r="69" spans="1:7" x14ac:dyDescent="0.25">
      <c r="A69">
        <v>65</v>
      </c>
      <c r="B69">
        <v>11.52</v>
      </c>
      <c r="C69">
        <v>0.90990000000000004</v>
      </c>
      <c r="D69">
        <v>10.79</v>
      </c>
      <c r="E69">
        <v>0.85240000000000005</v>
      </c>
      <c r="F69">
        <f>C69</f>
        <v>0.90990000000000004</v>
      </c>
      <c r="G69">
        <f t="shared" si="3"/>
        <v>0.85240000000000005</v>
      </c>
    </row>
    <row r="70" spans="1:7" x14ac:dyDescent="0.25">
      <c r="A70">
        <v>68</v>
      </c>
      <c r="B70">
        <v>12.3</v>
      </c>
      <c r="C70">
        <v>0.97140000000000004</v>
      </c>
      <c r="D70">
        <v>12.55</v>
      </c>
      <c r="E70">
        <v>0.99150000000000005</v>
      </c>
      <c r="F70">
        <f>C70</f>
        <v>0.97140000000000004</v>
      </c>
      <c r="G70">
        <f t="shared" si="3"/>
        <v>0.99150000000000005</v>
      </c>
    </row>
    <row r="71" spans="1:7" x14ac:dyDescent="0.25">
      <c r="A71">
        <v>70</v>
      </c>
      <c r="B71">
        <v>12.25</v>
      </c>
      <c r="C71">
        <v>0.96799999999999997</v>
      </c>
      <c r="D71">
        <v>12.54</v>
      </c>
      <c r="E71">
        <v>0.99009999999999998</v>
      </c>
      <c r="F71">
        <f>C71</f>
        <v>0.96799999999999997</v>
      </c>
      <c r="G71">
        <f t="shared" si="3"/>
        <v>0.99009999999999998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7347-FA11-4A6F-876B-BBA24A60BD76}">
  <dimension ref="A1:F10"/>
  <sheetViews>
    <sheetView workbookViewId="0">
      <selection activeCell="B2" sqref="B2"/>
    </sheetView>
  </sheetViews>
  <sheetFormatPr defaultRowHeight="15" x14ac:dyDescent="0.25"/>
  <cols>
    <col min="5" max="5" width="10.140625" bestFit="1" customWidth="1"/>
  </cols>
  <sheetData>
    <row r="1" spans="1:6" s="1" customFormat="1" x14ac:dyDescent="0.25">
      <c r="A1" s="21" t="s">
        <v>781</v>
      </c>
      <c r="B1" s="21" t="s">
        <v>786</v>
      </c>
      <c r="C1" s="21" t="s">
        <v>784</v>
      </c>
      <c r="D1" s="21" t="s">
        <v>785</v>
      </c>
      <c r="E1" s="21" t="s">
        <v>783</v>
      </c>
      <c r="F1" s="21" t="s">
        <v>782</v>
      </c>
    </row>
    <row r="2" spans="1:6" x14ac:dyDescent="0.25">
      <c r="A2" s="1">
        <v>33</v>
      </c>
      <c r="B2" s="1"/>
      <c r="C2">
        <v>71</v>
      </c>
      <c r="D2">
        <v>0.961974440337936</v>
      </c>
      <c r="E2">
        <v>13</v>
      </c>
      <c r="F2">
        <v>0.97853532900238605</v>
      </c>
    </row>
    <row r="3" spans="1:6" x14ac:dyDescent="0.25">
      <c r="A3" s="1">
        <v>33</v>
      </c>
      <c r="B3" s="1"/>
      <c r="C3">
        <v>72</v>
      </c>
      <c r="D3">
        <v>0.96435948095078905</v>
      </c>
      <c r="E3">
        <v>21</v>
      </c>
      <c r="F3">
        <v>0.96784392357168503</v>
      </c>
    </row>
    <row r="4" spans="1:6" x14ac:dyDescent="0.25">
      <c r="A4" s="1">
        <v>33</v>
      </c>
      <c r="B4" s="1"/>
      <c r="C4">
        <v>73</v>
      </c>
      <c r="D4">
        <v>0.99153513425932605</v>
      </c>
      <c r="E4">
        <v>59</v>
      </c>
      <c r="F4">
        <v>0.92475426853434295</v>
      </c>
    </row>
    <row r="5" spans="1:6" x14ac:dyDescent="0.25">
      <c r="A5" s="1">
        <v>33</v>
      </c>
      <c r="B5" s="1"/>
      <c r="C5">
        <v>74</v>
      </c>
      <c r="D5">
        <v>0.99015363830690495</v>
      </c>
      <c r="E5">
        <v>62</v>
      </c>
      <c r="F5">
        <v>0.96693436794119902</v>
      </c>
    </row>
    <row r="6" spans="1:6" x14ac:dyDescent="0.25">
      <c r="A6" s="1">
        <v>70</v>
      </c>
      <c r="B6" s="1"/>
    </row>
    <row r="7" spans="1:6" x14ac:dyDescent="0.25">
      <c r="A7" s="1">
        <v>70</v>
      </c>
      <c r="B7" s="1"/>
    </row>
    <row r="8" spans="1:6" x14ac:dyDescent="0.25">
      <c r="A8" s="1">
        <v>70</v>
      </c>
      <c r="B8" s="1"/>
    </row>
    <row r="9" spans="1:6" x14ac:dyDescent="0.25">
      <c r="A9" s="1">
        <v>70</v>
      </c>
      <c r="B9" s="1"/>
    </row>
    <row r="10" spans="1:6" x14ac:dyDescent="0.25">
      <c r="A10" s="1">
        <v>84</v>
      </c>
      <c r="B1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I36" sqref="I36"/>
    </sheetView>
  </sheetViews>
  <sheetFormatPr defaultRowHeight="15" x14ac:dyDescent="0.25"/>
  <cols>
    <col min="1" max="1" width="38.7109375" customWidth="1"/>
    <col min="2" max="2" width="21.7109375" customWidth="1"/>
    <col min="3" max="3" width="10.85546875" customWidth="1"/>
    <col min="4" max="4" width="12" bestFit="1" customWidth="1"/>
    <col min="5" max="5" width="9" customWidth="1"/>
    <col min="6" max="6" width="12.28515625" bestFit="1" customWidth="1"/>
    <col min="7" max="7" width="18.5703125" bestFit="1" customWidth="1"/>
    <col min="8" max="8" width="10.85546875" bestFit="1" customWidth="1"/>
    <col min="9" max="9" width="12" customWidth="1"/>
    <col min="10" max="10" width="17.5703125" bestFit="1" customWidth="1"/>
  </cols>
  <sheetData>
    <row r="1" spans="1:10" x14ac:dyDescent="0.25">
      <c r="B1" s="21" t="s">
        <v>565</v>
      </c>
      <c r="C1" s="21"/>
      <c r="D1" s="239" t="s">
        <v>566</v>
      </c>
      <c r="E1" s="240"/>
      <c r="F1" s="240"/>
      <c r="G1" s="240" t="s">
        <v>567</v>
      </c>
      <c r="H1" s="241"/>
      <c r="I1" s="21" t="s">
        <v>568</v>
      </c>
      <c r="J1" t="s">
        <v>569</v>
      </c>
    </row>
    <row r="2" spans="1:10" x14ac:dyDescent="0.25">
      <c r="A2" s="15"/>
      <c r="B2" s="22" t="s">
        <v>570</v>
      </c>
      <c r="C2" s="22" t="s">
        <v>571</v>
      </c>
      <c r="D2" s="22" t="s">
        <v>572</v>
      </c>
      <c r="E2" s="22" t="s">
        <v>573</v>
      </c>
      <c r="F2" s="22" t="s">
        <v>574</v>
      </c>
      <c r="G2" s="22" t="s">
        <v>570</v>
      </c>
      <c r="H2" s="22" t="s">
        <v>571</v>
      </c>
      <c r="I2" s="21"/>
      <c r="J2" s="23" t="s">
        <v>575</v>
      </c>
    </row>
    <row r="3" spans="1:10" x14ac:dyDescent="0.25">
      <c r="A3" s="22" t="s">
        <v>576</v>
      </c>
      <c r="B3" s="115">
        <v>4.1309999999999999E-2</v>
      </c>
      <c r="C3" s="115">
        <v>1</v>
      </c>
      <c r="D3" s="15">
        <v>1.24E-2</v>
      </c>
      <c r="E3" s="15">
        <v>6.2100000000000002E-2</v>
      </c>
      <c r="F3" s="15">
        <v>0.18640000000000001</v>
      </c>
      <c r="G3" s="15">
        <v>0.1</v>
      </c>
      <c r="H3" s="15">
        <v>3</v>
      </c>
      <c r="J3" s="117" t="s">
        <v>577</v>
      </c>
    </row>
    <row r="4" spans="1:10" x14ac:dyDescent="0.25">
      <c r="A4" s="22" t="s">
        <v>578</v>
      </c>
      <c r="B4" s="115">
        <v>6.7739999999999995E-2</v>
      </c>
      <c r="C4" s="115">
        <v>1</v>
      </c>
      <c r="D4" s="15"/>
      <c r="E4" s="15"/>
      <c r="F4" s="15"/>
      <c r="G4" s="15"/>
      <c r="H4" s="15"/>
      <c r="J4" s="122" t="s">
        <v>579</v>
      </c>
    </row>
    <row r="5" spans="1:10" x14ac:dyDescent="0.25">
      <c r="A5" s="22" t="s">
        <v>580</v>
      </c>
      <c r="B5" s="115">
        <v>6.7739999999999995E-2</v>
      </c>
      <c r="C5" s="115">
        <v>1</v>
      </c>
      <c r="D5" s="15"/>
      <c r="E5" s="15"/>
      <c r="F5" s="15"/>
      <c r="G5" s="15"/>
      <c r="H5" s="15"/>
    </row>
    <row r="6" spans="1:10" x14ac:dyDescent="0.25">
      <c r="A6" s="22" t="s">
        <v>581</v>
      </c>
      <c r="B6" s="119">
        <v>5.0000000000000001E-4</v>
      </c>
      <c r="C6" s="116">
        <v>3</v>
      </c>
      <c r="D6" s="15"/>
      <c r="E6" s="15"/>
      <c r="F6" s="15"/>
      <c r="G6" s="117">
        <v>5.0000000000000001E-4</v>
      </c>
      <c r="H6" s="117">
        <v>3</v>
      </c>
    </row>
    <row r="7" spans="1:10" x14ac:dyDescent="0.25">
      <c r="A7" s="22" t="s">
        <v>582</v>
      </c>
      <c r="B7" s="120">
        <v>1.4999999999999999E-2</v>
      </c>
      <c r="C7" s="115">
        <v>4</v>
      </c>
      <c r="D7" s="15">
        <v>1E-3</v>
      </c>
      <c r="E7" s="15">
        <v>0.01</v>
      </c>
      <c r="F7" s="15">
        <v>0.05</v>
      </c>
      <c r="G7" s="15">
        <v>6.9999999999999999E-4</v>
      </c>
      <c r="H7" s="15">
        <v>36</v>
      </c>
      <c r="I7" s="121">
        <f>B7/G7</f>
        <v>21.428571428571427</v>
      </c>
    </row>
    <row r="8" spans="1:10" x14ac:dyDescent="0.25">
      <c r="A8" s="22" t="s">
        <v>583</v>
      </c>
      <c r="B8" s="120">
        <v>7.4999999999999997E-3</v>
      </c>
      <c r="C8" s="115">
        <v>4</v>
      </c>
      <c r="D8" s="15"/>
      <c r="E8" s="15"/>
      <c r="F8" s="15"/>
      <c r="I8" s="121">
        <f>B8/G7</f>
        <v>10.714285714285714</v>
      </c>
    </row>
    <row r="9" spans="1:10" x14ac:dyDescent="0.25">
      <c r="A9" s="22" t="s">
        <v>584</v>
      </c>
      <c r="B9" s="118">
        <v>5.1599999999999997E-3</v>
      </c>
      <c r="C9" s="118">
        <v>1</v>
      </c>
      <c r="D9" s="15"/>
      <c r="E9" s="15"/>
      <c r="F9" s="15"/>
    </row>
    <row r="10" spans="1:10" x14ac:dyDescent="0.25">
      <c r="A10" s="22" t="s">
        <v>585</v>
      </c>
      <c r="B10" s="118">
        <v>8.4700000000000001E-3</v>
      </c>
      <c r="C10" s="118">
        <v>1</v>
      </c>
      <c r="D10" s="15"/>
      <c r="E10" s="15"/>
      <c r="F10" s="15"/>
    </row>
    <row r="11" spans="1:10" x14ac:dyDescent="0.25">
      <c r="A11" s="22" t="s">
        <v>586</v>
      </c>
      <c r="B11" s="118">
        <v>8.4700000000000001E-3</v>
      </c>
      <c r="C11" s="118">
        <v>1</v>
      </c>
      <c r="D11" s="15"/>
      <c r="E11" s="15"/>
      <c r="F11" s="15"/>
    </row>
    <row r="12" spans="1:10" x14ac:dyDescent="0.25">
      <c r="A12" s="75" t="s">
        <v>587</v>
      </c>
      <c r="B12" s="118">
        <v>2.5799999999999998E-3</v>
      </c>
      <c r="C12" s="118">
        <v>1</v>
      </c>
      <c r="D12" s="114">
        <v>1.9E-3</v>
      </c>
      <c r="E12" s="114">
        <v>4.3499999999999997E-2</v>
      </c>
      <c r="F12" s="114">
        <v>0.36470000000000002</v>
      </c>
    </row>
    <row r="14" spans="1:10" x14ac:dyDescent="0.25">
      <c r="A14" t="s">
        <v>588</v>
      </c>
    </row>
  </sheetData>
  <mergeCells count="2">
    <mergeCell ref="D1:F1"/>
    <mergeCell ref="G1:H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>
      <selection activeCell="P35" sqref="P35"/>
    </sheetView>
  </sheetViews>
  <sheetFormatPr defaultRowHeight="15" x14ac:dyDescent="0.25"/>
  <cols>
    <col min="1" max="1" width="5.5703125" customWidth="1"/>
    <col min="2" max="2" width="43" customWidth="1"/>
  </cols>
  <sheetData>
    <row r="1" spans="1:3" x14ac:dyDescent="0.25">
      <c r="B1" s="21" t="s">
        <v>589</v>
      </c>
      <c r="C1" s="21" t="s">
        <v>590</v>
      </c>
    </row>
    <row r="2" spans="1:3" x14ac:dyDescent="0.25">
      <c r="A2" s="1">
        <v>1</v>
      </c>
      <c r="B2" t="s">
        <v>591</v>
      </c>
      <c r="C2">
        <v>0.123993096</v>
      </c>
    </row>
    <row r="3" spans="1:3" x14ac:dyDescent="0.25">
      <c r="A3" s="1">
        <v>2</v>
      </c>
      <c r="B3" t="s">
        <v>592</v>
      </c>
      <c r="C3">
        <v>1.5543095999999999E-2</v>
      </c>
    </row>
    <row r="4" spans="1:3" x14ac:dyDescent="0.25">
      <c r="A4" s="1">
        <v>3</v>
      </c>
      <c r="B4" t="s">
        <v>593</v>
      </c>
      <c r="C4">
        <v>0.13947309599999999</v>
      </c>
    </row>
    <row r="5" spans="1:3" x14ac:dyDescent="0.25">
      <c r="A5" s="1">
        <v>4</v>
      </c>
      <c r="B5" t="s">
        <v>594</v>
      </c>
      <c r="C5">
        <v>0.13947309599999999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DF6E-A118-44E5-B5CE-74B5C8D0FFB9}">
  <dimension ref="A1:S38"/>
  <sheetViews>
    <sheetView workbookViewId="0">
      <selection activeCell="S38" sqref="S1:S38"/>
    </sheetView>
  </sheetViews>
  <sheetFormatPr defaultRowHeight="15" x14ac:dyDescent="0.25"/>
  <sheetData>
    <row r="1" spans="1:19" x14ac:dyDescent="0.25">
      <c r="A1">
        <v>1</v>
      </c>
      <c r="B1">
        <v>1</v>
      </c>
      <c r="C1">
        <v>2</v>
      </c>
      <c r="D1">
        <v>5.7525911617239305E-4</v>
      </c>
      <c r="E1">
        <v>2.9324488568440902E-4</v>
      </c>
      <c r="F1">
        <v>0</v>
      </c>
      <c r="G1">
        <v>100</v>
      </c>
      <c r="H1">
        <v>100</v>
      </c>
      <c r="I1">
        <v>100</v>
      </c>
      <c r="J1">
        <v>1</v>
      </c>
      <c r="K1">
        <v>0</v>
      </c>
      <c r="L1">
        <v>1</v>
      </c>
      <c r="M1">
        <v>-360</v>
      </c>
      <c r="N1">
        <v>360</v>
      </c>
      <c r="O1">
        <v>3.8545542504018599</v>
      </c>
      <c r="P1">
        <v>2.4023225604783001</v>
      </c>
      <c r="Q1">
        <v>-3.84268737842268</v>
      </c>
      <c r="R1">
        <v>-2.3962732873435701</v>
      </c>
      <c r="S1">
        <f>O1+Q1</f>
        <v>1.1866871979179905E-2</v>
      </c>
    </row>
    <row r="2" spans="1:19" x14ac:dyDescent="0.25">
      <c r="A2">
        <v>2</v>
      </c>
      <c r="B2">
        <v>2</v>
      </c>
      <c r="C2">
        <v>3</v>
      </c>
      <c r="D2">
        <v>3.0759516732428399E-3</v>
      </c>
      <c r="E2">
        <v>1.5673003251898601E-3</v>
      </c>
      <c r="F2">
        <v>0</v>
      </c>
      <c r="G2">
        <v>100</v>
      </c>
      <c r="H2">
        <v>100</v>
      </c>
      <c r="I2">
        <v>100</v>
      </c>
      <c r="J2">
        <v>1</v>
      </c>
      <c r="K2">
        <v>0</v>
      </c>
      <c r="L2">
        <v>1</v>
      </c>
      <c r="M2">
        <v>-360</v>
      </c>
      <c r="N2">
        <v>360</v>
      </c>
      <c r="O2">
        <v>2.4095397328857899</v>
      </c>
      <c r="P2">
        <v>1.6893625243664301</v>
      </c>
      <c r="Q2">
        <v>-2.38274617979642</v>
      </c>
      <c r="R2">
        <v>-1.67571031232576</v>
      </c>
      <c r="S2">
        <f t="shared" ref="S2:S37" si="0">O2+Q2</f>
        <v>2.6793553089369926E-2</v>
      </c>
    </row>
    <row r="3" spans="1:19" x14ac:dyDescent="0.25">
      <c r="A3">
        <v>3</v>
      </c>
      <c r="B3">
        <v>3</v>
      </c>
      <c r="C3">
        <v>4</v>
      </c>
      <c r="D3">
        <v>2.2841904818949399E-3</v>
      </c>
      <c r="E3">
        <v>1.16299673811859E-3</v>
      </c>
      <c r="F3">
        <v>0</v>
      </c>
      <c r="G3">
        <v>100</v>
      </c>
      <c r="H3">
        <v>100</v>
      </c>
      <c r="I3">
        <v>100</v>
      </c>
      <c r="J3">
        <v>1</v>
      </c>
      <c r="K3">
        <v>0</v>
      </c>
      <c r="L3">
        <v>1</v>
      </c>
      <c r="M3">
        <v>-360</v>
      </c>
      <c r="N3">
        <v>360</v>
      </c>
      <c r="O3">
        <v>1.3532141878519901</v>
      </c>
      <c r="P3">
        <v>1.1785187698292099</v>
      </c>
      <c r="Q3">
        <v>-1.3456636970835001</v>
      </c>
      <c r="R3">
        <v>-1.1746744336389701</v>
      </c>
      <c r="S3">
        <f t="shared" si="0"/>
        <v>7.5504907684900147E-3</v>
      </c>
    </row>
    <row r="4" spans="1:19" x14ac:dyDescent="0.25">
      <c r="A4">
        <v>4</v>
      </c>
      <c r="B4">
        <v>4</v>
      </c>
      <c r="C4">
        <v>5</v>
      </c>
      <c r="D4">
        <v>2.3777792751984699E-3</v>
      </c>
      <c r="E4">
        <v>1.21103898534774E-3</v>
      </c>
      <c r="F4">
        <v>0</v>
      </c>
      <c r="G4">
        <v>100</v>
      </c>
      <c r="H4">
        <v>100</v>
      </c>
      <c r="I4">
        <v>100</v>
      </c>
      <c r="J4">
        <v>1</v>
      </c>
      <c r="K4">
        <v>0</v>
      </c>
      <c r="L4">
        <v>1</v>
      </c>
      <c r="M4">
        <v>-360</v>
      </c>
      <c r="N4">
        <v>360</v>
      </c>
      <c r="O4">
        <v>1.22566369718956</v>
      </c>
      <c r="P4">
        <v>1.0946744334846601</v>
      </c>
      <c r="Q4">
        <v>-1.2190111676229001</v>
      </c>
      <c r="R4">
        <v>-1.09128619945451</v>
      </c>
      <c r="S4">
        <f t="shared" si="0"/>
        <v>6.6525295666599593E-3</v>
      </c>
    </row>
    <row r="5" spans="1:19" x14ac:dyDescent="0.25">
      <c r="A5">
        <v>5</v>
      </c>
      <c r="B5">
        <v>5</v>
      </c>
      <c r="C5">
        <v>6</v>
      </c>
      <c r="D5">
        <v>5.1099481143729898E-3</v>
      </c>
      <c r="E5">
        <v>4.41115179103993E-3</v>
      </c>
      <c r="F5">
        <v>0</v>
      </c>
      <c r="G5">
        <v>100</v>
      </c>
      <c r="H5">
        <v>100</v>
      </c>
      <c r="I5">
        <v>100</v>
      </c>
      <c r="J5">
        <v>1</v>
      </c>
      <c r="K5">
        <v>0</v>
      </c>
      <c r="L5">
        <v>1</v>
      </c>
      <c r="M5">
        <v>-360</v>
      </c>
      <c r="N5">
        <v>360</v>
      </c>
      <c r="O5">
        <v>1.1590111675063299</v>
      </c>
      <c r="P5">
        <v>1.06128619970928</v>
      </c>
      <c r="Q5">
        <v>-1.14582151218191</v>
      </c>
      <c r="R5">
        <v>-1.0499002579334999</v>
      </c>
      <c r="S5">
        <f t="shared" si="0"/>
        <v>1.3189655324419958E-2</v>
      </c>
    </row>
    <row r="6" spans="1:19" x14ac:dyDescent="0.25">
      <c r="A6">
        <v>6</v>
      </c>
      <c r="B6">
        <v>6</v>
      </c>
      <c r="C6">
        <v>7</v>
      </c>
      <c r="D6">
        <v>1.1679881404281099E-3</v>
      </c>
      <c r="E6">
        <v>3.8608496864151499E-3</v>
      </c>
      <c r="F6">
        <v>0</v>
      </c>
      <c r="G6">
        <v>100</v>
      </c>
      <c r="H6">
        <v>100</v>
      </c>
      <c r="I6">
        <v>100</v>
      </c>
      <c r="J6">
        <v>1</v>
      </c>
      <c r="K6">
        <v>0</v>
      </c>
      <c r="L6">
        <v>1</v>
      </c>
      <c r="M6">
        <v>-360</v>
      </c>
      <c r="N6">
        <v>360</v>
      </c>
      <c r="O6">
        <v>0.200062495163078</v>
      </c>
      <c r="P6">
        <v>0.100206582409352</v>
      </c>
      <c r="Q6">
        <v>-0.199999999660018</v>
      </c>
      <c r="R6">
        <v>-0.100000000052014</v>
      </c>
      <c r="S6">
        <f t="shared" si="0"/>
        <v>6.2495503060006063E-5</v>
      </c>
    </row>
    <row r="7" spans="1:19" x14ac:dyDescent="0.25">
      <c r="A7">
        <v>7</v>
      </c>
      <c r="B7">
        <v>7</v>
      </c>
      <c r="C7">
        <v>8</v>
      </c>
      <c r="D7">
        <v>4.4392284290309999E-3</v>
      </c>
      <c r="E7">
        <v>1.46684835371073E-3</v>
      </c>
      <c r="F7">
        <v>0</v>
      </c>
      <c r="G7">
        <v>100</v>
      </c>
      <c r="H7">
        <v>100</v>
      </c>
      <c r="I7">
        <v>100</v>
      </c>
      <c r="J7">
        <v>1</v>
      </c>
      <c r="K7">
        <v>0</v>
      </c>
      <c r="L7">
        <v>0</v>
      </c>
      <c r="M7">
        <v>-360</v>
      </c>
      <c r="N7">
        <v>360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 x14ac:dyDescent="0.25">
      <c r="A8">
        <v>8</v>
      </c>
      <c r="B8">
        <v>8</v>
      </c>
      <c r="C8">
        <v>9</v>
      </c>
      <c r="D8">
        <v>6.4258065482206903E-3</v>
      </c>
      <c r="E8">
        <v>4.6170471363077099E-3</v>
      </c>
      <c r="F8">
        <v>0</v>
      </c>
      <c r="G8">
        <v>100</v>
      </c>
      <c r="H8">
        <v>100</v>
      </c>
      <c r="I8">
        <v>100</v>
      </c>
      <c r="J8">
        <v>1</v>
      </c>
      <c r="K8">
        <v>0</v>
      </c>
      <c r="L8">
        <v>1</v>
      </c>
      <c r="M8">
        <v>-360</v>
      </c>
      <c r="N8">
        <v>360</v>
      </c>
      <c r="O8">
        <v>0.39408395208601099</v>
      </c>
      <c r="P8">
        <v>0.15374343247821301</v>
      </c>
      <c r="Q8">
        <v>-0.39284307683386499</v>
      </c>
      <c r="R8">
        <v>-0.15285184330782001</v>
      </c>
      <c r="S8">
        <f t="shared" si="0"/>
        <v>1.2408752521460009E-3</v>
      </c>
    </row>
    <row r="9" spans="1:19" x14ac:dyDescent="0.25">
      <c r="A9">
        <v>9</v>
      </c>
      <c r="B9">
        <v>9</v>
      </c>
      <c r="C9">
        <v>10</v>
      </c>
      <c r="D9">
        <v>6.5137800139260099E-3</v>
      </c>
      <c r="E9">
        <v>4.6170471363077099E-3</v>
      </c>
      <c r="F9">
        <v>0</v>
      </c>
      <c r="G9">
        <v>100</v>
      </c>
      <c r="H9">
        <v>100</v>
      </c>
      <c r="I9">
        <v>100</v>
      </c>
      <c r="J9">
        <v>1</v>
      </c>
      <c r="K9">
        <v>0</v>
      </c>
      <c r="L9">
        <v>0</v>
      </c>
      <c r="M9">
        <v>-360</v>
      </c>
      <c r="N9">
        <v>360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 x14ac:dyDescent="0.25">
      <c r="A10">
        <v>10</v>
      </c>
      <c r="B10">
        <v>10</v>
      </c>
      <c r="C10">
        <v>11</v>
      </c>
      <c r="D10">
        <v>1.2272610428536799E-3</v>
      </c>
      <c r="E10">
        <v>4.0617536293734098E-4</v>
      </c>
      <c r="F10">
        <v>0</v>
      </c>
      <c r="G10">
        <v>100</v>
      </c>
      <c r="H10">
        <v>100</v>
      </c>
      <c r="I10">
        <v>100</v>
      </c>
      <c r="J10">
        <v>1</v>
      </c>
      <c r="K10">
        <v>0</v>
      </c>
      <c r="L10">
        <v>1</v>
      </c>
      <c r="M10">
        <v>-360</v>
      </c>
      <c r="N10">
        <v>360</v>
      </c>
      <c r="O10">
        <v>-5.9999999987961898E-2</v>
      </c>
      <c r="P10">
        <v>-1.9999999995853199E-2</v>
      </c>
      <c r="Q10">
        <v>6.0005296833710697E-2</v>
      </c>
      <c r="R10">
        <v>2.0001753044446201E-2</v>
      </c>
      <c r="S10">
        <f t="shared" si="0"/>
        <v>5.2968457487992393E-6</v>
      </c>
    </row>
    <row r="11" spans="1:19" x14ac:dyDescent="0.25">
      <c r="A11">
        <v>11</v>
      </c>
      <c r="B11">
        <v>11</v>
      </c>
      <c r="C11">
        <v>12</v>
      </c>
      <c r="D11">
        <v>2.3359762808562298E-3</v>
      </c>
      <c r="E11">
        <v>8.0985502471991996E-4</v>
      </c>
      <c r="F11">
        <v>0</v>
      </c>
      <c r="G11">
        <v>100</v>
      </c>
      <c r="H11">
        <v>100</v>
      </c>
      <c r="I11">
        <v>100</v>
      </c>
      <c r="J11">
        <v>1</v>
      </c>
      <c r="K11">
        <v>0</v>
      </c>
      <c r="L11">
        <v>1</v>
      </c>
      <c r="M11">
        <v>-360</v>
      </c>
      <c r="N11">
        <v>360</v>
      </c>
      <c r="O11">
        <v>-0.105005296829783</v>
      </c>
      <c r="P11">
        <v>-5.0001753022875899E-2</v>
      </c>
      <c r="Q11">
        <v>0.10503938398927</v>
      </c>
      <c r="R11">
        <v>5.0013570633189702E-2</v>
      </c>
      <c r="S11">
        <f t="shared" si="0"/>
        <v>3.4087159486995144E-5</v>
      </c>
    </row>
    <row r="12" spans="1:19" x14ac:dyDescent="0.25">
      <c r="A12">
        <v>12</v>
      </c>
      <c r="B12">
        <v>12</v>
      </c>
      <c r="C12">
        <v>13</v>
      </c>
      <c r="D12">
        <v>9.1592232379725906E-3</v>
      </c>
      <c r="E12">
        <v>7.2057131590834798E-3</v>
      </c>
      <c r="F12">
        <v>0</v>
      </c>
      <c r="G12">
        <v>100</v>
      </c>
      <c r="H12">
        <v>100</v>
      </c>
      <c r="I12">
        <v>100</v>
      </c>
      <c r="J12">
        <v>1</v>
      </c>
      <c r="K12">
        <v>0</v>
      </c>
      <c r="L12">
        <v>1</v>
      </c>
      <c r="M12">
        <v>-360</v>
      </c>
      <c r="N12">
        <v>360</v>
      </c>
      <c r="O12">
        <v>0.180529783974092</v>
      </c>
      <c r="P12">
        <v>0.115457202897296</v>
      </c>
      <c r="Q12">
        <v>-0.18007631301308299</v>
      </c>
      <c r="R12">
        <v>-0.115100449755014</v>
      </c>
      <c r="S12">
        <f t="shared" si="0"/>
        <v>4.5347096100900597E-4</v>
      </c>
    </row>
    <row r="13" spans="1:19" x14ac:dyDescent="0.25">
      <c r="A13">
        <v>13</v>
      </c>
      <c r="B13">
        <v>13</v>
      </c>
      <c r="C13">
        <v>14</v>
      </c>
      <c r="D13">
        <v>3.3791793635462898E-3</v>
      </c>
      <c r="E13">
        <v>4.4479633830726596E-3</v>
      </c>
      <c r="F13">
        <v>0</v>
      </c>
      <c r="G13">
        <v>100</v>
      </c>
      <c r="H13">
        <v>100</v>
      </c>
      <c r="I13">
        <v>100</v>
      </c>
      <c r="J13">
        <v>1</v>
      </c>
      <c r="K13">
        <v>0</v>
      </c>
      <c r="L13">
        <v>1</v>
      </c>
      <c r="M13">
        <v>-360</v>
      </c>
      <c r="N13">
        <v>360</v>
      </c>
      <c r="O13">
        <v>0.120076312985165</v>
      </c>
      <c r="P13">
        <v>8.0100449787464598E-2</v>
      </c>
      <c r="Q13">
        <v>-0.11999999990966501</v>
      </c>
      <c r="R13">
        <v>-8.0000000024679802E-2</v>
      </c>
      <c r="S13">
        <f t="shared" si="0"/>
        <v>7.6313075499989669E-5</v>
      </c>
    </row>
    <row r="14" spans="1:19" x14ac:dyDescent="0.25">
      <c r="A14">
        <v>14</v>
      </c>
      <c r="B14">
        <v>14</v>
      </c>
      <c r="C14">
        <v>15</v>
      </c>
      <c r="D14">
        <v>3.68677453087058E-3</v>
      </c>
      <c r="E14">
        <v>3.2818470185106202E-3</v>
      </c>
      <c r="F14">
        <v>0</v>
      </c>
      <c r="G14">
        <v>100</v>
      </c>
      <c r="H14">
        <v>100</v>
      </c>
      <c r="I14">
        <v>100</v>
      </c>
      <c r="J14">
        <v>1</v>
      </c>
      <c r="K14">
        <v>0</v>
      </c>
      <c r="L14">
        <v>0</v>
      </c>
      <c r="M14">
        <v>-360</v>
      </c>
      <c r="N14">
        <v>360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</row>
    <row r="15" spans="1:19" x14ac:dyDescent="0.25">
      <c r="A15">
        <v>15</v>
      </c>
      <c r="B15">
        <v>15</v>
      </c>
      <c r="C15">
        <v>16</v>
      </c>
      <c r="D15">
        <v>4.6557305042064998E-3</v>
      </c>
      <c r="E15">
        <v>3.39976889807307E-3</v>
      </c>
      <c r="F15">
        <v>0</v>
      </c>
      <c r="G15">
        <v>100</v>
      </c>
      <c r="H15">
        <v>100</v>
      </c>
      <c r="I15">
        <v>100</v>
      </c>
      <c r="J15">
        <v>1</v>
      </c>
      <c r="K15">
        <v>0</v>
      </c>
      <c r="L15">
        <v>1</v>
      </c>
      <c r="M15">
        <v>-360</v>
      </c>
      <c r="N15">
        <v>360</v>
      </c>
      <c r="O15">
        <v>0.27110134199682601</v>
      </c>
      <c r="P15">
        <v>0.121110108549735</v>
      </c>
      <c r="Q15">
        <v>-0.27064957361196001</v>
      </c>
      <c r="R15">
        <v>-0.12078021228477399</v>
      </c>
      <c r="S15">
        <f t="shared" si="0"/>
        <v>4.5176838486599147E-4</v>
      </c>
    </row>
    <row r="16" spans="1:19" x14ac:dyDescent="0.25">
      <c r="A16">
        <v>16</v>
      </c>
      <c r="B16">
        <v>16</v>
      </c>
      <c r="C16">
        <v>17</v>
      </c>
      <c r="D16">
        <v>8.0417730459283899E-3</v>
      </c>
      <c r="E16">
        <v>1.0737754218358901E-2</v>
      </c>
      <c r="F16">
        <v>0</v>
      </c>
      <c r="G16">
        <v>100</v>
      </c>
      <c r="H16">
        <v>100</v>
      </c>
      <c r="I16">
        <v>100</v>
      </c>
      <c r="J16">
        <v>1</v>
      </c>
      <c r="K16">
        <v>0</v>
      </c>
      <c r="L16">
        <v>1</v>
      </c>
      <c r="M16">
        <v>-360</v>
      </c>
      <c r="N16">
        <v>360</v>
      </c>
      <c r="O16">
        <v>0.21064957339064799</v>
      </c>
      <c r="P16">
        <v>0.100780212442239</v>
      </c>
      <c r="Q16">
        <v>-0.21016514807514899</v>
      </c>
      <c r="R16">
        <v>-0.100133384939737</v>
      </c>
      <c r="S16">
        <f t="shared" si="0"/>
        <v>4.8442531549899859E-4</v>
      </c>
    </row>
    <row r="17" spans="1:19" x14ac:dyDescent="0.25">
      <c r="A17">
        <v>17</v>
      </c>
      <c r="B17">
        <v>17</v>
      </c>
      <c r="C17">
        <v>18</v>
      </c>
      <c r="D17">
        <v>4.5671331132124899E-3</v>
      </c>
      <c r="E17">
        <v>3.5807072317932398E-3</v>
      </c>
      <c r="F17">
        <v>0</v>
      </c>
      <c r="G17">
        <v>100</v>
      </c>
      <c r="H17">
        <v>100</v>
      </c>
      <c r="I17">
        <v>100</v>
      </c>
      <c r="J17">
        <v>1</v>
      </c>
      <c r="K17">
        <v>0</v>
      </c>
      <c r="L17">
        <v>1</v>
      </c>
      <c r="M17">
        <v>-360</v>
      </c>
      <c r="N17">
        <v>360</v>
      </c>
      <c r="O17">
        <v>0.15016514843833101</v>
      </c>
      <c r="P17">
        <v>8.0133384802424601E-2</v>
      </c>
      <c r="Q17">
        <v>-0.15001808211566101</v>
      </c>
      <c r="R17">
        <v>-8.0018082394527804E-2</v>
      </c>
      <c r="S17">
        <f t="shared" si="0"/>
        <v>1.4706632267000308E-4</v>
      </c>
    </row>
    <row r="18" spans="1:19" x14ac:dyDescent="0.25">
      <c r="A18">
        <v>18</v>
      </c>
      <c r="B18">
        <v>2</v>
      </c>
      <c r="C18">
        <v>19</v>
      </c>
      <c r="D18">
        <v>1.0232374734519801E-3</v>
      </c>
      <c r="E18">
        <v>9.7644307680021204E-4</v>
      </c>
      <c r="F18">
        <v>0</v>
      </c>
      <c r="G18">
        <v>100</v>
      </c>
      <c r="H18">
        <v>100</v>
      </c>
      <c r="I18">
        <v>100</v>
      </c>
      <c r="J18">
        <v>1</v>
      </c>
      <c r="K18">
        <v>0</v>
      </c>
      <c r="L18">
        <v>1</v>
      </c>
      <c r="M18">
        <v>-360</v>
      </c>
      <c r="N18">
        <v>360</v>
      </c>
      <c r="O18">
        <v>1.3331476455758999</v>
      </c>
      <c r="P18">
        <v>0.64691076291502003</v>
      </c>
      <c r="Q18">
        <v>-1.33088765791417</v>
      </c>
      <c r="R18">
        <v>-0.64475412834756796</v>
      </c>
      <c r="S18">
        <f t="shared" si="0"/>
        <v>2.2599876617299675E-3</v>
      </c>
    </row>
    <row r="19" spans="1:19" x14ac:dyDescent="0.25">
      <c r="A19">
        <v>19</v>
      </c>
      <c r="B19">
        <v>19</v>
      </c>
      <c r="C19">
        <v>20</v>
      </c>
      <c r="D19">
        <v>9.3850841924784604E-3</v>
      </c>
      <c r="E19">
        <v>8.4573072881960806E-3</v>
      </c>
      <c r="F19">
        <v>0</v>
      </c>
      <c r="G19">
        <v>100</v>
      </c>
      <c r="H19">
        <v>100</v>
      </c>
      <c r="I19">
        <v>100</v>
      </c>
      <c r="J19">
        <v>1</v>
      </c>
      <c r="K19">
        <v>0</v>
      </c>
      <c r="L19">
        <v>1</v>
      </c>
      <c r="M19">
        <v>-360</v>
      </c>
      <c r="N19">
        <v>360</v>
      </c>
      <c r="O19">
        <v>1.24088765790402</v>
      </c>
      <c r="P19">
        <v>0.604754128359419</v>
      </c>
      <c r="Q19">
        <v>-1.2228267016777801</v>
      </c>
      <c r="R19">
        <v>-0.58847861568513105</v>
      </c>
      <c r="S19">
        <f t="shared" si="0"/>
        <v>1.8060956226239933E-2</v>
      </c>
    </row>
    <row r="20" spans="1:19" x14ac:dyDescent="0.25">
      <c r="A20">
        <v>20</v>
      </c>
      <c r="B20">
        <v>20</v>
      </c>
      <c r="C20">
        <v>21</v>
      </c>
      <c r="D20">
        <v>2.5549740571865001E-3</v>
      </c>
      <c r="E20">
        <v>2.98485858109407E-3</v>
      </c>
      <c r="F20">
        <v>0</v>
      </c>
      <c r="G20">
        <v>100</v>
      </c>
      <c r="H20">
        <v>100</v>
      </c>
      <c r="I20">
        <v>100</v>
      </c>
      <c r="J20">
        <v>1</v>
      </c>
      <c r="K20">
        <v>0</v>
      </c>
      <c r="L20">
        <v>1</v>
      </c>
      <c r="M20">
        <v>-360</v>
      </c>
      <c r="N20">
        <v>360</v>
      </c>
      <c r="O20">
        <v>1.13282670152801</v>
      </c>
      <c r="P20">
        <v>0.54847861583357105</v>
      </c>
      <c r="Q20">
        <v>-1.1285972859962601</v>
      </c>
      <c r="R20">
        <v>-0.54353758435520405</v>
      </c>
      <c r="S20">
        <f t="shared" si="0"/>
        <v>4.229415531749936E-3</v>
      </c>
    </row>
    <row r="21" spans="1:19" x14ac:dyDescent="0.25">
      <c r="A21">
        <v>21</v>
      </c>
      <c r="B21">
        <v>21</v>
      </c>
      <c r="C21">
        <v>22</v>
      </c>
      <c r="D21">
        <v>4.4230063715250496E-3</v>
      </c>
      <c r="E21">
        <v>5.8480517308935401E-3</v>
      </c>
      <c r="F21">
        <v>0</v>
      </c>
      <c r="G21">
        <v>100</v>
      </c>
      <c r="H21">
        <v>100</v>
      </c>
      <c r="I21">
        <v>100</v>
      </c>
      <c r="J21">
        <v>1</v>
      </c>
      <c r="K21">
        <v>0</v>
      </c>
      <c r="L21">
        <v>1</v>
      </c>
      <c r="M21">
        <v>-360</v>
      </c>
      <c r="N21">
        <v>360</v>
      </c>
      <c r="O21">
        <v>0.43889343779642798</v>
      </c>
      <c r="P21">
        <v>0.24417425595678</v>
      </c>
      <c r="Q21">
        <v>-0.43771645137704102</v>
      </c>
      <c r="R21">
        <v>-0.242618057098138</v>
      </c>
      <c r="S21">
        <f t="shared" si="0"/>
        <v>1.1769864193869606E-3</v>
      </c>
    </row>
    <row r="22" spans="1:19" x14ac:dyDescent="0.25">
      <c r="A22">
        <v>22</v>
      </c>
      <c r="B22">
        <v>3</v>
      </c>
      <c r="C22">
        <v>23</v>
      </c>
      <c r="D22">
        <v>2.8151509025703199E-3</v>
      </c>
      <c r="E22">
        <v>1.9241855903206701E-3</v>
      </c>
      <c r="F22">
        <v>0</v>
      </c>
      <c r="G22">
        <v>100</v>
      </c>
      <c r="H22">
        <v>100</v>
      </c>
      <c r="I22">
        <v>100</v>
      </c>
      <c r="J22">
        <v>1</v>
      </c>
      <c r="K22">
        <v>0</v>
      </c>
      <c r="L22">
        <v>1</v>
      </c>
      <c r="M22">
        <v>-360</v>
      </c>
      <c r="N22">
        <v>360</v>
      </c>
      <c r="O22">
        <v>0.93953199202094995</v>
      </c>
      <c r="P22">
        <v>0.45719154237320597</v>
      </c>
      <c r="Q22">
        <v>-0.93637701033920895</v>
      </c>
      <c r="R22">
        <v>-0.45503507883010202</v>
      </c>
      <c r="S22">
        <f t="shared" si="0"/>
        <v>3.1549816817409981E-3</v>
      </c>
    </row>
    <row r="23" spans="1:19" x14ac:dyDescent="0.25">
      <c r="A23">
        <v>23</v>
      </c>
      <c r="B23">
        <v>23</v>
      </c>
      <c r="C23">
        <v>24</v>
      </c>
      <c r="D23">
        <v>5.6028490924382801E-3</v>
      </c>
      <c r="E23">
        <v>4.4242542221024301E-3</v>
      </c>
      <c r="F23">
        <v>0</v>
      </c>
      <c r="G23">
        <v>100</v>
      </c>
      <c r="H23">
        <v>100</v>
      </c>
      <c r="I23">
        <v>100</v>
      </c>
      <c r="J23">
        <v>1</v>
      </c>
      <c r="K23">
        <v>0</v>
      </c>
      <c r="L23">
        <v>1</v>
      </c>
      <c r="M23">
        <v>-360</v>
      </c>
      <c r="N23">
        <v>360</v>
      </c>
      <c r="O23">
        <v>0.846377010327515</v>
      </c>
      <c r="P23">
        <v>0.40503507884832601</v>
      </c>
      <c r="Q23">
        <v>-0.84127648296860302</v>
      </c>
      <c r="R23">
        <v>-0.40100747979464602</v>
      </c>
      <c r="S23">
        <f t="shared" si="0"/>
        <v>5.1005273589119771E-3</v>
      </c>
    </row>
    <row r="24" spans="1:19" x14ac:dyDescent="0.25">
      <c r="A24">
        <v>24</v>
      </c>
      <c r="B24">
        <v>24</v>
      </c>
      <c r="C24">
        <v>25</v>
      </c>
      <c r="D24">
        <v>5.5897466613757801E-3</v>
      </c>
      <c r="E24">
        <v>4.4117757163286203E-3</v>
      </c>
      <c r="F24">
        <v>0</v>
      </c>
      <c r="G24">
        <v>100</v>
      </c>
      <c r="H24">
        <v>100</v>
      </c>
      <c r="I24">
        <v>100</v>
      </c>
      <c r="J24">
        <v>1</v>
      </c>
      <c r="K24">
        <v>0</v>
      </c>
      <c r="L24">
        <v>1</v>
      </c>
      <c r="M24">
        <v>-360</v>
      </c>
      <c r="N24">
        <v>360</v>
      </c>
      <c r="O24">
        <v>0.421276482985741</v>
      </c>
      <c r="P24">
        <v>0.201007479798891</v>
      </c>
      <c r="Q24">
        <v>-0.41999999996674803</v>
      </c>
      <c r="R24">
        <v>-0.200000000010154</v>
      </c>
      <c r="S24">
        <f t="shared" si="0"/>
        <v>1.2764830189929688E-3</v>
      </c>
    </row>
    <row r="25" spans="1:19" x14ac:dyDescent="0.25">
      <c r="A25">
        <v>25</v>
      </c>
      <c r="B25">
        <v>6</v>
      </c>
      <c r="C25">
        <v>26</v>
      </c>
      <c r="D25">
        <v>1.26719226132986E-3</v>
      </c>
      <c r="E25">
        <v>6.4513874850569901E-4</v>
      </c>
      <c r="F25">
        <v>0</v>
      </c>
      <c r="G25">
        <v>100</v>
      </c>
      <c r="H25">
        <v>100</v>
      </c>
      <c r="I25">
        <v>100</v>
      </c>
      <c r="J25">
        <v>1</v>
      </c>
      <c r="K25">
        <v>0</v>
      </c>
      <c r="L25">
        <v>1</v>
      </c>
      <c r="M25">
        <v>-360</v>
      </c>
      <c r="N25">
        <v>360</v>
      </c>
      <c r="O25">
        <v>0.88575901728292805</v>
      </c>
      <c r="P25">
        <v>0.92969367462733998</v>
      </c>
      <c r="Q25">
        <v>-0.88352595430965297</v>
      </c>
      <c r="R25">
        <v>-0.92855680258678497</v>
      </c>
      <c r="S25">
        <f t="shared" si="0"/>
        <v>2.2330629732750795E-3</v>
      </c>
    </row>
    <row r="26" spans="1:19" x14ac:dyDescent="0.25">
      <c r="A26">
        <v>26</v>
      </c>
      <c r="B26">
        <v>26</v>
      </c>
      <c r="C26">
        <v>27</v>
      </c>
      <c r="D26">
        <v>1.7731956704576399E-3</v>
      </c>
      <c r="E26">
        <v>9.0281989273476395E-4</v>
      </c>
      <c r="F26">
        <v>0</v>
      </c>
      <c r="G26">
        <v>100</v>
      </c>
      <c r="H26">
        <v>100</v>
      </c>
      <c r="I26">
        <v>100</v>
      </c>
      <c r="J26">
        <v>1</v>
      </c>
      <c r="K26">
        <v>0</v>
      </c>
      <c r="L26">
        <v>1</v>
      </c>
      <c r="M26">
        <v>-360</v>
      </c>
      <c r="N26">
        <v>360</v>
      </c>
      <c r="O26">
        <v>0.82352595451409605</v>
      </c>
      <c r="P26">
        <v>0.90355680234826397</v>
      </c>
      <c r="Q26">
        <v>-0.820683138178116</v>
      </c>
      <c r="R26">
        <v>-0.902109386712035</v>
      </c>
      <c r="S26">
        <f t="shared" si="0"/>
        <v>2.8428163359800473E-3</v>
      </c>
    </row>
    <row r="27" spans="1:19" x14ac:dyDescent="0.25">
      <c r="A27">
        <v>27</v>
      </c>
      <c r="B27">
        <v>27</v>
      </c>
      <c r="C27">
        <v>28</v>
      </c>
      <c r="D27">
        <v>6.6067448819408601E-3</v>
      </c>
      <c r="E27">
        <v>5.8262143457893803E-3</v>
      </c>
      <c r="F27">
        <v>0</v>
      </c>
      <c r="G27">
        <v>100</v>
      </c>
      <c r="H27">
        <v>100</v>
      </c>
      <c r="I27">
        <v>100</v>
      </c>
      <c r="J27">
        <v>1</v>
      </c>
      <c r="K27">
        <v>0</v>
      </c>
      <c r="L27">
        <v>1</v>
      </c>
      <c r="M27">
        <v>-360</v>
      </c>
      <c r="N27">
        <v>360</v>
      </c>
      <c r="O27">
        <v>0.76068313808060695</v>
      </c>
      <c r="P27">
        <v>0.87710938743092703</v>
      </c>
      <c r="Q27">
        <v>-0.75108357334623499</v>
      </c>
      <c r="R27">
        <v>-0.86864392936221801</v>
      </c>
      <c r="S27">
        <f t="shared" si="0"/>
        <v>9.599564734371957E-3</v>
      </c>
    </row>
    <row r="28" spans="1:19" x14ac:dyDescent="0.25">
      <c r="A28">
        <v>28</v>
      </c>
      <c r="B28">
        <v>28</v>
      </c>
      <c r="C28">
        <v>29</v>
      </c>
      <c r="D28">
        <v>5.0182310969355296E-3</v>
      </c>
      <c r="E28">
        <v>4.3712205725637597E-3</v>
      </c>
      <c r="F28">
        <v>0</v>
      </c>
      <c r="G28">
        <v>100</v>
      </c>
      <c r="H28">
        <v>100</v>
      </c>
      <c r="I28">
        <v>100</v>
      </c>
      <c r="J28">
        <v>1</v>
      </c>
      <c r="K28">
        <v>0</v>
      </c>
      <c r="L28">
        <v>1</v>
      </c>
      <c r="M28">
        <v>-360</v>
      </c>
      <c r="N28">
        <v>360</v>
      </c>
      <c r="O28">
        <v>0.69108357412777699</v>
      </c>
      <c r="P28">
        <v>0.84864392864795302</v>
      </c>
      <c r="Q28">
        <v>-0.68446048335549503</v>
      </c>
      <c r="R28">
        <v>-0.84287476615254098</v>
      </c>
      <c r="S28">
        <f t="shared" si="0"/>
        <v>6.6230907722819587E-3</v>
      </c>
    </row>
    <row r="29" spans="1:19" x14ac:dyDescent="0.25">
      <c r="A29">
        <v>29</v>
      </c>
      <c r="B29">
        <v>29</v>
      </c>
      <c r="C29">
        <v>30</v>
      </c>
      <c r="D29">
        <v>3.1657969148142298E-3</v>
      </c>
      <c r="E29">
        <v>1.61284687126425E-3</v>
      </c>
      <c r="F29">
        <v>0</v>
      </c>
      <c r="G29">
        <v>100</v>
      </c>
      <c r="H29">
        <v>100</v>
      </c>
      <c r="I29">
        <v>100</v>
      </c>
      <c r="J29">
        <v>1</v>
      </c>
      <c r="K29">
        <v>0</v>
      </c>
      <c r="L29">
        <v>1</v>
      </c>
      <c r="M29">
        <v>-360</v>
      </c>
      <c r="N29">
        <v>360</v>
      </c>
      <c r="O29">
        <v>0.56446048535320703</v>
      </c>
      <c r="P29">
        <v>0.77287476258697196</v>
      </c>
      <c r="Q29">
        <v>-0.56121425344206599</v>
      </c>
      <c r="R29">
        <v>-0.77122093730311303</v>
      </c>
      <c r="S29">
        <f t="shared" si="0"/>
        <v>3.2462319111410398E-3</v>
      </c>
    </row>
    <row r="30" spans="1:19" x14ac:dyDescent="0.25">
      <c r="A30">
        <v>30</v>
      </c>
      <c r="B30">
        <v>30</v>
      </c>
      <c r="C30">
        <v>31</v>
      </c>
      <c r="D30">
        <v>6.0801519382863E-3</v>
      </c>
      <c r="E30">
        <v>6.0077766047982404E-3</v>
      </c>
      <c r="F30">
        <v>0</v>
      </c>
      <c r="G30">
        <v>100</v>
      </c>
      <c r="H30">
        <v>100</v>
      </c>
      <c r="I30">
        <v>100</v>
      </c>
      <c r="J30">
        <v>1</v>
      </c>
      <c r="K30">
        <v>0</v>
      </c>
      <c r="L30">
        <v>1</v>
      </c>
      <c r="M30">
        <v>-360</v>
      </c>
      <c r="N30">
        <v>360</v>
      </c>
      <c r="O30">
        <v>0.361214250252406</v>
      </c>
      <c r="P30">
        <v>0.17122094498743601</v>
      </c>
      <c r="Q30">
        <v>-0.360119164590265</v>
      </c>
      <c r="R30">
        <v>-0.170138894721581</v>
      </c>
      <c r="S30">
        <f t="shared" si="0"/>
        <v>1.0950856621410043E-3</v>
      </c>
    </row>
    <row r="31" spans="1:19" x14ac:dyDescent="0.25">
      <c r="A31">
        <v>31</v>
      </c>
      <c r="B31">
        <v>31</v>
      </c>
      <c r="C31">
        <v>32</v>
      </c>
      <c r="D31">
        <v>1.9372880213831701E-3</v>
      </c>
      <c r="E31">
        <v>2.2579856197699499E-3</v>
      </c>
      <c r="F31">
        <v>0</v>
      </c>
      <c r="G31">
        <v>100</v>
      </c>
      <c r="H31">
        <v>100</v>
      </c>
      <c r="I31">
        <v>100</v>
      </c>
      <c r="J31">
        <v>1</v>
      </c>
      <c r="K31">
        <v>0</v>
      </c>
      <c r="L31">
        <v>1</v>
      </c>
      <c r="M31">
        <v>-360</v>
      </c>
      <c r="N31">
        <v>360</v>
      </c>
      <c r="O31">
        <v>0.210119165198003</v>
      </c>
      <c r="P31">
        <v>0.100138894611976</v>
      </c>
      <c r="Q31">
        <v>-0.20999999819325499</v>
      </c>
      <c r="R31">
        <v>-0.100000000766508</v>
      </c>
      <c r="S31">
        <f t="shared" si="0"/>
        <v>1.191670047480109E-4</v>
      </c>
    </row>
    <row r="32" spans="1:19" x14ac:dyDescent="0.25">
      <c r="A32">
        <v>32</v>
      </c>
      <c r="B32">
        <v>32</v>
      </c>
      <c r="C32">
        <v>33</v>
      </c>
      <c r="D32">
        <v>2.1282091597223801E-3</v>
      </c>
      <c r="E32">
        <v>3.3080518806356098E-3</v>
      </c>
      <c r="F32">
        <v>0</v>
      </c>
      <c r="G32">
        <v>100</v>
      </c>
      <c r="H32">
        <v>100</v>
      </c>
      <c r="I32">
        <v>100</v>
      </c>
      <c r="J32">
        <v>1</v>
      </c>
      <c r="K32">
        <v>0</v>
      </c>
      <c r="L32">
        <v>0</v>
      </c>
      <c r="M32">
        <v>-360</v>
      </c>
      <c r="N32">
        <v>360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</row>
    <row r="33" spans="1:19" x14ac:dyDescent="0.25">
      <c r="A33">
        <v>33</v>
      </c>
      <c r="B33">
        <v>8</v>
      </c>
      <c r="C33">
        <v>21</v>
      </c>
      <c r="D33">
        <v>1.2478505773804599E-2</v>
      </c>
      <c r="E33">
        <v>1.2478505773804599E-2</v>
      </c>
      <c r="F33">
        <v>0</v>
      </c>
      <c r="G33">
        <v>100</v>
      </c>
      <c r="H33">
        <v>100</v>
      </c>
      <c r="I33">
        <v>100</v>
      </c>
      <c r="J33">
        <v>1</v>
      </c>
      <c r="K33">
        <v>0</v>
      </c>
      <c r="L33">
        <v>1</v>
      </c>
      <c r="M33">
        <v>-360</v>
      </c>
      <c r="N33">
        <v>360</v>
      </c>
      <c r="O33">
        <v>-0.59408395196744601</v>
      </c>
      <c r="P33">
        <v>-0.253743432432123</v>
      </c>
      <c r="Q33">
        <v>0.59970384809832</v>
      </c>
      <c r="R33">
        <v>0.25936332856299599</v>
      </c>
      <c r="S33">
        <f t="shared" si="0"/>
        <v>5.6198961308739914E-3</v>
      </c>
    </row>
    <row r="34" spans="1:19" x14ac:dyDescent="0.25">
      <c r="A34">
        <v>34</v>
      </c>
      <c r="B34">
        <v>9</v>
      </c>
      <c r="C34">
        <v>15</v>
      </c>
      <c r="D34">
        <v>1.2478505773804599E-2</v>
      </c>
      <c r="E34">
        <v>1.2478505773804599E-2</v>
      </c>
      <c r="F34">
        <v>0</v>
      </c>
      <c r="G34">
        <v>100</v>
      </c>
      <c r="H34">
        <v>100</v>
      </c>
      <c r="I34">
        <v>100</v>
      </c>
      <c r="J34">
        <v>1</v>
      </c>
      <c r="K34">
        <v>0</v>
      </c>
      <c r="L34">
        <v>1</v>
      </c>
      <c r="M34">
        <v>-360</v>
      </c>
      <c r="N34">
        <v>360</v>
      </c>
      <c r="O34">
        <v>0.33284307668182</v>
      </c>
      <c r="P34">
        <v>0.132851843494872</v>
      </c>
      <c r="Q34">
        <v>-0.331101341797431</v>
      </c>
      <c r="R34">
        <v>-0.131110108610483</v>
      </c>
      <c r="S34">
        <f t="shared" si="0"/>
        <v>1.7417348843890013E-3</v>
      </c>
    </row>
    <row r="35" spans="1:19" x14ac:dyDescent="0.25">
      <c r="A35">
        <v>35</v>
      </c>
      <c r="B35">
        <v>12</v>
      </c>
      <c r="C35">
        <v>22</v>
      </c>
      <c r="D35">
        <v>1.2478505773804599E-2</v>
      </c>
      <c r="E35">
        <v>1.2478505773804599E-2</v>
      </c>
      <c r="F35">
        <v>0</v>
      </c>
      <c r="G35">
        <v>100</v>
      </c>
      <c r="H35">
        <v>100</v>
      </c>
      <c r="I35">
        <v>100</v>
      </c>
      <c r="J35">
        <v>1</v>
      </c>
      <c r="K35">
        <v>0</v>
      </c>
      <c r="L35">
        <v>1</v>
      </c>
      <c r="M35">
        <v>-360</v>
      </c>
      <c r="N35">
        <v>360</v>
      </c>
      <c r="O35">
        <v>-0.34556916789294301</v>
      </c>
      <c r="P35">
        <v>-0.200470773579875</v>
      </c>
      <c r="Q35">
        <v>0.34771645142069102</v>
      </c>
      <c r="R35">
        <v>0.20261805710762301</v>
      </c>
      <c r="S35">
        <f t="shared" si="0"/>
        <v>2.1472835277480118E-3</v>
      </c>
    </row>
    <row r="36" spans="1:19" x14ac:dyDescent="0.25">
      <c r="A36">
        <v>36</v>
      </c>
      <c r="B36">
        <v>18</v>
      </c>
      <c r="C36">
        <v>33</v>
      </c>
      <c r="D36">
        <v>3.1196264434511598E-3</v>
      </c>
      <c r="E36">
        <v>3.1196264434511598E-3</v>
      </c>
      <c r="F36">
        <v>0</v>
      </c>
      <c r="G36">
        <v>100</v>
      </c>
      <c r="H36">
        <v>100</v>
      </c>
      <c r="I36">
        <v>100</v>
      </c>
      <c r="J36">
        <v>1</v>
      </c>
      <c r="K36">
        <v>0</v>
      </c>
      <c r="L36">
        <v>1</v>
      </c>
      <c r="M36">
        <v>-360</v>
      </c>
      <c r="N36">
        <v>360</v>
      </c>
      <c r="O36">
        <v>6.0018082233515499E-2</v>
      </c>
      <c r="P36">
        <v>4.0018082361858699E-2</v>
      </c>
      <c r="Q36">
        <v>-5.9999999892346001E-2</v>
      </c>
      <c r="R36">
        <v>-4.0000000020689097E-2</v>
      </c>
      <c r="S36">
        <f t="shared" si="0"/>
        <v>1.8082341169498028E-5</v>
      </c>
    </row>
    <row r="37" spans="1:19" x14ac:dyDescent="0.25">
      <c r="A37">
        <v>37</v>
      </c>
      <c r="B37">
        <v>25</v>
      </c>
      <c r="C37">
        <v>29</v>
      </c>
      <c r="D37">
        <v>3.1196264434511598E-3</v>
      </c>
      <c r="E37">
        <v>3.1196264434511598E-3</v>
      </c>
      <c r="F37">
        <v>0</v>
      </c>
      <c r="G37">
        <v>100</v>
      </c>
      <c r="H37">
        <v>100</v>
      </c>
      <c r="I37">
        <v>100</v>
      </c>
      <c r="J37">
        <v>1</v>
      </c>
      <c r="K37">
        <v>0</v>
      </c>
      <c r="L37">
        <v>0</v>
      </c>
      <c r="M37">
        <v>-360</v>
      </c>
      <c r="N37">
        <v>360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 x14ac:dyDescent="0.25">
      <c r="S38">
        <f>SUM(S1:S37)</f>
        <v>0.13955425372497787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712E-4EE2-477E-9DC3-F54AA438B943}">
  <dimension ref="A1:J31"/>
  <sheetViews>
    <sheetView workbookViewId="0">
      <selection activeCell="K3" sqref="K3"/>
    </sheetView>
  </sheetViews>
  <sheetFormatPr defaultRowHeight="15" x14ac:dyDescent="0.25"/>
  <cols>
    <col min="1" max="1" width="9.140625" style="1"/>
    <col min="2" max="2" width="19.5703125" style="1" bestFit="1" customWidth="1"/>
    <col min="3" max="3" width="13.28515625" style="1" bestFit="1" customWidth="1"/>
    <col min="4" max="4" width="24" style="1" bestFit="1" customWidth="1"/>
    <col min="5" max="5" width="22" style="1" bestFit="1" customWidth="1"/>
    <col min="6" max="6" width="23.28515625" style="1" bestFit="1" customWidth="1"/>
    <col min="7" max="7" width="16.140625" style="1" bestFit="1" customWidth="1"/>
    <col min="8" max="8" width="9.140625" style="1"/>
    <col min="9" max="9" width="11.28515625" style="1" bestFit="1" customWidth="1"/>
    <col min="10" max="16384" width="9.140625" style="1"/>
  </cols>
  <sheetData>
    <row r="1" spans="1:10" x14ac:dyDescent="0.25">
      <c r="A1" s="21" t="s">
        <v>764</v>
      </c>
      <c r="B1" s="21" t="s">
        <v>677</v>
      </c>
      <c r="C1" s="21" t="s">
        <v>678</v>
      </c>
      <c r="D1" s="21" t="s">
        <v>679</v>
      </c>
      <c r="E1" s="21" t="s">
        <v>680</v>
      </c>
      <c r="F1" s="21" t="s">
        <v>681</v>
      </c>
      <c r="G1" s="21" t="s">
        <v>682</v>
      </c>
      <c r="H1" s="21" t="s">
        <v>766</v>
      </c>
      <c r="I1" s="1" t="s">
        <v>768</v>
      </c>
    </row>
    <row r="2" spans="1:10" x14ac:dyDescent="0.25">
      <c r="A2" s="1" t="s">
        <v>744</v>
      </c>
      <c r="B2" s="1" t="s">
        <v>726</v>
      </c>
      <c r="C2" s="1" t="s">
        <v>736</v>
      </c>
      <c r="D2" s="209">
        <v>15.739840000000001</v>
      </c>
      <c r="E2" s="207">
        <v>8.0506899999999995</v>
      </c>
      <c r="F2" s="207">
        <v>8.1926800000000011</v>
      </c>
      <c r="G2" s="1">
        <v>1.76</v>
      </c>
      <c r="H2" s="1">
        <v>3</v>
      </c>
      <c r="I2" s="1" t="s">
        <v>773</v>
      </c>
      <c r="J2" s="1">
        <f>159 + 150 + 148 + 146 + 150 + 154</f>
        <v>907</v>
      </c>
    </row>
    <row r="3" spans="1:10" x14ac:dyDescent="0.25">
      <c r="A3" s="1" t="s">
        <v>744</v>
      </c>
      <c r="B3" s="1" t="s">
        <v>711</v>
      </c>
      <c r="C3" s="1" t="s">
        <v>712</v>
      </c>
      <c r="D3" s="209">
        <v>14.896330000000001</v>
      </c>
      <c r="E3" s="207">
        <v>7.9121300000000003</v>
      </c>
      <c r="F3" s="207">
        <v>7.9636499999999995</v>
      </c>
      <c r="G3" s="1">
        <v>0.65</v>
      </c>
      <c r="H3" s="1">
        <v>2</v>
      </c>
      <c r="I3" s="1" t="s">
        <v>772</v>
      </c>
    </row>
    <row r="4" spans="1:10" x14ac:dyDescent="0.25">
      <c r="A4" s="1" t="s">
        <v>744</v>
      </c>
      <c r="B4" s="1" t="s">
        <v>713</v>
      </c>
      <c r="C4" s="1" t="s">
        <v>714</v>
      </c>
      <c r="D4" s="209">
        <v>5.2298200000000001</v>
      </c>
      <c r="E4" s="207">
        <v>8.1167600000000011</v>
      </c>
      <c r="F4" s="207">
        <v>8.1441599999999994</v>
      </c>
      <c r="G4" s="1">
        <v>0.34</v>
      </c>
      <c r="H4" s="1">
        <v>4</v>
      </c>
      <c r="I4" s="1" t="s">
        <v>774</v>
      </c>
    </row>
    <row r="5" spans="1:10" x14ac:dyDescent="0.25">
      <c r="A5" s="1" t="s">
        <v>744</v>
      </c>
      <c r="B5" s="1" t="s">
        <v>732</v>
      </c>
      <c r="C5" s="1" t="s">
        <v>733</v>
      </c>
      <c r="D5" s="209">
        <v>4.91</v>
      </c>
      <c r="E5" s="211">
        <v>8.1904000000000003</v>
      </c>
      <c r="F5" s="211">
        <v>8.2273999999999994</v>
      </c>
      <c r="G5" s="1">
        <v>0.45</v>
      </c>
      <c r="H5" s="1">
        <v>1</v>
      </c>
      <c r="I5" s="1" t="s">
        <v>771</v>
      </c>
    </row>
    <row r="6" spans="1:10" x14ac:dyDescent="0.25">
      <c r="A6" s="1" t="s">
        <v>744</v>
      </c>
      <c r="B6" s="1" t="s">
        <v>739</v>
      </c>
      <c r="C6" s="1" t="s">
        <v>740</v>
      </c>
      <c r="D6" s="209">
        <v>2.0099999999999998</v>
      </c>
      <c r="E6" s="207">
        <v>8.1853300000000004</v>
      </c>
      <c r="F6" s="207">
        <v>8.2248900000000003</v>
      </c>
      <c r="G6" s="1">
        <v>0.48</v>
      </c>
      <c r="H6" s="1">
        <v>5</v>
      </c>
      <c r="I6" s="1" t="s">
        <v>776</v>
      </c>
    </row>
    <row r="7" spans="1:10" x14ac:dyDescent="0.25">
      <c r="A7" s="1" t="s">
        <v>744</v>
      </c>
      <c r="B7" s="1" t="s">
        <v>707</v>
      </c>
      <c r="C7" s="1" t="s">
        <v>708</v>
      </c>
      <c r="D7" s="209">
        <v>1.9149700000000001</v>
      </c>
      <c r="E7" s="207">
        <v>8.1512799999999999</v>
      </c>
      <c r="F7" s="207">
        <v>8.1777200000000008</v>
      </c>
      <c r="G7" s="1">
        <v>0.32</v>
      </c>
      <c r="H7" s="1">
        <v>6</v>
      </c>
      <c r="I7" s="1">
        <v>0</v>
      </c>
    </row>
    <row r="8" spans="1:10" x14ac:dyDescent="0.25">
      <c r="A8" s="1" t="s">
        <v>744</v>
      </c>
      <c r="B8" s="1" t="s">
        <v>699</v>
      </c>
      <c r="C8" s="1" t="s">
        <v>769</v>
      </c>
      <c r="D8" s="209">
        <v>1.6431800000000001</v>
      </c>
      <c r="E8" s="207">
        <v>8.1703299999999999</v>
      </c>
      <c r="F8" s="207">
        <v>8.1896100000000001</v>
      </c>
      <c r="G8" s="1">
        <v>0.24</v>
      </c>
      <c r="H8" s="1">
        <v>6</v>
      </c>
      <c r="I8" s="1">
        <v>0</v>
      </c>
    </row>
    <row r="9" spans="1:10" x14ac:dyDescent="0.25">
      <c r="A9" s="1" t="s">
        <v>744</v>
      </c>
      <c r="B9" s="1" t="s">
        <v>694</v>
      </c>
      <c r="C9" s="1" t="s">
        <v>695</v>
      </c>
      <c r="D9" s="209">
        <v>1.58555</v>
      </c>
      <c r="E9" s="207">
        <v>8.1255600000000001</v>
      </c>
      <c r="F9" s="207">
        <v>8.1587200000000006</v>
      </c>
      <c r="G9" s="1">
        <v>0.41</v>
      </c>
      <c r="H9" s="1">
        <v>6</v>
      </c>
      <c r="I9" s="1">
        <v>0</v>
      </c>
    </row>
    <row r="10" spans="1:10" x14ac:dyDescent="0.25">
      <c r="A10" s="1" t="s">
        <v>744</v>
      </c>
      <c r="B10" s="1" t="s">
        <v>727</v>
      </c>
      <c r="C10" s="1" t="s">
        <v>695</v>
      </c>
      <c r="D10" s="209">
        <v>1.5299100000000001</v>
      </c>
      <c r="E10" s="207">
        <v>8.1255600000000001</v>
      </c>
      <c r="F10" s="207">
        <v>8.1602200000000007</v>
      </c>
      <c r="G10" s="1">
        <v>0.43</v>
      </c>
      <c r="H10" s="1">
        <v>6</v>
      </c>
      <c r="I10" s="1">
        <v>0</v>
      </c>
    </row>
    <row r="11" spans="1:10" x14ac:dyDescent="0.25">
      <c r="A11" s="1" t="s">
        <v>744</v>
      </c>
      <c r="B11" s="1" t="s">
        <v>700</v>
      </c>
      <c r="C11" s="1" t="s">
        <v>701</v>
      </c>
      <c r="D11" s="209">
        <v>1.2967299999999999</v>
      </c>
      <c r="E11" s="207">
        <v>8.1247000000000007</v>
      </c>
      <c r="F11" s="207">
        <v>8.1635399999999994</v>
      </c>
      <c r="G11" s="1">
        <v>0.48</v>
      </c>
      <c r="H11" s="1">
        <v>6</v>
      </c>
      <c r="I11" s="1">
        <v>0</v>
      </c>
    </row>
    <row r="12" spans="1:10" x14ac:dyDescent="0.25">
      <c r="A12" s="1" t="s">
        <v>744</v>
      </c>
      <c r="B12" s="1" t="s">
        <v>705</v>
      </c>
      <c r="C12" s="1" t="s">
        <v>706</v>
      </c>
      <c r="D12" s="209">
        <v>1.2108699999999999</v>
      </c>
      <c r="E12" s="207">
        <v>8.1924200000000003</v>
      </c>
      <c r="F12" s="207">
        <v>8.2049099999999999</v>
      </c>
      <c r="G12" s="1">
        <v>0.15</v>
      </c>
      <c r="H12" s="1">
        <v>6</v>
      </c>
      <c r="I12" s="1">
        <v>0</v>
      </c>
    </row>
    <row r="13" spans="1:10" x14ac:dyDescent="0.25">
      <c r="A13" s="1" t="s">
        <v>744</v>
      </c>
      <c r="B13" s="1" t="s">
        <v>703</v>
      </c>
      <c r="C13" s="1" t="s">
        <v>704</v>
      </c>
      <c r="D13" s="209">
        <v>1.0142500000000001</v>
      </c>
      <c r="E13" s="207">
        <v>8.1394400000000005</v>
      </c>
      <c r="F13" s="207">
        <v>8.1742500000000007</v>
      </c>
      <c r="G13" s="1">
        <v>0.43</v>
      </c>
      <c r="H13" s="1">
        <v>6</v>
      </c>
      <c r="I13" s="1">
        <v>0</v>
      </c>
    </row>
    <row r="14" spans="1:10" x14ac:dyDescent="0.25">
      <c r="A14" s="1" t="s">
        <v>744</v>
      </c>
      <c r="B14" s="1" t="s">
        <v>696</v>
      </c>
      <c r="C14" s="1" t="s">
        <v>697</v>
      </c>
      <c r="D14" s="209">
        <v>0.95143</v>
      </c>
      <c r="E14" s="207">
        <v>8.1419099999999993</v>
      </c>
      <c r="F14" s="207">
        <v>8.1555699999999991</v>
      </c>
      <c r="G14" s="1">
        <v>0.17</v>
      </c>
      <c r="H14" s="1">
        <v>6</v>
      </c>
      <c r="I14" s="1">
        <v>0</v>
      </c>
    </row>
    <row r="15" spans="1:10" x14ac:dyDescent="0.25">
      <c r="A15" s="1" t="s">
        <v>744</v>
      </c>
      <c r="B15" s="1" t="s">
        <v>723</v>
      </c>
      <c r="C15" s="1" t="s">
        <v>697</v>
      </c>
      <c r="D15" s="209">
        <v>0.79564000000000001</v>
      </c>
      <c r="E15" s="207">
        <v>8.1419099999999993</v>
      </c>
      <c r="F15" s="207">
        <v>8.1505100000000006</v>
      </c>
      <c r="G15" s="1">
        <v>0.11</v>
      </c>
      <c r="H15" s="1">
        <v>6</v>
      </c>
      <c r="I15" s="1">
        <v>0</v>
      </c>
    </row>
    <row r="16" spans="1:10" x14ac:dyDescent="0.25">
      <c r="A16" s="1" t="s">
        <v>744</v>
      </c>
      <c r="B16" s="1" t="s">
        <v>698</v>
      </c>
      <c r="C16" s="1" t="s">
        <v>739</v>
      </c>
      <c r="D16" s="209">
        <v>0.49724000000000002</v>
      </c>
      <c r="E16" s="207">
        <v>8.2165099999999995</v>
      </c>
      <c r="F16" s="207">
        <v>8.226659999999999</v>
      </c>
      <c r="G16" s="1">
        <v>0.12</v>
      </c>
      <c r="H16" s="1">
        <v>6</v>
      </c>
      <c r="I16" s="1">
        <v>0</v>
      </c>
    </row>
    <row r="17" spans="1:9" x14ac:dyDescent="0.25">
      <c r="A17" s="1" t="s">
        <v>744</v>
      </c>
      <c r="B17" s="1" t="s">
        <v>702</v>
      </c>
      <c r="C17" s="1" t="s">
        <v>770</v>
      </c>
      <c r="D17" s="209">
        <v>0.48925999999999997</v>
      </c>
      <c r="E17" s="207">
        <v>8.1508000000000003</v>
      </c>
      <c r="F17" s="207">
        <v>8.1652199999999997</v>
      </c>
      <c r="G17" s="1">
        <v>0.18</v>
      </c>
      <c r="H17" s="1">
        <v>6</v>
      </c>
      <c r="I17" s="1">
        <v>0</v>
      </c>
    </row>
    <row r="18" spans="1:9" x14ac:dyDescent="0.25">
      <c r="A18" s="1" t="s">
        <v>744</v>
      </c>
      <c r="B18" s="1" t="s">
        <v>721</v>
      </c>
      <c r="C18" s="1" t="s">
        <v>722</v>
      </c>
      <c r="D18" s="209">
        <v>0.26850000000000002</v>
      </c>
      <c r="E18" s="207">
        <v>8.1522299999999994</v>
      </c>
      <c r="F18" s="207">
        <v>8.1608599999999996</v>
      </c>
      <c r="G18" s="1">
        <v>0.11</v>
      </c>
      <c r="H18" s="1">
        <v>6</v>
      </c>
      <c r="I18" s="1">
        <v>0</v>
      </c>
    </row>
    <row r="19" spans="1:9" x14ac:dyDescent="0.25">
      <c r="A19" s="1" t="s">
        <v>744</v>
      </c>
      <c r="B19" s="1" t="s">
        <v>737</v>
      </c>
      <c r="C19" s="1" t="s">
        <v>775</v>
      </c>
      <c r="D19" s="209">
        <v>0.20562</v>
      </c>
      <c r="E19" s="207">
        <v>8.2157700000000009</v>
      </c>
      <c r="F19" s="207">
        <v>8.21983</v>
      </c>
      <c r="G19" s="1">
        <v>0.05</v>
      </c>
      <c r="H19" s="1">
        <v>6</v>
      </c>
      <c r="I19" s="1">
        <v>0</v>
      </c>
    </row>
    <row r="20" spans="1:9" x14ac:dyDescent="0.25">
      <c r="A20" s="1" t="s">
        <v>744</v>
      </c>
      <c r="B20" s="1" t="s">
        <v>740</v>
      </c>
      <c r="C20" s="1" t="s">
        <v>739</v>
      </c>
      <c r="D20" s="209">
        <v>0.1782</v>
      </c>
      <c r="E20" s="207">
        <v>8.2165099999999995</v>
      </c>
      <c r="F20" s="207">
        <v>8.2190300000000001</v>
      </c>
      <c r="G20" s="1">
        <v>0.03</v>
      </c>
      <c r="H20" s="1">
        <v>6</v>
      </c>
      <c r="I20" s="1">
        <v>0</v>
      </c>
    </row>
    <row r="21" spans="1:9" x14ac:dyDescent="0.25">
      <c r="A21" s="1" t="s">
        <v>744</v>
      </c>
      <c r="B21" s="1" t="s">
        <v>743</v>
      </c>
      <c r="C21" s="1" t="s">
        <v>710</v>
      </c>
      <c r="D21" s="209">
        <v>0.16337000000000002</v>
      </c>
      <c r="E21" s="207">
        <v>8.1556099999999994</v>
      </c>
      <c r="F21" s="207">
        <v>8.1666100000000004</v>
      </c>
      <c r="G21" s="1">
        <v>0.13</v>
      </c>
      <c r="H21" s="1">
        <v>6</v>
      </c>
      <c r="I21" s="1">
        <v>0</v>
      </c>
    </row>
    <row r="22" spans="1:9" x14ac:dyDescent="0.25">
      <c r="A22" s="1" t="s">
        <v>744</v>
      </c>
      <c r="B22" s="1" t="s">
        <v>709</v>
      </c>
      <c r="C22" s="1" t="s">
        <v>710</v>
      </c>
      <c r="D22" s="209">
        <v>0.12420999999999999</v>
      </c>
      <c r="E22" s="207">
        <v>8.1556099999999994</v>
      </c>
      <c r="F22" s="207">
        <v>8.1639400000000002</v>
      </c>
      <c r="G22" s="1">
        <v>0.1</v>
      </c>
      <c r="H22" s="1">
        <v>6</v>
      </c>
      <c r="I22" s="1">
        <v>0</v>
      </c>
    </row>
    <row r="23" spans="1:9" x14ac:dyDescent="0.25">
      <c r="A23" s="1" t="s">
        <v>744</v>
      </c>
      <c r="B23" s="1" t="s">
        <v>738</v>
      </c>
      <c r="C23" s="1" t="s">
        <v>767</v>
      </c>
      <c r="D23" s="209">
        <v>9.7379999999999994E-2</v>
      </c>
      <c r="E23" s="207">
        <v>8.2227199999999989</v>
      </c>
      <c r="F23" s="207">
        <v>8.2263400000000004</v>
      </c>
      <c r="G23" s="1">
        <v>0.04</v>
      </c>
      <c r="H23" s="1">
        <v>6</v>
      </c>
      <c r="I23" s="1">
        <v>0</v>
      </c>
    </row>
    <row r="24" spans="1:9" x14ac:dyDescent="0.25">
      <c r="A24" s="1" t="s">
        <v>744</v>
      </c>
      <c r="B24" s="1" t="s">
        <v>715</v>
      </c>
      <c r="C24" s="1" t="s">
        <v>716</v>
      </c>
      <c r="D24" s="209">
        <v>7.0080000000000003E-2</v>
      </c>
      <c r="E24" s="207">
        <v>8.1602099999999993</v>
      </c>
      <c r="F24" s="207">
        <v>8.16465</v>
      </c>
      <c r="G24" s="1">
        <v>0.05</v>
      </c>
      <c r="H24" s="1">
        <v>6</v>
      </c>
      <c r="I24" s="1">
        <v>0</v>
      </c>
    </row>
    <row r="25" spans="1:9" x14ac:dyDescent="0.25">
      <c r="A25" s="1" t="s">
        <v>744</v>
      </c>
      <c r="B25" s="1" t="s">
        <v>728</v>
      </c>
      <c r="C25" s="1" t="s">
        <v>729</v>
      </c>
      <c r="D25" s="209">
        <v>6.5860000000000002E-2</v>
      </c>
      <c r="E25" s="207">
        <v>8.2112599999999993</v>
      </c>
      <c r="F25" s="207">
        <v>8.2157999999999998</v>
      </c>
      <c r="G25" s="1">
        <v>0.06</v>
      </c>
      <c r="H25" s="1">
        <v>6</v>
      </c>
      <c r="I25" s="1">
        <v>0</v>
      </c>
    </row>
    <row r="26" spans="1:9" x14ac:dyDescent="0.25">
      <c r="A26" s="1" t="s">
        <v>744</v>
      </c>
      <c r="B26" s="1" t="s">
        <v>741</v>
      </c>
      <c r="C26" s="1" t="s">
        <v>742</v>
      </c>
      <c r="D26" s="209">
        <v>5.8500000000000003E-2</v>
      </c>
      <c r="E26" s="207">
        <v>8.1665299999999998</v>
      </c>
      <c r="F26" s="207">
        <v>8.1748700000000003</v>
      </c>
      <c r="G26" s="1">
        <v>0.1</v>
      </c>
      <c r="H26" s="1">
        <v>4</v>
      </c>
      <c r="I26" s="1">
        <v>0</v>
      </c>
    </row>
    <row r="27" spans="1:9" x14ac:dyDescent="0.25">
      <c r="A27" s="1" t="s">
        <v>744</v>
      </c>
      <c r="B27" s="1" t="s">
        <v>717</v>
      </c>
      <c r="C27" s="1" t="s">
        <v>718</v>
      </c>
      <c r="D27" s="209">
        <v>3.4270000000000002E-2</v>
      </c>
      <c r="E27" s="207">
        <v>8.1998999999999995</v>
      </c>
      <c r="F27" s="207">
        <v>8.2029300000000003</v>
      </c>
      <c r="G27" s="1">
        <v>0.04</v>
      </c>
      <c r="H27" s="1">
        <v>6</v>
      </c>
      <c r="I27" s="1">
        <v>0</v>
      </c>
    </row>
    <row r="28" spans="1:9" x14ac:dyDescent="0.25">
      <c r="A28" s="1" t="s">
        <v>744</v>
      </c>
      <c r="B28" s="1" t="s">
        <v>730</v>
      </c>
      <c r="C28" s="1" t="s">
        <v>731</v>
      </c>
      <c r="D28" s="209">
        <v>3.3280000000000004E-2</v>
      </c>
      <c r="E28" s="207">
        <v>8.1598699999999997</v>
      </c>
      <c r="F28" s="207">
        <v>8.1609700000000007</v>
      </c>
      <c r="G28" s="1">
        <v>0.01</v>
      </c>
      <c r="H28" s="1">
        <v>6</v>
      </c>
      <c r="I28" s="1">
        <v>0</v>
      </c>
    </row>
    <row r="29" spans="1:9" x14ac:dyDescent="0.25">
      <c r="A29" s="1" t="s">
        <v>744</v>
      </c>
      <c r="B29" s="1" t="s">
        <v>719</v>
      </c>
      <c r="C29" s="1" t="s">
        <v>720</v>
      </c>
      <c r="D29" s="209">
        <v>2.5579999999999999E-2</v>
      </c>
      <c r="E29" s="207">
        <v>8.1553500000000003</v>
      </c>
      <c r="F29" s="207">
        <v>8.1581099999999989</v>
      </c>
      <c r="G29" s="1">
        <v>0.03</v>
      </c>
      <c r="H29" s="1">
        <v>6</v>
      </c>
      <c r="I29" s="1">
        <v>0</v>
      </c>
    </row>
    <row r="30" spans="1:9" x14ac:dyDescent="0.25">
      <c r="A30" s="1" t="s">
        <v>744</v>
      </c>
      <c r="B30" s="1" t="s">
        <v>734</v>
      </c>
      <c r="C30" s="1" t="s">
        <v>735</v>
      </c>
      <c r="D30" s="209">
        <v>2.511E-2</v>
      </c>
      <c r="E30" s="207">
        <v>8.1367200000000004</v>
      </c>
      <c r="F30" s="207">
        <v>8.1379099999999998</v>
      </c>
      <c r="G30" s="1">
        <v>0.01</v>
      </c>
      <c r="H30" s="1">
        <v>6</v>
      </c>
      <c r="I30" s="1">
        <v>0</v>
      </c>
    </row>
    <row r="31" spans="1:9" x14ac:dyDescent="0.25">
      <c r="A31" s="1" t="s">
        <v>744</v>
      </c>
      <c r="B31" s="1" t="s">
        <v>724</v>
      </c>
      <c r="C31" s="1" t="s">
        <v>725</v>
      </c>
      <c r="D31" s="209">
        <v>1.8089999999999998E-2</v>
      </c>
      <c r="E31" s="207">
        <v>8.2316399999999987</v>
      </c>
      <c r="F31" s="207">
        <v>8.2351700000000001</v>
      </c>
      <c r="G31" s="1">
        <v>0.04</v>
      </c>
      <c r="H31" s="1">
        <v>6</v>
      </c>
      <c r="I31" s="1">
        <v>0</v>
      </c>
    </row>
  </sheetData>
  <autoFilter ref="A1:L1" xr:uid="{79ED712E-4EE2-477E-9DC3-F54AA438B943}">
    <sortState xmlns:xlrd2="http://schemas.microsoft.com/office/spreadsheetml/2017/richdata2" ref="A2:K36">
      <sortCondition descending="1" ref="D1"/>
    </sortState>
  </autoFilter>
  <conditionalFormatting sqref="B1:B1048576">
    <cfRule type="duplicateValues" dxfId="7" priority="2"/>
    <cfRule type="duplicateValues" dxfId="6" priority="3"/>
  </conditionalFormatting>
  <conditionalFormatting sqref="B1:B1048576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A872-8D8C-499D-8C9E-49EF1E2A7658}">
  <dimension ref="A1:H5"/>
  <sheetViews>
    <sheetView workbookViewId="0">
      <selection activeCell="D9" sqref="D9"/>
    </sheetView>
  </sheetViews>
  <sheetFormatPr defaultRowHeight="15" x14ac:dyDescent="0.25"/>
  <cols>
    <col min="1" max="1" width="9.140625" style="1"/>
    <col min="2" max="2" width="19.5703125" style="1" bestFit="1" customWidth="1"/>
    <col min="3" max="3" width="13.28515625" style="1" bestFit="1" customWidth="1"/>
    <col min="4" max="4" width="24" style="1" bestFit="1" customWidth="1"/>
    <col min="5" max="5" width="22" style="1" bestFit="1" customWidth="1"/>
    <col min="6" max="6" width="23.28515625" style="1" bestFit="1" customWidth="1"/>
    <col min="7" max="7" width="16.140625" style="1" bestFit="1" customWidth="1"/>
    <col min="8" max="16384" width="9.140625" style="1"/>
  </cols>
  <sheetData>
    <row r="1" spans="1:8" x14ac:dyDescent="0.25">
      <c r="A1" s="21" t="s">
        <v>764</v>
      </c>
      <c r="B1" s="21" t="s">
        <v>677</v>
      </c>
      <c r="C1" s="21" t="s">
        <v>678</v>
      </c>
      <c r="D1" s="21" t="s">
        <v>679</v>
      </c>
      <c r="E1" s="21" t="s">
        <v>680</v>
      </c>
      <c r="F1" s="21" t="s">
        <v>681</v>
      </c>
      <c r="G1" s="21" t="s">
        <v>682</v>
      </c>
      <c r="H1" s="21" t="s">
        <v>766</v>
      </c>
    </row>
    <row r="2" spans="1:8" x14ac:dyDescent="0.25">
      <c r="A2" s="1" t="s">
        <v>693</v>
      </c>
      <c r="B2" s="1" t="s">
        <v>688</v>
      </c>
      <c r="C2" s="1" t="s">
        <v>689</v>
      </c>
      <c r="D2" s="209">
        <v>14.68</v>
      </c>
      <c r="E2" s="207">
        <v>8.1215200000000003</v>
      </c>
      <c r="F2" s="207">
        <v>8.2073199999999993</v>
      </c>
      <c r="G2" s="1">
        <v>1.06</v>
      </c>
      <c r="H2" s="1">
        <v>1</v>
      </c>
    </row>
    <row r="3" spans="1:8" x14ac:dyDescent="0.25">
      <c r="A3" s="1" t="s">
        <v>693</v>
      </c>
      <c r="B3" s="1" t="s">
        <v>692</v>
      </c>
      <c r="C3" s="1" t="s">
        <v>762</v>
      </c>
      <c r="D3" s="209">
        <v>3.81046</v>
      </c>
      <c r="E3" s="207">
        <v>8.1456199999999992</v>
      </c>
      <c r="F3" s="207">
        <v>8.2166899999999998</v>
      </c>
      <c r="G3" s="1">
        <v>0.87</v>
      </c>
      <c r="H3" s="1">
        <v>2</v>
      </c>
    </row>
    <row r="4" spans="1:8" x14ac:dyDescent="0.25">
      <c r="A4" s="1" t="s">
        <v>693</v>
      </c>
      <c r="B4" s="1" t="s">
        <v>690</v>
      </c>
      <c r="C4" s="1" t="s">
        <v>691</v>
      </c>
      <c r="D4" s="209">
        <v>0.46</v>
      </c>
      <c r="E4" s="207">
        <v>8.2363199999999992</v>
      </c>
      <c r="F4" s="207">
        <v>8.2497199999999999</v>
      </c>
      <c r="G4" s="1">
        <v>0.16</v>
      </c>
      <c r="H4" s="1">
        <v>1</v>
      </c>
    </row>
    <row r="5" spans="1:8" x14ac:dyDescent="0.25">
      <c r="A5" s="1" t="s">
        <v>693</v>
      </c>
      <c r="B5" s="1" t="s">
        <v>686</v>
      </c>
      <c r="C5" s="1" t="s">
        <v>687</v>
      </c>
      <c r="D5" s="209">
        <v>5.2490000000000002E-2</v>
      </c>
      <c r="E5" s="207">
        <v>8.2320400000000014</v>
      </c>
      <c r="F5" s="207">
        <v>8.2405799999999996</v>
      </c>
      <c r="G5" s="1">
        <v>0.1</v>
      </c>
      <c r="H5" s="1">
        <v>2</v>
      </c>
    </row>
  </sheetData>
  <autoFilter ref="A1:H1" xr:uid="{D9C8A872-8D8C-499D-8C9E-49EF1E2A7658}">
    <sortState xmlns:xlrd2="http://schemas.microsoft.com/office/spreadsheetml/2017/richdata2" ref="A2:H6">
      <sortCondition descending="1" ref="D1"/>
    </sortState>
  </autoFilter>
  <phoneticPr fontId="38" type="noConversion"/>
  <conditionalFormatting sqref="B1:B1048576">
    <cfRule type="duplicateValues" dxfId="4" priority="245"/>
    <cfRule type="duplicateValues" dxfId="3" priority="246"/>
  </conditionalFormatting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3678-86D2-4686-8976-9319C9411B2F}">
  <dimension ref="A1:H7"/>
  <sheetViews>
    <sheetView workbookViewId="0">
      <selection activeCell="H6" sqref="A6:H6"/>
    </sheetView>
  </sheetViews>
  <sheetFormatPr defaultRowHeight="15" x14ac:dyDescent="0.25"/>
  <sheetData>
    <row r="1" spans="1:8" x14ac:dyDescent="0.25">
      <c r="A1" s="21" t="s">
        <v>764</v>
      </c>
      <c r="B1" s="21" t="s">
        <v>677</v>
      </c>
      <c r="C1" s="21" t="s">
        <v>678</v>
      </c>
      <c r="D1" s="21" t="s">
        <v>679</v>
      </c>
      <c r="E1" s="21" t="s">
        <v>680</v>
      </c>
      <c r="F1" s="21" t="s">
        <v>681</v>
      </c>
      <c r="G1" s="21" t="s">
        <v>682</v>
      </c>
      <c r="H1" s="21" t="s">
        <v>766</v>
      </c>
    </row>
    <row r="2" spans="1:8" x14ac:dyDescent="0.25">
      <c r="A2" s="1" t="s">
        <v>534</v>
      </c>
      <c r="B2" s="1" t="s">
        <v>675</v>
      </c>
      <c r="C2" s="1" t="s">
        <v>676</v>
      </c>
      <c r="D2" s="209">
        <v>2.71</v>
      </c>
      <c r="E2" s="207">
        <v>8.0307200000000005</v>
      </c>
      <c r="F2" s="207">
        <v>8.0612399999999997</v>
      </c>
      <c r="G2" s="1">
        <v>0.38</v>
      </c>
      <c r="H2" s="1">
        <v>1</v>
      </c>
    </row>
    <row r="3" spans="1:8" x14ac:dyDescent="0.25">
      <c r="A3" s="208" t="s">
        <v>534</v>
      </c>
      <c r="B3" s="1" t="s">
        <v>669</v>
      </c>
      <c r="C3" s="1" t="s">
        <v>670</v>
      </c>
      <c r="D3" s="209">
        <v>0.46018999999999999</v>
      </c>
      <c r="E3" s="209">
        <v>8.2984599999999986</v>
      </c>
      <c r="F3" s="209">
        <v>8.3377999999999997</v>
      </c>
      <c r="G3" s="1">
        <v>0.47</v>
      </c>
      <c r="H3" s="1">
        <v>2</v>
      </c>
    </row>
    <row r="4" spans="1:8" x14ac:dyDescent="0.25">
      <c r="A4" s="1" t="s">
        <v>534</v>
      </c>
      <c r="B4" s="1" t="s">
        <v>671</v>
      </c>
      <c r="C4" s="1" t="s">
        <v>672</v>
      </c>
      <c r="D4" s="209">
        <v>0.65624000000000005</v>
      </c>
      <c r="E4" s="209">
        <v>8.2119699999999991</v>
      </c>
      <c r="F4" s="209">
        <v>8.226090000000001</v>
      </c>
      <c r="G4" s="1">
        <v>0.17</v>
      </c>
      <c r="H4" s="1">
        <v>2</v>
      </c>
    </row>
    <row r="5" spans="1:8" x14ac:dyDescent="0.25">
      <c r="A5" s="208" t="s">
        <v>534</v>
      </c>
      <c r="B5" s="1" t="s">
        <v>673</v>
      </c>
      <c r="C5" s="1" t="s">
        <v>674</v>
      </c>
      <c r="D5" s="209">
        <v>0.25203999999999999</v>
      </c>
      <c r="E5" s="209">
        <v>8.1252399999999998</v>
      </c>
      <c r="F5" s="209">
        <v>8.1265900000000002</v>
      </c>
      <c r="G5" s="1">
        <v>0.02</v>
      </c>
      <c r="H5" s="1">
        <v>2</v>
      </c>
    </row>
    <row r="6" spans="1:8" x14ac:dyDescent="0.25">
      <c r="A6" s="1" t="s">
        <v>534</v>
      </c>
      <c r="B6" s="1" t="s">
        <v>683</v>
      </c>
      <c r="C6" s="1" t="s">
        <v>765</v>
      </c>
      <c r="D6" s="209">
        <v>4.6899300000000004</v>
      </c>
      <c r="E6" s="209">
        <v>8.2820499999999999</v>
      </c>
      <c r="F6" s="209">
        <v>8.1681299999999997</v>
      </c>
      <c r="G6" s="1">
        <v>-1.38</v>
      </c>
      <c r="H6" s="1">
        <v>2</v>
      </c>
    </row>
    <row r="7" spans="1:8" x14ac:dyDescent="0.25">
      <c r="A7" s="208" t="s">
        <v>534</v>
      </c>
      <c r="B7" s="1" t="s">
        <v>684</v>
      </c>
      <c r="C7" s="1" t="s">
        <v>685</v>
      </c>
      <c r="D7" s="209">
        <v>0.13365000000000002</v>
      </c>
      <c r="E7" s="209">
        <v>8.2722000000000016</v>
      </c>
      <c r="F7" s="209">
        <v>8.2770899999999994</v>
      </c>
      <c r="G7" s="1">
        <v>0.06</v>
      </c>
      <c r="H7" s="1">
        <v>2</v>
      </c>
    </row>
  </sheetData>
  <conditionalFormatting sqref="C1:C7">
    <cfRule type="duplicateValues" dxfId="2" priority="3"/>
  </conditionalFormatting>
  <conditionalFormatting sqref="B1:B7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BDCD-4293-47F5-B3DD-D11A8374AEF6}">
  <dimension ref="A1:R4"/>
  <sheetViews>
    <sheetView workbookViewId="0">
      <selection activeCell="L20" sqref="L20"/>
    </sheetView>
  </sheetViews>
  <sheetFormatPr defaultRowHeight="15" x14ac:dyDescent="0.25"/>
  <cols>
    <col min="6" max="6" width="9" bestFit="1" customWidth="1"/>
    <col min="7" max="7" width="12.85546875" bestFit="1" customWidth="1"/>
    <col min="8" max="8" width="8.140625" bestFit="1" customWidth="1"/>
    <col min="9" max="9" width="12" bestFit="1" customWidth="1"/>
    <col min="10" max="10" width="12" customWidth="1"/>
  </cols>
  <sheetData>
    <row r="1" spans="1:18" x14ac:dyDescent="0.25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  <c r="G1" t="s">
        <v>751</v>
      </c>
      <c r="H1" t="s">
        <v>752</v>
      </c>
      <c r="I1" t="s">
        <v>753</v>
      </c>
      <c r="K1" t="s">
        <v>754</v>
      </c>
      <c r="L1" t="s">
        <v>755</v>
      </c>
      <c r="M1" t="s">
        <v>756</v>
      </c>
      <c r="N1" t="s">
        <v>757</v>
      </c>
      <c r="O1" t="s">
        <v>758</v>
      </c>
      <c r="P1" t="s">
        <v>759</v>
      </c>
      <c r="Q1" t="s">
        <v>760</v>
      </c>
      <c r="R1" t="s">
        <v>761</v>
      </c>
    </row>
    <row r="2" spans="1:18" x14ac:dyDescent="0.25">
      <c r="A2" t="s">
        <v>693</v>
      </c>
      <c r="B2">
        <v>1535</v>
      </c>
      <c r="C2">
        <v>27</v>
      </c>
      <c r="D2">
        <v>12</v>
      </c>
      <c r="E2">
        <v>1500</v>
      </c>
      <c r="F2">
        <v>22</v>
      </c>
      <c r="G2">
        <v>4850.7034000000003</v>
      </c>
      <c r="H2">
        <v>19042</v>
      </c>
      <c r="I2">
        <v>13055.4819399999</v>
      </c>
      <c r="J2">
        <f>G2+I2</f>
        <v>17906.185339999902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744</v>
      </c>
      <c r="B3">
        <v>965</v>
      </c>
      <c r="C3">
        <v>3</v>
      </c>
      <c r="D3">
        <v>5</v>
      </c>
      <c r="E3">
        <v>1300</v>
      </c>
      <c r="F3">
        <v>62</v>
      </c>
      <c r="G3">
        <v>8911.7406800000008</v>
      </c>
      <c r="H3">
        <v>54564</v>
      </c>
      <c r="I3">
        <v>50378.884500000102</v>
      </c>
      <c r="J3">
        <f t="shared" ref="J3:J4" si="0">G3+I3</f>
        <v>59290.625180000105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534</v>
      </c>
      <c r="B4">
        <v>746</v>
      </c>
      <c r="C4">
        <v>15</v>
      </c>
      <c r="D4">
        <v>3</v>
      </c>
      <c r="E4">
        <v>99.999999999999901</v>
      </c>
      <c r="F4">
        <v>6</v>
      </c>
      <c r="G4">
        <v>542.44287999999995</v>
      </c>
      <c r="H4">
        <v>13269</v>
      </c>
      <c r="I4">
        <v>9580.7319999999199</v>
      </c>
      <c r="J4">
        <f t="shared" si="0"/>
        <v>10123.17487999992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3BD-C15A-4AFF-9C29-BEA3F4648997}">
  <sheetPr>
    <tabColor rgb="FF92D050"/>
  </sheetPr>
  <dimension ref="A1:L31"/>
  <sheetViews>
    <sheetView tabSelected="1" workbookViewId="0">
      <selection activeCell="B13" sqref="B13"/>
    </sheetView>
  </sheetViews>
  <sheetFormatPr defaultRowHeight="15" x14ac:dyDescent="0.25"/>
  <cols>
    <col min="1" max="1" width="5.42578125" customWidth="1"/>
    <col min="2" max="2" width="31.42578125" bestFit="1" customWidth="1"/>
    <col min="3" max="3" width="4.85546875" bestFit="1" customWidth="1"/>
    <col min="4" max="4" width="16.140625" customWidth="1"/>
    <col min="5" max="5" width="10.28515625" bestFit="1" customWidth="1"/>
    <col min="6" max="6" width="16.5703125" customWidth="1"/>
    <col min="7" max="7" width="14.28515625" customWidth="1"/>
    <col min="8" max="8" width="13.42578125" customWidth="1"/>
    <col min="9" max="9" width="10.5703125" customWidth="1"/>
    <col min="12" max="12" width="11.5703125" bestFit="1" customWidth="1"/>
  </cols>
  <sheetData>
    <row r="1" spans="1:12" ht="36" x14ac:dyDescent="0.25">
      <c r="A1" s="29" t="s">
        <v>635</v>
      </c>
      <c r="B1" s="28" t="s">
        <v>633</v>
      </c>
      <c r="C1" s="29" t="s">
        <v>636</v>
      </c>
      <c r="D1" s="29" t="s">
        <v>629</v>
      </c>
      <c r="E1" s="29" t="s">
        <v>638</v>
      </c>
      <c r="F1" s="29" t="s">
        <v>630</v>
      </c>
      <c r="G1" s="29" t="s">
        <v>639</v>
      </c>
      <c r="H1" s="29" t="s">
        <v>634</v>
      </c>
      <c r="I1" s="203" t="s">
        <v>637</v>
      </c>
    </row>
    <row r="2" spans="1:12" x14ac:dyDescent="0.25">
      <c r="A2" s="188">
        <v>1</v>
      </c>
      <c r="B2" s="199" t="s">
        <v>632</v>
      </c>
      <c r="C2" s="192">
        <v>117</v>
      </c>
      <c r="D2" s="198">
        <v>7141.5</v>
      </c>
      <c r="E2" s="198">
        <v>3039.5</v>
      </c>
      <c r="F2" s="194">
        <v>0</v>
      </c>
      <c r="G2" s="196">
        <v>550.1</v>
      </c>
      <c r="H2" s="188"/>
    </row>
    <row r="3" spans="1:12" x14ac:dyDescent="0.25">
      <c r="A3" s="189"/>
      <c r="B3" s="200" t="s">
        <v>628</v>
      </c>
      <c r="C3" s="186"/>
      <c r="D3" s="197">
        <v>7129.5</v>
      </c>
      <c r="E3" s="197">
        <v>2229.5</v>
      </c>
      <c r="F3" s="191">
        <v>0</v>
      </c>
      <c r="G3" s="195">
        <v>535.29999999999995</v>
      </c>
      <c r="H3" s="193">
        <f>G2-G3</f>
        <v>14.800000000000068</v>
      </c>
      <c r="I3" s="202">
        <f>H3/D2</f>
        <v>2.0723937548134241E-3</v>
      </c>
      <c r="K3">
        <f>H3*30</f>
        <v>444.00000000000205</v>
      </c>
      <c r="L3">
        <f>K3/88</f>
        <v>5.045454545454569</v>
      </c>
    </row>
    <row r="4" spans="1:12" x14ac:dyDescent="0.25">
      <c r="A4" s="190">
        <v>2</v>
      </c>
      <c r="B4" s="201" t="s">
        <v>632</v>
      </c>
      <c r="C4" s="1">
        <v>117</v>
      </c>
      <c r="D4" s="198">
        <v>7141.5</v>
      </c>
      <c r="E4" s="198">
        <v>3039.5</v>
      </c>
      <c r="F4" s="194">
        <v>0</v>
      </c>
      <c r="G4" s="196">
        <v>550.1</v>
      </c>
      <c r="H4" s="190"/>
    </row>
    <row r="5" spans="1:12" x14ac:dyDescent="0.25">
      <c r="A5" s="191"/>
      <c r="B5" s="200" t="s">
        <v>625</v>
      </c>
      <c r="C5" s="186"/>
      <c r="D5" s="197">
        <v>7135.7</v>
      </c>
      <c r="E5" s="197">
        <v>2691</v>
      </c>
      <c r="F5" s="191">
        <v>0</v>
      </c>
      <c r="G5" s="195">
        <v>545.9</v>
      </c>
      <c r="H5" s="193">
        <f>G4-G5</f>
        <v>4.2000000000000455</v>
      </c>
      <c r="I5" s="202">
        <f>H5/D4</f>
        <v>5.8811174123084026E-4</v>
      </c>
      <c r="K5">
        <f>H5*365</f>
        <v>1533.0000000000166</v>
      </c>
      <c r="L5">
        <f>K5/295</f>
        <v>5.1966101694915814</v>
      </c>
    </row>
    <row r="6" spans="1:12" x14ac:dyDescent="0.25">
      <c r="A6" s="190">
        <v>3</v>
      </c>
      <c r="B6" s="201" t="s">
        <v>632</v>
      </c>
      <c r="C6" s="1">
        <v>117</v>
      </c>
      <c r="D6" s="198">
        <v>7141.5</v>
      </c>
      <c r="E6" s="198">
        <v>3039.5</v>
      </c>
      <c r="F6" s="194">
        <v>0</v>
      </c>
      <c r="G6" s="196">
        <v>550.1</v>
      </c>
      <c r="H6" s="194"/>
    </row>
    <row r="7" spans="1:12" x14ac:dyDescent="0.25">
      <c r="A7" s="191"/>
      <c r="B7" s="200" t="s">
        <v>668</v>
      </c>
      <c r="C7" s="186"/>
      <c r="D7" s="197">
        <v>7167.8</v>
      </c>
      <c r="E7" s="197">
        <v>3837.2</v>
      </c>
      <c r="F7" s="197">
        <v>0</v>
      </c>
      <c r="G7" s="195">
        <v>585.4</v>
      </c>
      <c r="H7" s="193">
        <f>G6-G7</f>
        <v>-35.299999999999955</v>
      </c>
      <c r="I7" s="202">
        <f>H7/D6</f>
        <v>-4.9429391584400973E-3</v>
      </c>
      <c r="K7">
        <f>F7/(F7+D7)</f>
        <v>0</v>
      </c>
    </row>
    <row r="8" spans="1:12" x14ac:dyDescent="0.25">
      <c r="A8" s="190">
        <v>3</v>
      </c>
      <c r="B8" s="201" t="s">
        <v>632</v>
      </c>
      <c r="C8" s="1">
        <v>1967</v>
      </c>
      <c r="D8" s="198">
        <v>190766.8</v>
      </c>
      <c r="E8" s="198">
        <v>83874.100000000006</v>
      </c>
      <c r="F8" s="194">
        <v>0</v>
      </c>
      <c r="G8" s="198">
        <v>17983.3</v>
      </c>
      <c r="H8" s="194"/>
      <c r="L8" s="21" t="s">
        <v>303</v>
      </c>
    </row>
    <row r="9" spans="1:12" x14ac:dyDescent="0.25">
      <c r="A9" s="191"/>
      <c r="B9" s="200" t="s">
        <v>626</v>
      </c>
      <c r="C9" s="186"/>
      <c r="D9" s="197">
        <v>186126.8</v>
      </c>
      <c r="E9" s="197">
        <v>87419</v>
      </c>
      <c r="F9" s="197">
        <v>4594.8</v>
      </c>
      <c r="G9" s="195">
        <v>17851.400000000001</v>
      </c>
      <c r="H9" s="193">
        <f>G8-G9</f>
        <v>131.89999999999782</v>
      </c>
      <c r="I9" s="202">
        <f>H9/D8</f>
        <v>6.9142010035288018E-4</v>
      </c>
      <c r="K9">
        <f>F9/(F9+D9)</f>
        <v>2.4091660304863219E-2</v>
      </c>
    </row>
    <row r="10" spans="1:12" x14ac:dyDescent="0.25">
      <c r="A10" s="190">
        <v>4</v>
      </c>
      <c r="B10" s="201" t="s">
        <v>632</v>
      </c>
      <c r="C10" s="1">
        <v>1967</v>
      </c>
      <c r="D10" s="198">
        <v>190766.8</v>
      </c>
      <c r="E10" s="198">
        <v>83874.100000000006</v>
      </c>
      <c r="F10" s="194">
        <v>0</v>
      </c>
      <c r="G10" s="194">
        <v>17983.3</v>
      </c>
      <c r="H10" s="190"/>
      <c r="L10" s="21" t="s">
        <v>303</v>
      </c>
    </row>
    <row r="11" spans="1:12" x14ac:dyDescent="0.25">
      <c r="A11" s="189"/>
      <c r="B11" s="200" t="s">
        <v>627</v>
      </c>
      <c r="C11" s="186"/>
      <c r="D11" s="197">
        <v>183374.5</v>
      </c>
      <c r="E11" s="197">
        <v>83167.399999999994</v>
      </c>
      <c r="F11" s="197">
        <v>4917.3999999999996</v>
      </c>
      <c r="G11" s="195">
        <v>17279.099999999999</v>
      </c>
      <c r="H11" s="193">
        <f>G10-G11</f>
        <v>704.20000000000073</v>
      </c>
      <c r="I11" s="202">
        <f>H11/D10</f>
        <v>3.6914180035519848E-3</v>
      </c>
      <c r="K11">
        <f>F11/(F11+D11)</f>
        <v>2.6115833979050613E-2</v>
      </c>
      <c r="L11" s="124">
        <f>H11*365</f>
        <v>257033.00000000026</v>
      </c>
    </row>
    <row r="12" spans="1:12" x14ac:dyDescent="0.25">
      <c r="A12" s="1"/>
      <c r="H12" s="173">
        <f>I12*D8</f>
        <v>400.68743401246513</v>
      </c>
      <c r="I12" s="202">
        <f>SUM(I2:I11)</f>
        <v>2.1004044415090318E-3</v>
      </c>
    </row>
    <row r="13" spans="1:12" x14ac:dyDescent="0.25">
      <c r="A13" s="1"/>
      <c r="H13" s="124">
        <f>H12*365</f>
        <v>146250.91341454978</v>
      </c>
    </row>
    <row r="14" spans="1:12" x14ac:dyDescent="0.25">
      <c r="A14" s="1"/>
    </row>
    <row r="15" spans="1:12" x14ac:dyDescent="0.25">
      <c r="A15" s="1"/>
      <c r="H15" s="206">
        <v>34813909</v>
      </c>
      <c r="I15">
        <f>0.21%*H15</f>
        <v>73109.208899999998</v>
      </c>
    </row>
    <row r="16" spans="1:12" ht="15.75" thickBot="1" x14ac:dyDescent="0.3">
      <c r="A16" s="1"/>
    </row>
    <row r="17" spans="1:9" ht="51" x14ac:dyDescent="0.25">
      <c r="A17" s="217" t="s">
        <v>838</v>
      </c>
      <c r="B17" s="218" t="s">
        <v>633</v>
      </c>
      <c r="C17" s="218" t="s">
        <v>636</v>
      </c>
      <c r="D17" s="218" t="s">
        <v>629</v>
      </c>
      <c r="E17" s="218" t="s">
        <v>638</v>
      </c>
      <c r="F17" s="217" t="s">
        <v>630</v>
      </c>
      <c r="G17" s="218" t="s">
        <v>639</v>
      </c>
      <c r="H17" s="218" t="s">
        <v>634</v>
      </c>
      <c r="I17" s="218" t="s">
        <v>637</v>
      </c>
    </row>
    <row r="18" spans="1:9" ht="15.75" thickBot="1" x14ac:dyDescent="0.3">
      <c r="A18" s="219">
        <v>1</v>
      </c>
      <c r="B18" s="219" t="s">
        <v>632</v>
      </c>
      <c r="C18" s="219">
        <v>1967</v>
      </c>
      <c r="D18" s="221">
        <v>190766.8</v>
      </c>
      <c r="E18" s="221">
        <v>83874.100000000006</v>
      </c>
      <c r="F18" s="222">
        <v>0</v>
      </c>
      <c r="G18" s="221">
        <v>17983.3</v>
      </c>
      <c r="H18" s="219"/>
      <c r="I18" s="220"/>
    </row>
    <row r="19" spans="1:9" ht="15.75" thickBot="1" x14ac:dyDescent="0.3">
      <c r="A19" s="219">
        <v>2</v>
      </c>
      <c r="B19" s="219" t="s">
        <v>626</v>
      </c>
      <c r="C19" s="219">
        <v>1967</v>
      </c>
      <c r="D19" s="221">
        <v>186126.8</v>
      </c>
      <c r="E19" s="221">
        <v>87419</v>
      </c>
      <c r="F19" s="222">
        <v>4594.8</v>
      </c>
      <c r="G19" s="221">
        <v>17851.400000000001</v>
      </c>
      <c r="H19" s="219">
        <f>G18-G19</f>
        <v>131.89999999999782</v>
      </c>
      <c r="I19" s="220">
        <f>H19/D18</f>
        <v>6.9142010035288018E-4</v>
      </c>
    </row>
    <row r="20" spans="1:9" ht="15.75" thickBot="1" x14ac:dyDescent="0.3">
      <c r="A20" s="219">
        <v>3</v>
      </c>
      <c r="B20" s="219" t="s">
        <v>627</v>
      </c>
      <c r="C20" s="219">
        <v>1967</v>
      </c>
      <c r="D20" s="221">
        <v>183374.5</v>
      </c>
      <c r="E20" s="221">
        <v>83167.399999999994</v>
      </c>
      <c r="F20" s="221">
        <v>4917.3999999999996</v>
      </c>
      <c r="G20" s="221">
        <v>17279.099999999999</v>
      </c>
      <c r="H20" s="219">
        <f>G18-G20</f>
        <v>704.20000000000073</v>
      </c>
      <c r="I20" s="220">
        <f>H20/D18</f>
        <v>3.6914180035519848E-3</v>
      </c>
    </row>
    <row r="26" spans="1:9" x14ac:dyDescent="0.25">
      <c r="A26" s="190">
        <v>3</v>
      </c>
      <c r="B26" s="201" t="s">
        <v>632</v>
      </c>
      <c r="C26" s="1">
        <v>117</v>
      </c>
      <c r="D26" s="198">
        <v>7141.5</v>
      </c>
      <c r="E26" s="198">
        <v>3039.5</v>
      </c>
      <c r="F26" s="194">
        <v>0</v>
      </c>
      <c r="G26" s="196">
        <v>550.1</v>
      </c>
      <c r="H26" s="194"/>
    </row>
    <row r="27" spans="1:9" x14ac:dyDescent="0.25">
      <c r="A27" s="191"/>
      <c r="B27" s="200" t="s">
        <v>668</v>
      </c>
      <c r="C27" s="186"/>
      <c r="D27" s="197">
        <v>7167.8</v>
      </c>
      <c r="E27" s="197">
        <v>3837.2</v>
      </c>
      <c r="F27" s="197">
        <v>0</v>
      </c>
      <c r="G27" s="195">
        <v>585.4</v>
      </c>
      <c r="H27" s="193">
        <f>G26-G27</f>
        <v>-35.299999999999955</v>
      </c>
      <c r="I27" s="202">
        <f>H27/D26</f>
        <v>-4.9429391584400973E-3</v>
      </c>
    </row>
    <row r="28" spans="1:9" x14ac:dyDescent="0.25">
      <c r="A28" s="188">
        <v>1</v>
      </c>
      <c r="B28" s="199" t="s">
        <v>632</v>
      </c>
      <c r="C28" s="192">
        <v>117</v>
      </c>
      <c r="D28" s="198">
        <v>7141.5</v>
      </c>
      <c r="E28" s="198">
        <v>3039.5</v>
      </c>
      <c r="F28" s="194">
        <v>0</v>
      </c>
      <c r="G28" s="196">
        <v>550.1</v>
      </c>
      <c r="H28" s="188"/>
    </row>
    <row r="29" spans="1:9" x14ac:dyDescent="0.25">
      <c r="A29" s="189"/>
      <c r="B29" s="200" t="s">
        <v>628</v>
      </c>
      <c r="C29" s="186"/>
      <c r="D29" s="197">
        <v>7129.5</v>
      </c>
      <c r="E29" s="197">
        <v>2229.5</v>
      </c>
      <c r="F29" s="191">
        <v>0</v>
      </c>
      <c r="G29" s="195">
        <v>535.29999999999995</v>
      </c>
      <c r="H29" s="193">
        <f>G28-G29</f>
        <v>14.800000000000068</v>
      </c>
      <c r="I29" s="202">
        <f>H29/D28</f>
        <v>2.0723937548134241E-3</v>
      </c>
    </row>
    <row r="30" spans="1:9" x14ac:dyDescent="0.25">
      <c r="A30" s="190">
        <v>2</v>
      </c>
      <c r="B30" s="201" t="s">
        <v>632</v>
      </c>
      <c r="C30" s="1">
        <v>117</v>
      </c>
      <c r="D30" s="198">
        <v>7141.5</v>
      </c>
      <c r="E30" s="198">
        <v>3039.5</v>
      </c>
      <c r="F30" s="194">
        <v>0</v>
      </c>
      <c r="G30" s="196">
        <v>550.1</v>
      </c>
      <c r="H30" s="190"/>
    </row>
    <row r="31" spans="1:9" x14ac:dyDescent="0.25">
      <c r="A31" s="191"/>
      <c r="B31" s="200" t="s">
        <v>625</v>
      </c>
      <c r="C31" s="186"/>
      <c r="D31" s="197">
        <v>7135.7</v>
      </c>
      <c r="E31" s="197">
        <v>2691</v>
      </c>
      <c r="F31" s="191">
        <v>0</v>
      </c>
      <c r="G31" s="195">
        <v>545.9</v>
      </c>
      <c r="H31" s="193">
        <f>G30-G31</f>
        <v>4.2000000000000455</v>
      </c>
      <c r="I31" s="202">
        <f>H31/D30</f>
        <v>5.8811174123084026E-4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B19" sqref="B19"/>
    </sheetView>
  </sheetViews>
  <sheetFormatPr defaultRowHeight="12" x14ac:dyDescent="0.2"/>
  <cols>
    <col min="1" max="1" width="12" style="30" bestFit="1" customWidth="1"/>
    <col min="2" max="2" width="13.140625" style="30" bestFit="1" customWidth="1"/>
    <col min="3" max="3" width="49.85546875" style="30" bestFit="1" customWidth="1"/>
    <col min="4" max="4" width="12" style="30" bestFit="1" customWidth="1"/>
    <col min="5" max="5" width="11.7109375" style="30" customWidth="1"/>
    <col min="6" max="6" width="14.140625" style="30" customWidth="1"/>
    <col min="7" max="16384" width="9.140625" style="30"/>
  </cols>
  <sheetData>
    <row r="1" spans="1:15" ht="24" x14ac:dyDescent="0.2">
      <c r="A1" s="204" t="s">
        <v>10</v>
      </c>
      <c r="B1" s="28" t="s">
        <v>11</v>
      </c>
      <c r="C1" s="28" t="s">
        <v>12</v>
      </c>
      <c r="D1" s="29" t="s">
        <v>13</v>
      </c>
      <c r="E1" s="29" t="s">
        <v>14</v>
      </c>
      <c r="F1" s="29" t="s">
        <v>15</v>
      </c>
      <c r="G1" s="29" t="s">
        <v>16</v>
      </c>
      <c r="H1" s="29" t="s">
        <v>273</v>
      </c>
      <c r="I1" s="29" t="s">
        <v>274</v>
      </c>
      <c r="J1" s="29" t="s">
        <v>275</v>
      </c>
      <c r="K1" s="29" t="s">
        <v>276</v>
      </c>
      <c r="L1" s="29" t="s">
        <v>640</v>
      </c>
      <c r="M1" s="29" t="s">
        <v>641</v>
      </c>
    </row>
    <row r="2" spans="1:15" x14ac:dyDescent="0.2">
      <c r="A2" s="31">
        <v>102</v>
      </c>
      <c r="B2" s="31" t="s">
        <v>17</v>
      </c>
      <c r="C2" s="31" t="s">
        <v>18</v>
      </c>
      <c r="D2" s="32">
        <v>21.15</v>
      </c>
      <c r="E2" s="32">
        <v>21.15</v>
      </c>
      <c r="F2" s="33"/>
      <c r="G2" s="33"/>
      <c r="H2" s="30">
        <v>1.5511299999999999</v>
      </c>
      <c r="I2" s="30">
        <v>0.45425900000000002</v>
      </c>
      <c r="J2" s="30">
        <v>2.1211099999999998</v>
      </c>
      <c r="K2" s="30">
        <v>1.9736800000000001</v>
      </c>
      <c r="L2" s="30">
        <v>9.83887</v>
      </c>
      <c r="M2" s="30">
        <v>4.4220499999999996</v>
      </c>
      <c r="N2" s="30" t="str">
        <f>"R1="&amp;ROUND(H2,3)&amp;",X1="&amp;ROUND(I2,3)&amp;",R0="&amp;ROUND(J2,3)&amp;",X0="&amp;ROUND(K2,3)&amp;",C1="&amp;ROUND(L2,3)&amp;",C0="&amp;ROUND(M2,3)</f>
        <v>R1=1,551,X1=0,454,R0=2,121,X0=1,974,C1=9,839,C0=4,422</v>
      </c>
      <c r="O2" s="30" t="s">
        <v>642</v>
      </c>
    </row>
    <row r="3" spans="1:15" x14ac:dyDescent="0.2">
      <c r="A3" s="31">
        <v>103</v>
      </c>
      <c r="B3" s="31" t="s">
        <v>17</v>
      </c>
      <c r="C3" s="31" t="s">
        <v>19</v>
      </c>
      <c r="D3" s="32">
        <v>33.630000000000003</v>
      </c>
      <c r="E3" s="32">
        <v>21.15</v>
      </c>
      <c r="F3" s="33"/>
      <c r="G3" s="33"/>
      <c r="H3" s="30">
        <v>0.97513399999999995</v>
      </c>
      <c r="I3" s="30">
        <v>0.43665999999999999</v>
      </c>
      <c r="J3" s="30">
        <v>1.54511</v>
      </c>
      <c r="K3" s="30">
        <v>1.95608</v>
      </c>
      <c r="L3" s="30">
        <v>10.2616</v>
      </c>
      <c r="M3" s="30">
        <v>4.5052199999999996</v>
      </c>
      <c r="N3" s="30" t="str">
        <f t="shared" ref="N3:N17" si="0">"R1="&amp;ROUND(H3,3)&amp;",X1="&amp;ROUND(I3,3)&amp;",R0="&amp;ROUND(J3,3)&amp;",X0="&amp;ROUND(K3,3)&amp;",C1="&amp;ROUND(L3,3)&amp;",C0="&amp;ROUND(M3,3)</f>
        <v>R1=0,975,X1=0,437,R0=1,545,X0=1,956,C1=10,262,C0=4,505</v>
      </c>
      <c r="O3" s="30" t="s">
        <v>643</v>
      </c>
    </row>
    <row r="4" spans="1:15" x14ac:dyDescent="0.2">
      <c r="A4" s="31">
        <v>104</v>
      </c>
      <c r="B4" s="31" t="s">
        <v>17</v>
      </c>
      <c r="C4" s="31" t="s">
        <v>20</v>
      </c>
      <c r="D4" s="32">
        <v>53.43</v>
      </c>
      <c r="E4" s="32">
        <v>33.630000000000003</v>
      </c>
      <c r="F4" s="33"/>
      <c r="G4" s="33"/>
      <c r="H4" s="30">
        <v>0.61314599999999997</v>
      </c>
      <c r="I4" s="30">
        <v>0.41909999999999997</v>
      </c>
      <c r="J4" s="30">
        <v>1.1836599999999999</v>
      </c>
      <c r="K4" s="30">
        <v>1.72258</v>
      </c>
      <c r="L4" s="30">
        <v>10.7279</v>
      </c>
      <c r="M4" s="30">
        <v>4.6133100000000002</v>
      </c>
      <c r="N4" s="30" t="str">
        <f t="shared" si="0"/>
        <v>R1=0,613,X1=0,419,R0=1,184,X0=1,723,C1=10,728,C0=4,613</v>
      </c>
      <c r="O4" s="30" t="s">
        <v>644</v>
      </c>
    </row>
    <row r="5" spans="1:15" x14ac:dyDescent="0.2">
      <c r="A5" s="31">
        <v>107</v>
      </c>
      <c r="B5" s="31" t="s">
        <v>17</v>
      </c>
      <c r="C5" s="31" t="s">
        <v>21</v>
      </c>
      <c r="D5" s="32">
        <v>107.2</v>
      </c>
      <c r="E5" s="32">
        <v>53.43</v>
      </c>
      <c r="F5" s="33"/>
      <c r="G5" s="33"/>
      <c r="H5" s="30">
        <v>0.30613499999999999</v>
      </c>
      <c r="I5" s="30">
        <v>0.39272000000000001</v>
      </c>
      <c r="J5" s="30">
        <v>0.79681000000000002</v>
      </c>
      <c r="K5" s="30">
        <v>1.5009999999999999</v>
      </c>
      <c r="L5" s="30">
        <v>11.507999999999999</v>
      </c>
      <c r="M5" s="30">
        <v>4.77508</v>
      </c>
      <c r="N5" s="30" t="str">
        <f t="shared" si="0"/>
        <v>R1=0,306,X1=0,393,R0=0,797,X0=1,501,C1=11,508,C0=4,775</v>
      </c>
      <c r="O5" s="30" t="s">
        <v>645</v>
      </c>
    </row>
    <row r="6" spans="1:15" x14ac:dyDescent="0.2">
      <c r="A6" s="31">
        <v>108</v>
      </c>
      <c r="B6" s="31" t="s">
        <v>17</v>
      </c>
      <c r="C6" s="31" t="s">
        <v>22</v>
      </c>
      <c r="D6" s="32">
        <v>170.5</v>
      </c>
      <c r="E6" s="32">
        <v>53.43</v>
      </c>
      <c r="F6" s="33"/>
      <c r="G6" s="33"/>
      <c r="H6" s="30">
        <v>0.195135</v>
      </c>
      <c r="I6" s="30">
        <v>0.35646499999999998</v>
      </c>
      <c r="J6" s="205">
        <v>0.68581000000000003</v>
      </c>
      <c r="K6" s="205">
        <v>1.4647399999999999</v>
      </c>
      <c r="L6" s="30">
        <v>12.4178</v>
      </c>
      <c r="M6" s="30">
        <v>4.92422</v>
      </c>
      <c r="N6" s="30" t="str">
        <f t="shared" si="0"/>
        <v>R1=0,195,X1=0,356,R0=0,686,X0=1,465,C1=12,418,C0=4,924</v>
      </c>
      <c r="O6" s="30" t="s">
        <v>646</v>
      </c>
    </row>
    <row r="7" spans="1:15" x14ac:dyDescent="0.2">
      <c r="A7" s="31">
        <v>202</v>
      </c>
      <c r="B7" s="31" t="s">
        <v>17</v>
      </c>
      <c r="C7" s="31" t="s">
        <v>23</v>
      </c>
      <c r="D7" s="32">
        <v>21.15</v>
      </c>
      <c r="E7" s="32">
        <v>21.15</v>
      </c>
      <c r="F7" s="33"/>
      <c r="G7" s="33"/>
      <c r="H7" s="30">
        <v>1.55105</v>
      </c>
      <c r="I7" s="30">
        <v>0.47458499999999998</v>
      </c>
      <c r="J7" s="30">
        <v>2.1245400000000001</v>
      </c>
      <c r="K7" s="30">
        <v>1.9025099999999999</v>
      </c>
      <c r="L7" s="30">
        <v>9.3618600000000001</v>
      </c>
      <c r="M7" s="30">
        <v>4.7713999999999999</v>
      </c>
      <c r="N7" s="30" t="str">
        <f t="shared" si="0"/>
        <v>R1=1,551,X1=0,475,R0=2,125,X0=1,903,C1=9,362,C0=4,771</v>
      </c>
      <c r="O7" s="30" t="s">
        <v>647</v>
      </c>
    </row>
    <row r="8" spans="1:15" x14ac:dyDescent="0.2">
      <c r="A8" s="31">
        <v>203</v>
      </c>
      <c r="B8" s="31" t="s">
        <v>17</v>
      </c>
      <c r="C8" s="31" t="s">
        <v>24</v>
      </c>
      <c r="D8" s="32">
        <v>33.630000000000003</v>
      </c>
      <c r="E8" s="32">
        <v>21.15</v>
      </c>
      <c r="F8" s="33"/>
      <c r="G8" s="33"/>
      <c r="H8" s="30">
        <v>0.97505200000000003</v>
      </c>
      <c r="I8" s="30">
        <v>0.45702199999999998</v>
      </c>
      <c r="J8" s="30">
        <v>1.54854</v>
      </c>
      <c r="K8" s="30">
        <v>1.8849499999999999</v>
      </c>
      <c r="L8" s="30">
        <v>9.7500499999999999</v>
      </c>
      <c r="M8" s="30">
        <v>4.8694199999999999</v>
      </c>
      <c r="N8" s="30" t="str">
        <f t="shared" si="0"/>
        <v>R1=0,975,X1=0,457,R0=1,549,X0=1,885,C1=9,75,C0=4,869</v>
      </c>
      <c r="O8" s="30" t="s">
        <v>648</v>
      </c>
    </row>
    <row r="9" spans="1:15" x14ac:dyDescent="0.2">
      <c r="A9" s="31">
        <v>204</v>
      </c>
      <c r="B9" s="31" t="s">
        <v>17</v>
      </c>
      <c r="C9" s="31" t="s">
        <v>25</v>
      </c>
      <c r="D9" s="32">
        <v>53.43</v>
      </c>
      <c r="E9" s="32">
        <v>33.630000000000003</v>
      </c>
      <c r="F9" s="33"/>
      <c r="G9" s="33"/>
      <c r="H9" s="30">
        <v>0.61305699999999996</v>
      </c>
      <c r="I9" s="30">
        <v>0.43958799999999998</v>
      </c>
      <c r="J9" s="30">
        <v>1.1891</v>
      </c>
      <c r="K9" s="30">
        <v>1.6495200000000001</v>
      </c>
      <c r="L9" s="30">
        <v>10.168900000000001</v>
      </c>
      <c r="M9" s="30">
        <v>4.9958499999999999</v>
      </c>
      <c r="N9" s="30" t="str">
        <f t="shared" si="0"/>
        <v>R1=0,613,X1=0,44,R0=1,189,X0=1,65,C1=10,169,C0=4,996</v>
      </c>
      <c r="O9" s="30" t="s">
        <v>649</v>
      </c>
    </row>
    <row r="10" spans="1:15" x14ac:dyDescent="0.2">
      <c r="A10" s="31">
        <v>207</v>
      </c>
      <c r="B10" s="31" t="s">
        <v>17</v>
      </c>
      <c r="C10" s="31" t="s">
        <v>26</v>
      </c>
      <c r="D10" s="32">
        <v>107.2</v>
      </c>
      <c r="E10" s="32">
        <v>53.43</v>
      </c>
      <c r="F10" s="33"/>
      <c r="G10" s="33"/>
      <c r="H10" s="30">
        <v>0.30605300000000002</v>
      </c>
      <c r="I10" s="30">
        <v>0.41325699999999999</v>
      </c>
      <c r="J10" s="30">
        <v>0.80302200000000001</v>
      </c>
      <c r="K10" s="30">
        <v>1.42472</v>
      </c>
      <c r="L10" s="30">
        <v>10.8705</v>
      </c>
      <c r="M10" s="30">
        <v>5.1861600000000001</v>
      </c>
      <c r="N10" s="30" t="str">
        <f t="shared" si="0"/>
        <v>R1=0,306,X1=0,413,R0=0,803,X0=1,425,C1=10,871,C0=5,186</v>
      </c>
      <c r="O10" s="30" t="s">
        <v>650</v>
      </c>
    </row>
    <row r="11" spans="1:15" x14ac:dyDescent="0.2">
      <c r="A11" s="31">
        <v>208</v>
      </c>
      <c r="B11" s="31" t="s">
        <v>17</v>
      </c>
      <c r="C11" s="31" t="s">
        <v>27</v>
      </c>
      <c r="D11" s="32">
        <v>170.5</v>
      </c>
      <c r="E11" s="32">
        <v>53.43</v>
      </c>
      <c r="F11" s="33"/>
      <c r="G11" s="33"/>
      <c r="H11" s="30">
        <v>0.195053</v>
      </c>
      <c r="I11" s="30">
        <v>0.38710899999999998</v>
      </c>
      <c r="J11" s="30">
        <v>0.69202200000000003</v>
      </c>
      <c r="K11" s="30">
        <v>1.3985700000000001</v>
      </c>
      <c r="L11" s="30">
        <v>11.4983</v>
      </c>
      <c r="M11" s="30">
        <v>5.3232999999999997</v>
      </c>
      <c r="N11" s="30" t="str">
        <f t="shared" si="0"/>
        <v>R1=0,195,X1=0,387,R0=0,692,X0=1,399,C1=11,498,C0=5,323</v>
      </c>
      <c r="O11" s="30" t="s">
        <v>651</v>
      </c>
    </row>
    <row r="12" spans="1:15" x14ac:dyDescent="0.2">
      <c r="A12" s="31" t="s">
        <v>28</v>
      </c>
      <c r="B12" s="31" t="s">
        <v>29</v>
      </c>
      <c r="C12" s="31" t="s">
        <v>30</v>
      </c>
      <c r="D12" s="32">
        <v>50</v>
      </c>
      <c r="E12" s="34">
        <v>70</v>
      </c>
      <c r="F12" s="33"/>
      <c r="G12" s="33"/>
      <c r="H12" s="30">
        <v>0.73201400000000005</v>
      </c>
      <c r="I12" s="30">
        <v>0.30349799999999999</v>
      </c>
      <c r="J12" s="30">
        <v>1.2923100000000001</v>
      </c>
      <c r="K12" s="30">
        <v>1.9673400000000001</v>
      </c>
      <c r="L12" s="30">
        <v>17.026599999999998</v>
      </c>
      <c r="M12" s="30">
        <v>3.7171599999999998</v>
      </c>
      <c r="N12" s="30" t="str">
        <f t="shared" si="0"/>
        <v>R1=0,732,X1=0,303,R0=1,292,X0=1,967,C1=17,027,C0=3,717</v>
      </c>
      <c r="O12" s="30" t="s">
        <v>652</v>
      </c>
    </row>
    <row r="13" spans="1:15" x14ac:dyDescent="0.2">
      <c r="A13" s="31" t="s">
        <v>31</v>
      </c>
      <c r="B13" s="31" t="s">
        <v>29</v>
      </c>
      <c r="C13" s="31" t="s">
        <v>30</v>
      </c>
      <c r="D13" s="32">
        <v>150</v>
      </c>
      <c r="E13" s="34">
        <v>70</v>
      </c>
      <c r="F13" s="33"/>
      <c r="G13" s="33"/>
      <c r="H13" s="30">
        <v>0.236013</v>
      </c>
      <c r="I13" s="30">
        <v>0.24085699999999999</v>
      </c>
      <c r="J13" s="30">
        <v>0.71784499999999996</v>
      </c>
      <c r="K13" s="30">
        <v>1.7141299999999999</v>
      </c>
      <c r="L13" s="30">
        <v>19.131499999999999</v>
      </c>
      <c r="M13" s="30">
        <v>3.8228399999999998</v>
      </c>
      <c r="N13" s="30" t="str">
        <f t="shared" si="0"/>
        <v>R1=0,236,X1=0,241,R0=0,718,X0=1,714,C1=19,132,C0=3,823</v>
      </c>
      <c r="O13" s="30" t="s">
        <v>653</v>
      </c>
    </row>
    <row r="14" spans="1:15" x14ac:dyDescent="0.2">
      <c r="A14" s="31"/>
      <c r="B14" s="31"/>
      <c r="C14" s="31"/>
      <c r="D14" s="32"/>
      <c r="E14" s="34"/>
      <c r="F14" s="33"/>
      <c r="G14" s="33"/>
    </row>
    <row r="15" spans="1:15" x14ac:dyDescent="0.2">
      <c r="A15" s="31" t="s">
        <v>32</v>
      </c>
      <c r="B15" s="31" t="s">
        <v>17</v>
      </c>
      <c r="C15" s="31" t="s">
        <v>18</v>
      </c>
      <c r="D15" s="32">
        <v>21.15</v>
      </c>
      <c r="E15" s="32">
        <v>21.15</v>
      </c>
      <c r="F15" s="33"/>
      <c r="G15" s="33"/>
      <c r="H15" s="30">
        <v>1.55175</v>
      </c>
      <c r="I15" s="30">
        <v>0.35938799999999999</v>
      </c>
      <c r="J15" s="30">
        <v>2.2876500000000002</v>
      </c>
      <c r="K15" s="30">
        <v>2.0259499999999999</v>
      </c>
      <c r="L15" s="30">
        <v>12.783799999999999</v>
      </c>
      <c r="M15" s="30">
        <v>4.79521</v>
      </c>
      <c r="N15" s="30" t="str">
        <f t="shared" si="0"/>
        <v>R1=1,552,X1=0,359,R0=2,288,X0=2,026,C1=12,784,C0=4,795</v>
      </c>
      <c r="O15" s="30" t="s">
        <v>654</v>
      </c>
    </row>
    <row r="16" spans="1:15" x14ac:dyDescent="0.2">
      <c r="A16" s="31" t="s">
        <v>33</v>
      </c>
      <c r="B16" s="31" t="s">
        <v>17</v>
      </c>
      <c r="C16" s="31" t="s">
        <v>19</v>
      </c>
      <c r="D16" s="32">
        <v>33.630000000000003</v>
      </c>
      <c r="E16" s="32">
        <v>21.15</v>
      </c>
      <c r="F16" s="33"/>
      <c r="G16" s="33"/>
      <c r="H16" s="30">
        <v>0.97581499999999999</v>
      </c>
      <c r="I16" s="30">
        <v>0.341447</v>
      </c>
      <c r="J16" s="30">
        <v>1.7212400000000001</v>
      </c>
      <c r="K16" s="30">
        <v>1.7096100000000001</v>
      </c>
      <c r="L16" s="30">
        <v>13.516299999999999</v>
      </c>
      <c r="M16" s="30">
        <v>4.9547499999999998</v>
      </c>
      <c r="N16" s="30" t="str">
        <f t="shared" si="0"/>
        <v>R1=0,976,X1=0,341,R0=1,721,X0=1,71,C1=13,516,C0=4,955</v>
      </c>
      <c r="O16" s="30" t="s">
        <v>655</v>
      </c>
    </row>
    <row r="17" spans="1:15" x14ac:dyDescent="0.2">
      <c r="A17" s="31" t="s">
        <v>34</v>
      </c>
      <c r="B17" s="31" t="s">
        <v>17</v>
      </c>
      <c r="C17" s="31" t="s">
        <v>20</v>
      </c>
      <c r="D17" s="32">
        <v>53.4</v>
      </c>
      <c r="E17" s="34">
        <v>33.630000000000003</v>
      </c>
      <c r="F17" s="33"/>
      <c r="G17" s="33"/>
      <c r="H17" s="30">
        <v>0.613815</v>
      </c>
      <c r="I17" s="30">
        <v>0.32400800000000002</v>
      </c>
      <c r="J17" s="30">
        <v>1.35924</v>
      </c>
      <c r="K17" s="30">
        <v>1.69217</v>
      </c>
      <c r="L17" s="30">
        <v>14.3405</v>
      </c>
      <c r="M17" s="30">
        <v>5.0632200000000003</v>
      </c>
      <c r="N17" s="30" t="str">
        <f t="shared" si="0"/>
        <v>R1=0,614,X1=0,324,R0=1,359,X0=1,692,C1=14,341,C0=5,063</v>
      </c>
      <c r="O17" s="30" t="s">
        <v>656</v>
      </c>
    </row>
    <row r="19" spans="1:15" x14ac:dyDescent="0.2">
      <c r="A19" s="30" t="s">
        <v>657</v>
      </c>
      <c r="B19" s="30" t="s">
        <v>664</v>
      </c>
    </row>
    <row r="20" spans="1:15" x14ac:dyDescent="0.2">
      <c r="A20" s="30" t="s">
        <v>658</v>
      </c>
      <c r="B20" s="30" t="s">
        <v>665</v>
      </c>
    </row>
    <row r="21" spans="1:15" x14ac:dyDescent="0.2">
      <c r="A21" s="30" t="s">
        <v>659</v>
      </c>
      <c r="B21" s="30" t="s">
        <v>666</v>
      </c>
    </row>
    <row r="22" spans="1:15" x14ac:dyDescent="0.2">
      <c r="A22" s="30" t="s">
        <v>660</v>
      </c>
      <c r="B22" s="30" t="s">
        <v>664</v>
      </c>
    </row>
    <row r="23" spans="1:15" x14ac:dyDescent="0.2">
      <c r="A23" s="30" t="s">
        <v>661</v>
      </c>
      <c r="B23" s="30" t="s">
        <v>665</v>
      </c>
    </row>
    <row r="24" spans="1:15" x14ac:dyDescent="0.2">
      <c r="A24" s="30" t="s">
        <v>662</v>
      </c>
      <c r="B24" s="30" t="s">
        <v>666</v>
      </c>
    </row>
    <row r="25" spans="1:15" x14ac:dyDescent="0.2">
      <c r="A25" s="30" t="s">
        <v>663</v>
      </c>
      <c r="B25" s="30" t="s">
        <v>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20" sqref="B20"/>
    </sheetView>
  </sheetViews>
  <sheetFormatPr defaultRowHeight="12" x14ac:dyDescent="0.2"/>
  <cols>
    <col min="1" max="1" width="13.85546875" style="30" bestFit="1" customWidth="1"/>
    <col min="2" max="2" width="13.140625" style="30" bestFit="1" customWidth="1"/>
    <col min="3" max="4" width="13.140625" style="30" customWidth="1"/>
    <col min="5" max="5" width="8.5703125" style="30" customWidth="1"/>
    <col min="6" max="6" width="10.42578125" style="30" bestFit="1" customWidth="1"/>
    <col min="7" max="8" width="8.5703125" style="30" bestFit="1" customWidth="1"/>
    <col min="9" max="9" width="12.7109375" style="30" customWidth="1"/>
    <col min="10" max="16384" width="9.140625" style="30"/>
  </cols>
  <sheetData>
    <row r="1" spans="1:9" x14ac:dyDescent="0.2">
      <c r="A1" s="228" t="s">
        <v>35</v>
      </c>
      <c r="B1" s="223" t="s">
        <v>36</v>
      </c>
      <c r="C1" s="224"/>
      <c r="D1" s="225"/>
      <c r="E1" s="28" t="s">
        <v>37</v>
      </c>
      <c r="F1" s="223" t="s">
        <v>36</v>
      </c>
      <c r="G1" s="224"/>
      <c r="H1" s="225"/>
      <c r="I1" s="226" t="s">
        <v>38</v>
      </c>
    </row>
    <row r="2" spans="1:9" x14ac:dyDescent="0.2">
      <c r="A2" s="229"/>
      <c r="B2" s="28" t="s">
        <v>39</v>
      </c>
      <c r="C2" s="28" t="s">
        <v>40</v>
      </c>
      <c r="D2" s="28" t="s">
        <v>41</v>
      </c>
      <c r="E2" s="47" t="s">
        <v>42</v>
      </c>
      <c r="F2" s="28" t="s">
        <v>39</v>
      </c>
      <c r="G2" s="28" t="s">
        <v>40</v>
      </c>
      <c r="H2" s="28" t="s">
        <v>41</v>
      </c>
      <c r="I2" s="227"/>
    </row>
    <row r="3" spans="1:9" x14ac:dyDescent="0.2">
      <c r="A3" s="31" t="s">
        <v>43</v>
      </c>
      <c r="B3" s="48">
        <v>300308</v>
      </c>
      <c r="C3" s="48">
        <v>137</v>
      </c>
      <c r="D3" s="48">
        <v>117894</v>
      </c>
      <c r="E3" s="48">
        <f t="shared" ref="E3:E11" si="0">SUM(B3:D3)</f>
        <v>418339</v>
      </c>
      <c r="F3" s="49">
        <f t="shared" ref="F3:F11" si="1">B3/$E3</f>
        <v>0.71785800511068776</v>
      </c>
      <c r="G3" s="49">
        <f t="shared" ref="G3:G11" si="2">C3/$E3</f>
        <v>3.274856037806659E-4</v>
      </c>
      <c r="H3" s="49">
        <f t="shared" ref="H3:H11" si="3">D3/$E3</f>
        <v>0.28181450928553159</v>
      </c>
      <c r="I3" s="50" t="s">
        <v>44</v>
      </c>
    </row>
    <row r="4" spans="1:9" x14ac:dyDescent="0.2">
      <c r="A4" s="31" t="s">
        <v>45</v>
      </c>
      <c r="B4" s="48">
        <v>13575</v>
      </c>
      <c r="C4" s="48">
        <v>126062</v>
      </c>
      <c r="D4" s="48">
        <v>142643</v>
      </c>
      <c r="E4" s="48">
        <f t="shared" si="0"/>
        <v>282280</v>
      </c>
      <c r="F4" s="49">
        <f t="shared" si="1"/>
        <v>4.8090548391667848E-2</v>
      </c>
      <c r="G4" s="49">
        <f t="shared" si="2"/>
        <v>0.44658495111237068</v>
      </c>
      <c r="H4" s="49">
        <f t="shared" si="3"/>
        <v>0.50532450049596145</v>
      </c>
      <c r="I4" s="50" t="s">
        <v>46</v>
      </c>
    </row>
    <row r="5" spans="1:9" x14ac:dyDescent="0.2">
      <c r="A5" s="31" t="s">
        <v>47</v>
      </c>
      <c r="B5" s="48">
        <v>58504</v>
      </c>
      <c r="C5" s="48">
        <v>63406</v>
      </c>
      <c r="D5" s="48">
        <v>129946</v>
      </c>
      <c r="E5" s="48">
        <f t="shared" si="0"/>
        <v>251856</v>
      </c>
      <c r="F5" s="49">
        <f t="shared" si="1"/>
        <v>0.23229146814052473</v>
      </c>
      <c r="G5" s="49">
        <f t="shared" si="2"/>
        <v>0.25175497109459372</v>
      </c>
      <c r="H5" s="49">
        <f t="shared" si="3"/>
        <v>0.51595356076488152</v>
      </c>
      <c r="I5" s="50" t="s">
        <v>46</v>
      </c>
    </row>
    <row r="6" spans="1:9" x14ac:dyDescent="0.2">
      <c r="A6" s="31" t="s">
        <v>48</v>
      </c>
      <c r="B6" s="48">
        <v>131186</v>
      </c>
      <c r="C6" s="48">
        <v>1868</v>
      </c>
      <c r="D6" s="48">
        <v>82054</v>
      </c>
      <c r="E6" s="48">
        <f t="shared" si="0"/>
        <v>215108</v>
      </c>
      <c r="F6" s="49">
        <f t="shared" si="1"/>
        <v>0.60986109303233726</v>
      </c>
      <c r="G6" s="49">
        <f t="shared" si="2"/>
        <v>8.6840098927050604E-3</v>
      </c>
      <c r="H6" s="49">
        <f t="shared" si="3"/>
        <v>0.38145489707495772</v>
      </c>
      <c r="I6" s="50" t="s">
        <v>44</v>
      </c>
    </row>
    <row r="7" spans="1:9" x14ac:dyDescent="0.2">
      <c r="A7" s="31" t="s">
        <v>49</v>
      </c>
      <c r="B7" s="48">
        <v>85628</v>
      </c>
      <c r="C7" s="48">
        <v>11774</v>
      </c>
      <c r="D7" s="48">
        <v>55883</v>
      </c>
      <c r="E7" s="48">
        <f t="shared" si="0"/>
        <v>153285</v>
      </c>
      <c r="F7" s="49">
        <f t="shared" si="1"/>
        <v>0.55861956486283715</v>
      </c>
      <c r="G7" s="49">
        <f t="shared" si="2"/>
        <v>7.6811168737971752E-2</v>
      </c>
      <c r="H7" s="49">
        <f t="shared" si="3"/>
        <v>0.36456926639919107</v>
      </c>
      <c r="I7" s="50" t="s">
        <v>50</v>
      </c>
    </row>
    <row r="8" spans="1:9" x14ac:dyDescent="0.2">
      <c r="A8" s="31" t="s">
        <v>51</v>
      </c>
      <c r="B8" s="48">
        <v>86535</v>
      </c>
      <c r="C8" s="48">
        <v>1434</v>
      </c>
      <c r="D8" s="48">
        <v>58936</v>
      </c>
      <c r="E8" s="48">
        <f t="shared" si="0"/>
        <v>146905</v>
      </c>
      <c r="F8" s="49">
        <f t="shared" si="1"/>
        <v>0.58905415064157107</v>
      </c>
      <c r="G8" s="49">
        <f t="shared" si="2"/>
        <v>9.7614104353153392E-3</v>
      </c>
      <c r="H8" s="49">
        <f t="shared" si="3"/>
        <v>0.40118443892311356</v>
      </c>
      <c r="I8" s="50" t="s">
        <v>50</v>
      </c>
    </row>
    <row r="9" spans="1:9" x14ac:dyDescent="0.2">
      <c r="A9" s="31" t="s">
        <v>52</v>
      </c>
      <c r="B9" s="48">
        <v>51451</v>
      </c>
      <c r="C9" s="48">
        <v>13179</v>
      </c>
      <c r="D9" s="48">
        <v>68622</v>
      </c>
      <c r="E9" s="48">
        <f t="shared" si="0"/>
        <v>133252</v>
      </c>
      <c r="F9" s="49">
        <f t="shared" si="1"/>
        <v>0.38611803199951972</v>
      </c>
      <c r="G9" s="49">
        <f t="shared" si="2"/>
        <v>9.8902830726743315E-2</v>
      </c>
      <c r="H9" s="49">
        <f t="shared" si="3"/>
        <v>0.51497913727373701</v>
      </c>
      <c r="I9" s="50" t="s">
        <v>46</v>
      </c>
    </row>
    <row r="10" spans="1:9" x14ac:dyDescent="0.2">
      <c r="A10" s="31" t="s">
        <v>53</v>
      </c>
      <c r="B10" s="48">
        <v>73520</v>
      </c>
      <c r="C10" s="48">
        <v>1439</v>
      </c>
      <c r="D10" s="48">
        <v>54684</v>
      </c>
      <c r="E10" s="48">
        <f t="shared" si="0"/>
        <v>129643</v>
      </c>
      <c r="F10" s="49">
        <f t="shared" si="1"/>
        <v>0.56709579383383601</v>
      </c>
      <c r="G10" s="49">
        <f t="shared" si="2"/>
        <v>1.1099712286818417E-2</v>
      </c>
      <c r="H10" s="49">
        <f t="shared" si="3"/>
        <v>0.4218044938793456</v>
      </c>
      <c r="I10" s="50" t="s">
        <v>46</v>
      </c>
    </row>
    <row r="11" spans="1:9" x14ac:dyDescent="0.2">
      <c r="A11" s="31" t="s">
        <v>54</v>
      </c>
      <c r="B11" s="48">
        <v>54130</v>
      </c>
      <c r="C11" s="48">
        <v>3351</v>
      </c>
      <c r="D11" s="48">
        <v>34413</v>
      </c>
      <c r="E11" s="48">
        <f t="shared" si="0"/>
        <v>91894</v>
      </c>
      <c r="F11" s="49">
        <f t="shared" si="1"/>
        <v>0.5890482512460008</v>
      </c>
      <c r="G11" s="49">
        <f t="shared" si="2"/>
        <v>3.6465928134589855E-2</v>
      </c>
      <c r="H11" s="49">
        <f t="shared" si="3"/>
        <v>0.37448582061940933</v>
      </c>
      <c r="I11" s="51" t="s">
        <v>46</v>
      </c>
    </row>
  </sheetData>
  <sortState xmlns:xlrd2="http://schemas.microsoft.com/office/spreadsheetml/2017/richdata2" ref="A3:H11">
    <sortCondition descending="1" ref="E3"/>
  </sortState>
  <mergeCells count="4">
    <mergeCell ref="B1:D1"/>
    <mergeCell ref="F1:H1"/>
    <mergeCell ref="I1:I2"/>
    <mergeCell ref="A1:A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3" sqref="A3:XFD3"/>
    </sheetView>
  </sheetViews>
  <sheetFormatPr defaultRowHeight="15" x14ac:dyDescent="0.25"/>
  <cols>
    <col min="1" max="1" width="31.85546875" customWidth="1"/>
    <col min="2" max="2" width="31" customWidth="1"/>
    <col min="3" max="3" width="35.42578125" customWidth="1"/>
    <col min="4" max="4" width="15.7109375" bestFit="1" customWidth="1"/>
  </cols>
  <sheetData>
    <row r="1" spans="1:4" x14ac:dyDescent="0.25">
      <c r="A1" s="22" t="s">
        <v>55</v>
      </c>
      <c r="B1" s="22" t="s">
        <v>56</v>
      </c>
      <c r="C1" s="22" t="s">
        <v>57</v>
      </c>
      <c r="D1" s="22" t="s">
        <v>58</v>
      </c>
    </row>
    <row r="2" spans="1:4" x14ac:dyDescent="0.25">
      <c r="A2" s="2" t="s">
        <v>59</v>
      </c>
      <c r="B2" s="2" t="s">
        <v>60</v>
      </c>
      <c r="C2" s="2" t="s">
        <v>61</v>
      </c>
      <c r="D2" s="2" t="s">
        <v>62</v>
      </c>
    </row>
    <row r="3" spans="1:4" x14ac:dyDescent="0.25">
      <c r="A3" s="2" t="s">
        <v>63</v>
      </c>
      <c r="B3" s="2" t="s">
        <v>64</v>
      </c>
      <c r="C3" s="2" t="s">
        <v>61</v>
      </c>
      <c r="D3" s="2" t="s">
        <v>62</v>
      </c>
    </row>
    <row r="4" spans="1:4" x14ac:dyDescent="0.25">
      <c r="A4" s="2" t="s">
        <v>65</v>
      </c>
      <c r="B4" s="2" t="s">
        <v>66</v>
      </c>
      <c r="C4" s="2" t="s">
        <v>61</v>
      </c>
      <c r="D4" s="2" t="s">
        <v>62</v>
      </c>
    </row>
    <row r="5" spans="1:4" x14ac:dyDescent="0.25">
      <c r="A5" s="2" t="s">
        <v>67</v>
      </c>
      <c r="B5" s="2" t="s">
        <v>68</v>
      </c>
      <c r="C5" s="2" t="s">
        <v>61</v>
      </c>
      <c r="D5" s="2" t="s">
        <v>62</v>
      </c>
    </row>
    <row r="6" spans="1:4" x14ac:dyDescent="0.25">
      <c r="A6" s="2" t="s">
        <v>69</v>
      </c>
      <c r="B6" s="2" t="s">
        <v>70</v>
      </c>
      <c r="C6" s="2" t="s">
        <v>71</v>
      </c>
      <c r="D6" s="2" t="s">
        <v>72</v>
      </c>
    </row>
    <row r="7" spans="1:4" x14ac:dyDescent="0.25">
      <c r="A7" s="230" t="s">
        <v>73</v>
      </c>
      <c r="B7" s="230"/>
      <c r="C7" s="230"/>
      <c r="D7" s="230"/>
    </row>
    <row r="8" spans="1:4" x14ac:dyDescent="0.25">
      <c r="A8" s="1"/>
      <c r="B8" s="1"/>
      <c r="C8" s="1"/>
    </row>
    <row r="9" spans="1:4" x14ac:dyDescent="0.25">
      <c r="A9" s="21" t="s">
        <v>55</v>
      </c>
      <c r="B9" s="21" t="s">
        <v>56</v>
      </c>
      <c r="C9" s="21" t="s">
        <v>57</v>
      </c>
    </row>
    <row r="10" spans="1:4" x14ac:dyDescent="0.25">
      <c r="A10" s="1" t="s">
        <v>74</v>
      </c>
      <c r="B10" s="1" t="s">
        <v>75</v>
      </c>
      <c r="C10" s="1" t="s">
        <v>61</v>
      </c>
    </row>
    <row r="11" spans="1:4" x14ac:dyDescent="0.25">
      <c r="A11" s="1" t="s">
        <v>76</v>
      </c>
      <c r="B11" s="1" t="s">
        <v>75</v>
      </c>
      <c r="C11" s="1" t="s">
        <v>61</v>
      </c>
    </row>
  </sheetData>
  <mergeCells count="1">
    <mergeCell ref="A7:D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1" sqref="B1"/>
    </sheetView>
  </sheetViews>
  <sheetFormatPr defaultRowHeight="15" x14ac:dyDescent="0.25"/>
  <cols>
    <col min="2" max="3" width="12" bestFit="1" customWidth="1"/>
  </cols>
  <sheetData>
    <row r="1" spans="1:4" x14ac:dyDescent="0.25">
      <c r="A1" s="15"/>
      <c r="B1" s="22" t="s">
        <v>77</v>
      </c>
      <c r="C1" s="22" t="s">
        <v>78</v>
      </c>
      <c r="D1" s="15"/>
    </row>
    <row r="2" spans="1:4" x14ac:dyDescent="0.25">
      <c r="A2" s="15"/>
      <c r="B2" s="22" t="s">
        <v>79</v>
      </c>
      <c r="C2" s="22" t="s">
        <v>79</v>
      </c>
      <c r="D2" s="22" t="s">
        <v>80</v>
      </c>
    </row>
    <row r="3" spans="1:4" x14ac:dyDescent="0.25">
      <c r="A3" s="52" t="s">
        <v>81</v>
      </c>
      <c r="B3" s="15">
        <v>0.51144000000000001</v>
      </c>
      <c r="C3" s="15">
        <v>0.51129999999999998</v>
      </c>
      <c r="D3" s="53">
        <f>(C3-B3)/B3</f>
        <v>-2.7373689973414083E-4</v>
      </c>
    </row>
    <row r="4" spans="1:4" x14ac:dyDescent="0.25">
      <c r="A4" s="52" t="s">
        <v>82</v>
      </c>
      <c r="B4" s="15">
        <v>0.20269000000000001</v>
      </c>
      <c r="C4" s="15">
        <v>0.2026</v>
      </c>
      <c r="D4" s="53">
        <f>(C4-B4)/B4</f>
        <v>-4.4402782574377983E-4</v>
      </c>
    </row>
    <row r="5" spans="1:4" x14ac:dyDescent="0.25">
      <c r="A5" s="52" t="s">
        <v>83</v>
      </c>
      <c r="B5" s="54">
        <v>0.22500000000000001</v>
      </c>
      <c r="C5" s="15">
        <v>0.22489999999999999</v>
      </c>
      <c r="D5" s="53">
        <f>(C5-B5)/B5</f>
        <v>-4.4444444444451884E-4</v>
      </c>
    </row>
    <row r="6" spans="1:4" x14ac:dyDescent="0.25">
      <c r="A6" s="52" t="s">
        <v>84</v>
      </c>
      <c r="B6" s="15">
        <v>0.53198999999999996</v>
      </c>
      <c r="C6" s="15">
        <v>0.53139999999999998</v>
      </c>
      <c r="D6" s="53">
        <f>(C6-B6)/B6</f>
        <v>-1.1090434030714476E-3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2"/>
  <sheetViews>
    <sheetView zoomScale="90" zoomScaleNormal="90" workbookViewId="0">
      <selection activeCell="F43" sqref="F43"/>
    </sheetView>
  </sheetViews>
  <sheetFormatPr defaultColWidth="21.85546875" defaultRowHeight="15" x14ac:dyDescent="0.25"/>
  <cols>
    <col min="1" max="1" width="20.140625" bestFit="1" customWidth="1"/>
    <col min="2" max="2" width="9.42578125" bestFit="1" customWidth="1"/>
    <col min="3" max="3" width="9.7109375" hidden="1" customWidth="1"/>
    <col min="4" max="4" width="11.85546875" bestFit="1" customWidth="1"/>
    <col min="5" max="5" width="16.42578125" customWidth="1"/>
    <col min="6" max="6" width="71.28515625" customWidth="1"/>
    <col min="7" max="7" width="98.85546875" bestFit="1" customWidth="1"/>
    <col min="8" max="8" width="54" bestFit="1" customWidth="1"/>
  </cols>
  <sheetData>
    <row r="1" spans="1:10" s="21" customFormat="1" x14ac:dyDescent="0.25">
      <c r="A1" s="22" t="s">
        <v>87</v>
      </c>
      <c r="B1" s="22" t="s">
        <v>88</v>
      </c>
      <c r="C1" s="13" t="s">
        <v>89</v>
      </c>
      <c r="D1" s="22" t="s">
        <v>90</v>
      </c>
      <c r="E1" s="22" t="s">
        <v>91</v>
      </c>
      <c r="F1" s="22" t="s">
        <v>92</v>
      </c>
      <c r="G1" s="21" t="s">
        <v>93</v>
      </c>
      <c r="H1" s="21" t="s">
        <v>94</v>
      </c>
      <c r="I1" s="21" t="s">
        <v>95</v>
      </c>
      <c r="J1" s="22" t="s">
        <v>87</v>
      </c>
    </row>
    <row r="2" spans="1:10" s="1" customFormat="1" ht="30" x14ac:dyDescent="0.25">
      <c r="A2" s="43" t="s">
        <v>96</v>
      </c>
      <c r="B2" s="43">
        <v>2019</v>
      </c>
      <c r="C2" s="60" t="s">
        <v>97</v>
      </c>
      <c r="D2" s="43" t="s">
        <v>98</v>
      </c>
      <c r="E2" s="43" t="s">
        <v>99</v>
      </c>
      <c r="F2" s="61" t="s">
        <v>100</v>
      </c>
      <c r="I2" s="58" t="s">
        <v>101</v>
      </c>
      <c r="J2" s="43" t="s">
        <v>102</v>
      </c>
    </row>
    <row r="3" spans="1:10" ht="45" x14ac:dyDescent="0.25">
      <c r="A3" s="41" t="s">
        <v>103</v>
      </c>
      <c r="B3" s="41">
        <v>2017</v>
      </c>
      <c r="C3" s="41">
        <v>2017</v>
      </c>
      <c r="D3" s="41" t="s">
        <v>104</v>
      </c>
      <c r="E3" s="42" t="s">
        <v>105</v>
      </c>
      <c r="F3" s="62" t="s">
        <v>106</v>
      </c>
      <c r="G3" s="39">
        <v>0</v>
      </c>
      <c r="H3" t="s">
        <v>107</v>
      </c>
      <c r="I3" s="59" t="s">
        <v>108</v>
      </c>
      <c r="J3" s="41" t="s">
        <v>109</v>
      </c>
    </row>
    <row r="4" spans="1:10" s="1" customFormat="1" ht="30" x14ac:dyDescent="0.25">
      <c r="A4" s="43" t="s">
        <v>110</v>
      </c>
      <c r="B4" s="43">
        <v>2017</v>
      </c>
      <c r="C4" s="60" t="s">
        <v>97</v>
      </c>
      <c r="D4" s="43" t="s">
        <v>111</v>
      </c>
      <c r="E4" s="44" t="s">
        <v>112</v>
      </c>
      <c r="F4" s="61" t="s">
        <v>113</v>
      </c>
      <c r="I4" s="58" t="s">
        <v>114</v>
      </c>
      <c r="J4" s="43" t="s">
        <v>110</v>
      </c>
    </row>
    <row r="5" spans="1:10" ht="30" x14ac:dyDescent="0.25">
      <c r="A5" s="43" t="s">
        <v>115</v>
      </c>
      <c r="B5" s="43">
        <v>2017</v>
      </c>
      <c r="C5" s="43" t="s">
        <v>97</v>
      </c>
      <c r="D5" s="43" t="s">
        <v>116</v>
      </c>
      <c r="E5" s="46" t="s">
        <v>117</v>
      </c>
      <c r="F5" s="63" t="s">
        <v>118</v>
      </c>
      <c r="I5" s="58" t="s">
        <v>119</v>
      </c>
      <c r="J5" s="43" t="s">
        <v>120</v>
      </c>
    </row>
    <row r="6" spans="1:10" ht="45" x14ac:dyDescent="0.25">
      <c r="A6" s="43" t="s">
        <v>121</v>
      </c>
      <c r="B6" s="43">
        <v>2015</v>
      </c>
      <c r="C6" s="43">
        <v>2019</v>
      </c>
      <c r="D6" s="43" t="s">
        <v>104</v>
      </c>
      <c r="E6" s="44" t="s">
        <v>122</v>
      </c>
      <c r="F6" s="61" t="s">
        <v>123</v>
      </c>
      <c r="G6" s="35"/>
      <c r="I6" s="58" t="s">
        <v>124</v>
      </c>
      <c r="J6" s="43" t="s">
        <v>125</v>
      </c>
    </row>
    <row r="7" spans="1:10" ht="30" x14ac:dyDescent="0.25">
      <c r="A7" s="43" t="s">
        <v>126</v>
      </c>
      <c r="B7" s="43">
        <v>2014</v>
      </c>
      <c r="C7" s="43">
        <v>2018</v>
      </c>
      <c r="D7" s="43" t="s">
        <v>127</v>
      </c>
      <c r="E7" s="44" t="s">
        <v>128</v>
      </c>
      <c r="F7" s="61" t="s">
        <v>129</v>
      </c>
      <c r="G7" s="35" t="s">
        <v>130</v>
      </c>
      <c r="I7" s="58" t="s">
        <v>131</v>
      </c>
      <c r="J7" s="43" t="s">
        <v>132</v>
      </c>
    </row>
    <row r="8" spans="1:10" ht="30" x14ac:dyDescent="0.25">
      <c r="A8" s="43" t="s">
        <v>133</v>
      </c>
      <c r="B8" s="43">
        <v>2014</v>
      </c>
      <c r="C8" s="43" t="s">
        <v>97</v>
      </c>
      <c r="D8" s="43" t="s">
        <v>127</v>
      </c>
      <c r="E8" s="44" t="s">
        <v>134</v>
      </c>
      <c r="F8" s="61" t="s">
        <v>135</v>
      </c>
      <c r="I8" s="58" t="s">
        <v>136</v>
      </c>
      <c r="J8" s="43" t="s">
        <v>137</v>
      </c>
    </row>
    <row r="9" spans="1:10" ht="30" x14ac:dyDescent="0.25">
      <c r="A9" s="43" t="s">
        <v>138</v>
      </c>
      <c r="B9" s="43">
        <v>2014</v>
      </c>
      <c r="C9" s="43">
        <v>2018</v>
      </c>
      <c r="D9" s="43" t="s">
        <v>139</v>
      </c>
      <c r="E9" s="44" t="s">
        <v>140</v>
      </c>
      <c r="F9" s="61" t="s">
        <v>141</v>
      </c>
      <c r="G9">
        <v>0</v>
      </c>
      <c r="I9" s="58" t="s">
        <v>142</v>
      </c>
      <c r="J9" s="43" t="s">
        <v>143</v>
      </c>
    </row>
    <row r="10" spans="1:10" ht="30" x14ac:dyDescent="0.25">
      <c r="A10" s="43" t="s">
        <v>144</v>
      </c>
      <c r="B10" s="43">
        <v>2013</v>
      </c>
      <c r="C10" s="43">
        <v>2017</v>
      </c>
      <c r="D10" s="43" t="s">
        <v>104</v>
      </c>
      <c r="E10" s="44" t="s">
        <v>122</v>
      </c>
      <c r="F10" s="61" t="s">
        <v>145</v>
      </c>
      <c r="G10">
        <v>0</v>
      </c>
      <c r="I10" s="58" t="s">
        <v>146</v>
      </c>
      <c r="J10" s="43" t="s">
        <v>147</v>
      </c>
    </row>
    <row r="11" spans="1:10" ht="30" x14ac:dyDescent="0.25">
      <c r="A11" s="41" t="s">
        <v>148</v>
      </c>
      <c r="B11" s="41">
        <v>2013</v>
      </c>
      <c r="C11" s="41">
        <v>2013</v>
      </c>
      <c r="D11" s="41" t="s">
        <v>149</v>
      </c>
      <c r="E11" s="45" t="s">
        <v>150</v>
      </c>
      <c r="F11" s="62" t="s">
        <v>151</v>
      </c>
      <c r="G11" s="39">
        <v>0</v>
      </c>
      <c r="I11" s="59" t="s">
        <v>152</v>
      </c>
      <c r="J11" s="41" t="s">
        <v>153</v>
      </c>
    </row>
    <row r="12" spans="1:10" x14ac:dyDescent="0.25">
      <c r="A12" s="22" t="s">
        <v>87</v>
      </c>
      <c r="B12" s="22" t="s">
        <v>88</v>
      </c>
      <c r="C12" s="13" t="s">
        <v>89</v>
      </c>
      <c r="D12" s="22" t="s">
        <v>90</v>
      </c>
      <c r="E12" s="22" t="s">
        <v>91</v>
      </c>
      <c r="F12" s="22" t="s">
        <v>154</v>
      </c>
      <c r="G12" s="39"/>
      <c r="I12" s="59"/>
      <c r="J12" s="41"/>
    </row>
    <row r="13" spans="1:10" ht="30" x14ac:dyDescent="0.25">
      <c r="A13" s="41" t="s">
        <v>155</v>
      </c>
      <c r="B13" s="41">
        <v>2013</v>
      </c>
      <c r="C13" s="41">
        <v>2013</v>
      </c>
      <c r="D13" s="41" t="s">
        <v>127</v>
      </c>
      <c r="E13" s="42" t="s">
        <v>156</v>
      </c>
      <c r="F13" s="62" t="s">
        <v>157</v>
      </c>
      <c r="G13" s="39" t="s">
        <v>158</v>
      </c>
      <c r="H13" s="23"/>
      <c r="I13" s="59" t="s">
        <v>159</v>
      </c>
      <c r="J13" s="41" t="s">
        <v>160</v>
      </c>
    </row>
    <row r="14" spans="1:10" ht="30" x14ac:dyDescent="0.25">
      <c r="A14" s="41" t="s">
        <v>161</v>
      </c>
      <c r="B14" s="41">
        <v>2012</v>
      </c>
      <c r="C14" s="41">
        <v>2012</v>
      </c>
      <c r="D14" s="41" t="s">
        <v>127</v>
      </c>
      <c r="E14" s="45" t="s">
        <v>162</v>
      </c>
      <c r="F14" s="62" t="s">
        <v>163</v>
      </c>
      <c r="G14" s="39">
        <v>0</v>
      </c>
      <c r="I14" s="59" t="s">
        <v>164</v>
      </c>
      <c r="J14" s="41" t="s">
        <v>165</v>
      </c>
    </row>
    <row r="15" spans="1:10" ht="30" x14ac:dyDescent="0.25">
      <c r="A15" s="41" t="s">
        <v>166</v>
      </c>
      <c r="B15" s="41">
        <v>2012</v>
      </c>
      <c r="C15" s="41">
        <v>2012</v>
      </c>
      <c r="D15" s="41" t="s">
        <v>167</v>
      </c>
      <c r="E15" s="42" t="s">
        <v>168</v>
      </c>
      <c r="F15" s="62" t="s">
        <v>169</v>
      </c>
      <c r="G15" s="39">
        <v>0</v>
      </c>
      <c r="I15" s="59" t="s">
        <v>170</v>
      </c>
      <c r="J15" s="41" t="s">
        <v>171</v>
      </c>
    </row>
    <row r="16" spans="1:10" x14ac:dyDescent="0.25">
      <c r="A16" s="43" t="s">
        <v>172</v>
      </c>
      <c r="B16" s="43">
        <v>2012</v>
      </c>
      <c r="C16" s="43">
        <v>2010</v>
      </c>
      <c r="D16" s="43" t="s">
        <v>116</v>
      </c>
      <c r="E16" s="46" t="s">
        <v>173</v>
      </c>
      <c r="F16" s="61" t="s">
        <v>174</v>
      </c>
      <c r="G16">
        <v>2012</v>
      </c>
      <c r="H16" s="23"/>
      <c r="I16" s="58" t="s">
        <v>175</v>
      </c>
      <c r="J16" s="43" t="s">
        <v>176</v>
      </c>
    </row>
    <row r="17" spans="1:10" ht="30" x14ac:dyDescent="0.25">
      <c r="A17" s="43" t="s">
        <v>177</v>
      </c>
      <c r="B17" s="43">
        <v>2011</v>
      </c>
      <c r="C17" s="43">
        <v>2016</v>
      </c>
      <c r="D17" s="43" t="s">
        <v>127</v>
      </c>
      <c r="E17" s="44" t="s">
        <v>178</v>
      </c>
      <c r="F17" s="61" t="s">
        <v>179</v>
      </c>
      <c r="G17" t="s">
        <v>180</v>
      </c>
      <c r="I17" s="58" t="s">
        <v>181</v>
      </c>
      <c r="J17" s="43" t="s">
        <v>182</v>
      </c>
    </row>
    <row r="18" spans="1:10" ht="30" x14ac:dyDescent="0.25">
      <c r="A18" s="41" t="s">
        <v>183</v>
      </c>
      <c r="B18" s="41">
        <v>2010</v>
      </c>
      <c r="C18" s="41">
        <v>2010</v>
      </c>
      <c r="D18" s="41" t="s">
        <v>149</v>
      </c>
      <c r="E18" s="42" t="s">
        <v>184</v>
      </c>
      <c r="F18" s="62" t="s">
        <v>185</v>
      </c>
      <c r="G18" s="39"/>
      <c r="H18" s="23"/>
      <c r="I18" s="59" t="s">
        <v>186</v>
      </c>
      <c r="J18" s="41" t="s">
        <v>187</v>
      </c>
    </row>
    <row r="19" spans="1:10" x14ac:dyDescent="0.25">
      <c r="A19" s="41" t="s">
        <v>188</v>
      </c>
      <c r="B19" s="41">
        <v>2010</v>
      </c>
      <c r="C19" s="41">
        <v>2010</v>
      </c>
      <c r="D19" s="41" t="s">
        <v>189</v>
      </c>
      <c r="E19" s="42" t="s">
        <v>190</v>
      </c>
      <c r="F19" s="62" t="s">
        <v>191</v>
      </c>
      <c r="G19" s="39"/>
      <c r="H19" s="23"/>
      <c r="I19" s="59" t="s">
        <v>192</v>
      </c>
      <c r="J19" s="41" t="s">
        <v>193</v>
      </c>
    </row>
    <row r="20" spans="1:10" ht="30" x14ac:dyDescent="0.25">
      <c r="A20" s="41" t="s">
        <v>194</v>
      </c>
      <c r="B20" s="41">
        <v>2009</v>
      </c>
      <c r="C20" s="41">
        <v>2009</v>
      </c>
      <c r="D20" s="41" t="s">
        <v>104</v>
      </c>
      <c r="E20" s="42" t="s">
        <v>195</v>
      </c>
      <c r="F20" s="62" t="s">
        <v>196</v>
      </c>
      <c r="G20" s="39"/>
      <c r="H20" s="23"/>
      <c r="I20" s="59" t="s">
        <v>197</v>
      </c>
      <c r="J20" s="41" t="s">
        <v>198</v>
      </c>
    </row>
    <row r="21" spans="1:10" ht="30" x14ac:dyDescent="0.25">
      <c r="A21" s="43" t="s">
        <v>199</v>
      </c>
      <c r="B21" s="43">
        <v>2008</v>
      </c>
      <c r="C21" s="43">
        <v>2008</v>
      </c>
      <c r="D21" s="43" t="s">
        <v>104</v>
      </c>
      <c r="E21" s="44" t="s">
        <v>200</v>
      </c>
      <c r="F21" s="61" t="s">
        <v>201</v>
      </c>
      <c r="H21" s="23"/>
      <c r="I21" s="58" t="s">
        <v>202</v>
      </c>
      <c r="J21" s="43" t="s">
        <v>203</v>
      </c>
    </row>
    <row r="22" spans="1:10" ht="30" x14ac:dyDescent="0.25">
      <c r="A22" s="41" t="s">
        <v>204</v>
      </c>
      <c r="B22" s="41">
        <v>2007</v>
      </c>
      <c r="C22" s="41">
        <v>2007</v>
      </c>
      <c r="D22" s="41" t="s">
        <v>139</v>
      </c>
      <c r="E22" s="45" t="s">
        <v>205</v>
      </c>
      <c r="F22" s="62" t="s">
        <v>206</v>
      </c>
      <c r="G22" s="39">
        <v>0</v>
      </c>
      <c r="I22" s="59" t="s">
        <v>207</v>
      </c>
      <c r="J22" s="41" t="s">
        <v>208</v>
      </c>
    </row>
    <row r="23" spans="1:10" x14ac:dyDescent="0.25">
      <c r="A23" s="41" t="s">
        <v>209</v>
      </c>
      <c r="B23" s="41">
        <v>2007</v>
      </c>
      <c r="C23" s="41">
        <v>2007</v>
      </c>
      <c r="D23" s="41" t="s">
        <v>127</v>
      </c>
      <c r="E23" s="45" t="s">
        <v>210</v>
      </c>
      <c r="F23" s="62" t="s">
        <v>211</v>
      </c>
      <c r="G23" s="39" t="s">
        <v>212</v>
      </c>
      <c r="I23" s="59" t="s">
        <v>213</v>
      </c>
      <c r="J23" s="41" t="s">
        <v>214</v>
      </c>
    </row>
    <row r="24" spans="1:10" ht="30" x14ac:dyDescent="0.25">
      <c r="A24" s="41" t="s">
        <v>215</v>
      </c>
      <c r="B24" s="41">
        <v>2007</v>
      </c>
      <c r="C24" s="41">
        <v>2007</v>
      </c>
      <c r="D24" s="41" t="s">
        <v>216</v>
      </c>
      <c r="E24" s="45" t="s">
        <v>217</v>
      </c>
      <c r="F24" s="62" t="s">
        <v>218</v>
      </c>
      <c r="G24" s="39"/>
      <c r="I24" s="59" t="s">
        <v>219</v>
      </c>
      <c r="J24" s="41" t="s">
        <v>215</v>
      </c>
    </row>
    <row r="25" spans="1:10" ht="30" x14ac:dyDescent="0.25">
      <c r="A25" s="43" t="s">
        <v>220</v>
      </c>
      <c r="B25" s="43">
        <v>2002</v>
      </c>
      <c r="C25" s="43">
        <v>2002</v>
      </c>
      <c r="D25" s="43" t="s">
        <v>149</v>
      </c>
      <c r="E25" s="46" t="s">
        <v>221</v>
      </c>
      <c r="F25" s="61" t="s">
        <v>222</v>
      </c>
      <c r="G25" t="s">
        <v>223</v>
      </c>
      <c r="H25" s="23"/>
      <c r="I25" s="58" t="s">
        <v>224</v>
      </c>
      <c r="J25" s="43" t="s">
        <v>225</v>
      </c>
    </row>
    <row r="26" spans="1:10" x14ac:dyDescent="0.25">
      <c r="A26" s="1" t="s">
        <v>226</v>
      </c>
      <c r="B26" s="1">
        <v>1993</v>
      </c>
      <c r="C26" s="1">
        <v>1993</v>
      </c>
      <c r="D26" s="1" t="s">
        <v>116</v>
      </c>
      <c r="E26" t="s">
        <v>227</v>
      </c>
      <c r="F26" s="35"/>
      <c r="I26" s="1" t="s">
        <v>228</v>
      </c>
      <c r="J26" s="1" t="s">
        <v>229</v>
      </c>
    </row>
    <row r="27" spans="1:10" x14ac:dyDescent="0.25">
      <c r="D27" s="1"/>
    </row>
    <row r="28" spans="1:10" x14ac:dyDescent="0.25">
      <c r="D28" s="1"/>
    </row>
    <row r="30" spans="1:10" x14ac:dyDescent="0.25">
      <c r="A30" s="38" t="s">
        <v>230</v>
      </c>
      <c r="B30" s="37">
        <v>2014</v>
      </c>
      <c r="C30" s="37">
        <v>2014</v>
      </c>
      <c r="D30" s="37" t="s">
        <v>127</v>
      </c>
      <c r="E30" s="38" t="s">
        <v>231</v>
      </c>
      <c r="F30" s="38" t="s">
        <v>232</v>
      </c>
      <c r="G30" s="39"/>
      <c r="H30" t="s">
        <v>233</v>
      </c>
      <c r="I30" s="37" t="s">
        <v>234</v>
      </c>
      <c r="J30" s="38" t="s">
        <v>235</v>
      </c>
    </row>
    <row r="31" spans="1:10" x14ac:dyDescent="0.25">
      <c r="A31" s="36" t="s">
        <v>236</v>
      </c>
      <c r="B31" s="1">
        <v>2016</v>
      </c>
      <c r="C31" s="1">
        <v>2016</v>
      </c>
      <c r="D31" s="1" t="s">
        <v>216</v>
      </c>
      <c r="F31" s="40" t="s">
        <v>237</v>
      </c>
      <c r="G31" t="s">
        <v>238</v>
      </c>
      <c r="I31" s="1" t="s">
        <v>239</v>
      </c>
      <c r="J31" s="36" t="s">
        <v>236</v>
      </c>
    </row>
    <row r="32" spans="1:10" x14ac:dyDescent="0.25">
      <c r="A32" t="s">
        <v>240</v>
      </c>
      <c r="B32" s="1">
        <v>2007</v>
      </c>
      <c r="C32" s="1">
        <v>2014</v>
      </c>
      <c r="D32" s="1" t="s">
        <v>127</v>
      </c>
      <c r="E32" t="s">
        <v>241</v>
      </c>
      <c r="F32" s="35" t="s">
        <v>242</v>
      </c>
      <c r="I32" s="1" t="s">
        <v>186</v>
      </c>
      <c r="J32" t="s">
        <v>243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37"/>
  <sheetViews>
    <sheetView topLeftCell="A10" workbookViewId="0">
      <selection activeCell="C27" sqref="C27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13.85546875" customWidth="1"/>
    <col min="4" max="4" width="13.28515625" customWidth="1"/>
    <col min="5" max="7" width="11" bestFit="1" customWidth="1"/>
    <col min="8" max="8" width="12" bestFit="1" customWidth="1"/>
  </cols>
  <sheetData>
    <row r="2" spans="2:9" x14ac:dyDescent="0.25">
      <c r="B2" s="8" t="s">
        <v>244</v>
      </c>
      <c r="C2">
        <f>PI()</f>
        <v>3.1415926535897931</v>
      </c>
    </row>
    <row r="3" spans="2:9" x14ac:dyDescent="0.25">
      <c r="B3" s="8" t="s">
        <v>245</v>
      </c>
      <c r="C3">
        <v>1.2566370599999999E-6</v>
      </c>
      <c r="F3" s="6"/>
      <c r="G3" s="6"/>
      <c r="H3">
        <v>1.805E-2</v>
      </c>
      <c r="I3" t="s">
        <v>246</v>
      </c>
    </row>
    <row r="4" spans="2:9" x14ac:dyDescent="0.25">
      <c r="B4" s="8" t="s">
        <v>247</v>
      </c>
      <c r="C4">
        <v>120</v>
      </c>
      <c r="D4" s="6">
        <f>C2*C4</f>
        <v>376.99111843077515</v>
      </c>
      <c r="G4" s="6"/>
      <c r="H4">
        <v>0.30480000000000002</v>
      </c>
    </row>
    <row r="5" spans="2:9" x14ac:dyDescent="0.25">
      <c r="B5" s="8" t="s">
        <v>248</v>
      </c>
      <c r="C5" s="6">
        <f>D4*C3/8</f>
        <v>5.9217626338870131E-5</v>
      </c>
      <c r="D5" s="7" t="s">
        <v>249</v>
      </c>
      <c r="G5" s="6"/>
      <c r="H5" s="6">
        <f>H3/H4/1000</f>
        <v>5.9219160104986875E-5</v>
      </c>
    </row>
    <row r="6" spans="2:9" x14ac:dyDescent="0.25">
      <c r="B6" s="8" t="s">
        <v>250</v>
      </c>
      <c r="C6">
        <v>60</v>
      </c>
    </row>
    <row r="8" spans="2:9" x14ac:dyDescent="0.25">
      <c r="B8" s="8" t="s">
        <v>251</v>
      </c>
      <c r="C8">
        <v>100</v>
      </c>
      <c r="D8">
        <v>500</v>
      </c>
      <c r="E8">
        <v>1000</v>
      </c>
      <c r="F8">
        <v>2500</v>
      </c>
      <c r="G8">
        <v>5000</v>
      </c>
    </row>
    <row r="9" spans="2:9" x14ac:dyDescent="0.25">
      <c r="B9" s="8" t="s">
        <v>252</v>
      </c>
      <c r="C9" s="10">
        <f>($C$3*$D$4/(2*$C$2))*LN(658.5*SQRT(C8/$C$6))</f>
        <v>5.0858946842490687E-4</v>
      </c>
      <c r="D9" s="10">
        <f>($C$3*$D$4/(2*$C$2))*LN(658.5*SQRT(D8/$C$6))</f>
        <v>5.6926384822091861E-4</v>
      </c>
      <c r="E9" s="10">
        <f>($C$3*$D$4/(2*$C$2))*LN(658.5*SQRT(E8/$C$6))</f>
        <v>5.953948812747028E-4</v>
      </c>
      <c r="F9" s="10">
        <f>($C$3*$D$4/(2*$C$2))*LN(658.5*SQRT(F8/$C$6))</f>
        <v>6.2993822801693034E-4</v>
      </c>
      <c r="G9" s="10">
        <f>($C$3*$D$4/(2*$C$2))*LN(658.5*SQRT(G8/$C$6))</f>
        <v>6.5606926107071454E-4</v>
      </c>
      <c r="H9" s="7" t="s">
        <v>249</v>
      </c>
    </row>
    <row r="10" spans="2:9" x14ac:dyDescent="0.25">
      <c r="B10" s="8" t="s">
        <v>253</v>
      </c>
      <c r="C10" s="27">
        <f>ROUND(C9*1000,3)</f>
        <v>0.50900000000000001</v>
      </c>
      <c r="D10" s="27">
        <f t="shared" ref="D10:G10" si="0">ROUND(D9*1000,3)</f>
        <v>0.56899999999999995</v>
      </c>
      <c r="E10" s="27">
        <f t="shared" si="0"/>
        <v>0.59499999999999997</v>
      </c>
      <c r="F10" s="27">
        <f t="shared" si="0"/>
        <v>0.63</v>
      </c>
      <c r="G10" s="27">
        <f t="shared" si="0"/>
        <v>0.65600000000000003</v>
      </c>
      <c r="H10" s="7"/>
    </row>
    <row r="11" spans="2:9" x14ac:dyDescent="0.25">
      <c r="B11" s="8"/>
      <c r="C11" s="27"/>
      <c r="D11" s="27"/>
      <c r="E11" s="27"/>
      <c r="F11" s="27"/>
      <c r="G11" s="27"/>
      <c r="H11" s="7"/>
    </row>
    <row r="12" spans="2:9" x14ac:dyDescent="0.25">
      <c r="B12" s="8" t="s">
        <v>254</v>
      </c>
      <c r="C12" s="9">
        <v>5.9217626338870131E-5</v>
      </c>
      <c r="D12" s="9">
        <v>5.9217626338870131E-5</v>
      </c>
      <c r="E12" s="9">
        <v>5.9217626338870131E-5</v>
      </c>
      <c r="F12" s="9">
        <v>5.9217626338870131E-5</v>
      </c>
      <c r="G12" s="9">
        <v>5.9217626338870131E-5</v>
      </c>
    </row>
    <row r="13" spans="2:9" x14ac:dyDescent="0.25">
      <c r="F13" s="4">
        <f>F9/C9 -1</f>
        <v>0.23859864807629338</v>
      </c>
    </row>
    <row r="14" spans="2:9" x14ac:dyDescent="0.25">
      <c r="F14" s="4"/>
    </row>
    <row r="15" spans="2:9" x14ac:dyDescent="0.25">
      <c r="F15" s="4"/>
    </row>
    <row r="16" spans="2:9" x14ac:dyDescent="0.25">
      <c r="F16" s="4"/>
    </row>
    <row r="17" spans="2:12" x14ac:dyDescent="0.25">
      <c r="B17" s="8" t="s">
        <v>253</v>
      </c>
      <c r="C17" s="25">
        <f>C9*1000</f>
        <v>0.50858946842490682</v>
      </c>
      <c r="F17" s="25">
        <f>F9*1000</f>
        <v>0.62993822801693033</v>
      </c>
    </row>
    <row r="18" spans="2:12" x14ac:dyDescent="0.25">
      <c r="B18" s="8" t="s">
        <v>255</v>
      </c>
      <c r="C18" s="26">
        <f>C17*C35</f>
        <v>0.15501806997591161</v>
      </c>
      <c r="D18" t="s">
        <v>256</v>
      </c>
      <c r="F18" s="26">
        <f>F17*$C$35</f>
        <v>0.19200517189956037</v>
      </c>
    </row>
    <row r="19" spans="2:12" x14ac:dyDescent="0.25">
      <c r="B19" s="8"/>
      <c r="C19" s="26"/>
      <c r="F19" s="26">
        <f>F18/C18</f>
        <v>1.2385986480762934</v>
      </c>
    </row>
    <row r="20" spans="2:12" x14ac:dyDescent="0.25">
      <c r="B20" s="8" t="s">
        <v>248</v>
      </c>
      <c r="C20" s="25">
        <f>C12*1000</f>
        <v>5.9217626338870129E-2</v>
      </c>
      <c r="F20" s="4"/>
    </row>
    <row r="21" spans="2:12" x14ac:dyDescent="0.25">
      <c r="B21" s="8" t="s">
        <v>257</v>
      </c>
      <c r="C21" s="26">
        <f>C20*H4</f>
        <v>1.8049532508087617E-2</v>
      </c>
      <c r="D21" t="s">
        <v>256</v>
      </c>
      <c r="F21" s="4"/>
    </row>
    <row r="23" spans="2:12" x14ac:dyDescent="0.25">
      <c r="B23" s="11" t="s">
        <v>258</v>
      </c>
      <c r="C23" s="12"/>
      <c r="D23" s="12"/>
    </row>
    <row r="24" spans="2:12" ht="30" x14ac:dyDescent="0.25">
      <c r="B24" s="13" t="s">
        <v>259</v>
      </c>
      <c r="C24" s="13" t="s">
        <v>260</v>
      </c>
      <c r="E24" s="14" t="s">
        <v>261</v>
      </c>
    </row>
    <row r="25" spans="2:12" x14ac:dyDescent="0.25">
      <c r="B25" s="15">
        <v>100</v>
      </c>
      <c r="C25" s="2">
        <v>0.50900000000000001</v>
      </c>
      <c r="D25" s="173">
        <v>0.3695</v>
      </c>
      <c r="E25" s="175">
        <f>C25/D25</f>
        <v>1.3775372124492558</v>
      </c>
      <c r="F25" s="174">
        <f>C25/0.3695</f>
        <v>1.3775372124492558</v>
      </c>
      <c r="G25" s="24">
        <f>ROUND(C25,3)</f>
        <v>0.50900000000000001</v>
      </c>
      <c r="H25" s="27">
        <v>0.50858946842490682</v>
      </c>
      <c r="I25">
        <v>0.56926384822091858</v>
      </c>
      <c r="J25">
        <v>0.59539488127470275</v>
      </c>
      <c r="K25">
        <v>0.63421061879446605</v>
      </c>
      <c r="L25">
        <v>0.6560692610707145</v>
      </c>
    </row>
    <row r="26" spans="2:12" x14ac:dyDescent="0.25">
      <c r="B26" s="15">
        <v>500</v>
      </c>
      <c r="C26" s="2">
        <v>0.56899999999999995</v>
      </c>
      <c r="D26" s="173">
        <v>0.3695</v>
      </c>
      <c r="E26" s="175">
        <f t="shared" ref="E26:E29" si="1">C26/D26</f>
        <v>1.5399188092016236</v>
      </c>
      <c r="F26" s="174">
        <f>C26/0.3695</f>
        <v>1.5399188092016236</v>
      </c>
      <c r="G26" s="24">
        <f>ROUND(C26,3)</f>
        <v>0.56899999999999995</v>
      </c>
    </row>
    <row r="27" spans="2:12" x14ac:dyDescent="0.25">
      <c r="B27" s="15">
        <v>1000</v>
      </c>
      <c r="C27" s="2">
        <v>0.59499999999999997</v>
      </c>
      <c r="D27" s="173">
        <v>0.3695</v>
      </c>
      <c r="E27" s="175">
        <f t="shared" si="1"/>
        <v>1.6102841677943165</v>
      </c>
      <c r="F27" s="174">
        <f>C27/0.3695</f>
        <v>1.6102841677943165</v>
      </c>
      <c r="G27" s="24">
        <f>ROUND(C27,3)</f>
        <v>0.59499999999999997</v>
      </c>
    </row>
    <row r="28" spans="2:12" x14ac:dyDescent="0.25">
      <c r="B28" s="15">
        <v>2500</v>
      </c>
      <c r="C28" s="176">
        <v>0.63</v>
      </c>
      <c r="D28" s="173">
        <v>0.3695</v>
      </c>
      <c r="E28" s="175">
        <f t="shared" si="1"/>
        <v>1.7050067658998647</v>
      </c>
      <c r="F28" s="174">
        <f>C28/0.3695</f>
        <v>1.7050067658998647</v>
      </c>
      <c r="G28" s="24">
        <f>ROUND(C28,3)</f>
        <v>0.63</v>
      </c>
    </row>
    <row r="29" spans="2:12" x14ac:dyDescent="0.25">
      <c r="B29" s="15">
        <v>5000</v>
      </c>
      <c r="C29" s="2">
        <v>0.65600000000000003</v>
      </c>
      <c r="D29" s="173">
        <v>0.3695</v>
      </c>
      <c r="E29" s="175">
        <f t="shared" si="1"/>
        <v>1.7753721244925575</v>
      </c>
      <c r="F29" s="174">
        <f>C29/0.3695</f>
        <v>1.7753721244925575</v>
      </c>
      <c r="G29" s="24">
        <f>ROUND(C29,3)</f>
        <v>0.65600000000000003</v>
      </c>
    </row>
    <row r="30" spans="2:12" ht="30" x14ac:dyDescent="0.25">
      <c r="B30" s="15"/>
      <c r="C30" s="13" t="s">
        <v>262</v>
      </c>
      <c r="E30" s="172" t="s">
        <v>263</v>
      </c>
    </row>
    <row r="31" spans="2:12" x14ac:dyDescent="0.25">
      <c r="B31" s="15"/>
      <c r="C31" s="16">
        <v>5.9217626338870129E-2</v>
      </c>
      <c r="D31">
        <v>0.19009999999999999</v>
      </c>
      <c r="E31" s="175">
        <f>C31/D31</f>
        <v>0.31150776611714959</v>
      </c>
      <c r="F31">
        <f>C31/0.1901</f>
        <v>0.31150776611714959</v>
      </c>
    </row>
    <row r="33" spans="1:4" x14ac:dyDescent="0.25">
      <c r="B33" t="s">
        <v>264</v>
      </c>
    </row>
    <row r="34" spans="1:4" x14ac:dyDescent="0.25">
      <c r="C34" t="s">
        <v>265</v>
      </c>
    </row>
    <row r="35" spans="1:4" x14ac:dyDescent="0.25">
      <c r="A35" t="s">
        <v>266</v>
      </c>
      <c r="B35">
        <v>0.155081</v>
      </c>
      <c r="C35">
        <v>0.30480000000000002</v>
      </c>
      <c r="D35">
        <v>1000</v>
      </c>
    </row>
    <row r="36" spans="1:4" x14ac:dyDescent="0.25">
      <c r="A36" t="s">
        <v>267</v>
      </c>
      <c r="B36">
        <f>B35/(1000*C35)</f>
        <v>5.0879593175853018E-4</v>
      </c>
    </row>
    <row r="37" spans="1:4" x14ac:dyDescent="0.25">
      <c r="A37" s="23" t="s">
        <v>268</v>
      </c>
      <c r="B37" s="23">
        <f>B36*1000</f>
        <v>0.50879593175853022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t1.PerdasReg_2023</vt:lpstr>
      <vt:lpstr>t1.PerdasReg_OLD</vt:lpstr>
      <vt:lpstr>t.modeloSDEE</vt:lpstr>
      <vt:lpstr>t8.Arranjos</vt:lpstr>
      <vt:lpstr>t9.KmdeRede</vt:lpstr>
      <vt:lpstr>t16.Carga</vt:lpstr>
      <vt:lpstr>t14.valOpenDSS</vt:lpstr>
      <vt:lpstr>pesquisadoresRevBib</vt:lpstr>
      <vt:lpstr>Carson</vt:lpstr>
      <vt:lpstr>t.Carson2</vt:lpstr>
      <vt:lpstr>t.alocacaoPNT</vt:lpstr>
      <vt:lpstr>projetoReconf</vt:lpstr>
      <vt:lpstr>t.m89_2024</vt:lpstr>
      <vt:lpstr>verif</vt:lpstr>
      <vt:lpstr>t.m_Cemig_Artigo</vt:lpstr>
      <vt:lpstr>codINtCompact</vt:lpstr>
      <vt:lpstr>fig24</vt:lpstr>
      <vt:lpstr>IndividuosMST</vt:lpstr>
      <vt:lpstr>p33</vt:lpstr>
      <vt:lpstr>p84</vt:lpstr>
      <vt:lpstr>p70</vt:lpstr>
      <vt:lpstr>compTensao</vt:lpstr>
      <vt:lpstr>taxasReliability</vt:lpstr>
      <vt:lpstr>reliability</vt:lpstr>
      <vt:lpstr>33_branch</vt:lpstr>
      <vt:lpstr>IIGD210</vt:lpstr>
      <vt:lpstr>CETU04</vt:lpstr>
      <vt:lpstr>IIGU115</vt:lpstr>
      <vt:lpstr>sint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zecao</dc:creator>
  <cp:keywords/>
  <dc:description/>
  <cp:lastModifiedBy>Zecao</cp:lastModifiedBy>
  <cp:revision/>
  <dcterms:created xsi:type="dcterms:W3CDTF">2019-01-19T13:40:05Z</dcterms:created>
  <dcterms:modified xsi:type="dcterms:W3CDTF">2024-06-20T16:07:03Z</dcterms:modified>
  <cp:category/>
  <cp:contentStatus/>
</cp:coreProperties>
</file>