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aime\Desktop\Git\MPT-Calculator\"/>
    </mc:Choice>
  </mc:AlternateContent>
  <xr:revisionPtr revIDLastSave="0" documentId="13_ncr:1_{996AB5DA-AB6E-4CAA-A212-D47B0CA98473}" xr6:coauthVersionLast="47" xr6:coauthVersionMax="47" xr10:uidLastSave="{00000000-0000-0000-0000-000000000000}"/>
  <bookViews>
    <workbookView xWindow="13410" yWindow="855" windowWidth="21600" windowHeight="11385" firstSheet="2" activeTab="4" xr2:uid="{00000000-000D-0000-FFFF-FFFF00000000}"/>
  </bookViews>
  <sheets>
    <sheet name="Calcs" sheetId="5" r:id="rId1"/>
    <sheet name="Markowitz" sheetId="4" r:id="rId2"/>
    <sheet name="Sorted" sheetId="6" r:id="rId3"/>
    <sheet name="Regression" sheetId="2" r:id="rId4"/>
    <sheet name="Bonds" sheetId="1" r:id="rId5"/>
    <sheet name="Bonds 2" sheetId="3" r:id="rId6"/>
    <sheet name="Bonds 3" sheetId="7" r:id="rId7"/>
  </sheets>
  <definedNames>
    <definedName name="solver_adj" localSheetId="6" hidden="1">'Bonds 3'!$B$12</definedName>
    <definedName name="solver_cvg" localSheetId="6" hidden="1">0.0001</definedName>
    <definedName name="solver_drv" localSheetId="6" hidden="1">2</definedName>
    <definedName name="solver_eng" localSheetId="6" hidden="1">1</definedName>
    <definedName name="solver_est" localSheetId="6" hidden="1">1</definedName>
    <definedName name="solver_itr" localSheetId="6" hidden="1">2147483647</definedName>
    <definedName name="solver_lhs1" localSheetId="6" hidden="1">'Bonds 3'!$D$11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1</definedName>
    <definedName name="solver_nod" localSheetId="6" hidden="1">2147483647</definedName>
    <definedName name="solver_num" localSheetId="6" hidden="1">0</definedName>
    <definedName name="solver_nwt" localSheetId="6" hidden="1">1</definedName>
    <definedName name="solver_opt" localSheetId="6" hidden="1">'Bonds 3'!$D$11</definedName>
    <definedName name="solver_pre" localSheetId="6" hidden="1">0.000001</definedName>
    <definedName name="solver_rbv" localSheetId="6" hidden="1">2</definedName>
    <definedName name="solver_rel1" localSheetId="6" hidden="1">2</definedName>
    <definedName name="solver_rhs1" localSheetId="6" hidden="1">'Bonds 3'!$B$13</definedName>
    <definedName name="solver_rlx" localSheetId="6" hidden="1">2</definedName>
    <definedName name="solver_rsd" localSheetId="6" hidden="1">0</definedName>
    <definedName name="solver_scl" localSheetId="6" hidden="1">2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3</definedName>
    <definedName name="solver_val" localSheetId="6" hidden="1">103.47</definedName>
    <definedName name="solver_ver" localSheetId="6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7" i="1" l="1"/>
  <c r="G85" i="1"/>
  <c r="G83" i="1"/>
  <c r="G82" i="1"/>
  <c r="G79" i="1"/>
  <c r="G80" i="1"/>
  <c r="G81" i="1"/>
  <c r="G78" i="1"/>
  <c r="F79" i="1"/>
  <c r="F80" i="1"/>
  <c r="F81" i="1"/>
  <c r="F78" i="1"/>
  <c r="E82" i="1"/>
  <c r="E79" i="1"/>
  <c r="E80" i="1"/>
  <c r="E81" i="1"/>
  <c r="E78" i="1"/>
  <c r="D81" i="1"/>
  <c r="D79" i="1"/>
  <c r="D80" i="1"/>
  <c r="D78" i="1"/>
  <c r="B75" i="1"/>
  <c r="A75" i="1"/>
  <c r="A74" i="1"/>
  <c r="A73" i="1"/>
  <c r="E70" i="1"/>
  <c r="E68" i="1"/>
  <c r="E69" i="1"/>
  <c r="E67" i="1"/>
  <c r="D68" i="1"/>
  <c r="D69" i="1"/>
  <c r="D67" i="1"/>
  <c r="B63" i="1"/>
  <c r="A63" i="1"/>
  <c r="F61" i="1"/>
  <c r="F58" i="1"/>
  <c r="F59" i="1"/>
  <c r="F60" i="1"/>
  <c r="F57" i="1"/>
  <c r="E58" i="1"/>
  <c r="E59" i="1"/>
  <c r="E60" i="1"/>
  <c r="E57" i="1"/>
  <c r="D58" i="1"/>
  <c r="D59" i="1"/>
  <c r="D60" i="1"/>
  <c r="D57" i="1"/>
  <c r="F55" i="1"/>
  <c r="F50" i="1"/>
  <c r="F51" i="1"/>
  <c r="F52" i="1"/>
  <c r="F53" i="1"/>
  <c r="F54" i="1"/>
  <c r="F49" i="1"/>
  <c r="E50" i="1"/>
  <c r="E51" i="1"/>
  <c r="E52" i="1"/>
  <c r="E53" i="1"/>
  <c r="E54" i="1"/>
  <c r="E49" i="1"/>
  <c r="D50" i="1"/>
  <c r="D51" i="1"/>
  <c r="D52" i="1"/>
  <c r="D53" i="1"/>
  <c r="D54" i="1"/>
  <c r="D49" i="1"/>
  <c r="B8" i="7"/>
  <c r="C8" i="7" s="1"/>
  <c r="D8" i="7" s="1"/>
  <c r="B9" i="7"/>
  <c r="C9" i="7" s="1"/>
  <c r="D9" i="7" s="1"/>
  <c r="B10" i="7"/>
  <c r="C10" i="7" s="1"/>
  <c r="D10" i="7" s="1"/>
  <c r="B7" i="7"/>
  <c r="C7" i="7" s="1"/>
  <c r="D7" i="7" s="1"/>
  <c r="D11" i="7" s="1"/>
  <c r="D5" i="7"/>
  <c r="D4" i="7"/>
  <c r="F4" i="7" s="1"/>
  <c r="D3" i="7"/>
  <c r="F3" i="7" s="1"/>
  <c r="D2" i="7"/>
  <c r="F2" i="7" s="1"/>
  <c r="D1" i="7"/>
  <c r="F1" i="7"/>
  <c r="C4" i="7"/>
  <c r="C3" i="7"/>
  <c r="C2" i="7"/>
  <c r="C1" i="7"/>
  <c r="C15" i="6"/>
  <c r="D15" i="6" s="1"/>
  <c r="E15" i="6" s="1"/>
  <c r="F15" i="6" s="1"/>
  <c r="B15" i="6"/>
  <c r="A15" i="6"/>
  <c r="B13" i="6"/>
  <c r="C13" i="6"/>
  <c r="D13" i="6"/>
  <c r="E13" i="6"/>
  <c r="F13" i="6"/>
  <c r="A13" i="6"/>
  <c r="B11" i="6"/>
  <c r="C11" i="6"/>
  <c r="D11" i="6"/>
  <c r="E11" i="6"/>
  <c r="F11" i="6"/>
  <c r="A11" i="6"/>
  <c r="B7" i="6"/>
  <c r="C7" i="6"/>
  <c r="D7" i="6"/>
  <c r="E7" i="6"/>
  <c r="F7" i="6"/>
  <c r="A7" i="6"/>
  <c r="B3" i="6"/>
  <c r="C3" i="6"/>
  <c r="D3" i="6"/>
  <c r="E3" i="6"/>
  <c r="F3" i="6"/>
  <c r="A3" i="6"/>
  <c r="C46" i="1"/>
  <c r="C43" i="1"/>
  <c r="C44" i="1" s="1"/>
  <c r="I33" i="1"/>
  <c r="H33" i="1"/>
  <c r="H30" i="1"/>
  <c r="H31" i="1"/>
  <c r="H32" i="1"/>
  <c r="H29" i="1"/>
  <c r="G33" i="1"/>
  <c r="G30" i="1"/>
  <c r="G31" i="1"/>
  <c r="G32" i="1"/>
  <c r="G29" i="1"/>
  <c r="F30" i="1"/>
  <c r="F31" i="1"/>
  <c r="F32" i="1"/>
  <c r="F29" i="1"/>
  <c r="D30" i="1"/>
  <c r="D31" i="1"/>
  <c r="D32" i="1"/>
  <c r="D29" i="1"/>
  <c r="B15" i="5"/>
  <c r="B13" i="5"/>
  <c r="B12" i="5" a="1"/>
  <c r="B12" i="5" s="1"/>
  <c r="C10" i="5"/>
  <c r="B10" i="5"/>
  <c r="C9" i="5" a="1"/>
  <c r="C9" i="5" s="1"/>
  <c r="B9" i="5" a="1"/>
  <c r="B9" i="5" s="1"/>
  <c r="C8" i="5"/>
  <c r="B8" i="5"/>
  <c r="C8" i="4"/>
  <c r="C6" i="4"/>
  <c r="C5" i="4" a="1"/>
  <c r="C5" i="4" s="1"/>
  <c r="E5" i="4"/>
  <c r="I1" i="4" a="1"/>
  <c r="I1" i="4" s="1"/>
  <c r="F21" i="1"/>
  <c r="F22" i="1"/>
  <c r="F23" i="1"/>
  <c r="F24" i="1"/>
  <c r="F20" i="1"/>
  <c r="D21" i="1"/>
  <c r="D22" i="1"/>
  <c r="D23" i="1"/>
  <c r="D24" i="1"/>
  <c r="D20" i="1"/>
  <c r="A13" i="1"/>
  <c r="F13" i="1" s="1"/>
  <c r="A12" i="1"/>
  <c r="F12" i="1" s="1"/>
  <c r="G12" i="1" s="1"/>
  <c r="A11" i="1"/>
  <c r="F11" i="1" s="1"/>
  <c r="G11" i="1" s="1"/>
  <c r="A10" i="1"/>
  <c r="F10" i="1" s="1"/>
  <c r="G10" i="1" s="1"/>
  <c r="D11" i="1"/>
  <c r="D12" i="1"/>
  <c r="D13" i="1"/>
  <c r="D10" i="1"/>
  <c r="B25" i="3"/>
  <c r="F5" i="3"/>
  <c r="G5" i="3" s="1"/>
  <c r="H5" i="3" s="1"/>
  <c r="D5" i="3"/>
  <c r="F4" i="3"/>
  <c r="G4" i="3" s="1"/>
  <c r="H4" i="3" s="1"/>
  <c r="D4" i="3"/>
  <c r="F3" i="3"/>
  <c r="G3" i="3" s="1"/>
  <c r="H3" i="3" s="1"/>
  <c r="D3" i="3"/>
  <c r="F2" i="3"/>
  <c r="G2" i="3" s="1"/>
  <c r="H2" i="3" s="1"/>
  <c r="D2" i="3"/>
  <c r="A17" i="2"/>
  <c r="A15" i="2" a="1"/>
  <c r="A15" i="2" s="1"/>
  <c r="F3" i="1"/>
  <c r="G3" i="1" s="1"/>
  <c r="F4" i="1"/>
  <c r="G4" i="1" s="1"/>
  <c r="F5" i="1"/>
  <c r="G5" i="1" s="1"/>
  <c r="F2" i="1"/>
  <c r="G2" i="1" s="1"/>
  <c r="H2" i="1" s="1"/>
  <c r="D3" i="1"/>
  <c r="D4" i="1"/>
  <c r="D5" i="1"/>
  <c r="D2" i="1"/>
  <c r="F5" i="7" l="1"/>
  <c r="G24" i="1"/>
  <c r="G23" i="1"/>
  <c r="G22" i="1"/>
  <c r="G21" i="1"/>
  <c r="G20" i="1"/>
  <c r="G13" i="1"/>
  <c r="G14" i="1" s="1"/>
  <c r="H6" i="3"/>
  <c r="A13" i="3"/>
  <c r="A12" i="3"/>
  <c r="A14" i="3"/>
  <c r="H5" i="1"/>
  <c r="H4" i="1"/>
  <c r="H3" i="1"/>
  <c r="H6" i="1"/>
  <c r="G25" i="1" l="1"/>
  <c r="H23" i="1" s="1"/>
  <c r="A15" i="3"/>
  <c r="B15" i="3" s="1"/>
  <c r="H22" i="1" l="1"/>
  <c r="H21" i="1"/>
  <c r="H24" i="1"/>
  <c r="H20" i="1"/>
  <c r="H2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<sst xmlns="http://schemas.openxmlformats.org/spreadsheetml/2006/main" count="44" uniqueCount="35">
  <si>
    <t>t</t>
  </si>
  <si>
    <t>C</t>
  </si>
  <si>
    <t>F</t>
  </si>
  <si>
    <t>CF</t>
  </si>
  <si>
    <t xml:space="preserve">r </t>
  </si>
  <si>
    <t>r+z</t>
  </si>
  <si>
    <t>d</t>
  </si>
  <si>
    <t>PV</t>
  </si>
  <si>
    <t>druation</t>
  </si>
  <si>
    <t>Port var</t>
  </si>
  <si>
    <t>Port std</t>
  </si>
  <si>
    <t>Sharpe</t>
  </si>
  <si>
    <t>ER</t>
  </si>
  <si>
    <t>Weights</t>
  </si>
  <si>
    <t>RF</t>
  </si>
  <si>
    <t>Excess returns</t>
  </si>
  <si>
    <t>Pr</t>
  </si>
  <si>
    <t>Excess X</t>
  </si>
  <si>
    <t>Excess M</t>
  </si>
  <si>
    <t>Mean</t>
  </si>
  <si>
    <t>Var</t>
  </si>
  <si>
    <t>Std</t>
  </si>
  <si>
    <t>Beta</t>
  </si>
  <si>
    <t>Cov(X,M)</t>
  </si>
  <si>
    <t>CAPM</t>
  </si>
  <si>
    <t>Bond price change</t>
  </si>
  <si>
    <t>Convexity</t>
  </si>
  <si>
    <t>Yield 1</t>
  </si>
  <si>
    <t>Yield 2</t>
  </si>
  <si>
    <t>Delta B</t>
  </si>
  <si>
    <t>Delta Y</t>
  </si>
  <si>
    <t>Modified Duration</t>
  </si>
  <si>
    <t>Bond price</t>
  </si>
  <si>
    <t xml:space="preserve">% change 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</si>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</sst>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%"/>
    <numFmt numFmtId="167" formatCode="0.0000%"/>
    <numFmt numFmtId="172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9" fontId="0" fillId="0" borderId="0" xfId="1" applyFont="1"/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10" fontId="0" fillId="0" borderId="0" xfId="0" applyNumberFormat="1"/>
    <xf numFmtId="167" fontId="0" fillId="0" borderId="0" xfId="1" applyNumberFormat="1" applyFont="1"/>
    <xf numFmtId="172" fontId="0" fillId="0" borderId="0" xfId="0" applyNumberForma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Sorted!$A$13:$F$13</c:f>
              <c:numCache>
                <c:formatCode>General</c:formatCode>
                <c:ptCount val="6"/>
                <c:pt idx="0">
                  <c:v>0.25</c:v>
                </c:pt>
                <c:pt idx="1">
                  <c:v>0.18</c:v>
                </c:pt>
                <c:pt idx="2">
                  <c:v>0.13</c:v>
                </c:pt>
                <c:pt idx="3">
                  <c:v>0.19500000000000001</c:v>
                </c:pt>
                <c:pt idx="4">
                  <c:v>0.22499999999999998</c:v>
                </c:pt>
                <c:pt idx="5">
                  <c:v>0.16999999999999998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C1-4B78-AED6-BED60B696F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924992"/>
        <c:axId val="990925408"/>
      </c:lineChart>
      <c:catAx>
        <c:axId val="990924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925408"/>
        <c:crosses val="autoZero"/>
        <c:auto val="1"/>
        <c:lblAlgn val="ctr"/>
        <c:lblOffset val="100"/>
        <c:noMultiLvlLbl val="0"/>
      </c:catAx>
      <c:valAx>
        <c:axId val="99092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924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10</xdr:row>
      <xdr:rowOff>166687</xdr:rowOff>
    </xdr:from>
    <xdr:to>
      <xdr:col>18</xdr:col>
      <xdr:colOff>228600</xdr:colOff>
      <xdr:row>25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18814E-B0FD-446B-A70F-648863F6EB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DA5CE-DD59-481D-BF45-1C0B2B4120AB}">
  <dimension ref="A1:D15"/>
  <sheetViews>
    <sheetView workbookViewId="0">
      <selection activeCell="B15" sqref="B15"/>
    </sheetView>
  </sheetViews>
  <sheetFormatPr defaultRowHeight="15" x14ac:dyDescent="0.25"/>
  <sheetData>
    <row r="1" spans="1:4" x14ac:dyDescent="0.25">
      <c r="A1" t="s">
        <v>16</v>
      </c>
      <c r="B1" t="s">
        <v>17</v>
      </c>
      <c r="C1" t="s">
        <v>18</v>
      </c>
      <c r="D1" t="s">
        <v>14</v>
      </c>
    </row>
    <row r="2" spans="1:4" x14ac:dyDescent="0.25">
      <c r="A2">
        <v>0.2</v>
      </c>
      <c r="B2">
        <v>-0.3</v>
      </c>
      <c r="C2">
        <v>-0.15</v>
      </c>
      <c r="D2">
        <v>0.04</v>
      </c>
    </row>
    <row r="3" spans="1:4" x14ac:dyDescent="0.25">
      <c r="A3">
        <v>0.2</v>
      </c>
      <c r="B3">
        <v>-0.1</v>
      </c>
      <c r="C3">
        <v>0</v>
      </c>
    </row>
    <row r="4" spans="1:4" x14ac:dyDescent="0.25">
      <c r="A4">
        <v>0.2</v>
      </c>
      <c r="B4">
        <v>0.1</v>
      </c>
      <c r="C4">
        <v>0.05</v>
      </c>
    </row>
    <row r="5" spans="1:4" x14ac:dyDescent="0.25">
      <c r="A5">
        <v>0.2</v>
      </c>
      <c r="B5">
        <v>0.2</v>
      </c>
      <c r="C5">
        <v>0.12</v>
      </c>
    </row>
    <row r="6" spans="1:4" x14ac:dyDescent="0.25">
      <c r="A6">
        <v>0.2</v>
      </c>
      <c r="B6">
        <v>0.4</v>
      </c>
      <c r="C6">
        <v>0.25</v>
      </c>
    </row>
    <row r="8" spans="1:4" x14ac:dyDescent="0.25">
      <c r="A8" t="s">
        <v>19</v>
      </c>
      <c r="B8">
        <f>SUMPRODUCT(A2:A6,B2:B6)</f>
        <v>6.0000000000000026E-2</v>
      </c>
      <c r="C8">
        <f>SUMPRODUCT(A2:A6,C2:C6)</f>
        <v>5.4000000000000006E-2</v>
      </c>
    </row>
    <row r="9" spans="1:4" x14ac:dyDescent="0.25">
      <c r="A9" t="s">
        <v>20</v>
      </c>
      <c r="B9" cm="1">
        <f t="array" ref="B9">SUMPRODUCT(A2:A6,(B2:B6-B8)^2)</f>
        <v>5.8399999999999994E-2</v>
      </c>
      <c r="C9" cm="1">
        <f t="array" ref="C9">SUMPRODUCT(A2:A6,(C2:C6-C8)^2)</f>
        <v>1.7464E-2</v>
      </c>
    </row>
    <row r="10" spans="1:4" x14ac:dyDescent="0.25">
      <c r="A10" t="s">
        <v>21</v>
      </c>
      <c r="B10">
        <f>SQRT(B9)</f>
        <v>0.24166091947189142</v>
      </c>
      <c r="C10">
        <f>SQRT(C9)</f>
        <v>0.13215142829345433</v>
      </c>
    </row>
    <row r="12" spans="1:4" x14ac:dyDescent="0.25">
      <c r="A12" t="s">
        <v>23</v>
      </c>
      <c r="B12" cm="1">
        <f t="array" ref="B12">SUMPRODUCT(A2:A6,(B2:B6-B8)*(C2:C6-C8))</f>
        <v>3.1559999999999998E-2</v>
      </c>
    </row>
    <row r="13" spans="1:4" x14ac:dyDescent="0.25">
      <c r="A13" t="s">
        <v>22</v>
      </c>
      <c r="B13">
        <f>B12/C9</f>
        <v>1.8071461291800273</v>
      </c>
    </row>
    <row r="15" spans="1:4" x14ac:dyDescent="0.25">
      <c r="A15" t="s">
        <v>24</v>
      </c>
      <c r="B15">
        <f>D2+B13*C8</f>
        <v>0.13758589097572149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B6A6-9559-4CA7-8136-997C61A09F40}">
  <dimension ref="A1:I8"/>
  <sheetViews>
    <sheetView workbookViewId="0">
      <selection activeCell="G11" sqref="G11"/>
    </sheetView>
  </sheetViews>
  <sheetFormatPr defaultRowHeight="15" x14ac:dyDescent="0.25"/>
  <cols>
    <col min="4" max="4" width="15.5703125" customWidth="1"/>
  </cols>
  <sheetData>
    <row r="1" spans="1:9" x14ac:dyDescent="0.25">
      <c r="A1">
        <v>0.2</v>
      </c>
      <c r="B1">
        <v>0</v>
      </c>
      <c r="C1">
        <v>0.1</v>
      </c>
      <c r="D1" t="s">
        <v>15</v>
      </c>
      <c r="E1">
        <v>0.06</v>
      </c>
      <c r="F1" t="s">
        <v>14</v>
      </c>
      <c r="G1">
        <v>0.04</v>
      </c>
      <c r="H1" t="s">
        <v>13</v>
      </c>
      <c r="I1" cm="1">
        <f t="array" ref="I1:I3">MMULT(MINVERSE(A1:C3), E1:E3)/SUM(MMULT(MINVERSE(A1:C3), E1:E3))</f>
        <v>0.49999999999999994</v>
      </c>
    </row>
    <row r="2" spans="1:9" x14ac:dyDescent="0.25">
      <c r="A2">
        <v>0</v>
      </c>
      <c r="B2">
        <v>0</v>
      </c>
      <c r="C2">
        <v>0.2</v>
      </c>
      <c r="E2">
        <v>0.04</v>
      </c>
      <c r="I2">
        <v>0</v>
      </c>
    </row>
    <row r="3" spans="1:9" x14ac:dyDescent="0.25">
      <c r="A3">
        <v>0.1</v>
      </c>
      <c r="B3">
        <v>0.2</v>
      </c>
      <c r="C3">
        <v>0.5</v>
      </c>
      <c r="E3">
        <v>0.12</v>
      </c>
      <c r="I3">
        <v>0.5</v>
      </c>
    </row>
    <row r="5" spans="1:9" x14ac:dyDescent="0.25">
      <c r="A5" t="s">
        <v>9</v>
      </c>
      <c r="C5" cm="1">
        <f t="array" ref="C5">MMULT(MMULT(TRANSPOSE(_xlfn.ANCHORARRAY(I1)),A1:C3),_xlfn.ANCHORARRAY(I1))</f>
        <v>0.22499999999999998</v>
      </c>
      <c r="D5" t="s">
        <v>12</v>
      </c>
      <c r="E5">
        <f>SUMPRODUCT(E1:E3,_xlfn.ANCHORARRAY(I1))</f>
        <v>0.09</v>
      </c>
    </row>
    <row r="6" spans="1:9" x14ac:dyDescent="0.25">
      <c r="A6" t="s">
        <v>10</v>
      </c>
      <c r="C6">
        <f>SQRT(C5)</f>
        <v>0.47434164902525688</v>
      </c>
    </row>
    <row r="8" spans="1:9" x14ac:dyDescent="0.25">
      <c r="A8" t="s">
        <v>11</v>
      </c>
      <c r="C8">
        <f>E5/C6</f>
        <v>0.18973665961010275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1B57-7422-41EC-BF06-9DD01B2632C9}">
  <dimension ref="A1:F15"/>
  <sheetViews>
    <sheetView workbookViewId="0">
      <selection activeCell="F15" sqref="F15"/>
    </sheetView>
  </sheetViews>
  <sheetFormatPr defaultRowHeight="15" x14ac:dyDescent="0.25"/>
  <sheetData>
    <row r="1" spans="1:6" x14ac:dyDescent="0.25">
      <c r="A1">
        <v>-0.13</v>
      </c>
      <c r="B1">
        <v>-0.15</v>
      </c>
      <c r="C1">
        <v>-0.11</v>
      </c>
      <c r="D1">
        <v>-0.08</v>
      </c>
      <c r="E1">
        <v>-0.11</v>
      </c>
      <c r="F1">
        <v>-0.12</v>
      </c>
    </row>
    <row r="2" spans="1:6" x14ac:dyDescent="0.25">
      <c r="A2">
        <v>-0.1</v>
      </c>
      <c r="B2">
        <v>-0.05</v>
      </c>
      <c r="C2">
        <v>-0.01</v>
      </c>
      <c r="D2">
        <v>-0.02</v>
      </c>
      <c r="E2">
        <v>0.01</v>
      </c>
      <c r="F2">
        <v>-0.09</v>
      </c>
    </row>
    <row r="3" spans="1:6" x14ac:dyDescent="0.25">
      <c r="A3">
        <f>AVERAGE(A1:A2)</f>
        <v>-0.115</v>
      </c>
      <c r="B3">
        <f t="shared" ref="B3:F3" si="0">AVERAGE(B1:B2)</f>
        <v>-0.1</v>
      </c>
      <c r="C3">
        <f t="shared" si="0"/>
        <v>-0.06</v>
      </c>
      <c r="D3">
        <f t="shared" si="0"/>
        <v>-0.05</v>
      </c>
      <c r="E3">
        <f t="shared" si="0"/>
        <v>-0.05</v>
      </c>
      <c r="F3">
        <f t="shared" si="0"/>
        <v>-0.105</v>
      </c>
    </row>
    <row r="5" spans="1:6" x14ac:dyDescent="0.25">
      <c r="A5">
        <v>-0.09</v>
      </c>
      <c r="B5">
        <v>-0.01</v>
      </c>
      <c r="C5">
        <v>0.02</v>
      </c>
      <c r="D5">
        <v>0</v>
      </c>
      <c r="E5">
        <v>0.04</v>
      </c>
      <c r="F5">
        <v>-0.06</v>
      </c>
    </row>
    <row r="6" spans="1:6" x14ac:dyDescent="0.25">
      <c r="A6">
        <v>0.09</v>
      </c>
      <c r="B6">
        <v>0.03</v>
      </c>
      <c r="C6">
        <v>0.06</v>
      </c>
      <c r="D6">
        <v>0.03</v>
      </c>
      <c r="E6">
        <v>0.04</v>
      </c>
      <c r="F6">
        <v>-0.05</v>
      </c>
    </row>
    <row r="7" spans="1:6" x14ac:dyDescent="0.25">
      <c r="A7">
        <f>AVERAGE(A5:A6)</f>
        <v>0</v>
      </c>
      <c r="B7">
        <f t="shared" ref="B7:F7" si="1">AVERAGE(B5:B6)</f>
        <v>9.9999999999999985E-3</v>
      </c>
      <c r="C7">
        <f t="shared" si="1"/>
        <v>0.04</v>
      </c>
      <c r="D7">
        <f t="shared" si="1"/>
        <v>1.4999999999999999E-2</v>
      </c>
      <c r="E7">
        <f t="shared" si="1"/>
        <v>0.04</v>
      </c>
      <c r="F7">
        <f t="shared" si="1"/>
        <v>-5.5E-2</v>
      </c>
    </row>
    <row r="9" spans="1:6" x14ac:dyDescent="0.25">
      <c r="A9">
        <v>0.12</v>
      </c>
      <c r="B9">
        <v>0.06</v>
      </c>
      <c r="C9">
        <v>7.0000000000000007E-2</v>
      </c>
      <c r="D9">
        <v>0.1</v>
      </c>
      <c r="E9">
        <v>0.15</v>
      </c>
      <c r="F9">
        <v>0.04</v>
      </c>
    </row>
    <row r="10" spans="1:6" x14ac:dyDescent="0.25">
      <c r="A10">
        <v>0.15</v>
      </c>
      <c r="B10">
        <v>0.1</v>
      </c>
      <c r="C10">
        <v>7.0000000000000007E-2</v>
      </c>
      <c r="D10">
        <v>0.19</v>
      </c>
      <c r="E10">
        <v>0.2</v>
      </c>
      <c r="F10">
        <v>0.09</v>
      </c>
    </row>
    <row r="11" spans="1:6" x14ac:dyDescent="0.25">
      <c r="A11">
        <f>AVERAGE(A9:A10)</f>
        <v>0.13500000000000001</v>
      </c>
      <c r="B11">
        <f t="shared" ref="B11:F11" si="2">AVERAGE(B9:B10)</f>
        <v>0.08</v>
      </c>
      <c r="C11">
        <f t="shared" si="2"/>
        <v>7.0000000000000007E-2</v>
      </c>
      <c r="D11">
        <f t="shared" si="2"/>
        <v>0.14500000000000002</v>
      </c>
      <c r="E11">
        <f t="shared" si="2"/>
        <v>0.17499999999999999</v>
      </c>
      <c r="F11">
        <f t="shared" si="2"/>
        <v>6.5000000000000002E-2</v>
      </c>
    </row>
    <row r="13" spans="1:6" x14ac:dyDescent="0.25">
      <c r="A13">
        <f>A11-A3</f>
        <v>0.25</v>
      </c>
      <c r="B13">
        <f t="shared" ref="B13:F13" si="3">B11-B3</f>
        <v>0.18</v>
      </c>
      <c r="C13">
        <f t="shared" si="3"/>
        <v>0.13</v>
      </c>
      <c r="D13">
        <f t="shared" si="3"/>
        <v>0.19500000000000001</v>
      </c>
      <c r="E13">
        <f t="shared" si="3"/>
        <v>0.22499999999999998</v>
      </c>
      <c r="F13">
        <f t="shared" si="3"/>
        <v>0.16999999999999998</v>
      </c>
    </row>
    <row r="15" spans="1:6" x14ac:dyDescent="0.25">
      <c r="A15">
        <f>100*(1+A13)</f>
        <v>125</v>
      </c>
      <c r="B15">
        <f>A15*(1+B13)</f>
        <v>147.5</v>
      </c>
      <c r="C15">
        <f t="shared" ref="C15:F15" si="4">B15*(1+C13)</f>
        <v>166.67499999999998</v>
      </c>
      <c r="D15">
        <f t="shared" si="4"/>
        <v>199.176625</v>
      </c>
      <c r="E15">
        <f t="shared" si="4"/>
        <v>243.99136562500001</v>
      </c>
      <c r="F15">
        <f t="shared" si="4"/>
        <v>285.46989778124998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9EB3-C632-40F0-8ED0-6541D024AB16}">
  <dimension ref="A1:F17"/>
  <sheetViews>
    <sheetView workbookViewId="0">
      <selection activeCell="A15" sqref="A15"/>
    </sheetView>
  </sheetViews>
  <sheetFormatPr defaultRowHeight="15" x14ac:dyDescent="0.25"/>
  <cols>
    <col min="1" max="1" width="10.140625" bestFit="1" customWidth="1"/>
  </cols>
  <sheetData>
    <row r="1" spans="1:6" x14ac:dyDescent="0.25">
      <c r="A1">
        <v>-0.01</v>
      </c>
      <c r="B1">
        <v>-0.01</v>
      </c>
      <c r="C1">
        <v>0.02</v>
      </c>
      <c r="D1">
        <v>0</v>
      </c>
      <c r="E1">
        <v>0.05</v>
      </c>
      <c r="F1">
        <v>0.04</v>
      </c>
    </row>
    <row r="2" spans="1:6" x14ac:dyDescent="0.25">
      <c r="A2">
        <v>0.02</v>
      </c>
      <c r="B2">
        <v>0.04</v>
      </c>
      <c r="C2">
        <v>-0.03</v>
      </c>
      <c r="D2">
        <v>-0.01</v>
      </c>
      <c r="E2">
        <v>0.04</v>
      </c>
      <c r="F2">
        <v>-0.05</v>
      </c>
    </row>
    <row r="3" spans="1:6" x14ac:dyDescent="0.25">
      <c r="A3">
        <v>0.04</v>
      </c>
      <c r="B3">
        <v>-0.03</v>
      </c>
      <c r="C3">
        <v>0</v>
      </c>
      <c r="D3">
        <v>-0.01</v>
      </c>
      <c r="E3">
        <v>-0.01</v>
      </c>
      <c r="F3">
        <v>-0.05</v>
      </c>
    </row>
    <row r="4" spans="1:6" x14ac:dyDescent="0.25">
      <c r="A4">
        <v>0.03</v>
      </c>
      <c r="B4">
        <v>0.05</v>
      </c>
      <c r="C4">
        <v>0.03</v>
      </c>
      <c r="D4">
        <v>-0.01</v>
      </c>
      <c r="E4">
        <v>-0.04</v>
      </c>
      <c r="F4">
        <v>0.03</v>
      </c>
    </row>
    <row r="5" spans="1:6" x14ac:dyDescent="0.25">
      <c r="A5">
        <v>0</v>
      </c>
      <c r="B5">
        <v>-0.01</v>
      </c>
      <c r="C5">
        <v>-0.02</v>
      </c>
      <c r="D5">
        <v>0</v>
      </c>
      <c r="E5">
        <v>0.02</v>
      </c>
      <c r="F5">
        <v>0</v>
      </c>
    </row>
    <row r="6" spans="1:6" x14ac:dyDescent="0.25">
      <c r="A6">
        <v>0.01</v>
      </c>
      <c r="B6">
        <v>-0.01</v>
      </c>
      <c r="C6">
        <v>0.01</v>
      </c>
      <c r="D6">
        <v>-0.04</v>
      </c>
      <c r="E6">
        <v>0.04</v>
      </c>
      <c r="F6">
        <v>-0.03</v>
      </c>
    </row>
    <row r="7" spans="1:6" x14ac:dyDescent="0.25">
      <c r="A7">
        <v>-0.01</v>
      </c>
      <c r="B7">
        <v>0.01</v>
      </c>
      <c r="C7">
        <v>0.02</v>
      </c>
      <c r="D7">
        <v>0.03</v>
      </c>
      <c r="E7">
        <v>0.03</v>
      </c>
      <c r="F7">
        <v>0.03</v>
      </c>
    </row>
    <row r="8" spans="1:6" x14ac:dyDescent="0.25">
      <c r="A8">
        <v>-0.02</v>
      </c>
      <c r="B8">
        <v>-0.01</v>
      </c>
      <c r="C8">
        <v>-0.03</v>
      </c>
      <c r="D8">
        <v>-0.03</v>
      </c>
      <c r="E8">
        <v>-0.04</v>
      </c>
      <c r="F8">
        <v>-0.02</v>
      </c>
    </row>
    <row r="9" spans="1:6" x14ac:dyDescent="0.25">
      <c r="A9">
        <v>0.02</v>
      </c>
      <c r="B9">
        <v>0.01</v>
      </c>
      <c r="C9">
        <v>0.03</v>
      </c>
      <c r="D9">
        <v>-0.04</v>
      </c>
      <c r="E9">
        <v>0.03</v>
      </c>
      <c r="F9">
        <v>-0.03</v>
      </c>
    </row>
    <row r="10" spans="1:6" x14ac:dyDescent="0.25">
      <c r="A10">
        <v>0.04</v>
      </c>
      <c r="B10">
        <v>0.04</v>
      </c>
      <c r="C10">
        <v>-0.03</v>
      </c>
      <c r="D10">
        <v>-0.05</v>
      </c>
      <c r="E10">
        <v>-0.04</v>
      </c>
      <c r="F10">
        <v>0.05</v>
      </c>
    </row>
    <row r="11" spans="1:6" x14ac:dyDescent="0.25">
      <c r="A11">
        <v>0.05</v>
      </c>
      <c r="B11">
        <v>0.04</v>
      </c>
      <c r="C11">
        <v>0</v>
      </c>
      <c r="D11">
        <v>0.02</v>
      </c>
      <c r="E11">
        <v>0.01</v>
      </c>
      <c r="F11">
        <v>0</v>
      </c>
    </row>
    <row r="12" spans="1:6" x14ac:dyDescent="0.25">
      <c r="A12">
        <v>0.01</v>
      </c>
      <c r="B12">
        <v>-0.02</v>
      </c>
      <c r="C12">
        <v>0.03</v>
      </c>
      <c r="D12">
        <v>0</v>
      </c>
      <c r="E12">
        <v>0.02</v>
      </c>
      <c r="F12">
        <v>-0.03</v>
      </c>
    </row>
    <row r="15" spans="1:6" x14ac:dyDescent="0.25">
      <c r="A15" cm="1">
        <f t="array" ref="A15:F15">LINEST(F1:F12,A1:E12)</f>
        <v>-0.35653546704105993</v>
      </c>
      <c r="B15">
        <v>0.21463872862118333</v>
      </c>
      <c r="C15">
        <v>0.33284332002249212</v>
      </c>
      <c r="D15">
        <v>0.68747331971102521</v>
      </c>
      <c r="E15">
        <v>-0.65569939900994023</v>
      </c>
      <c r="F15">
        <v>4.0467986359578514E-3</v>
      </c>
    </row>
    <row r="17" spans="1:1" x14ac:dyDescent="0.25">
      <c r="A17" s="3">
        <f>((1+F15)^12)-1</f>
        <v>4.9657151475592132E-2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topLeftCell="A71" workbookViewId="0">
      <selection activeCell="G87" sqref="G87"/>
    </sheetView>
  </sheetViews>
  <sheetFormatPr defaultRowHeight="15" x14ac:dyDescent="0.25"/>
  <cols>
    <col min="2" max="2" width="10.140625" bestFit="1" customWidth="1"/>
    <col min="5" max="5" width="10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1">
        <v>0</v>
      </c>
    </row>
    <row r="2" spans="1:10" x14ac:dyDescent="0.25">
      <c r="A2">
        <v>0</v>
      </c>
      <c r="D2">
        <f>SUM(B2:C2)</f>
        <v>0</v>
      </c>
      <c r="E2" s="1">
        <v>4.4999999999999998E-2</v>
      </c>
      <c r="F2" s="1">
        <f>E2+$J$1</f>
        <v>4.4999999999999998E-2</v>
      </c>
      <c r="G2">
        <f>1/((1+F2)^A2)</f>
        <v>1</v>
      </c>
      <c r="H2">
        <f>G2*D2</f>
        <v>0</v>
      </c>
    </row>
    <row r="3" spans="1:10" x14ac:dyDescent="0.25">
      <c r="A3">
        <v>1</v>
      </c>
      <c r="B3">
        <v>5</v>
      </c>
      <c r="D3">
        <f t="shared" ref="D3:D5" si="0">SUM(B3:C3)</f>
        <v>5</v>
      </c>
      <c r="E3" s="1">
        <v>4.4999999999999998E-2</v>
      </c>
      <c r="F3" s="1">
        <f t="shared" ref="F3:F5" si="1">E3+$J$1</f>
        <v>4.4999999999999998E-2</v>
      </c>
      <c r="G3">
        <f t="shared" ref="G3:G5" si="2">1/((1+F3)^A3)</f>
        <v>0.95693779904306231</v>
      </c>
      <c r="H3">
        <f t="shared" ref="H3:H5" si="3">G3*D3</f>
        <v>4.784688995215312</v>
      </c>
    </row>
    <row r="4" spans="1:10" x14ac:dyDescent="0.25">
      <c r="A4">
        <v>2</v>
      </c>
      <c r="B4">
        <v>5</v>
      </c>
      <c r="D4">
        <f t="shared" si="0"/>
        <v>5</v>
      </c>
      <c r="E4" s="1">
        <v>4.4999999999999998E-2</v>
      </c>
      <c r="F4" s="1">
        <f t="shared" si="1"/>
        <v>4.4999999999999998E-2</v>
      </c>
      <c r="G4">
        <f t="shared" si="2"/>
        <v>0.91572995123738021</v>
      </c>
      <c r="H4">
        <f t="shared" si="3"/>
        <v>4.5786497561869011</v>
      </c>
    </row>
    <row r="5" spans="1:10" x14ac:dyDescent="0.25">
      <c r="A5">
        <v>3</v>
      </c>
      <c r="B5">
        <v>5</v>
      </c>
      <c r="C5">
        <v>100</v>
      </c>
      <c r="D5">
        <f t="shared" si="0"/>
        <v>105</v>
      </c>
      <c r="E5" s="1">
        <v>4.4999999999999998E-2</v>
      </c>
      <c r="F5" s="1">
        <f t="shared" si="1"/>
        <v>4.4999999999999998E-2</v>
      </c>
      <c r="G5">
        <f t="shared" si="2"/>
        <v>0.87629660405490928</v>
      </c>
      <c r="H5">
        <f t="shared" si="3"/>
        <v>92.011143425765468</v>
      </c>
    </row>
    <row r="6" spans="1:10" x14ac:dyDescent="0.25">
      <c r="H6">
        <f>SUM(H2:H5)</f>
        <v>101.37448217716768</v>
      </c>
    </row>
    <row r="9" spans="1:10" x14ac:dyDescent="0.25">
      <c r="A9">
        <v>0</v>
      </c>
    </row>
    <row r="10" spans="1:10" x14ac:dyDescent="0.25">
      <c r="A10" s="2">
        <f>1/12</f>
        <v>8.3333333333333329E-2</v>
      </c>
      <c r="B10">
        <v>2</v>
      </c>
      <c r="D10">
        <f>SUM(B10,C10)</f>
        <v>2</v>
      </c>
      <c r="E10" s="4">
        <v>0.05</v>
      </c>
      <c r="F10">
        <f>1/(1+E10)^A10</f>
        <v>0.99594240735106698</v>
      </c>
      <c r="G10">
        <f>F10*D10</f>
        <v>1.991884814702134</v>
      </c>
    </row>
    <row r="11" spans="1:10" x14ac:dyDescent="0.25">
      <c r="A11">
        <f>2/12</f>
        <v>0.16666666666666666</v>
      </c>
      <c r="B11">
        <v>2</v>
      </c>
      <c r="D11">
        <f t="shared" ref="D11:D13" si="4">SUM(B11,C11)</f>
        <v>2</v>
      </c>
      <c r="E11" s="4">
        <v>0.05</v>
      </c>
      <c r="F11">
        <f t="shared" ref="F11:F13" si="5">1/(1+E11)^A11</f>
        <v>0.99190127876023881</v>
      </c>
      <c r="G11">
        <f t="shared" ref="G11:G13" si="6">F11*D11</f>
        <v>1.9838025575204776</v>
      </c>
    </row>
    <row r="12" spans="1:10" x14ac:dyDescent="0.25">
      <c r="A12">
        <f>3/12</f>
        <v>0.25</v>
      </c>
      <c r="B12">
        <v>2</v>
      </c>
      <c r="D12">
        <f t="shared" si="4"/>
        <v>2</v>
      </c>
      <c r="E12" s="4">
        <v>0.05</v>
      </c>
      <c r="F12">
        <f t="shared" si="5"/>
        <v>0.98787654742307407</v>
      </c>
      <c r="G12">
        <f t="shared" si="6"/>
        <v>1.9757530948461481</v>
      </c>
    </row>
    <row r="13" spans="1:10" x14ac:dyDescent="0.25">
      <c r="A13">
        <f>4/12</f>
        <v>0.33333333333333331</v>
      </c>
      <c r="B13">
        <v>2</v>
      </c>
      <c r="C13">
        <v>1000</v>
      </c>
      <c r="D13">
        <f t="shared" si="4"/>
        <v>1002</v>
      </c>
      <c r="E13" s="4">
        <v>0.05</v>
      </c>
      <c r="F13">
        <f t="shared" si="5"/>
        <v>0.98386814680619694</v>
      </c>
      <c r="G13">
        <f t="shared" si="6"/>
        <v>985.83588309980928</v>
      </c>
    </row>
    <row r="14" spans="1:10" x14ac:dyDescent="0.25">
      <c r="G14">
        <f>SUM(G10:G13)</f>
        <v>991.78732356687806</v>
      </c>
    </row>
    <row r="15" spans="1:10" x14ac:dyDescent="0.25">
      <c r="A15" s="2"/>
    </row>
    <row r="19" spans="1:8" x14ac:dyDescent="0.25">
      <c r="A19">
        <v>0</v>
      </c>
    </row>
    <row r="20" spans="1:8" x14ac:dyDescent="0.25">
      <c r="A20">
        <v>1</v>
      </c>
      <c r="B20">
        <v>3</v>
      </c>
      <c r="D20">
        <f>SUM(B20:C20)</f>
        <v>3</v>
      </c>
      <c r="E20" s="5">
        <v>4.2000000000000003E-2</v>
      </c>
      <c r="F20">
        <f>1/(1+E20)^A20</f>
        <v>0.95969289827255277</v>
      </c>
      <c r="G20">
        <f>F20*D20</f>
        <v>2.8790786948176583</v>
      </c>
      <c r="H20">
        <f>A20*G20/$G$25</f>
        <v>3.0406048755329651E-2</v>
      </c>
    </row>
    <row r="21" spans="1:8" x14ac:dyDescent="0.25">
      <c r="A21">
        <v>2</v>
      </c>
      <c r="B21">
        <v>3</v>
      </c>
      <c r="D21">
        <f t="shared" ref="D21:D24" si="7">SUM(B21:C21)</f>
        <v>3</v>
      </c>
      <c r="E21" s="5">
        <v>4.2000000000000003E-2</v>
      </c>
      <c r="F21">
        <f t="shared" ref="F21:F24" si="8">1/(1+E21)^A21</f>
        <v>0.92101045899477219</v>
      </c>
      <c r="G21">
        <f t="shared" ref="G21:G24" si="9">F21*D21</f>
        <v>2.7630313769843164</v>
      </c>
      <c r="H21">
        <f t="shared" ref="H21:H24" si="10">A21*G21/$G$25</f>
        <v>5.8360938110037709E-2</v>
      </c>
    </row>
    <row r="22" spans="1:8" x14ac:dyDescent="0.25">
      <c r="A22">
        <v>3</v>
      </c>
      <c r="B22">
        <v>3</v>
      </c>
      <c r="D22">
        <f t="shared" si="7"/>
        <v>3</v>
      </c>
      <c r="E22" s="5">
        <v>4.2000000000000003E-2</v>
      </c>
      <c r="F22">
        <f t="shared" si="8"/>
        <v>0.88388719673202698</v>
      </c>
      <c r="G22">
        <f t="shared" si="9"/>
        <v>2.6516615901960812</v>
      </c>
      <c r="H22">
        <f t="shared" si="10"/>
        <v>8.4012866761090751E-2</v>
      </c>
    </row>
    <row r="23" spans="1:8" x14ac:dyDescent="0.25">
      <c r="A23">
        <v>4</v>
      </c>
      <c r="B23">
        <v>3</v>
      </c>
      <c r="D23">
        <f t="shared" si="7"/>
        <v>3</v>
      </c>
      <c r="E23" s="5">
        <v>4.2000000000000003E-2</v>
      </c>
      <c r="F23">
        <f t="shared" si="8"/>
        <v>0.84826026557776091</v>
      </c>
      <c r="G23">
        <f t="shared" si="9"/>
        <v>2.5447807967332827</v>
      </c>
      <c r="H23">
        <f t="shared" si="10"/>
        <v>0.10750206879218265</v>
      </c>
    </row>
    <row r="24" spans="1:8" x14ac:dyDescent="0.25">
      <c r="A24">
        <v>5</v>
      </c>
      <c r="B24">
        <v>3</v>
      </c>
      <c r="C24">
        <v>100</v>
      </c>
      <c r="D24">
        <f t="shared" si="7"/>
        <v>103</v>
      </c>
      <c r="E24" s="5">
        <v>4.2000000000000003E-2</v>
      </c>
      <c r="F24">
        <f t="shared" si="8"/>
        <v>0.81406935276176673</v>
      </c>
      <c r="G24">
        <f t="shared" si="9"/>
        <v>83.849143334461971</v>
      </c>
      <c r="H24">
        <f t="shared" si="10"/>
        <v>4.4276683803562111</v>
      </c>
    </row>
    <row r="25" spans="1:8" x14ac:dyDescent="0.25">
      <c r="B25" s="3"/>
      <c r="G25">
        <f>SUM(G20:G24)</f>
        <v>94.687695793193313</v>
      </c>
      <c r="H25">
        <f>SUM(H20:H24)</f>
        <v>4.7079503027748517</v>
      </c>
    </row>
    <row r="28" spans="1:8" x14ac:dyDescent="0.25">
      <c r="A28">
        <v>0</v>
      </c>
    </row>
    <row r="29" spans="1:8" x14ac:dyDescent="0.25">
      <c r="A29">
        <v>0.5</v>
      </c>
      <c r="B29">
        <v>20</v>
      </c>
      <c r="C29">
        <v>250</v>
      </c>
      <c r="D29">
        <f>SUM(B29:C29)</f>
        <v>270</v>
      </c>
      <c r="E29" s="5">
        <v>5.5E-2</v>
      </c>
      <c r="F29">
        <f>1/(1+E29)^A29</f>
        <v>0.97358476702247099</v>
      </c>
      <c r="G29">
        <f>D29*F29</f>
        <v>262.86788709606719</v>
      </c>
      <c r="H29">
        <f>A29*G29/$G$33</f>
        <v>0.12985535218264241</v>
      </c>
    </row>
    <row r="30" spans="1:8" x14ac:dyDescent="0.25">
      <c r="A30">
        <v>1.5</v>
      </c>
      <c r="B30">
        <v>60</v>
      </c>
      <c r="C30">
        <v>250</v>
      </c>
      <c r="D30">
        <f t="shared" ref="D30:D32" si="11">SUM(B30:C30)</f>
        <v>310</v>
      </c>
      <c r="E30" s="5">
        <v>5.5E-2</v>
      </c>
      <c r="F30">
        <f t="shared" ref="F30:F32" si="12">1/(1+E30)^A30</f>
        <v>0.92282916305447504</v>
      </c>
      <c r="G30">
        <f t="shared" ref="G30:G32" si="13">D30*F30</f>
        <v>286.07704054688725</v>
      </c>
      <c r="H30">
        <f t="shared" ref="H30:H32" si="14">A30*G30/$G$33</f>
        <v>0.423961655361971</v>
      </c>
    </row>
    <row r="31" spans="1:8" x14ac:dyDescent="0.25">
      <c r="A31">
        <v>3.5</v>
      </c>
      <c r="B31">
        <v>90</v>
      </c>
      <c r="C31">
        <v>250</v>
      </c>
      <c r="D31">
        <f t="shared" si="11"/>
        <v>340</v>
      </c>
      <c r="E31" s="5">
        <v>5.5E-2</v>
      </c>
      <c r="F31">
        <f t="shared" si="12"/>
        <v>0.82911809083755983</v>
      </c>
      <c r="G31">
        <f t="shared" si="13"/>
        <v>281.90015088477037</v>
      </c>
      <c r="H31">
        <f t="shared" si="14"/>
        <v>0.97480033200376004</v>
      </c>
    </row>
    <row r="32" spans="1:8" x14ac:dyDescent="0.25">
      <c r="A32">
        <v>6</v>
      </c>
      <c r="B32">
        <v>0</v>
      </c>
      <c r="C32">
        <v>250</v>
      </c>
      <c r="D32">
        <f t="shared" si="11"/>
        <v>250</v>
      </c>
      <c r="E32" s="5">
        <v>5.5E-2</v>
      </c>
      <c r="F32">
        <f t="shared" si="12"/>
        <v>0.72524583302459655</v>
      </c>
      <c r="G32">
        <f t="shared" si="13"/>
        <v>181.31145825614914</v>
      </c>
      <c r="H32">
        <f t="shared" si="14"/>
        <v>1.0748028689253903</v>
      </c>
    </row>
    <row r="33" spans="2:9" x14ac:dyDescent="0.25">
      <c r="G33">
        <f>SUM(G29:G32)</f>
        <v>1012.1565367838739</v>
      </c>
      <c r="H33">
        <f>SUM(H29:H32)</f>
        <v>2.6034202084737639</v>
      </c>
      <c r="I33">
        <f>H33/(1+E29)</f>
        <v>2.4676968800699184</v>
      </c>
    </row>
    <row r="36" spans="2:9" x14ac:dyDescent="0.25">
      <c r="B36" t="s">
        <v>25</v>
      </c>
    </row>
    <row r="38" spans="2:9" x14ac:dyDescent="0.25">
      <c r="B38" t="s">
        <v>32</v>
      </c>
      <c r="C38">
        <v>95.5</v>
      </c>
    </row>
    <row r="39" spans="2:9" x14ac:dyDescent="0.25">
      <c r="B39" t="s">
        <v>31</v>
      </c>
      <c r="C39">
        <v>2.7770000000000001</v>
      </c>
    </row>
    <row r="40" spans="2:9" x14ac:dyDescent="0.25">
      <c r="B40" t="s">
        <v>26</v>
      </c>
      <c r="C40">
        <v>9.2989999999999995</v>
      </c>
    </row>
    <row r="41" spans="2:9" x14ac:dyDescent="0.25">
      <c r="B41" t="s">
        <v>27</v>
      </c>
      <c r="C41" s="5">
        <v>5.5E-2</v>
      </c>
    </row>
    <row r="42" spans="2:9" x14ac:dyDescent="0.25">
      <c r="B42" t="s">
        <v>28</v>
      </c>
      <c r="C42" s="5">
        <v>6.5000000000000002E-2</v>
      </c>
    </row>
    <row r="43" spans="2:9" x14ac:dyDescent="0.25">
      <c r="B43" t="s">
        <v>30</v>
      </c>
      <c r="C43">
        <f>C41-C42</f>
        <v>-1.0000000000000002E-2</v>
      </c>
    </row>
    <row r="44" spans="2:9" x14ac:dyDescent="0.25">
      <c r="B44" t="s">
        <v>29</v>
      </c>
      <c r="C44">
        <f>-C39*C43*C38+0.5*C40*C43*C43*C38</f>
        <v>2.6964377250000005</v>
      </c>
    </row>
    <row r="46" spans="2:9" x14ac:dyDescent="0.25">
      <c r="B46" t="s">
        <v>33</v>
      </c>
      <c r="C46" s="6">
        <f>C44/C38</f>
        <v>2.8234950000000005E-2</v>
      </c>
    </row>
    <row r="49" spans="1:6" x14ac:dyDescent="0.25">
      <c r="A49">
        <v>0.5</v>
      </c>
      <c r="B49">
        <v>2</v>
      </c>
      <c r="C49" s="5">
        <v>2.1999999999999999E-2</v>
      </c>
      <c r="D49" s="7">
        <f>C49+0.6%</f>
        <v>2.7999999999999997E-2</v>
      </c>
      <c r="E49">
        <f>1/(1+D49)^A49</f>
        <v>0.9862873039405895</v>
      </c>
      <c r="F49">
        <f>B49*E49</f>
        <v>1.972574607881179</v>
      </c>
    </row>
    <row r="50" spans="1:6" x14ac:dyDescent="0.25">
      <c r="A50">
        <v>1</v>
      </c>
      <c r="B50">
        <v>2</v>
      </c>
      <c r="C50" s="5">
        <v>2.3E-2</v>
      </c>
      <c r="D50" s="7">
        <f t="shared" ref="D50:D54" si="15">C50+0.6%</f>
        <v>2.8999999999999998E-2</v>
      </c>
      <c r="E50">
        <f t="shared" ref="E50:E54" si="16">1/(1+D50)^A50</f>
        <v>0.97181729834791064</v>
      </c>
      <c r="F50">
        <f t="shared" ref="F50:F54" si="17">B50*E50</f>
        <v>1.9436345966958213</v>
      </c>
    </row>
    <row r="51" spans="1:6" x14ac:dyDescent="0.25">
      <c r="A51">
        <v>1.5</v>
      </c>
      <c r="B51">
        <v>2</v>
      </c>
      <c r="C51" s="5">
        <v>2.4E-2</v>
      </c>
      <c r="D51" s="7">
        <f t="shared" si="15"/>
        <v>0.03</v>
      </c>
      <c r="E51">
        <f t="shared" si="16"/>
        <v>0.9566303671497991</v>
      </c>
      <c r="F51">
        <f t="shared" si="17"/>
        <v>1.9132607342995982</v>
      </c>
    </row>
    <row r="52" spans="1:6" x14ac:dyDescent="0.25">
      <c r="A52">
        <v>2</v>
      </c>
      <c r="B52">
        <v>2</v>
      </c>
      <c r="C52" s="5">
        <v>2.5000000000000001E-2</v>
      </c>
      <c r="D52" s="7">
        <f t="shared" si="15"/>
        <v>3.1E-2</v>
      </c>
      <c r="E52">
        <f t="shared" si="16"/>
        <v>0.94076828782993938</v>
      </c>
      <c r="F52">
        <f t="shared" si="17"/>
        <v>1.8815365756598788</v>
      </c>
    </row>
    <row r="53" spans="1:6" x14ac:dyDescent="0.25">
      <c r="A53">
        <v>2.5</v>
      </c>
      <c r="B53">
        <v>2</v>
      </c>
      <c r="C53" s="5">
        <v>2.5999999999999999E-2</v>
      </c>
      <c r="D53" s="7">
        <f t="shared" si="15"/>
        <v>3.2000000000000001E-2</v>
      </c>
      <c r="E53">
        <f t="shared" si="16"/>
        <v>0.92427404330578189</v>
      </c>
      <c r="F53">
        <f t="shared" si="17"/>
        <v>1.8485480866115638</v>
      </c>
    </row>
    <row r="54" spans="1:6" x14ac:dyDescent="0.25">
      <c r="A54">
        <v>3</v>
      </c>
      <c r="B54">
        <v>102</v>
      </c>
      <c r="C54" s="5">
        <v>2.7E-2</v>
      </c>
      <c r="D54" s="7">
        <f t="shared" si="15"/>
        <v>3.3000000000000002E-2</v>
      </c>
      <c r="E54">
        <f t="shared" si="16"/>
        <v>0.90719163165941952</v>
      </c>
      <c r="F54">
        <f t="shared" si="17"/>
        <v>92.533546429260795</v>
      </c>
    </row>
    <row r="55" spans="1:6" x14ac:dyDescent="0.25">
      <c r="F55">
        <f>SUM(F49:F54)</f>
        <v>102.09310103040883</v>
      </c>
    </row>
    <row r="57" spans="1:6" x14ac:dyDescent="0.25">
      <c r="A57">
        <v>0.5</v>
      </c>
      <c r="B57">
        <v>2</v>
      </c>
      <c r="C57" s="5">
        <v>2.1999999999999999E-2</v>
      </c>
      <c r="D57" s="7">
        <f>C57+2.6%</f>
        <v>4.8000000000000001E-2</v>
      </c>
      <c r="E57">
        <f>1/(1+D57)^A57</f>
        <v>0.97683083145570448</v>
      </c>
      <c r="F57">
        <f>B57*E57</f>
        <v>1.953661662911409</v>
      </c>
    </row>
    <row r="58" spans="1:6" x14ac:dyDescent="0.25">
      <c r="A58">
        <v>1</v>
      </c>
      <c r="B58">
        <v>2</v>
      </c>
      <c r="C58" s="5">
        <v>2.3E-2</v>
      </c>
      <c r="D58" s="7">
        <f t="shared" ref="D58:D60" si="18">C58+2.6%</f>
        <v>4.9000000000000002E-2</v>
      </c>
      <c r="E58">
        <f t="shared" ref="E58:E60" si="19">1/(1+D58)^A58</f>
        <v>0.95328884652049573</v>
      </c>
      <c r="F58">
        <f t="shared" ref="F58:F60" si="20">B58*E58</f>
        <v>1.9065776930409915</v>
      </c>
    </row>
    <row r="59" spans="1:6" x14ac:dyDescent="0.25">
      <c r="A59">
        <v>1.5</v>
      </c>
      <c r="B59">
        <v>2</v>
      </c>
      <c r="C59" s="5">
        <v>2.4E-2</v>
      </c>
      <c r="D59" s="7">
        <f t="shared" si="18"/>
        <v>0.05</v>
      </c>
      <c r="E59">
        <f t="shared" si="19"/>
        <v>0.92942864090336497</v>
      </c>
      <c r="F59">
        <f t="shared" si="20"/>
        <v>1.8588572818067299</v>
      </c>
    </row>
    <row r="60" spans="1:6" x14ac:dyDescent="0.25">
      <c r="A60">
        <v>2</v>
      </c>
      <c r="B60">
        <v>102</v>
      </c>
      <c r="C60" s="5">
        <v>2.5000000000000001E-2</v>
      </c>
      <c r="D60" s="7">
        <f t="shared" si="18"/>
        <v>5.1000000000000004E-2</v>
      </c>
      <c r="E60">
        <f t="shared" si="19"/>
        <v>0.90530426823803356</v>
      </c>
      <c r="F60">
        <f t="shared" si="20"/>
        <v>92.34103536027942</v>
      </c>
    </row>
    <row r="61" spans="1:6" x14ac:dyDescent="0.25">
      <c r="F61">
        <f>SUM(F57:F60)</f>
        <v>98.060131998038557</v>
      </c>
    </row>
    <row r="63" spans="1:6" x14ac:dyDescent="0.25">
      <c r="A63">
        <f>(F55-F61)/F55</f>
        <v>3.9502855645153136E-2</v>
      </c>
      <c r="B63">
        <f>A63*173</f>
        <v>6.8339940266114922</v>
      </c>
    </row>
    <row r="67" spans="1:7" x14ac:dyDescent="0.25">
      <c r="A67">
        <v>1</v>
      </c>
      <c r="B67">
        <v>4</v>
      </c>
      <c r="C67" s="5">
        <v>1.2E-2</v>
      </c>
      <c r="D67">
        <f>1/(1+C67)^A67</f>
        <v>0.98814229249011853</v>
      </c>
      <c r="E67">
        <f>D67*B67</f>
        <v>3.9525691699604741</v>
      </c>
    </row>
    <row r="68" spans="1:7" x14ac:dyDescent="0.25">
      <c r="A68">
        <v>2</v>
      </c>
      <c r="B68">
        <v>4</v>
      </c>
      <c r="C68" s="5">
        <v>1.7000000000000001E-2</v>
      </c>
      <c r="D68">
        <f t="shared" ref="D68:D69" si="21">1/(1+C68)^A68</f>
        <v>0.9668477572516001</v>
      </c>
      <c r="E68">
        <f t="shared" ref="E68:E69" si="22">D68*B68</f>
        <v>3.8673910290064004</v>
      </c>
    </row>
    <row r="69" spans="1:7" x14ac:dyDescent="0.25">
      <c r="A69">
        <v>2.5</v>
      </c>
      <c r="B69">
        <v>102</v>
      </c>
      <c r="C69" s="5">
        <v>1.7999999999999999E-2</v>
      </c>
      <c r="D69">
        <f t="shared" si="21"/>
        <v>0.95638015306690838</v>
      </c>
      <c r="E69">
        <f t="shared" si="22"/>
        <v>97.550775612824651</v>
      </c>
    </row>
    <row r="70" spans="1:7" x14ac:dyDescent="0.25">
      <c r="E70">
        <f>SUM(E67:E69)</f>
        <v>105.37073581179152</v>
      </c>
    </row>
    <row r="73" spans="1:7" x14ac:dyDescent="0.25">
      <c r="A73">
        <f>(1+2.1%)^3.5</f>
        <v>1.0754496865048053</v>
      </c>
    </row>
    <row r="74" spans="1:7" x14ac:dyDescent="0.25">
      <c r="A74">
        <f>(1+1.2%)^1</f>
        <v>1.012</v>
      </c>
    </row>
    <row r="75" spans="1:7" x14ac:dyDescent="0.25">
      <c r="A75">
        <f>(A73/A74)^(1/2.5)</f>
        <v>1.0246223713467593</v>
      </c>
      <c r="B75" s="6">
        <f>A75-1</f>
        <v>2.4622371346759264E-2</v>
      </c>
    </row>
    <row r="78" spans="1:7" x14ac:dyDescent="0.25">
      <c r="A78">
        <v>0.5</v>
      </c>
      <c r="B78">
        <v>3</v>
      </c>
      <c r="C78" s="8">
        <v>0.02</v>
      </c>
      <c r="D78" s="7">
        <f>C78+0.6%</f>
        <v>2.6000000000000002E-2</v>
      </c>
      <c r="E78">
        <f>1/(1+D78)^A78</f>
        <v>0.98724812959848718</v>
      </c>
      <c r="F78">
        <f>E78*B78</f>
        <v>2.9617443887954615</v>
      </c>
      <c r="G78">
        <f>A78*F78/$E$82</f>
        <v>1.4196409215402757E-2</v>
      </c>
    </row>
    <row r="79" spans="1:7" x14ac:dyDescent="0.25">
      <c r="A79">
        <v>1</v>
      </c>
      <c r="B79">
        <v>3</v>
      </c>
      <c r="C79" s="5">
        <v>2.5000000000000001E-2</v>
      </c>
      <c r="D79" s="7">
        <f t="shared" ref="D79:D81" si="23">C79+0.6%</f>
        <v>3.1E-2</v>
      </c>
      <c r="E79">
        <f t="shared" ref="E79:E81" si="24">1/(1+D79)^A79</f>
        <v>0.96993210475266745</v>
      </c>
      <c r="F79">
        <f t="shared" ref="F79:F81" si="25">E79*B79</f>
        <v>2.9097963142580023</v>
      </c>
      <c r="G79">
        <f t="shared" ref="G79:G81" si="26">A79*F79/$E$82</f>
        <v>2.7894817234702329E-2</v>
      </c>
    </row>
    <row r="80" spans="1:7" x14ac:dyDescent="0.25">
      <c r="A80">
        <v>1.5</v>
      </c>
      <c r="B80">
        <v>3</v>
      </c>
      <c r="C80" s="8">
        <v>0.03</v>
      </c>
      <c r="D80" s="7">
        <f t="shared" si="23"/>
        <v>3.5999999999999997E-2</v>
      </c>
      <c r="E80">
        <f t="shared" si="24"/>
        <v>0.94833191589268728</v>
      </c>
      <c r="F80">
        <f t="shared" si="25"/>
        <v>2.8449957476780616</v>
      </c>
      <c r="G80">
        <f t="shared" si="26"/>
        <v>4.091040807192467E-2</v>
      </c>
    </row>
    <row r="81" spans="1:7" x14ac:dyDescent="0.25">
      <c r="A81">
        <v>2</v>
      </c>
      <c r="B81">
        <v>103</v>
      </c>
      <c r="C81" s="5">
        <v>3.2000000000000001E-2</v>
      </c>
      <c r="D81" s="7">
        <f t="shared" si="23"/>
        <v>3.7999999999999999E-2</v>
      </c>
      <c r="E81">
        <f t="shared" si="24"/>
        <v>0.9281224824677663</v>
      </c>
      <c r="F81">
        <f t="shared" si="25"/>
        <v>95.596615694179931</v>
      </c>
      <c r="G81">
        <f t="shared" si="26"/>
        <v>1.8328775179064181</v>
      </c>
    </row>
    <row r="82" spans="1:7" x14ac:dyDescent="0.25">
      <c r="E82">
        <f>SUMPRODUCT(B78:B81,E78:E81)</f>
        <v>104.31315214491146</v>
      </c>
      <c r="G82">
        <f>SUM(G78:G81)</f>
        <v>1.9158791524284478</v>
      </c>
    </row>
    <row r="83" spans="1:7" x14ac:dyDescent="0.25">
      <c r="G83">
        <f>G82/(1+ 3.776625%)</f>
        <v>1.846156735612136</v>
      </c>
    </row>
    <row r="85" spans="1:7" x14ac:dyDescent="0.25">
      <c r="G85">
        <f>0.002*G83*E82</f>
        <v>0.38515685689052365</v>
      </c>
    </row>
    <row r="87" spans="1:7" x14ac:dyDescent="0.25">
      <c r="G87" s="6">
        <f>G85/E82</f>
        <v>3.6923134712242723E-3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BE51-196F-4011-A268-54F18B320F00}">
  <dimension ref="A1:J25"/>
  <sheetViews>
    <sheetView workbookViewId="0">
      <selection activeCell="A28" sqref="A28"/>
    </sheetView>
  </sheetViews>
  <sheetFormatPr defaultRowHeight="15" x14ac:dyDescent="0.25"/>
  <cols>
    <col min="2" max="2" width="10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1">
        <v>0</v>
      </c>
    </row>
    <row r="2" spans="1:10" x14ac:dyDescent="0.25">
      <c r="A2">
        <v>0</v>
      </c>
      <c r="D2">
        <f>SUM(B2:C2)</f>
        <v>0</v>
      </c>
      <c r="E2" s="1">
        <v>4.4999999999999998E-2</v>
      </c>
      <c r="F2" s="1">
        <f>E2+$J$1</f>
        <v>4.4999999999999998E-2</v>
      </c>
      <c r="G2">
        <f>1/((1+F2)^A2)</f>
        <v>1</v>
      </c>
      <c r="H2">
        <f>G2*D2</f>
        <v>0</v>
      </c>
    </row>
    <row r="3" spans="1:10" x14ac:dyDescent="0.25">
      <c r="A3">
        <v>1</v>
      </c>
      <c r="B3">
        <v>5</v>
      </c>
      <c r="D3">
        <f t="shared" ref="D3:D5" si="0">SUM(B3:C3)</f>
        <v>5</v>
      </c>
      <c r="E3" s="1">
        <v>4.4999999999999998E-2</v>
      </c>
      <c r="F3" s="1">
        <f t="shared" ref="F3:F5" si="1">E3+$J$1</f>
        <v>4.4999999999999998E-2</v>
      </c>
      <c r="G3">
        <f t="shared" ref="G3:G5" si="2">1/((1+F3)^A3)</f>
        <v>0.95693779904306231</v>
      </c>
      <c r="H3">
        <f t="shared" ref="H3:H5" si="3">G3*D3</f>
        <v>4.784688995215312</v>
      </c>
    </row>
    <row r="4" spans="1:10" x14ac:dyDescent="0.25">
      <c r="A4">
        <v>2</v>
      </c>
      <c r="B4">
        <v>5</v>
      </c>
      <c r="D4">
        <f t="shared" si="0"/>
        <v>5</v>
      </c>
      <c r="E4" s="1">
        <v>4.4999999999999998E-2</v>
      </c>
      <c r="F4" s="1">
        <f t="shared" si="1"/>
        <v>4.4999999999999998E-2</v>
      </c>
      <c r="G4">
        <f t="shared" si="2"/>
        <v>0.91572995123738021</v>
      </c>
      <c r="H4">
        <f t="shared" si="3"/>
        <v>4.5786497561869011</v>
      </c>
    </row>
    <row r="5" spans="1:10" x14ac:dyDescent="0.25">
      <c r="A5">
        <v>3</v>
      </c>
      <c r="B5">
        <v>5</v>
      </c>
      <c r="C5">
        <v>100</v>
      </c>
      <c r="D5">
        <f t="shared" si="0"/>
        <v>105</v>
      </c>
      <c r="E5" s="1">
        <v>4.4999999999999998E-2</v>
      </c>
      <c r="F5" s="1">
        <f t="shared" si="1"/>
        <v>4.4999999999999998E-2</v>
      </c>
      <c r="G5">
        <f t="shared" si="2"/>
        <v>0.87629660405490928</v>
      </c>
      <c r="H5">
        <f t="shared" si="3"/>
        <v>92.011143425765468</v>
      </c>
    </row>
    <row r="6" spans="1:10" x14ac:dyDescent="0.25">
      <c r="H6">
        <f>SUM(H2:H5)</f>
        <v>101.37448217716768</v>
      </c>
    </row>
    <row r="11" spans="1:10" x14ac:dyDescent="0.25">
      <c r="A11" t="s">
        <v>8</v>
      </c>
    </row>
    <row r="12" spans="1:10" x14ac:dyDescent="0.25">
      <c r="A12">
        <f>A3*(H3/H6)</f>
        <v>4.7198159659679675E-2</v>
      </c>
    </row>
    <row r="13" spans="1:10" x14ac:dyDescent="0.25">
      <c r="A13">
        <f>A4*(H4/H6)</f>
        <v>9.0331406047233831E-2</v>
      </c>
    </row>
    <row r="14" spans="1:10" x14ac:dyDescent="0.25">
      <c r="A14">
        <f>A5*(H5/H6)</f>
        <v>2.7229084119501104</v>
      </c>
    </row>
    <row r="15" spans="1:10" x14ac:dyDescent="0.25">
      <c r="A15" s="2">
        <f>SUM(A12:A14)</f>
        <v>2.8604379776570239</v>
      </c>
      <c r="B15">
        <f>A15/(1.045)</f>
        <v>2.7372612226383004</v>
      </c>
    </row>
    <row r="18" spans="1:2" x14ac:dyDescent="0.25">
      <c r="A18">
        <v>0</v>
      </c>
      <c r="B18">
        <v>-110</v>
      </c>
    </row>
    <row r="19" spans="1:2" x14ac:dyDescent="0.25">
      <c r="A19">
        <v>1</v>
      </c>
      <c r="B19">
        <v>1</v>
      </c>
    </row>
    <row r="20" spans="1:2" x14ac:dyDescent="0.25">
      <c r="A20">
        <v>2</v>
      </c>
      <c r="B20">
        <v>2</v>
      </c>
    </row>
    <row r="21" spans="1:2" x14ac:dyDescent="0.25">
      <c r="A21">
        <v>3</v>
      </c>
      <c r="B21">
        <v>3</v>
      </c>
    </row>
    <row r="22" spans="1:2" x14ac:dyDescent="0.25">
      <c r="A22">
        <v>4</v>
      </c>
      <c r="B22">
        <v>4</v>
      </c>
    </row>
    <row r="23" spans="1:2" x14ac:dyDescent="0.25">
      <c r="A23">
        <v>5</v>
      </c>
      <c r="B23">
        <v>3</v>
      </c>
    </row>
    <row r="24" spans="1:2" x14ac:dyDescent="0.25">
      <c r="A24">
        <v>6</v>
      </c>
      <c r="B24">
        <v>102</v>
      </c>
    </row>
    <row r="25" spans="1:2" x14ac:dyDescent="0.25">
      <c r="B25" s="3">
        <f>IRR(B18:B24)</f>
        <v>7.8154810465760338E-3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B6848-5C40-4E8B-B3BA-2B9BB5B4FA35}">
  <dimension ref="A1:F12"/>
  <sheetViews>
    <sheetView workbookViewId="0">
      <selection activeCell="D1" sqref="D1"/>
    </sheetView>
  </sheetViews>
  <sheetFormatPr defaultRowHeight="15" x14ac:dyDescent="0.25"/>
  <sheetData>
    <row r="1" spans="1:6" x14ac:dyDescent="0.25">
      <c r="A1">
        <v>0.5</v>
      </c>
      <c r="B1">
        <v>99.750900000000001</v>
      </c>
      <c r="C1">
        <f>((100/B1)^(1/A1))-1</f>
        <v>5.0006772635193819E-3</v>
      </c>
      <c r="D1">
        <f>1/(1+C1+0.0125)^A1</f>
        <v>0.99136286426015274</v>
      </c>
      <c r="E1">
        <v>2</v>
      </c>
      <c r="F1">
        <f>D1*E1</f>
        <v>1.9827257285203055</v>
      </c>
    </row>
    <row r="2" spans="1:6" x14ac:dyDescent="0.25">
      <c r="A2">
        <v>1</v>
      </c>
      <c r="B2">
        <v>98.7654</v>
      </c>
      <c r="C2">
        <f>((100/B2)^(1/A2))-1</f>
        <v>1.2500329062606896E-2</v>
      </c>
      <c r="D2">
        <f>1/(1+C2+0.0125)^A2</f>
        <v>0.97560944289113505</v>
      </c>
      <c r="E2">
        <v>2</v>
      </c>
      <c r="F2">
        <f t="shared" ref="F2:F4" si="0">D2*E2</f>
        <v>1.9512188857822701</v>
      </c>
    </row>
    <row r="3" spans="1:6" x14ac:dyDescent="0.25">
      <c r="A3">
        <v>1.5</v>
      </c>
      <c r="B3">
        <v>97.791499999999999</v>
      </c>
      <c r="C3">
        <f>((100/B3)^(1/A3))-1</f>
        <v>1.4999733426664275E-2</v>
      </c>
      <c r="D3">
        <f>1/(1+C3+0.0125)^A3</f>
        <v>0.96012421532771541</v>
      </c>
      <c r="E3">
        <v>2</v>
      </c>
      <c r="F3">
        <f t="shared" si="0"/>
        <v>1.9202484306554308</v>
      </c>
    </row>
    <row r="4" spans="1:6" x14ac:dyDescent="0.25">
      <c r="A4">
        <v>2</v>
      </c>
      <c r="B4">
        <v>96.116900000000001</v>
      </c>
      <c r="C4">
        <f>((100/B4)^(1/A4))-1</f>
        <v>1.9999883924019857E-2</v>
      </c>
      <c r="D4">
        <f>1/(1+C4+0.0125)^A4</f>
        <v>0.938037017131649</v>
      </c>
      <c r="E4">
        <v>102</v>
      </c>
      <c r="F4">
        <f t="shared" si="0"/>
        <v>95.679775747428195</v>
      </c>
    </row>
    <row r="5" spans="1:6" x14ac:dyDescent="0.25">
      <c r="D5">
        <f>1/(1+C5+0.0125)^A5</f>
        <v>1</v>
      </c>
      <c r="F5">
        <f>SUM(F1:F4)</f>
        <v>101.5339687923862</v>
      </c>
    </row>
    <row r="7" spans="1:6" x14ac:dyDescent="0.25">
      <c r="A7">
        <v>5.0006772635193819E-3</v>
      </c>
      <c r="B7">
        <f>A7+$B$12</f>
        <v>7.5109745884753536E-3</v>
      </c>
      <c r="C7">
        <f>1/(1+B7)^A1</f>
        <v>0.99626553668187112</v>
      </c>
      <c r="D7">
        <f>E1*C7</f>
        <v>1.9925310733637422</v>
      </c>
    </row>
    <row r="8" spans="1:6" x14ac:dyDescent="0.25">
      <c r="A8">
        <v>1.2500329062606896E-2</v>
      </c>
      <c r="B8">
        <f t="shared" ref="B8:B10" si="1">A8+$B$12</f>
        <v>1.5010626387562868E-2</v>
      </c>
      <c r="C8">
        <f t="shared" ref="C8:C10" si="2">1/(1+B8)^A2</f>
        <v>0.98521136035689993</v>
      </c>
      <c r="D8">
        <f t="shared" ref="D8:D10" si="3">E2*C8</f>
        <v>1.9704227207137999</v>
      </c>
    </row>
    <row r="9" spans="1:6" x14ac:dyDescent="0.25">
      <c r="A9">
        <v>1.4999733426664275E-2</v>
      </c>
      <c r="B9">
        <f t="shared" si="1"/>
        <v>1.7510030751620248E-2</v>
      </c>
      <c r="C9">
        <f t="shared" si="2"/>
        <v>0.97429831424127677</v>
      </c>
      <c r="D9">
        <f t="shared" si="3"/>
        <v>1.9485966284825535</v>
      </c>
    </row>
    <row r="10" spans="1:6" x14ac:dyDescent="0.25">
      <c r="A10">
        <v>1.9999883924019857E-2</v>
      </c>
      <c r="B10">
        <f t="shared" si="1"/>
        <v>2.251018124897583E-2</v>
      </c>
      <c r="C10">
        <f t="shared" si="2"/>
        <v>0.95645538787932594</v>
      </c>
      <c r="D10">
        <f t="shared" si="3"/>
        <v>97.558449563691241</v>
      </c>
    </row>
    <row r="11" spans="1:6" x14ac:dyDescent="0.25">
      <c r="D11">
        <f>SUM(D7:D10)</f>
        <v>103.46999998625134</v>
      </c>
    </row>
    <row r="12" spans="1:6" x14ac:dyDescent="0.25">
      <c r="A12" t="s">
        <v>34</v>
      </c>
      <c r="B12">
        <v>2.5102973249559722E-3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Calcs</vt:lpstr>
      <vt:lpstr>Markowitz</vt:lpstr>
      <vt:lpstr>Sorted</vt:lpstr>
      <vt:lpstr>Regression</vt:lpstr>
      <vt:lpstr>Bonds</vt:lpstr>
      <vt:lpstr>Bonds 2</vt:lpstr>
      <vt:lpstr>Bonds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wu</dc:creator>
  <cp:lastModifiedBy>Jaime wu</cp:lastModifiedBy>
  <dcterms:created xsi:type="dcterms:W3CDTF">2015-06-05T18:17:20Z</dcterms:created>
  <dcterms:modified xsi:type="dcterms:W3CDTF">2022-06-20T02:33:41Z</dcterms:modified>
</cp:coreProperties>
</file>