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D:\Descargas\"/>
    </mc:Choice>
  </mc:AlternateContent>
  <xr:revisionPtr revIDLastSave="0" documentId="13_ncr:1_{5C4B139D-2867-4577-8408-D4C7D81B1406}" xr6:coauthVersionLast="47" xr6:coauthVersionMax="47" xr10:uidLastSave="{00000000-0000-0000-0000-000000000000}"/>
  <bookViews>
    <workbookView xWindow="-108" yWindow="-108" windowWidth="23256" windowHeight="12576" xr2:uid="{00000000-000D-0000-FFFF-FFFF00000000}"/>
  </bookViews>
  <sheets>
    <sheet name="Flujo Privado " sheetId="1" r:id="rId1"/>
  </sheets>
  <definedNames>
    <definedName name="solver_adj" localSheetId="0" hidden="1">'Flujo Privado '!$F$4</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'Flujo Privado '!$C$53</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0.15</definedName>
    <definedName name="solver_ver" localSheetId="0" hidden="1">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1" i="1" l="1"/>
  <c r="G31" i="1"/>
  <c r="D12" i="1"/>
  <c r="E12" i="1"/>
  <c r="F12" i="1"/>
  <c r="G12" i="1"/>
  <c r="H12" i="1"/>
  <c r="H11" i="1"/>
  <c r="H31" i="1"/>
  <c r="H30" i="1"/>
  <c r="N32" i="1"/>
  <c r="L32" i="1"/>
  <c r="M32" i="1"/>
  <c r="K32" i="1"/>
  <c r="N33" i="1"/>
  <c r="L33" i="1"/>
  <c r="M33" i="1"/>
  <c r="K33" i="1"/>
  <c r="N34" i="1"/>
  <c r="L34" i="1"/>
  <c r="M34" i="1"/>
  <c r="K34" i="1"/>
  <c r="N35" i="1"/>
  <c r="L35" i="1"/>
  <c r="M35" i="1"/>
  <c r="K35" i="1"/>
  <c r="L36" i="1"/>
  <c r="H29" i="1"/>
  <c r="H23" i="1"/>
  <c r="H16" i="1"/>
  <c r="H35" i="1"/>
  <c r="H36" i="1"/>
  <c r="H37" i="1"/>
  <c r="H38" i="1"/>
  <c r="H40" i="1"/>
  <c r="N36" i="1"/>
  <c r="M36" i="1"/>
  <c r="H47" i="1"/>
  <c r="H46" i="1"/>
  <c r="H52" i="1"/>
  <c r="F11" i="1"/>
  <c r="F17" i="1"/>
  <c r="D24" i="1"/>
  <c r="E24" i="1"/>
  <c r="F24" i="1"/>
  <c r="D25" i="1"/>
  <c r="E25" i="1"/>
  <c r="F25" i="1"/>
  <c r="D26" i="1"/>
  <c r="E26" i="1"/>
  <c r="F26" i="1"/>
  <c r="D27" i="1"/>
  <c r="E27" i="1"/>
  <c r="F27" i="1"/>
  <c r="D28" i="1"/>
  <c r="E28" i="1"/>
  <c r="F28" i="1"/>
  <c r="F29" i="1"/>
  <c r="F23" i="1"/>
  <c r="F16" i="1"/>
  <c r="C48" i="1"/>
  <c r="D31" i="1"/>
  <c r="E31" i="1"/>
  <c r="F31" i="1"/>
  <c r="D32" i="1"/>
  <c r="E32" i="1"/>
  <c r="F32" i="1"/>
  <c r="F30" i="1"/>
  <c r="F35" i="1"/>
  <c r="F36" i="1"/>
  <c r="F37" i="1"/>
  <c r="F38" i="1"/>
  <c r="F40" i="1"/>
  <c r="F42" i="1"/>
  <c r="F47" i="1"/>
  <c r="F46" i="1"/>
  <c r="F52" i="1"/>
  <c r="G47" i="1"/>
  <c r="G46" i="1"/>
  <c r="E11" i="1"/>
  <c r="E17" i="1"/>
  <c r="E29" i="1"/>
  <c r="E23" i="1"/>
  <c r="E16" i="1"/>
  <c r="E30" i="1"/>
  <c r="E35" i="1"/>
  <c r="C11" i="1"/>
  <c r="C17" i="1"/>
  <c r="C25" i="1"/>
  <c r="C23" i="1"/>
  <c r="C16" i="1"/>
  <c r="C30" i="1"/>
  <c r="C35" i="1"/>
  <c r="C36" i="1"/>
  <c r="D11" i="1"/>
  <c r="D17" i="1"/>
  <c r="D29" i="1"/>
  <c r="D23" i="1"/>
  <c r="D16" i="1"/>
  <c r="D30" i="1"/>
  <c r="D35" i="1"/>
  <c r="H17" i="1"/>
  <c r="G24" i="1"/>
  <c r="H24" i="1"/>
  <c r="G25" i="1"/>
  <c r="H25" i="1"/>
  <c r="G26" i="1"/>
  <c r="H26" i="1"/>
  <c r="G27" i="1"/>
  <c r="H27" i="1"/>
  <c r="G28" i="1"/>
  <c r="H28" i="1"/>
  <c r="G32" i="1"/>
  <c r="H32" i="1"/>
  <c r="G11" i="1"/>
  <c r="G17" i="1"/>
  <c r="G29" i="1"/>
  <c r="G23" i="1"/>
  <c r="G16" i="1"/>
  <c r="G30" i="1"/>
  <c r="G35" i="1"/>
  <c r="D36" i="1"/>
  <c r="E36" i="1"/>
  <c r="G36" i="1"/>
  <c r="K36" i="1"/>
  <c r="D37" i="1"/>
  <c r="G37" i="1"/>
  <c r="G38" i="1"/>
  <c r="G40" i="1"/>
  <c r="D38" i="1"/>
  <c r="D40" i="1"/>
  <c r="E37" i="1"/>
  <c r="E38" i="1"/>
  <c r="E40" i="1"/>
  <c r="D42" i="1"/>
  <c r="D47" i="1"/>
  <c r="D46" i="1"/>
  <c r="D52" i="1"/>
  <c r="G42" i="1"/>
  <c r="G52" i="1"/>
  <c r="C38" i="1"/>
  <c r="C40" i="1"/>
  <c r="C43" i="1"/>
  <c r="C42" i="1"/>
  <c r="C46" i="1"/>
  <c r="C52" i="1"/>
  <c r="E47" i="1"/>
  <c r="E46" i="1"/>
  <c r="E42" i="1"/>
  <c r="E52" i="1"/>
  <c r="H42" i="1"/>
  <c r="C54" i="1"/>
  <c r="I56" i="1"/>
  <c r="I55" i="1"/>
  <c r="C57" i="1"/>
  <c r="D57" i="1"/>
  <c r="E57" i="1"/>
  <c r="F57" i="1"/>
  <c r="G57" i="1"/>
  <c r="C55" i="1"/>
  <c r="C53" i="1"/>
  <c r="I4" i="1"/>
  <c r="H57" i="1"/>
</calcChain>
</file>

<file path=xl/sharedStrings.xml><?xml version="1.0" encoding="utf-8"?>
<sst xmlns="http://schemas.openxmlformats.org/spreadsheetml/2006/main" count="91" uniqueCount="90">
  <si>
    <t>GASTOS NO DESEMBOLSABLES</t>
  </si>
  <si>
    <t>Anteriores a la Puesta en Marcha</t>
  </si>
  <si>
    <t>Costos de Operación</t>
  </si>
  <si>
    <t>Impuesto a las Utilidades  27%</t>
  </si>
  <si>
    <t>UTILIDAD DEL PERÍODO ANTES DE IMPUESTO</t>
  </si>
  <si>
    <t>AJUSTE POR GASTOS NO DESEMBOLSABLES</t>
  </si>
  <si>
    <t>FLUJO DE CAJA</t>
  </si>
  <si>
    <t>1.1</t>
  </si>
  <si>
    <t>1.2</t>
  </si>
  <si>
    <t>1.3</t>
  </si>
  <si>
    <t>1.4</t>
  </si>
  <si>
    <t>2.1</t>
  </si>
  <si>
    <t>2.2</t>
  </si>
  <si>
    <t>2.1.1</t>
  </si>
  <si>
    <t>2.1.2</t>
  </si>
  <si>
    <t>2.1.3</t>
  </si>
  <si>
    <t>2.1.4</t>
  </si>
  <si>
    <t>2.2.1</t>
  </si>
  <si>
    <t>2.2.2</t>
  </si>
  <si>
    <t>2.2.3</t>
  </si>
  <si>
    <t>2.2.4</t>
  </si>
  <si>
    <t>2.2.5</t>
  </si>
  <si>
    <t>3.1</t>
  </si>
  <si>
    <t>3.2</t>
  </si>
  <si>
    <t>5c</t>
  </si>
  <si>
    <t>7.1</t>
  </si>
  <si>
    <t>8.2</t>
  </si>
  <si>
    <t>8.3</t>
  </si>
  <si>
    <t>8.4</t>
  </si>
  <si>
    <t>Intereses  del  Crédito</t>
  </si>
  <si>
    <t>Capital del Crédito</t>
  </si>
  <si>
    <t>Amortizaciones del Crédito</t>
  </si>
  <si>
    <t>Cuota</t>
  </si>
  <si>
    <t>INGRESOS NO AFECTAN IMPUESTO UTILID.</t>
  </si>
  <si>
    <t>EGRESOS NO AFECTAN A IMPUESTO UTILID.</t>
  </si>
  <si>
    <t>PERDIDA ACUMULADA ANTES DE IMPUESTO</t>
  </si>
  <si>
    <t>AÑOS  (períodos)  ---+</t>
  </si>
  <si>
    <t>INGRESOS AFECTAN IMPUESTO A UTILIDAD</t>
  </si>
  <si>
    <t>EGRESOS AFECTAN IMPUESTO A UTILIDAD</t>
  </si>
  <si>
    <t>UTILIDAD DESPUÉS DE IMPUESTOS</t>
  </si>
  <si>
    <t>TIR</t>
  </si>
  <si>
    <t>VAN</t>
  </si>
  <si>
    <t xml:space="preserve">  =TIR(C44:H44)</t>
  </si>
  <si>
    <t xml:space="preserve">  =VNA(E47;D44:H44)+C44</t>
  </si>
  <si>
    <t>Tasa de descuento</t>
  </si>
  <si>
    <t>4b</t>
  </si>
  <si>
    <t>Periodos de Pago</t>
  </si>
  <si>
    <t>Tasa de int. Período</t>
  </si>
  <si>
    <t>SALDO</t>
  </si>
  <si>
    <t>DESARROLLO DEL CRÉDITO PARA EL PROYECTO</t>
  </si>
  <si>
    <t>PRI</t>
  </si>
  <si>
    <t>Período de recuperación de la inversión.</t>
  </si>
  <si>
    <t>INTERESES</t>
  </si>
  <si>
    <t>AMORTIZACIÓN</t>
  </si>
  <si>
    <t>CUOTA</t>
  </si>
  <si>
    <t>EVALUACIÓN DE PROYECTOS TIC</t>
  </si>
  <si>
    <t>PLANTILLA DE ESTRUCTURA DE FLUJOS</t>
  </si>
  <si>
    <t>ESTRUCTURA DE FILAS</t>
  </si>
  <si>
    <t>APALANCAMIENTO</t>
  </si>
  <si>
    <t>EVALUACIÓN PRIVADA MARINE HARVEST</t>
  </si>
  <si>
    <t>FLUJO ACUMULADO</t>
  </si>
  <si>
    <t xml:space="preserve"> =3+(-C51+G56)/H51</t>
  </si>
  <si>
    <t>Estaciones de Bici</t>
  </si>
  <si>
    <t>Patente</t>
  </si>
  <si>
    <t>Años Depreciacion bici</t>
  </si>
  <si>
    <t xml:space="preserve">Costo uso bici xHora </t>
  </si>
  <si>
    <t>Coste de Estacion de Bici C/U</t>
  </si>
  <si>
    <t>Patente C/U</t>
  </si>
  <si>
    <t>Energia y Mantenimiento C/U</t>
  </si>
  <si>
    <t>Seguro Anual x Bici</t>
  </si>
  <si>
    <t>Costos de Operación x Bici</t>
  </si>
  <si>
    <t>Horas uso mensual x bici</t>
  </si>
  <si>
    <t>incremento uso x año</t>
  </si>
  <si>
    <t>Seguro</t>
  </si>
  <si>
    <t>Costos de operación</t>
  </si>
  <si>
    <t>Energia y mantenimiento</t>
  </si>
  <si>
    <t>Construccion estacion bici</t>
  </si>
  <si>
    <t>Ingresos por renta de bicicletas</t>
  </si>
  <si>
    <t>Bicicletas por estacion</t>
  </si>
  <si>
    <t>Depreciacion de las bicicletas</t>
  </si>
  <si>
    <t>Meses</t>
  </si>
  <si>
    <t>Schwin representacion C/U</t>
  </si>
  <si>
    <t>Compras de Bicicletas</t>
  </si>
  <si>
    <t>Lo que gano en 1 año</t>
  </si>
  <si>
    <t>Costos de Recogida</t>
  </si>
  <si>
    <t>Costo de Recogida</t>
  </si>
  <si>
    <t>Depreciacion de las Estaciones</t>
  </si>
  <si>
    <t>Venta de bicicletas</t>
  </si>
  <si>
    <t>Propia</t>
  </si>
  <si>
    <t>Prestamo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</si>
</sst>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8" formatCode="&quot;$&quot;#,##0.00;[Red]\-&quot;$&quot;#,##0.00"/>
    <numFmt numFmtId="41" formatCode="_-* #,##0_-;\-* #,##0_-;_-* &quot;-&quot;_-;_-@_-"/>
    <numFmt numFmtId="164" formatCode="#,##0_ ;[Red]\-#,##0\ "/>
    <numFmt numFmtId="165" formatCode="#,##0.00_ ;[Red]\-#,##0.00\ "/>
    <numFmt numFmtId="166" formatCode="&quot;$&quot;#,##0"/>
    <numFmt numFmtId="169" formatCode="&quot;$&quot;#,##0.00"/>
  </numFmts>
  <fonts count="7" x14ac:knownFonts="1">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
      <b/>
      <u/>
      <sz val="12"/>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9" fontId="5" fillId="0" borderId="0" applyFont="0" applyFill="0" applyBorder="0" applyAlignment="0" applyProtection="0"/>
    <xf numFmtId="41" fontId="5" fillId="0" borderId="0" applyFont="0" applyFill="0" applyBorder="0" applyAlignment="0" applyProtection="0"/>
  </cellStyleXfs>
  <cellXfs count="96">
    <xf numFmtId="0" fontId="0" fillId="0" borderId="0" xfId="0"/>
    <xf numFmtId="0" fontId="0" fillId="0" borderId="1" xfId="0" applyBorder="1"/>
    <xf numFmtId="164" fontId="0" fillId="0" borderId="1" xfId="0" applyNumberFormat="1" applyBorder="1"/>
    <xf numFmtId="0" fontId="1" fillId="0" borderId="1" xfId="0" applyFont="1" applyBorder="1"/>
    <xf numFmtId="164" fontId="1" fillId="0" borderId="1" xfId="0" applyNumberFormat="1" applyFont="1" applyBorder="1"/>
    <xf numFmtId="0" fontId="2" fillId="2" borderId="1" xfId="0" applyFont="1" applyFill="1" applyBorder="1"/>
    <xf numFmtId="164" fontId="2" fillId="2" borderId="1" xfId="0" applyNumberFormat="1" applyFont="1" applyFill="1" applyBorder="1"/>
    <xf numFmtId="0" fontId="0" fillId="0" borderId="0" xfId="0" applyAlignment="1">
      <alignment horizontal="center"/>
    </xf>
    <xf numFmtId="0" fontId="3" fillId="0" borderId="0" xfId="0" applyFont="1" applyAlignment="1">
      <alignment horizontal="center"/>
    </xf>
    <xf numFmtId="164" fontId="1" fillId="2" borderId="1" xfId="0" applyNumberFormat="1" applyFont="1" applyFill="1" applyBorder="1"/>
    <xf numFmtId="6" fontId="0" fillId="0" borderId="0" xfId="0" applyNumberFormat="1"/>
    <xf numFmtId="164" fontId="1" fillId="2" borderId="2" xfId="0" applyNumberFormat="1" applyFont="1" applyFill="1" applyBorder="1"/>
    <xf numFmtId="164" fontId="1" fillId="3" borderId="5" xfId="0" applyNumberFormat="1" applyFont="1" applyFill="1" applyBorder="1"/>
    <xf numFmtId="164" fontId="1" fillId="3" borderId="1" xfId="0" applyNumberFormat="1" applyFont="1" applyFill="1" applyBorder="1"/>
    <xf numFmtId="3" fontId="1" fillId="0" borderId="1" xfId="0" applyNumberFormat="1" applyFont="1" applyBorder="1"/>
    <xf numFmtId="0" fontId="1" fillId="2" borderId="1" xfId="0" applyFont="1" applyFill="1" applyBorder="1"/>
    <xf numFmtId="0" fontId="1" fillId="0" borderId="1" xfId="0" applyFont="1" applyBorder="1" applyAlignment="1">
      <alignment horizontal="right"/>
    </xf>
    <xf numFmtId="0" fontId="1" fillId="2" borderId="2" xfId="0" applyFont="1" applyFill="1" applyBorder="1"/>
    <xf numFmtId="0" fontId="1" fillId="3" borderId="4" xfId="0" applyFont="1" applyFill="1" applyBorder="1"/>
    <xf numFmtId="0" fontId="1" fillId="3" borderId="1" xfId="0" applyFont="1" applyFill="1" applyBorder="1"/>
    <xf numFmtId="0" fontId="3" fillId="0" borderId="0" xfId="0" applyFont="1" applyAlignment="1">
      <alignment horizontal="right"/>
    </xf>
    <xf numFmtId="0" fontId="0" fillId="4" borderId="8" xfId="0" applyFill="1" applyBorder="1"/>
    <xf numFmtId="0" fontId="2" fillId="4" borderId="7" xfId="0" applyFont="1" applyFill="1" applyBorder="1"/>
    <xf numFmtId="0" fontId="4" fillId="0" borderId="0" xfId="0" applyFont="1" applyAlignment="1">
      <alignment horizontal="center"/>
    </xf>
    <xf numFmtId="0" fontId="2" fillId="0" borderId="3" xfId="0" applyFont="1" applyBorder="1" applyAlignment="1">
      <alignment horizontal="right"/>
    </xf>
    <xf numFmtId="164" fontId="2" fillId="0" borderId="3" xfId="0" applyNumberFormat="1" applyFont="1" applyBorder="1"/>
    <xf numFmtId="0" fontId="4" fillId="0" borderId="0" xfId="0" applyFont="1"/>
    <xf numFmtId="8" fontId="0" fillId="0" borderId="1" xfId="0" applyNumberFormat="1" applyBorder="1"/>
    <xf numFmtId="8" fontId="0" fillId="0" borderId="12" xfId="0" applyNumberFormat="1" applyBorder="1"/>
    <xf numFmtId="8" fontId="0" fillId="0" borderId="13" xfId="0" applyNumberFormat="1" applyBorder="1"/>
    <xf numFmtId="8" fontId="0" fillId="0" borderId="14" xfId="0" applyNumberFormat="1" applyBorder="1"/>
    <xf numFmtId="8" fontId="0" fillId="0" borderId="15" xfId="0" applyNumberFormat="1" applyBorder="1"/>
    <xf numFmtId="8" fontId="0" fillId="0" borderId="16" xfId="0" applyNumberFormat="1" applyBorder="1"/>
    <xf numFmtId="8" fontId="0" fillId="0" borderId="17" xfId="0" applyNumberFormat="1" applyBorder="1"/>
    <xf numFmtId="8" fontId="0" fillId="0" borderId="18" xfId="0" applyNumberFormat="1" applyBorder="1"/>
    <xf numFmtId="8" fontId="0" fillId="0" borderId="19" xfId="0" applyNumberFormat="1" applyBorder="1"/>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8" fontId="1" fillId="2" borderId="17" xfId="0" applyNumberFormat="1" applyFont="1" applyFill="1" applyBorder="1"/>
    <xf numFmtId="8" fontId="1" fillId="2" borderId="19" xfId="0" applyNumberFormat="1" applyFont="1" applyFill="1" applyBorder="1"/>
    <xf numFmtId="0" fontId="2" fillId="0" borderId="0" xfId="0" applyFont="1"/>
    <xf numFmtId="0" fontId="2" fillId="4" borderId="0" xfId="0" applyFont="1" applyFill="1"/>
    <xf numFmtId="164" fontId="2" fillId="4" borderId="0" xfId="0" applyNumberFormat="1" applyFont="1" applyFill="1"/>
    <xf numFmtId="9" fontId="2" fillId="4" borderId="0" xfId="0" applyNumberFormat="1" applyFont="1" applyFill="1" applyAlignment="1">
      <alignment horizontal="right"/>
    </xf>
    <xf numFmtId="0" fontId="0" fillId="4" borderId="21" xfId="0" applyFill="1" applyBorder="1"/>
    <xf numFmtId="0" fontId="1" fillId="4" borderId="20" xfId="0" applyFont="1" applyFill="1" applyBorder="1"/>
    <xf numFmtId="0" fontId="1" fillId="4" borderId="6" xfId="0" applyFont="1" applyFill="1" applyBorder="1"/>
    <xf numFmtId="0" fontId="3" fillId="4" borderId="7" xfId="0" applyFont="1" applyFill="1" applyBorder="1"/>
    <xf numFmtId="0" fontId="3" fillId="4" borderId="0" xfId="0" applyFont="1" applyFill="1"/>
    <xf numFmtId="0" fontId="1" fillId="2" borderId="18" xfId="0" applyFont="1" applyFill="1" applyBorder="1" applyAlignment="1">
      <alignment horizontal="center"/>
    </xf>
    <xf numFmtId="9" fontId="1" fillId="2" borderId="18" xfId="1" applyFont="1" applyFill="1" applyBorder="1" applyAlignment="1">
      <alignment horizontal="center"/>
    </xf>
    <xf numFmtId="0" fontId="2" fillId="0" borderId="0" xfId="0" applyFont="1" applyAlignment="1">
      <alignment horizontal="center"/>
    </xf>
    <xf numFmtId="0" fontId="3" fillId="0" borderId="0" xfId="0" applyFont="1"/>
    <xf numFmtId="0" fontId="2" fillId="0" borderId="0" xfId="0" applyFont="1" applyAlignment="1">
      <alignment horizontal="right"/>
    </xf>
    <xf numFmtId="0" fontId="2" fillId="5" borderId="0" xfId="0" applyFont="1" applyFill="1"/>
    <xf numFmtId="0" fontId="0" fillId="5" borderId="0" xfId="0" applyFill="1"/>
    <xf numFmtId="41" fontId="3" fillId="0" borderId="0" xfId="2" applyFont="1"/>
    <xf numFmtId="41" fontId="0" fillId="0" borderId="0" xfId="2" applyFont="1"/>
    <xf numFmtId="41" fontId="3" fillId="0" borderId="0" xfId="2" applyFont="1" applyAlignment="1">
      <alignment horizontal="center"/>
    </xf>
    <xf numFmtId="9" fontId="3" fillId="0" borderId="0" xfId="2" applyNumberFormat="1" applyFont="1"/>
    <xf numFmtId="164" fontId="1" fillId="6" borderId="1" xfId="0" applyNumberFormat="1" applyFont="1" applyFill="1" applyBorder="1"/>
    <xf numFmtId="0" fontId="0" fillId="0" borderId="1" xfId="0" applyBorder="1" applyAlignment="1">
      <alignment horizontal="left"/>
    </xf>
    <xf numFmtId="0" fontId="0" fillId="2" borderId="0" xfId="0" applyFill="1"/>
    <xf numFmtId="0" fontId="1" fillId="7" borderId="9" xfId="0" applyFont="1" applyFill="1" applyBorder="1"/>
    <xf numFmtId="165" fontId="2" fillId="7" borderId="10" xfId="0" applyNumberFormat="1" applyFont="1" applyFill="1" applyBorder="1"/>
    <xf numFmtId="0" fontId="3" fillId="7" borderId="10" xfId="0" applyFont="1" applyFill="1" applyBorder="1"/>
    <xf numFmtId="9" fontId="2" fillId="7" borderId="10" xfId="0" applyNumberFormat="1" applyFont="1" applyFill="1" applyBorder="1" applyAlignment="1">
      <alignment horizontal="left"/>
    </xf>
    <xf numFmtId="0" fontId="2" fillId="7" borderId="10" xfId="0" applyFont="1" applyFill="1" applyBorder="1"/>
    <xf numFmtId="0" fontId="0" fillId="7" borderId="11" xfId="0" applyFill="1" applyBorder="1"/>
    <xf numFmtId="0" fontId="4" fillId="7" borderId="0" xfId="0" applyFont="1" applyFill="1"/>
    <xf numFmtId="164" fontId="4" fillId="7" borderId="0" xfId="0" applyNumberFormat="1" applyFont="1" applyFill="1"/>
    <xf numFmtId="0" fontId="3" fillId="7" borderId="0" xfId="0" applyFont="1" applyFill="1" applyAlignment="1">
      <alignment horizontal="right"/>
    </xf>
    <xf numFmtId="0" fontId="3" fillId="7" borderId="0" xfId="0" applyFont="1" applyFill="1" applyAlignment="1">
      <alignment horizontal="center"/>
    </xf>
    <xf numFmtId="164" fontId="6" fillId="2" borderId="1" xfId="0" applyNumberFormat="1" applyFont="1" applyFill="1" applyBorder="1"/>
    <xf numFmtId="41" fontId="3" fillId="0" borderId="0" xfId="2" applyFont="1" applyFill="1" applyBorder="1"/>
    <xf numFmtId="41" fontId="2" fillId="0" borderId="0" xfId="2" applyFont="1" applyFill="1" applyBorder="1"/>
    <xf numFmtId="166" fontId="3" fillId="0" borderId="0" xfId="2" applyNumberFormat="1" applyFont="1" applyFill="1" applyBorder="1"/>
    <xf numFmtId="41" fontId="3" fillId="0" borderId="1" xfId="2" applyFont="1" applyBorder="1" applyAlignment="1">
      <alignment horizontal="right"/>
    </xf>
    <xf numFmtId="166" fontId="3" fillId="0" borderId="1" xfId="2" applyNumberFormat="1" applyFont="1" applyBorder="1" applyAlignment="1"/>
    <xf numFmtId="166" fontId="3" fillId="0" borderId="1" xfId="2" applyNumberFormat="1" applyFont="1" applyFill="1" applyBorder="1" applyAlignment="1">
      <alignment horizontal="right"/>
    </xf>
    <xf numFmtId="166" fontId="3" fillId="0" borderId="1" xfId="2" applyNumberFormat="1" applyFont="1" applyFill="1" applyBorder="1"/>
    <xf numFmtId="1" fontId="3" fillId="0" borderId="1" xfId="2" applyNumberFormat="1" applyFont="1" applyFill="1" applyBorder="1"/>
    <xf numFmtId="166" fontId="3" fillId="0" borderId="1" xfId="2" applyNumberFormat="1" applyFont="1" applyBorder="1" applyAlignment="1">
      <alignment horizontal="right"/>
    </xf>
    <xf numFmtId="9" fontId="3" fillId="0" borderId="1" xfId="2" applyNumberFormat="1" applyFont="1" applyBorder="1"/>
    <xf numFmtId="1" fontId="3" fillId="0" borderId="1" xfId="2" applyNumberFormat="1" applyFont="1" applyBorder="1"/>
    <xf numFmtId="41" fontId="3" fillId="0" borderId="1" xfId="2" applyFont="1" applyBorder="1"/>
    <xf numFmtId="0" fontId="2" fillId="4" borderId="1" xfId="0" applyFont="1" applyFill="1" applyBorder="1" applyAlignment="1">
      <alignment horizontal="right"/>
    </xf>
    <xf numFmtId="0" fontId="1" fillId="4" borderId="1" xfId="0" applyFont="1" applyFill="1" applyBorder="1"/>
    <xf numFmtId="41" fontId="2" fillId="4" borderId="1" xfId="2" applyFont="1" applyFill="1" applyBorder="1"/>
    <xf numFmtId="41" fontId="3" fillId="4" borderId="1" xfId="2" applyFont="1" applyFill="1" applyBorder="1" applyAlignment="1">
      <alignment horizontal="left"/>
    </xf>
    <xf numFmtId="41" fontId="1" fillId="4" borderId="2" xfId="2" applyFont="1" applyFill="1" applyBorder="1"/>
    <xf numFmtId="166" fontId="3" fillId="0" borderId="1" xfId="2" applyNumberFormat="1" applyFont="1" applyBorder="1" applyAlignment="1">
      <alignment horizontal="center"/>
    </xf>
    <xf numFmtId="8" fontId="0" fillId="0" borderId="0" xfId="0" applyNumberFormat="1"/>
    <xf numFmtId="9" fontId="2" fillId="4" borderId="7" xfId="1" applyFont="1" applyFill="1" applyBorder="1"/>
    <xf numFmtId="169" fontId="0" fillId="0" borderId="0" xfId="0" applyNumberFormat="1"/>
  </cellXfs>
  <cellStyles count="3">
    <cellStyle name="Millares [0]" xfId="2" builtinId="6"/>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50800</xdr:colOff>
      <xdr:row>28</xdr:row>
      <xdr:rowOff>101600</xdr:rowOff>
    </xdr:from>
    <xdr:to>
      <xdr:col>8</xdr:col>
      <xdr:colOff>254000</xdr:colOff>
      <xdr:row>42</xdr:row>
      <xdr:rowOff>114300</xdr:rowOff>
    </xdr:to>
    <xdr:sp macro="" textlink="">
      <xdr:nvSpPr>
        <xdr:cNvPr id="5" name="Forma libre 4">
          <a:extLst>
            <a:ext uri="{FF2B5EF4-FFF2-40B4-BE49-F238E27FC236}">
              <a16:creationId xmlns:a16="http://schemas.microsoft.com/office/drawing/2014/main" id="{894066EF-7553-1C4E-B0DC-AC6DB4931260}"/>
            </a:ext>
          </a:extLst>
        </xdr:cNvPr>
        <xdr:cNvSpPr/>
      </xdr:nvSpPr>
      <xdr:spPr>
        <a:xfrm>
          <a:off x="10058400" y="4229100"/>
          <a:ext cx="203200" cy="2692400"/>
        </a:xfrm>
        <a:custGeom>
          <a:avLst/>
          <a:gdLst>
            <a:gd name="connsiteX0" fmla="*/ 63500 w 241300"/>
            <a:gd name="connsiteY0" fmla="*/ 2692400 h 2705100"/>
            <a:gd name="connsiteX1" fmla="*/ 215900 w 241300"/>
            <a:gd name="connsiteY1" fmla="*/ 2705100 h 2705100"/>
            <a:gd name="connsiteX2" fmla="*/ 241300 w 241300"/>
            <a:gd name="connsiteY2" fmla="*/ 0 h 2705100"/>
            <a:gd name="connsiteX3" fmla="*/ 0 w 241300"/>
            <a:gd name="connsiteY3" fmla="*/ 12700 h 2705100"/>
          </a:gdLst>
          <a:ahLst/>
          <a:cxnLst>
            <a:cxn ang="0">
              <a:pos x="connsiteX0" y="connsiteY0"/>
            </a:cxn>
            <a:cxn ang="0">
              <a:pos x="connsiteX1" y="connsiteY1"/>
            </a:cxn>
            <a:cxn ang="0">
              <a:pos x="connsiteX2" y="connsiteY2"/>
            </a:cxn>
            <a:cxn ang="0">
              <a:pos x="connsiteX3" y="connsiteY3"/>
            </a:cxn>
          </a:cxnLst>
          <a:rect l="l" t="t" r="r" b="b"/>
          <a:pathLst>
            <a:path w="241300" h="2705100">
              <a:moveTo>
                <a:pt x="63500" y="2692400"/>
              </a:moveTo>
              <a:lnTo>
                <a:pt x="215900" y="2705100"/>
              </a:lnTo>
              <a:lnTo>
                <a:pt x="241300" y="0"/>
              </a:lnTo>
              <a:lnTo>
                <a:pt x="0" y="12700"/>
              </a:lnTo>
            </a:path>
          </a:pathLst>
        </a:cu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8</xdr:col>
      <xdr:colOff>88900</xdr:colOff>
      <xdr:row>42</xdr:row>
      <xdr:rowOff>139700</xdr:rowOff>
    </xdr:from>
    <xdr:to>
      <xdr:col>8</xdr:col>
      <xdr:colOff>241300</xdr:colOff>
      <xdr:row>46</xdr:row>
      <xdr:rowOff>114300</xdr:rowOff>
    </xdr:to>
    <xdr:sp macro="" textlink="">
      <xdr:nvSpPr>
        <xdr:cNvPr id="6" name="Forma libre 5">
          <a:extLst>
            <a:ext uri="{FF2B5EF4-FFF2-40B4-BE49-F238E27FC236}">
              <a16:creationId xmlns:a16="http://schemas.microsoft.com/office/drawing/2014/main" id="{685DEC5B-6894-A04D-B9A9-582CDA80AA0E}"/>
            </a:ext>
          </a:extLst>
        </xdr:cNvPr>
        <xdr:cNvSpPr/>
      </xdr:nvSpPr>
      <xdr:spPr>
        <a:xfrm>
          <a:off x="10096500" y="6946900"/>
          <a:ext cx="152400" cy="546100"/>
        </a:xfrm>
        <a:custGeom>
          <a:avLst/>
          <a:gdLst>
            <a:gd name="connsiteX0" fmla="*/ 63500 w 241300"/>
            <a:gd name="connsiteY0" fmla="*/ 2692400 h 2705100"/>
            <a:gd name="connsiteX1" fmla="*/ 215900 w 241300"/>
            <a:gd name="connsiteY1" fmla="*/ 2705100 h 2705100"/>
            <a:gd name="connsiteX2" fmla="*/ 241300 w 241300"/>
            <a:gd name="connsiteY2" fmla="*/ 0 h 2705100"/>
            <a:gd name="connsiteX3" fmla="*/ 0 w 241300"/>
            <a:gd name="connsiteY3" fmla="*/ 12700 h 2705100"/>
          </a:gdLst>
          <a:ahLst/>
          <a:cxnLst>
            <a:cxn ang="0">
              <a:pos x="connsiteX0" y="connsiteY0"/>
            </a:cxn>
            <a:cxn ang="0">
              <a:pos x="connsiteX1" y="connsiteY1"/>
            </a:cxn>
            <a:cxn ang="0">
              <a:pos x="connsiteX2" y="connsiteY2"/>
            </a:cxn>
            <a:cxn ang="0">
              <a:pos x="connsiteX3" y="connsiteY3"/>
            </a:cxn>
          </a:cxnLst>
          <a:rect l="l" t="t" r="r" b="b"/>
          <a:pathLst>
            <a:path w="241300" h="2705100">
              <a:moveTo>
                <a:pt x="63500" y="2692400"/>
              </a:moveTo>
              <a:lnTo>
                <a:pt x="215900" y="2705100"/>
              </a:lnTo>
              <a:lnTo>
                <a:pt x="241300" y="0"/>
              </a:lnTo>
              <a:lnTo>
                <a:pt x="0" y="12700"/>
              </a:lnTo>
            </a:path>
          </a:pathLst>
        </a:cu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8</xdr:col>
      <xdr:colOff>50800</xdr:colOff>
      <xdr:row>30</xdr:row>
      <xdr:rowOff>152400</xdr:rowOff>
    </xdr:from>
    <xdr:to>
      <xdr:col>8</xdr:col>
      <xdr:colOff>482600</xdr:colOff>
      <xdr:row>48</xdr:row>
      <xdr:rowOff>25400</xdr:rowOff>
    </xdr:to>
    <xdr:sp macro="" textlink="">
      <xdr:nvSpPr>
        <xdr:cNvPr id="7" name="Forma libre 6">
          <a:extLst>
            <a:ext uri="{FF2B5EF4-FFF2-40B4-BE49-F238E27FC236}">
              <a16:creationId xmlns:a16="http://schemas.microsoft.com/office/drawing/2014/main" id="{AB6E7D4B-4237-9D43-8B47-DA118EF91E7F}"/>
            </a:ext>
          </a:extLst>
        </xdr:cNvPr>
        <xdr:cNvSpPr/>
      </xdr:nvSpPr>
      <xdr:spPr>
        <a:xfrm>
          <a:off x="10058400" y="4686300"/>
          <a:ext cx="431800" cy="3149600"/>
        </a:xfrm>
        <a:custGeom>
          <a:avLst/>
          <a:gdLst>
            <a:gd name="connsiteX0" fmla="*/ 63500 w 241300"/>
            <a:gd name="connsiteY0" fmla="*/ 2692400 h 2705100"/>
            <a:gd name="connsiteX1" fmla="*/ 215900 w 241300"/>
            <a:gd name="connsiteY1" fmla="*/ 2705100 h 2705100"/>
            <a:gd name="connsiteX2" fmla="*/ 241300 w 241300"/>
            <a:gd name="connsiteY2" fmla="*/ 0 h 2705100"/>
            <a:gd name="connsiteX3" fmla="*/ 0 w 241300"/>
            <a:gd name="connsiteY3" fmla="*/ 12700 h 2705100"/>
          </a:gdLst>
          <a:ahLst/>
          <a:cxnLst>
            <a:cxn ang="0">
              <a:pos x="connsiteX0" y="connsiteY0"/>
            </a:cxn>
            <a:cxn ang="0">
              <a:pos x="connsiteX1" y="connsiteY1"/>
            </a:cxn>
            <a:cxn ang="0">
              <a:pos x="connsiteX2" y="connsiteY2"/>
            </a:cxn>
            <a:cxn ang="0">
              <a:pos x="connsiteX3" y="connsiteY3"/>
            </a:cxn>
          </a:cxnLst>
          <a:rect l="l" t="t" r="r" b="b"/>
          <a:pathLst>
            <a:path w="241300" h="2705100">
              <a:moveTo>
                <a:pt x="63500" y="2692400"/>
              </a:moveTo>
              <a:lnTo>
                <a:pt x="215900" y="2705100"/>
              </a:lnTo>
              <a:lnTo>
                <a:pt x="241300" y="0"/>
              </a:lnTo>
              <a:lnTo>
                <a:pt x="0" y="12700"/>
              </a:lnTo>
            </a:path>
          </a:pathLst>
        </a:custGeom>
        <a:noFill/>
        <a:ln w="34925">
          <a:solidFill>
            <a:schemeClr val="accent2">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8</xdr:col>
      <xdr:colOff>533400</xdr:colOff>
      <xdr:row>29</xdr:row>
      <xdr:rowOff>25400</xdr:rowOff>
    </xdr:from>
    <xdr:to>
      <xdr:col>8</xdr:col>
      <xdr:colOff>1041400</xdr:colOff>
      <xdr:row>37</xdr:row>
      <xdr:rowOff>190500</xdr:rowOff>
    </xdr:to>
    <xdr:sp macro="" textlink="">
      <xdr:nvSpPr>
        <xdr:cNvPr id="8" name="Flecha curvada hacia la derecha 7">
          <a:extLst>
            <a:ext uri="{FF2B5EF4-FFF2-40B4-BE49-F238E27FC236}">
              <a16:creationId xmlns:a16="http://schemas.microsoft.com/office/drawing/2014/main" id="{0240371F-98AC-464B-84D2-60986DBA9CA9}"/>
            </a:ext>
          </a:extLst>
        </xdr:cNvPr>
        <xdr:cNvSpPr/>
      </xdr:nvSpPr>
      <xdr:spPr>
        <a:xfrm flipH="1">
          <a:off x="11099800" y="4241800"/>
          <a:ext cx="508000" cy="1600200"/>
        </a:xfrm>
        <a:prstGeom prst="curvedRightArrow">
          <a:avLst/>
        </a:prstGeom>
        <a:solidFill>
          <a:srgbClr val="92D050"/>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clientData/>
  </xdr:twoCellAnchor>
  <xdr:twoCellAnchor editAs="oneCell">
    <xdr:from>
      <xdr:col>8</xdr:col>
      <xdr:colOff>177799</xdr:colOff>
      <xdr:row>8</xdr:row>
      <xdr:rowOff>76200</xdr:rowOff>
    </xdr:from>
    <xdr:to>
      <xdr:col>8</xdr:col>
      <xdr:colOff>4010428</xdr:colOff>
      <xdr:row>26</xdr:row>
      <xdr:rowOff>25400</xdr:rowOff>
    </xdr:to>
    <xdr:pic>
      <xdr:nvPicPr>
        <xdr:cNvPr id="9" name="Imagen 8">
          <a:extLst>
            <a:ext uri="{FF2B5EF4-FFF2-40B4-BE49-F238E27FC236}">
              <a16:creationId xmlns:a16="http://schemas.microsoft.com/office/drawing/2014/main" id="{3942361B-72A4-2F44-BAAB-6A5922D7E98C}"/>
            </a:ext>
          </a:extLst>
        </xdr:cNvPr>
        <xdr:cNvPicPr>
          <a:picLocks noChangeAspect="1"/>
        </xdr:cNvPicPr>
      </xdr:nvPicPr>
      <xdr:blipFill>
        <a:blip xmlns:r="http://schemas.openxmlformats.org/officeDocument/2006/relationships" r:embed="rId1"/>
        <a:stretch>
          <a:fillRect/>
        </a:stretch>
      </xdr:blipFill>
      <xdr:spPr>
        <a:xfrm>
          <a:off x="10744199" y="279400"/>
          <a:ext cx="3832629" cy="3594100"/>
        </a:xfrm>
        <a:prstGeom prst="rect">
          <a:avLst/>
        </a:prstGeom>
      </xdr:spPr>
    </xdr:pic>
    <xdr:clientData/>
  </xdr:twoCellAnchor>
  <xdr:twoCellAnchor>
    <xdr:from>
      <xdr:col>8</xdr:col>
      <xdr:colOff>50800</xdr:colOff>
      <xdr:row>30</xdr:row>
      <xdr:rowOff>38100</xdr:rowOff>
    </xdr:from>
    <xdr:to>
      <xdr:col>8</xdr:col>
      <xdr:colOff>152400</xdr:colOff>
      <xdr:row>31</xdr:row>
      <xdr:rowOff>190500</xdr:rowOff>
    </xdr:to>
    <xdr:sp macro="" textlink="">
      <xdr:nvSpPr>
        <xdr:cNvPr id="10" name="Cerrar corchete 9">
          <a:extLst>
            <a:ext uri="{FF2B5EF4-FFF2-40B4-BE49-F238E27FC236}">
              <a16:creationId xmlns:a16="http://schemas.microsoft.com/office/drawing/2014/main" id="{E3170815-6667-B942-BDED-7B58A4E1DF2D}"/>
            </a:ext>
          </a:extLst>
        </xdr:cNvPr>
        <xdr:cNvSpPr/>
      </xdr:nvSpPr>
      <xdr:spPr>
        <a:xfrm>
          <a:off x="10617200" y="4457700"/>
          <a:ext cx="101600" cy="355600"/>
        </a:xfrm>
        <a:prstGeom prst="rightBracket">
          <a:avLst/>
        </a:prstGeom>
        <a:ln w="22225">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a:p>
      </xdr:txBody>
    </xdr:sp>
    <xdr:clientData/>
  </xdr:twoCellAnchor>
  <xdr:twoCellAnchor>
    <xdr:from>
      <xdr:col>8</xdr:col>
      <xdr:colOff>88900</xdr:colOff>
      <xdr:row>47</xdr:row>
      <xdr:rowOff>63500</xdr:rowOff>
    </xdr:from>
    <xdr:to>
      <xdr:col>8</xdr:col>
      <xdr:colOff>190500</xdr:colOff>
      <xdr:row>48</xdr:row>
      <xdr:rowOff>203200</xdr:rowOff>
    </xdr:to>
    <xdr:sp macro="" textlink="">
      <xdr:nvSpPr>
        <xdr:cNvPr id="11" name="Cerrar corchete 10">
          <a:extLst>
            <a:ext uri="{FF2B5EF4-FFF2-40B4-BE49-F238E27FC236}">
              <a16:creationId xmlns:a16="http://schemas.microsoft.com/office/drawing/2014/main" id="{C685FF63-AC9B-9C40-B4B1-BFD04AF6C74F}"/>
            </a:ext>
          </a:extLst>
        </xdr:cNvPr>
        <xdr:cNvSpPr/>
      </xdr:nvSpPr>
      <xdr:spPr>
        <a:xfrm>
          <a:off x="10655300" y="7327900"/>
          <a:ext cx="101600" cy="355600"/>
        </a:xfrm>
        <a:prstGeom prst="rightBracket">
          <a:avLst/>
        </a:prstGeom>
        <a:ln w="22225">
          <a:solidFill>
            <a:srgbClr val="C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a:p>
      </xdr:txBody>
    </xdr:sp>
    <xdr:clientData/>
  </xdr:twoCellAnchor>
  <xdr:twoCellAnchor editAs="oneCell">
    <xdr:from>
      <xdr:col>1</xdr:col>
      <xdr:colOff>1459087</xdr:colOff>
      <xdr:row>59</xdr:row>
      <xdr:rowOff>59506</xdr:rowOff>
    </xdr:from>
    <xdr:to>
      <xdr:col>4</xdr:col>
      <xdr:colOff>967315</xdr:colOff>
      <xdr:row>70</xdr:row>
      <xdr:rowOff>80435</xdr:rowOff>
    </xdr:to>
    <xdr:pic>
      <xdr:nvPicPr>
        <xdr:cNvPr id="2" name="Imagen 1">
          <a:extLst>
            <a:ext uri="{FF2B5EF4-FFF2-40B4-BE49-F238E27FC236}">
              <a16:creationId xmlns:a16="http://schemas.microsoft.com/office/drawing/2014/main" id="{3724455D-FADD-2A48-8A98-5C3F97467DF4}"/>
            </a:ext>
          </a:extLst>
        </xdr:cNvPr>
        <xdr:cNvPicPr>
          <a:picLocks noChangeAspect="1"/>
        </xdr:cNvPicPr>
      </xdr:nvPicPr>
      <xdr:blipFill>
        <a:blip xmlns:r="http://schemas.openxmlformats.org/officeDocument/2006/relationships" r:embed="rId2"/>
        <a:stretch>
          <a:fillRect/>
        </a:stretch>
      </xdr:blipFill>
      <xdr:spPr>
        <a:xfrm>
          <a:off x="1910643" y="11828173"/>
          <a:ext cx="6193366" cy="2194039"/>
        </a:xfrm>
        <a:prstGeom prst="rect">
          <a:avLst/>
        </a:prstGeom>
        <a:solidFill>
          <a:schemeClr val="bg1">
            <a:lumMod val="75000"/>
          </a:schemeClr>
        </a:solidFill>
      </xdr:spPr>
    </xdr:pic>
    <xdr:clientData/>
  </xdr:twoCellAnchor>
  <xdr:twoCellAnchor>
    <xdr:from>
      <xdr:col>8</xdr:col>
      <xdr:colOff>482600</xdr:colOff>
      <xdr:row>28</xdr:row>
      <xdr:rowOff>88900</xdr:rowOff>
    </xdr:from>
    <xdr:to>
      <xdr:col>11</xdr:col>
      <xdr:colOff>558800</xdr:colOff>
      <xdr:row>37</xdr:row>
      <xdr:rowOff>76200</xdr:rowOff>
    </xdr:to>
    <xdr:cxnSp macro="">
      <xdr:nvCxnSpPr>
        <xdr:cNvPr id="22" name="Conector angular 21">
          <a:extLst>
            <a:ext uri="{FF2B5EF4-FFF2-40B4-BE49-F238E27FC236}">
              <a16:creationId xmlns:a16="http://schemas.microsoft.com/office/drawing/2014/main" id="{E77F78E4-C588-0E4D-BB23-DA2CA117A499}"/>
            </a:ext>
          </a:extLst>
        </xdr:cNvPr>
        <xdr:cNvCxnSpPr/>
      </xdr:nvCxnSpPr>
      <xdr:spPr>
        <a:xfrm rot="10800000">
          <a:off x="11049000" y="4102100"/>
          <a:ext cx="6184900" cy="1943100"/>
        </a:xfrm>
        <a:prstGeom prst="bentConnector3">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520700</xdr:colOff>
      <xdr:row>38</xdr:row>
      <xdr:rowOff>50800</xdr:rowOff>
    </xdr:from>
    <xdr:to>
      <xdr:col>12</xdr:col>
      <xdr:colOff>546100</xdr:colOff>
      <xdr:row>46</xdr:row>
      <xdr:rowOff>76200</xdr:rowOff>
    </xdr:to>
    <xdr:cxnSp macro="">
      <xdr:nvCxnSpPr>
        <xdr:cNvPr id="24" name="Conector angular 23">
          <a:extLst>
            <a:ext uri="{FF2B5EF4-FFF2-40B4-BE49-F238E27FC236}">
              <a16:creationId xmlns:a16="http://schemas.microsoft.com/office/drawing/2014/main" id="{1ADF565B-EAA6-8841-95F1-38FCB90B2956}"/>
            </a:ext>
          </a:extLst>
        </xdr:cNvPr>
        <xdr:cNvCxnSpPr/>
      </xdr:nvCxnSpPr>
      <xdr:spPr>
        <a:xfrm rot="10800000" flipV="1">
          <a:off x="11087100" y="6223000"/>
          <a:ext cx="7315200" cy="1219200"/>
        </a:xfrm>
        <a:prstGeom prst="bentConnector3">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1030112</xdr:colOff>
      <xdr:row>54</xdr:row>
      <xdr:rowOff>239889</xdr:rowOff>
    </xdr:from>
    <xdr:to>
      <xdr:col>3</xdr:col>
      <xdr:colOff>324556</xdr:colOff>
      <xdr:row>56</xdr:row>
      <xdr:rowOff>14111</xdr:rowOff>
    </xdr:to>
    <xdr:sp macro="" textlink="">
      <xdr:nvSpPr>
        <xdr:cNvPr id="3" name="Flecha arriba 2">
          <a:extLst>
            <a:ext uri="{FF2B5EF4-FFF2-40B4-BE49-F238E27FC236}">
              <a16:creationId xmlns:a16="http://schemas.microsoft.com/office/drawing/2014/main" id="{14C35079-7CE4-3841-B691-860BE78C4600}"/>
            </a:ext>
          </a:extLst>
        </xdr:cNvPr>
        <xdr:cNvSpPr/>
      </xdr:nvSpPr>
      <xdr:spPr>
        <a:xfrm>
          <a:off x="4346223" y="10569222"/>
          <a:ext cx="508000" cy="5080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xdr:col>
      <xdr:colOff>814917</xdr:colOff>
      <xdr:row>72</xdr:row>
      <xdr:rowOff>105830</xdr:rowOff>
    </xdr:from>
    <xdr:to>
      <xdr:col>5</xdr:col>
      <xdr:colOff>1121833</xdr:colOff>
      <xdr:row>262</xdr:row>
      <xdr:rowOff>190500</xdr:rowOff>
    </xdr:to>
    <xdr:sp macro="" textlink="">
      <xdr:nvSpPr>
        <xdr:cNvPr id="4" name="CuadroTexto 3">
          <a:extLst>
            <a:ext uri="{FF2B5EF4-FFF2-40B4-BE49-F238E27FC236}">
              <a16:creationId xmlns:a16="http://schemas.microsoft.com/office/drawing/2014/main" id="{FE2D8D2C-2112-46B3-9050-1B1632E3CE21}"/>
            </a:ext>
          </a:extLst>
        </xdr:cNvPr>
        <xdr:cNvSpPr txBox="1"/>
      </xdr:nvSpPr>
      <xdr:spPr>
        <a:xfrm>
          <a:off x="1270000" y="14742580"/>
          <a:ext cx="8741833" cy="382905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2000"/>
            <a:t>Pregunta 1:</a:t>
          </a:r>
        </a:p>
        <a:p>
          <a:r>
            <a:rPr lang="es-CL" sz="2000"/>
            <a:t>La</a:t>
          </a:r>
          <a:r>
            <a:rPr lang="es-CL" sz="2000" baseline="0"/>
            <a:t> tarifa a cobrar por hora de uso seria de $3142 pesos la hora para lograr un TIR de 15%. La cual se encuentra muy cara para un normal uso del publico</a:t>
          </a:r>
        </a:p>
        <a:p>
          <a:endParaRPr lang="es-CL" sz="2000" baseline="0"/>
        </a:p>
        <a:p>
          <a:r>
            <a:rPr lang="es-CL" sz="2000" baseline="0"/>
            <a:t>Pregunta 2:</a:t>
          </a:r>
        </a:p>
        <a:p>
          <a:r>
            <a:rPr lang="es-CL" sz="2000" baseline="0"/>
            <a:t>Si Ecobikes logra un subcidio ,esto seria bueno ya que las personas puedan tener un servicio mas barato y al alcance de su bolsillo.</a:t>
          </a:r>
        </a:p>
        <a:p>
          <a:r>
            <a:rPr lang="es-CL" sz="2000" baseline="0"/>
            <a:t>Esto haria en un beneficio social hacia las personas:</a:t>
          </a:r>
        </a:p>
        <a:p>
          <a:r>
            <a:rPr lang="es-CL" sz="2000" baseline="0"/>
            <a:t>.-Acortar viajes , lo cual las personas preferiran utilizar bicicletas en ves de vehiculos o otros medios de transporte para ir a sus trabajos y estudios.</a:t>
          </a:r>
        </a:p>
        <a:p>
          <a:r>
            <a:rPr lang="es-CL" sz="2000" baseline="0"/>
            <a:t>.-Posibilidad de llegar a lugares que no llega el metro o buses de transporte urbanos.</a:t>
          </a:r>
        </a:p>
        <a:p>
          <a:r>
            <a:rPr lang="es-CL" sz="2000" baseline="0"/>
            <a:t>.-Beneficio a la salud de la sociedad, ya que incentiva a un metodo de transporte que ejercita el cuerpo de las personas y pelea con la gran cantidad de sedentarismo en el pais.</a:t>
          </a:r>
        </a:p>
        <a:p>
          <a:r>
            <a:rPr lang="es-CL" sz="2000" baseline="0"/>
            <a:t>.-Un medio de transporte verde. Ya que con esto se logra disminuir las emisiones de CO2 dentro de la ciudad ya que al disminuir la cantidad de vehiculos en las calles logramos menor contaminacion.</a:t>
          </a:r>
        </a:p>
        <a:p>
          <a:r>
            <a:rPr lang="es-CL" sz="2000" baseline="0"/>
            <a:t>.-</a:t>
          </a:r>
        </a:p>
        <a:p>
          <a:endParaRPr lang="es-CL" sz="2000" baseline="0"/>
        </a:p>
        <a:p>
          <a:r>
            <a:rPr lang="es-CL" sz="2000" baseline="0"/>
            <a:t>Pregunta 3:</a:t>
          </a:r>
        </a:p>
        <a:p>
          <a:endParaRPr lang="es-CL" sz="2000" baseline="0"/>
        </a:p>
        <a:p>
          <a:r>
            <a:rPr lang="es-CL" sz="2000"/>
            <a:t>a. ¿En que caso una serie de flujos crecientes, al ser evaluados, producirán un VAN Negativo independientemente de la tasa de descuento que se les aplique?</a:t>
          </a:r>
        </a:p>
        <a:p>
          <a:endParaRPr lang="es-CL" sz="2000"/>
        </a:p>
        <a:p>
          <a:r>
            <a:rPr lang="es-CL" sz="2000"/>
            <a:t>R: esto ocurre cuando la inversion inicial</a:t>
          </a:r>
          <a:r>
            <a:rPr lang="es-CL" sz="2000" baseline="0"/>
            <a:t> es tan grande que los flujos son crecientes pero el VAN va quedando negativo.</a:t>
          </a:r>
        </a:p>
        <a:p>
          <a:endParaRPr lang="es-CL" sz="2000" baseline="0"/>
        </a:p>
        <a:p>
          <a:r>
            <a:rPr lang="es-CL" sz="2000"/>
            <a:t>b. Cuál es la diferencia entre un VAN y el VALOR PRESENTE de una serie de flujos</a:t>
          </a:r>
        </a:p>
        <a:p>
          <a:endParaRPr lang="es-CL" sz="2000"/>
        </a:p>
        <a:p>
          <a:r>
            <a:rPr lang="es-CL" sz="2000"/>
            <a:t>R:   </a:t>
          </a:r>
        </a:p>
        <a:p>
          <a:endParaRPr lang="es-CL" sz="2000"/>
        </a:p>
        <a:p>
          <a:r>
            <a:rPr lang="es-CL" sz="2000"/>
            <a:t>c. ¿Cómo afecta al VAN de un proyecto el que aumente la TIR de sus flujos? ¿Puede explicar por qué razón?</a:t>
          </a:r>
        </a:p>
        <a:p>
          <a:endParaRPr lang="es-CL" sz="2000"/>
        </a:p>
        <a:p>
          <a:r>
            <a:rPr lang="es-CL" sz="2000"/>
            <a:t>R: Afecta en la ban teniendo</a:t>
          </a:r>
          <a:r>
            <a:rPr lang="es-CL" sz="2000" baseline="0"/>
            <a:t> mayor posibilidad de tener un proyecto exitoso ya que podremos dar una mayor tasa de descuento sin tener una van negativa.</a:t>
          </a:r>
        </a:p>
        <a:p>
          <a:r>
            <a:rPr lang="es-CL" sz="2000" baseline="0"/>
            <a:t>Siempre y cuando la TIR sea mayor que la tasa de descuento tendremos una VAN positiva lo cual significa que entre mas cresca la TIR , mayor sera nuestra van (manteniendo la tasa de descuento)</a:t>
          </a:r>
        </a:p>
        <a:p>
          <a:endParaRPr lang="es-CL" sz="2000" baseline="0"/>
        </a:p>
        <a:p>
          <a:r>
            <a:rPr lang="es-CL" sz="2000"/>
            <a:t>d. En lo que pudo estudiar o experimentar, ¿Cuáles son los aportes y cuales las desventajas de utilizar un software para evaluación de Proyectos como EasyPlanex o INTECPLAN en vez de a una planilla como EXCEL? Enumere.</a:t>
          </a:r>
        </a:p>
        <a:p>
          <a:endParaRPr lang="es-CL" sz="2000"/>
        </a:p>
        <a:p>
          <a:r>
            <a:rPr lang="es-CL" sz="2000"/>
            <a:t>R: .-Los aportes son que tienen las facilidades</a:t>
          </a:r>
          <a:r>
            <a:rPr lang="es-CL" sz="2000" baseline="0"/>
            <a:t> de uso y su ayuda, ya que con excel hay que entender totalmente cada parte del flujo que se este realizando en cambio con estos tipos de softwares, estamos siendo guiados por el mismo.</a:t>
          </a:r>
        </a:p>
        <a:p>
          <a:r>
            <a:rPr lang="es-CL" sz="2000" baseline="0"/>
            <a:t>.- Otro aporte es su Capacidad de uso ya que todos los tipos de calculos que se realizan en este tipo de software son automaticos , sin tener que preocuparse por calcular la VAN, TIR, etc.</a:t>
          </a:r>
          <a:endParaRPr lang="es-CL" sz="2000"/>
        </a:p>
        <a:p>
          <a:r>
            <a:rPr lang="es-CL" sz="2000"/>
            <a:t>.- Tenemos soporte para</a:t>
          </a:r>
          <a:r>
            <a:rPr lang="es-CL" sz="2000" baseline="0"/>
            <a:t> poder ser ayudados y se pueden encontrar ejemplos para guiarnos en nuestro propio proyecto</a:t>
          </a:r>
        </a:p>
        <a:p>
          <a:endParaRPr lang="es-CL" sz="2000" baseline="0"/>
        </a:p>
        <a:p>
          <a:r>
            <a:rPr lang="es-CL" sz="2000" baseline="0"/>
            <a:t>Desventajas:</a:t>
          </a:r>
        </a:p>
        <a:p>
          <a:r>
            <a:rPr lang="es-CL" sz="2000" baseline="0"/>
            <a:t>.-Seria no tener todo la libertad total que puede tener uno haciendolo uno mismo</a:t>
          </a:r>
        </a:p>
        <a:p>
          <a:r>
            <a:rPr lang="es-CL" sz="2000" baseline="0"/>
            <a:t>.-Tener que tener la licencia del software</a:t>
          </a:r>
        </a:p>
        <a:p>
          <a:endParaRPr lang="es-CL" sz="2000" baseline="0"/>
        </a:p>
        <a:p>
          <a:endParaRPr lang="es-CL" sz="2000" baseline="0"/>
        </a:p>
        <a:p>
          <a:r>
            <a:rPr lang="es-CL" sz="2000"/>
            <a:t>e. Señale los tipos de ajustes que generalmente deben realizarse al flujo de una evaluación privada, con el fin de realizar una Evaluación Social</a:t>
          </a:r>
        </a:p>
        <a:p>
          <a:endParaRPr lang="es-CL" sz="2000"/>
        </a:p>
        <a:p>
          <a:r>
            <a:rPr lang="es-CL" sz="2000"/>
            <a:t>R:</a:t>
          </a:r>
          <a:r>
            <a:rPr lang="es-CL" sz="2000" baseline="0"/>
            <a:t> El ajuste seria buscar tener una financiacion externa como las subenciones que nos proporcionaran a hacer el proyecto lo mas rentable posible para poder colocarlo en marcha, tambien los aranceles y los tributos no se consideraran egresos, viendo los beneficios sociales que se lograran con este.</a:t>
          </a:r>
        </a:p>
        <a:p>
          <a:endParaRPr lang="es-CL" sz="2000" baseline="0"/>
        </a:p>
        <a:p>
          <a:r>
            <a:rPr lang="es-CL" sz="2000"/>
            <a:t>f. Explique la razón por la que, en una evaluación Social, los costos de recursos que requieren divisas (moneda extranjera) se ajustan con un coeficiente mayor que uno.</a:t>
          </a:r>
        </a:p>
        <a:p>
          <a:endParaRPr lang="es-CL" sz="2000"/>
        </a:p>
        <a:p>
          <a:r>
            <a:rPr lang="es-CL" sz="2000"/>
            <a:t>R:</a:t>
          </a:r>
          <a:r>
            <a:rPr lang="es-CL" sz="2000" baseline="0"/>
            <a:t> Por que en otros paises pueden tener otro tipo de impuestos que deben agregarse. </a:t>
          </a:r>
        </a:p>
        <a:p>
          <a:endParaRPr lang="es-CL" sz="2000" baseline="0"/>
        </a:p>
        <a:p>
          <a:r>
            <a:rPr lang="es-CL" sz="2000"/>
            <a:t>g. ¿En qué casos, el apalancamiento de un proyecto (financiamiento por deuda para complementar capital propio invertido) es conveniente para el inversionista? ¿Cuáles son los riesgos de hacerlo? Justifique</a:t>
          </a:r>
        </a:p>
        <a:p>
          <a:endParaRPr lang="es-CL" sz="2000"/>
        </a:p>
        <a:p>
          <a:r>
            <a:rPr lang="es-CL" sz="2000"/>
            <a:t>R: Cuando una empresa no tiene el suficiente Capital para poder comenzar el proyecto puede recurrir</a:t>
          </a:r>
          <a:r>
            <a:rPr lang="es-CL" sz="2000" baseline="0"/>
            <a:t> a pedir un prestamo el cual dependera de la situacion si logra tener buena tasa de interes, para llevarlo a la practica, esto puede llevar a un riesgo a los inversores y tambien afectar al VAN</a:t>
          </a:r>
        </a:p>
        <a:p>
          <a:endParaRPr lang="es-CL" sz="2000" baseline="0"/>
        </a:p>
        <a:p>
          <a:r>
            <a:rPr lang="es-CL" sz="2000"/>
            <a:t>h. Explique en qué momento del proceso de Evaluación de un Proyecto se realiza un Análisis de Sensibilidad y qué aporta.j.- Explique en qué momento del proceso de Evaluación de un Proyecto se realiza un Análisis de Sensibilidad y qué aporta.</a:t>
          </a:r>
        </a:p>
        <a:p>
          <a:endParaRPr lang="es-CL" sz="2000"/>
        </a:p>
        <a:p>
          <a:r>
            <a:rPr lang="es-CL" sz="2000"/>
            <a:t>R:  Este debe realizar se al final de una evaluacion de proyecto.</a:t>
          </a:r>
          <a:r>
            <a:rPr lang="es-CL" sz="2000" baseline="0"/>
            <a:t> ya que ppuede pasar cualquier tipo de evento que lo afecte</a:t>
          </a:r>
        </a:p>
        <a:p>
          <a:endParaRPr lang="es-CL" sz="2000" baseline="0"/>
        </a:p>
        <a:p>
          <a:r>
            <a:rPr lang="es-CL" sz="2000"/>
            <a:t>i. ¿Qué implicancias tiene en el desarrollo del flujo del proyecto el apalancarlo (financiar el proyecto con deuda)? </a:t>
          </a:r>
        </a:p>
        <a:p>
          <a:endParaRPr lang="es-CL" sz="2000"/>
        </a:p>
        <a:p>
          <a:r>
            <a:rPr lang="es-CL" sz="2000"/>
            <a:t>R: puede ayudar a llevar a cabo nuetro proyecto pero este en nuestro flujo se vera afectado por las amortizaciones y los intereses que se unen al calculo</a:t>
          </a:r>
          <a:r>
            <a:rPr lang="es-CL" sz="2000" baseline="0"/>
            <a:t> de este. Lo que tambien estaria afectando a nuestro TIR y VAN</a:t>
          </a:r>
        </a:p>
        <a:p>
          <a:endParaRPr lang="es-CL" sz="2000" baseline="0"/>
        </a:p>
        <a:p>
          <a:r>
            <a:rPr lang="es-CL" sz="2000"/>
            <a:t>j. ¿Qué son los “gastos no desembolsables” y que relación tienen con otros ítemes del Flujo de Caja? </a:t>
          </a:r>
        </a:p>
        <a:p>
          <a:endParaRPr lang="es-CL" sz="2000"/>
        </a:p>
        <a:p>
          <a:r>
            <a:rPr lang="es-CL" sz="2000"/>
            <a:t>R: Son las depreciaciones</a:t>
          </a:r>
          <a:r>
            <a:rPr lang="es-CL" sz="2000" baseline="0"/>
            <a:t> y movimientos que no llevan en si un movimiento de dinero como puede ser un pago o un cobro.</a:t>
          </a:r>
        </a:p>
        <a:p>
          <a:endParaRPr lang="es-CL" sz="2000" baseline="0"/>
        </a:p>
        <a:p>
          <a:endParaRPr lang="es-CL" sz="2000" baseline="0"/>
        </a:p>
        <a:p>
          <a:r>
            <a:rPr lang="es-CL" sz="2000" baseline="0"/>
            <a:t>Pregunta 4:</a:t>
          </a:r>
        </a:p>
        <a:p>
          <a:endParaRPr lang="es-CL" sz="2000" baseline="0"/>
        </a:p>
        <a:p>
          <a:r>
            <a:rPr lang="es-CL" sz="2000" baseline="0"/>
            <a:t>Errores de SONDA:</a:t>
          </a:r>
        </a:p>
        <a:p>
          <a:r>
            <a:rPr lang="es-CL" sz="2000" baseline="0"/>
            <a:t> </a:t>
          </a:r>
        </a:p>
        <a:p>
          <a:r>
            <a:rPr lang="es-CL" sz="2000" baseline="0"/>
            <a:t>.-Tenemos egresos operacionales que aparecen de la nada (los 8000) que incluso estan en un año 0.</a:t>
          </a:r>
        </a:p>
        <a:p>
          <a:r>
            <a:rPr lang="es-CL" sz="2000" baseline="0"/>
            <a:t>.- las drepreciaciones son negativas.... (hay un +8000)</a:t>
          </a:r>
        </a:p>
        <a:p>
          <a:r>
            <a:rPr lang="es-CL" sz="2000" baseline="0"/>
            <a:t>.- Tenemos 8000 de depreciacion de servidores que estan en el año 0, momento que no se deprecia nada.</a:t>
          </a:r>
        </a:p>
        <a:p>
          <a:r>
            <a:rPr lang="es-CL" sz="2000" baseline="0"/>
            <a:t>.-Nuestro flujo de proyecto esta mal ya que deberia ser -193.000</a:t>
          </a:r>
        </a:p>
        <a:p>
          <a:r>
            <a:rPr lang="es-CL" sz="2000" baseline="0"/>
            <a:t>.-El flujo acumulado tambien queda mal colocado , tambien la TIR Y VAN</a:t>
          </a:r>
        </a:p>
        <a:p>
          <a:endParaRPr lang="es-CL" sz="2000"/>
        </a:p>
        <a:p>
          <a:endParaRPr lang="es-CL" sz="2000"/>
        </a:p>
        <a:p>
          <a:endParaRPr lang="es-CL" sz="2000"/>
        </a:p>
        <a:p>
          <a:endParaRPr lang="es-CL" sz="2000"/>
        </a:p>
        <a:p>
          <a:endParaRPr lang="es-CL" sz="2000"/>
        </a:p>
        <a:p>
          <a:endParaRPr lang="es-CL" sz="2000" baseline="0"/>
        </a:p>
        <a:p>
          <a:endParaRPr lang="es-CL" sz="2000" baseline="0"/>
        </a:p>
        <a:p>
          <a:endParaRPr lang="es-CL" sz="2000" baseline="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5"/>
  <sheetViews>
    <sheetView tabSelected="1" topLeftCell="A58" zoomScale="90" zoomScaleNormal="90" workbookViewId="0">
      <selection activeCell="G49" sqref="G49"/>
    </sheetView>
  </sheetViews>
  <sheetFormatPr baseColWidth="10" defaultRowHeight="15.6" x14ac:dyDescent="0.3"/>
  <cols>
    <col min="1" max="1" width="6" style="7" customWidth="1"/>
    <col min="2" max="2" width="37.19921875" customWidth="1"/>
    <col min="3" max="3" width="29.59765625" customWidth="1"/>
    <col min="4" max="4" width="20.69921875" customWidth="1"/>
    <col min="5" max="5" width="23.09765625" customWidth="1"/>
    <col min="6" max="7" width="15.8984375" customWidth="1"/>
    <col min="8" max="8" width="23" customWidth="1"/>
    <col min="9" max="9" width="53.8984375" customWidth="1"/>
    <col min="11" max="11" width="19.5" customWidth="1"/>
    <col min="12" max="12" width="17.3984375" customWidth="1"/>
    <col min="13" max="13" width="16" customWidth="1"/>
    <col min="14" max="14" width="15.5" customWidth="1"/>
  </cols>
  <sheetData>
    <row r="1" spans="1:14" ht="21" x14ac:dyDescent="0.4">
      <c r="B1" s="53" t="s">
        <v>55</v>
      </c>
      <c r="C1" s="54"/>
      <c r="D1" s="20" t="s">
        <v>59</v>
      </c>
      <c r="E1" s="26"/>
      <c r="F1" s="53" t="s">
        <v>56</v>
      </c>
      <c r="G1" s="53"/>
      <c r="I1" s="8" t="s">
        <v>57</v>
      </c>
    </row>
    <row r="2" spans="1:14" ht="15" customHeight="1" x14ac:dyDescent="0.4">
      <c r="B2" s="53"/>
      <c r="C2" s="54"/>
      <c r="D2" s="20"/>
      <c r="E2" s="26"/>
      <c r="F2" s="53"/>
      <c r="G2" s="53"/>
      <c r="I2" s="8"/>
    </row>
    <row r="3" spans="1:14" ht="15" customHeight="1" x14ac:dyDescent="0.4">
      <c r="B3" s="53"/>
      <c r="C3" s="87" t="s">
        <v>62</v>
      </c>
      <c r="D3" s="78">
        <v>100</v>
      </c>
      <c r="E3" s="88" t="s">
        <v>81</v>
      </c>
      <c r="F3" s="79">
        <v>650000</v>
      </c>
      <c r="G3" s="86">
        <v>3</v>
      </c>
      <c r="H3" s="91" t="s">
        <v>64</v>
      </c>
      <c r="I3" s="59"/>
    </row>
    <row r="4" spans="1:14" ht="15" customHeight="1" x14ac:dyDescent="0.4">
      <c r="B4" s="53"/>
      <c r="C4" s="87" t="s">
        <v>66</v>
      </c>
      <c r="D4" s="80">
        <v>7000000</v>
      </c>
      <c r="E4" s="87" t="s">
        <v>65</v>
      </c>
      <c r="F4" s="81">
        <v>3561.3297874617188</v>
      </c>
      <c r="G4" s="75"/>
      <c r="H4" s="89" t="s">
        <v>83</v>
      </c>
      <c r="I4" s="92">
        <f>((D3*F7)*(F5*F8))*F4</f>
        <v>512831489.3944875</v>
      </c>
    </row>
    <row r="5" spans="1:14" ht="15" customHeight="1" x14ac:dyDescent="0.4">
      <c r="B5" s="53"/>
      <c r="C5" s="87" t="s">
        <v>67</v>
      </c>
      <c r="D5" s="80">
        <v>500000</v>
      </c>
      <c r="E5" s="87" t="s">
        <v>71</v>
      </c>
      <c r="F5" s="82">
        <v>20</v>
      </c>
      <c r="G5" s="77">
        <v>500</v>
      </c>
      <c r="H5" s="76" t="s">
        <v>85</v>
      </c>
      <c r="I5" s="59"/>
    </row>
    <row r="6" spans="1:14" ht="15" customHeight="1" x14ac:dyDescent="0.4">
      <c r="B6" s="53"/>
      <c r="C6" s="87" t="s">
        <v>68</v>
      </c>
      <c r="D6" s="83">
        <v>700000</v>
      </c>
      <c r="E6" s="89" t="s">
        <v>72</v>
      </c>
      <c r="F6" s="84">
        <v>0.2</v>
      </c>
      <c r="G6" s="57"/>
      <c r="H6" s="58"/>
      <c r="I6" s="59"/>
    </row>
    <row r="7" spans="1:14" ht="15" customHeight="1" x14ac:dyDescent="0.4">
      <c r="B7" s="53"/>
      <c r="C7" s="87" t="s">
        <v>69</v>
      </c>
      <c r="D7" s="83">
        <v>50000</v>
      </c>
      <c r="E7" s="89" t="s">
        <v>78</v>
      </c>
      <c r="F7" s="85">
        <v>6</v>
      </c>
      <c r="G7" s="60"/>
      <c r="H7" s="57"/>
      <c r="I7" s="59"/>
    </row>
    <row r="8" spans="1:14" ht="15" customHeight="1" x14ac:dyDescent="0.4">
      <c r="B8" s="53"/>
      <c r="C8" s="87" t="s">
        <v>70</v>
      </c>
      <c r="D8" s="83">
        <v>30000</v>
      </c>
      <c r="E8" s="90" t="s">
        <v>80</v>
      </c>
      <c r="F8" s="86">
        <v>12</v>
      </c>
      <c r="G8" s="57"/>
      <c r="H8" s="58"/>
      <c r="I8" s="59"/>
    </row>
    <row r="10" spans="1:14" ht="21" x14ac:dyDescent="0.4">
      <c r="B10" s="20" t="s">
        <v>36</v>
      </c>
      <c r="C10" s="8">
        <v>0</v>
      </c>
      <c r="D10" s="8">
        <v>1</v>
      </c>
      <c r="E10" s="8">
        <v>2</v>
      </c>
      <c r="F10" s="8">
        <v>3</v>
      </c>
      <c r="G10" s="8">
        <v>4</v>
      </c>
      <c r="H10" s="8">
        <v>5</v>
      </c>
    </row>
    <row r="11" spans="1:14" x14ac:dyDescent="0.3">
      <c r="A11" s="7">
        <v>1</v>
      </c>
      <c r="B11" s="15" t="s">
        <v>37</v>
      </c>
      <c r="C11" s="9">
        <f>C12+C13+C14+C15</f>
        <v>0</v>
      </c>
      <c r="D11" s="9">
        <f t="shared" ref="D11:H11" si="0">D12+D13+D14+D15</f>
        <v>512831489.39448756</v>
      </c>
      <c r="E11" s="9">
        <f t="shared" si="0"/>
        <v>615397787.27338505</v>
      </c>
      <c r="F11" s="9">
        <f t="shared" si="0"/>
        <v>758477344.72806203</v>
      </c>
      <c r="G11" s="9">
        <f t="shared" si="0"/>
        <v>886172813.67367446</v>
      </c>
      <c r="H11" s="9">
        <f t="shared" si="0"/>
        <v>1103407376.4084094</v>
      </c>
      <c r="L11" s="10"/>
      <c r="N11" s="10"/>
    </row>
    <row r="12" spans="1:14" x14ac:dyDescent="0.3">
      <c r="A12" s="7" t="s">
        <v>7</v>
      </c>
      <c r="B12" s="16" t="s">
        <v>77</v>
      </c>
      <c r="C12" s="61"/>
      <c r="D12" s="4">
        <f>(((D3*F7)*F4)*F5)*F8</f>
        <v>512831489.39448756</v>
      </c>
      <c r="E12" s="4">
        <f>D12*(1+$F$6)</f>
        <v>615397787.27338505</v>
      </c>
      <c r="F12" s="4">
        <f>E12*(1+$F$6)</f>
        <v>738477344.72806203</v>
      </c>
      <c r="G12" s="4">
        <f t="shared" ref="G12:H12" si="1">F12*(1+$F$6)</f>
        <v>886172813.67367446</v>
      </c>
      <c r="H12" s="4">
        <f t="shared" si="1"/>
        <v>1063407376.4084094</v>
      </c>
      <c r="L12" s="10"/>
      <c r="N12" s="10"/>
    </row>
    <row r="13" spans="1:14" x14ac:dyDescent="0.3">
      <c r="A13" s="7" t="s">
        <v>8</v>
      </c>
      <c r="B13" s="62" t="s">
        <v>87</v>
      </c>
      <c r="C13" s="61"/>
      <c r="D13" s="4"/>
      <c r="E13" s="4"/>
      <c r="F13" s="4">
        <v>20000000</v>
      </c>
      <c r="G13" s="4"/>
      <c r="H13" s="4">
        <v>40000000</v>
      </c>
      <c r="L13" s="10"/>
      <c r="N13" s="10"/>
    </row>
    <row r="14" spans="1:14" x14ac:dyDescent="0.3">
      <c r="A14" s="7" t="s">
        <v>9</v>
      </c>
      <c r="B14" s="16"/>
      <c r="C14" s="61"/>
      <c r="D14" s="4"/>
      <c r="E14" s="4"/>
      <c r="F14" s="4"/>
      <c r="G14" s="4"/>
      <c r="H14" s="4"/>
      <c r="L14" s="10"/>
      <c r="N14" s="10"/>
    </row>
    <row r="15" spans="1:14" x14ac:dyDescent="0.3">
      <c r="A15" s="7" t="s">
        <v>10</v>
      </c>
      <c r="B15" s="16"/>
      <c r="C15" s="61"/>
      <c r="D15" s="4"/>
      <c r="E15" s="4"/>
      <c r="F15" s="4"/>
      <c r="G15" s="4"/>
      <c r="H15" s="4"/>
      <c r="L15" s="10"/>
      <c r="N15" s="10"/>
    </row>
    <row r="16" spans="1:14" x14ac:dyDescent="0.3">
      <c r="A16" s="7">
        <v>2</v>
      </c>
      <c r="B16" s="15" t="s">
        <v>38</v>
      </c>
      <c r="C16" s="9">
        <f>C17+C23</f>
        <v>-50000000</v>
      </c>
      <c r="D16" s="9">
        <f t="shared" ref="D16:H16" si="2">D17+D23</f>
        <v>-240000000</v>
      </c>
      <c r="E16" s="9">
        <f t="shared" si="2"/>
        <v>-254400000</v>
      </c>
      <c r="F16" s="9">
        <f t="shared" si="2"/>
        <v>-271680000</v>
      </c>
      <c r="G16" s="9">
        <f t="shared" si="2"/>
        <v>-292416000</v>
      </c>
      <c r="H16" s="9">
        <f t="shared" si="2"/>
        <v>-317299200</v>
      </c>
    </row>
    <row r="17" spans="1:14" x14ac:dyDescent="0.3">
      <c r="A17" s="7" t="s">
        <v>11</v>
      </c>
      <c r="B17" s="15" t="s">
        <v>1</v>
      </c>
      <c r="C17" s="74">
        <f>C18+C19+C20+C21+C22</f>
        <v>0</v>
      </c>
      <c r="D17" s="9">
        <f t="shared" ref="D17:H17" si="3">D18+D19+D20+D21+D22</f>
        <v>0</v>
      </c>
      <c r="E17" s="9">
        <f>E18+E19+E20+E21+E22</f>
        <v>0</v>
      </c>
      <c r="F17" s="9">
        <f t="shared" si="3"/>
        <v>0</v>
      </c>
      <c r="G17" s="9">
        <f t="shared" si="3"/>
        <v>0</v>
      </c>
      <c r="H17" s="9">
        <f t="shared" si="3"/>
        <v>0</v>
      </c>
      <c r="N17" s="10"/>
    </row>
    <row r="18" spans="1:14" x14ac:dyDescent="0.3">
      <c r="A18" s="7" t="s">
        <v>13</v>
      </c>
      <c r="B18" s="16"/>
      <c r="C18" s="4"/>
      <c r="D18" s="4"/>
      <c r="E18" s="4"/>
      <c r="F18" s="4"/>
      <c r="G18" s="4"/>
      <c r="H18" s="4"/>
    </row>
    <row r="19" spans="1:14" x14ac:dyDescent="0.3">
      <c r="A19" s="7" t="s">
        <v>14</v>
      </c>
      <c r="B19" s="16"/>
      <c r="C19" s="4"/>
      <c r="D19" s="4"/>
      <c r="E19" s="4"/>
      <c r="F19" s="4"/>
      <c r="G19" s="4"/>
      <c r="H19" s="4"/>
    </row>
    <row r="20" spans="1:14" x14ac:dyDescent="0.3">
      <c r="A20" s="7" t="s">
        <v>15</v>
      </c>
      <c r="B20" s="62"/>
      <c r="C20" s="4"/>
      <c r="D20" s="4"/>
      <c r="E20" s="4"/>
      <c r="F20" s="4"/>
      <c r="G20" s="4"/>
      <c r="H20" s="4"/>
    </row>
    <row r="21" spans="1:14" x14ac:dyDescent="0.3">
      <c r="A21" s="7" t="s">
        <v>16</v>
      </c>
      <c r="B21" s="62"/>
      <c r="C21" s="4"/>
      <c r="D21" s="4"/>
      <c r="E21" s="4"/>
      <c r="F21" s="4"/>
      <c r="G21" s="4"/>
      <c r="H21" s="4"/>
    </row>
    <row r="22" spans="1:14" ht="6.9" customHeight="1" x14ac:dyDescent="0.3">
      <c r="B22" s="16"/>
      <c r="C22" s="4"/>
      <c r="D22" s="4"/>
      <c r="E22" s="4"/>
      <c r="F22" s="4"/>
      <c r="G22" s="4"/>
      <c r="H22" s="4"/>
    </row>
    <row r="23" spans="1:14" x14ac:dyDescent="0.3">
      <c r="A23" s="7" t="s">
        <v>12</v>
      </c>
      <c r="B23" s="15" t="s">
        <v>2</v>
      </c>
      <c r="C23" s="9">
        <f>C24+C25+C26++C28+C29</f>
        <v>-50000000</v>
      </c>
      <c r="D23" s="9">
        <f>D24+D25+D26+D27+D28+D29</f>
        <v>-240000000</v>
      </c>
      <c r="E23" s="9">
        <f>E24+E25+E26+E27+E28+E29</f>
        <v>-254400000</v>
      </c>
      <c r="F23" s="9">
        <f>F24+F25+F26+F27+F28+F29</f>
        <v>-271680000</v>
      </c>
      <c r="G23" s="9">
        <f>G24+G25+G26+G27+G28+G29</f>
        <v>-292416000</v>
      </c>
      <c r="H23" s="9">
        <f>H24+H25+H26+H27+H28+H29</f>
        <v>-317299200</v>
      </c>
    </row>
    <row r="24" spans="1:14" x14ac:dyDescent="0.3">
      <c r="A24" s="7" t="s">
        <v>17</v>
      </c>
      <c r="B24" s="16" t="s">
        <v>74</v>
      </c>
      <c r="C24" s="4"/>
      <c r="D24" s="4">
        <f>(-D8)*(D3*F7)</f>
        <v>-18000000</v>
      </c>
      <c r="E24" s="4">
        <f>D24</f>
        <v>-18000000</v>
      </c>
      <c r="F24" s="4">
        <f t="shared" ref="F24:H24" si="4">E24</f>
        <v>-18000000</v>
      </c>
      <c r="G24" s="4">
        <f t="shared" si="4"/>
        <v>-18000000</v>
      </c>
      <c r="H24" s="4">
        <f t="shared" si="4"/>
        <v>-18000000</v>
      </c>
    </row>
    <row r="25" spans="1:14" x14ac:dyDescent="0.3">
      <c r="A25" s="7" t="s">
        <v>18</v>
      </c>
      <c r="B25" s="16" t="s">
        <v>63</v>
      </c>
      <c r="C25" s="4">
        <f>D25</f>
        <v>-50000000</v>
      </c>
      <c r="D25" s="4">
        <f>(-D5*D3)</f>
        <v>-50000000</v>
      </c>
      <c r="E25" s="4">
        <f>D25</f>
        <v>-50000000</v>
      </c>
      <c r="F25" s="4">
        <f t="shared" ref="F25:H25" si="5">E25</f>
        <v>-50000000</v>
      </c>
      <c r="G25" s="4">
        <f t="shared" si="5"/>
        <v>-50000000</v>
      </c>
      <c r="H25" s="4">
        <f t="shared" si="5"/>
        <v>-50000000</v>
      </c>
    </row>
    <row r="26" spans="1:14" ht="18" x14ac:dyDescent="0.35">
      <c r="A26" s="7" t="s">
        <v>19</v>
      </c>
      <c r="B26" s="16" t="s">
        <v>75</v>
      </c>
      <c r="C26" s="4"/>
      <c r="D26" s="4">
        <f>(-D6*D3)</f>
        <v>-70000000</v>
      </c>
      <c r="E26" s="4">
        <f>D26</f>
        <v>-70000000</v>
      </c>
      <c r="F26" s="4">
        <f t="shared" ref="F26:H28" si="6">E26</f>
        <v>-70000000</v>
      </c>
      <c r="G26" s="4">
        <f t="shared" si="6"/>
        <v>-70000000</v>
      </c>
      <c r="H26" s="4">
        <f t="shared" si="6"/>
        <v>-70000000</v>
      </c>
      <c r="K26" s="55" t="s">
        <v>58</v>
      </c>
      <c r="L26" s="56"/>
      <c r="M26" s="56"/>
      <c r="N26" s="56"/>
    </row>
    <row r="27" spans="1:14" ht="18" x14ac:dyDescent="0.35">
      <c r="B27" s="16" t="s">
        <v>84</v>
      </c>
      <c r="C27" s="4"/>
      <c r="D27" s="4">
        <f>(D3*F7)*(F5*F8)*-G5</f>
        <v>-72000000</v>
      </c>
      <c r="E27" s="4">
        <f>D27*(1+F6)</f>
        <v>-86400000</v>
      </c>
      <c r="F27" s="4">
        <f>E27*(1+$F$6)</f>
        <v>-103680000</v>
      </c>
      <c r="G27" s="4">
        <f t="shared" ref="G27:H27" si="7">F27*(1+$F$6)</f>
        <v>-124416000</v>
      </c>
      <c r="H27" s="4">
        <f t="shared" si="7"/>
        <v>-149299200</v>
      </c>
      <c r="K27" s="55"/>
      <c r="L27" s="56"/>
      <c r="M27" s="56"/>
      <c r="N27" s="56"/>
    </row>
    <row r="28" spans="1:14" x14ac:dyDescent="0.3">
      <c r="A28" s="7" t="s">
        <v>20</v>
      </c>
      <c r="B28" s="16" t="s">
        <v>73</v>
      </c>
      <c r="C28" s="4"/>
      <c r="D28" s="4">
        <f>(-D7)*(D3*F7)</f>
        <v>-30000000</v>
      </c>
      <c r="E28" s="4">
        <f>D28</f>
        <v>-30000000</v>
      </c>
      <c r="F28" s="4">
        <f t="shared" si="6"/>
        <v>-30000000</v>
      </c>
      <c r="G28" s="4">
        <f t="shared" si="6"/>
        <v>-30000000</v>
      </c>
      <c r="H28" s="4">
        <f t="shared" si="6"/>
        <v>-30000000</v>
      </c>
    </row>
    <row r="29" spans="1:14" ht="18.600000000000001" thickBot="1" x14ac:dyDescent="0.4">
      <c r="A29" s="7" t="s">
        <v>21</v>
      </c>
      <c r="B29" s="16" t="s">
        <v>29</v>
      </c>
      <c r="C29" s="4"/>
      <c r="D29" s="4">
        <f>-L32</f>
        <v>0</v>
      </c>
      <c r="E29" s="4">
        <f>-L33</f>
        <v>0</v>
      </c>
      <c r="F29" s="4">
        <f>-L34</f>
        <v>0</v>
      </c>
      <c r="G29" s="4">
        <f>-L35</f>
        <v>0</v>
      </c>
      <c r="H29" s="4">
        <f>-L36</f>
        <v>0</v>
      </c>
      <c r="K29" s="41" t="s">
        <v>49</v>
      </c>
    </row>
    <row r="30" spans="1:14" x14ac:dyDescent="0.3">
      <c r="A30" s="7">
        <v>3</v>
      </c>
      <c r="B30" s="15" t="s">
        <v>0</v>
      </c>
      <c r="C30" s="9">
        <f>C31+C32+C33+C34</f>
        <v>0</v>
      </c>
      <c r="D30" s="9">
        <f>D31+D32+D33+D34</f>
        <v>-200000000</v>
      </c>
      <c r="E30" s="9">
        <f>E31+E32+E33+E34</f>
        <v>-200000000</v>
      </c>
      <c r="F30" s="9">
        <f>F31+F32+F33+F34</f>
        <v>-200000000</v>
      </c>
      <c r="G30" s="9">
        <f>G31+G32+G33+G34</f>
        <v>-200000000</v>
      </c>
      <c r="H30" s="9">
        <f t="shared" ref="H30" si="8">H31+H32+H33+H34</f>
        <v>-680000000</v>
      </c>
      <c r="K30" s="36" t="s">
        <v>48</v>
      </c>
      <c r="L30" s="37" t="s">
        <v>46</v>
      </c>
      <c r="M30" s="37" t="s">
        <v>47</v>
      </c>
      <c r="N30" s="38" t="s">
        <v>32</v>
      </c>
    </row>
    <row r="31" spans="1:14" ht="16.2" thickBot="1" x14ac:dyDescent="0.35">
      <c r="A31" s="7" t="s">
        <v>22</v>
      </c>
      <c r="B31" s="16" t="s">
        <v>79</v>
      </c>
      <c r="C31" s="4"/>
      <c r="D31" s="4">
        <f>C48/3</f>
        <v>-130000000</v>
      </c>
      <c r="E31" s="4">
        <f>D31</f>
        <v>-130000000</v>
      </c>
      <c r="F31" s="4">
        <f t="shared" ref="F31" si="9">E31</f>
        <v>-130000000</v>
      </c>
      <c r="G31" s="4">
        <f>F48/3</f>
        <v>-130000000</v>
      </c>
      <c r="H31" s="4">
        <f>G31*2</f>
        <v>-260000000</v>
      </c>
      <c r="J31">
        <v>0</v>
      </c>
      <c r="K31" s="39">
        <v>0</v>
      </c>
      <c r="L31" s="50">
        <v>5</v>
      </c>
      <c r="M31" s="51">
        <v>0.18</v>
      </c>
      <c r="N31" s="40">
        <f>PMT(M31,L31,K31)</f>
        <v>0</v>
      </c>
    </row>
    <row r="32" spans="1:14" x14ac:dyDescent="0.3">
      <c r="A32" s="7" t="s">
        <v>23</v>
      </c>
      <c r="B32" s="16" t="s">
        <v>86</v>
      </c>
      <c r="C32" s="4"/>
      <c r="D32" s="4">
        <f>C49/10</f>
        <v>-70000000</v>
      </c>
      <c r="E32" s="4">
        <f>D32</f>
        <v>-70000000</v>
      </c>
      <c r="F32" s="4">
        <f>E32</f>
        <v>-70000000</v>
      </c>
      <c r="G32" s="4">
        <f>F32</f>
        <v>-70000000</v>
      </c>
      <c r="H32" s="4">
        <f>G32*6</f>
        <v>-420000000</v>
      </c>
      <c r="J32">
        <v>1</v>
      </c>
      <c r="K32" s="28">
        <f>K31-M32</f>
        <v>0</v>
      </c>
      <c r="L32" s="29">
        <f>K31*$M$31</f>
        <v>0</v>
      </c>
      <c r="M32" s="29">
        <f>N32-L32</f>
        <v>0</v>
      </c>
      <c r="N32" s="30">
        <f>-N31</f>
        <v>0</v>
      </c>
    </row>
    <row r="33" spans="1:14" ht="15.9" customHeight="1" x14ac:dyDescent="0.3">
      <c r="B33" s="1"/>
      <c r="C33" s="4"/>
      <c r="D33" s="4"/>
      <c r="E33" s="4"/>
      <c r="F33" s="4"/>
      <c r="G33" s="4"/>
      <c r="H33" s="4"/>
      <c r="J33">
        <v>2</v>
      </c>
      <c r="K33" s="31">
        <f t="shared" ref="K33:K34" si="10">K32-M33</f>
        <v>0</v>
      </c>
      <c r="L33" s="27">
        <f t="shared" ref="L33:L34" si="11">K32*$M$31</f>
        <v>0</v>
      </c>
      <c r="M33" s="27">
        <f t="shared" ref="M33:M36" si="12">N33-L33</f>
        <v>0</v>
      </c>
      <c r="N33" s="32">
        <f>N32</f>
        <v>0</v>
      </c>
    </row>
    <row r="34" spans="1:14" ht="15.9" customHeight="1" x14ac:dyDescent="0.3">
      <c r="B34" s="1"/>
      <c r="C34" s="4"/>
      <c r="D34" s="4"/>
      <c r="E34" s="4"/>
      <c r="F34" s="4"/>
      <c r="G34" s="4"/>
      <c r="H34" s="4"/>
      <c r="J34">
        <v>3</v>
      </c>
      <c r="K34" s="31">
        <f t="shared" si="10"/>
        <v>0</v>
      </c>
      <c r="L34" s="27">
        <f t="shared" si="11"/>
        <v>0</v>
      </c>
      <c r="M34" s="27">
        <f t="shared" si="12"/>
        <v>0</v>
      </c>
      <c r="N34" s="32">
        <f t="shared" ref="N34" si="13">N33</f>
        <v>0</v>
      </c>
    </row>
    <row r="35" spans="1:14" ht="16.2" thickBot="1" x14ac:dyDescent="0.35">
      <c r="A35" s="7">
        <v>4</v>
      </c>
      <c r="B35" s="17" t="s">
        <v>4</v>
      </c>
      <c r="C35" s="11">
        <f>C11+C16+C30</f>
        <v>-50000000</v>
      </c>
      <c r="D35" s="11">
        <f>D11+D16+D30</f>
        <v>72831489.39448756</v>
      </c>
      <c r="E35" s="11">
        <f>E11+E16+E30</f>
        <v>160997787.27338505</v>
      </c>
      <c r="F35" s="11">
        <f>F11+F16+F30</f>
        <v>286797344.72806203</v>
      </c>
      <c r="G35" s="11">
        <f>G11+G16+G30</f>
        <v>393756813.67367446</v>
      </c>
      <c r="H35" s="11">
        <f>H11+H16+H30</f>
        <v>106108176.40840936</v>
      </c>
      <c r="J35">
        <v>4</v>
      </c>
      <c r="K35" s="31">
        <f>K34-M35</f>
        <v>0</v>
      </c>
      <c r="L35" s="27">
        <f>K34*$M$31</f>
        <v>0</v>
      </c>
      <c r="M35" s="27">
        <f t="shared" si="12"/>
        <v>0</v>
      </c>
      <c r="N35" s="32">
        <f>N34</f>
        <v>0</v>
      </c>
    </row>
    <row r="36" spans="1:14" ht="16.2" thickBot="1" x14ac:dyDescent="0.35">
      <c r="A36" s="7" t="s">
        <v>45</v>
      </c>
      <c r="B36" s="18" t="s">
        <v>35</v>
      </c>
      <c r="C36" s="12">
        <f>C35</f>
        <v>-50000000</v>
      </c>
      <c r="D36" s="12">
        <f>C36+D35</f>
        <v>22831489.39448756</v>
      </c>
      <c r="E36" s="12">
        <f>E35</f>
        <v>160997787.27338505</v>
      </c>
      <c r="F36" s="12">
        <f t="shared" ref="F36:H36" si="14">F35</f>
        <v>286797344.72806203</v>
      </c>
      <c r="G36" s="12">
        <f t="shared" si="14"/>
        <v>393756813.67367446</v>
      </c>
      <c r="H36" s="12">
        <f t="shared" si="14"/>
        <v>106108176.40840936</v>
      </c>
      <c r="J36">
        <v>5</v>
      </c>
      <c r="K36" s="33">
        <f>K35-M36</f>
        <v>0</v>
      </c>
      <c r="L36" s="34">
        <f>K35*$M$31</f>
        <v>0</v>
      </c>
      <c r="M36" s="34">
        <f t="shared" si="12"/>
        <v>0</v>
      </c>
      <c r="N36" s="35">
        <f>N35</f>
        <v>0</v>
      </c>
    </row>
    <row r="37" spans="1:14" s="26" customFormat="1" ht="18" x14ac:dyDescent="0.35">
      <c r="A37" s="23">
        <v>5</v>
      </c>
      <c r="B37" s="24" t="s">
        <v>3</v>
      </c>
      <c r="C37" s="25"/>
      <c r="D37" s="25">
        <f>D36*-0.27</f>
        <v>-6164502.1365116416</v>
      </c>
      <c r="E37" s="25">
        <f>E36*-0.27</f>
        <v>-43469402.563813969</v>
      </c>
      <c r="F37" s="25">
        <f>F36*-0.27</f>
        <v>-77435283.076576754</v>
      </c>
      <c r="G37" s="25">
        <f>G36*-0.27</f>
        <v>-106314339.69189212</v>
      </c>
      <c r="H37" s="25">
        <f>H36*-0.27</f>
        <v>-28649207.63027053</v>
      </c>
      <c r="L37" s="52" t="s">
        <v>52</v>
      </c>
      <c r="M37" s="52" t="s">
        <v>53</v>
      </c>
      <c r="N37" s="52" t="s">
        <v>54</v>
      </c>
    </row>
    <row r="38" spans="1:14" x14ac:dyDescent="0.3">
      <c r="A38" s="7" t="s">
        <v>24</v>
      </c>
      <c r="B38" s="19" t="s">
        <v>5</v>
      </c>
      <c r="C38" s="13">
        <f>-C30</f>
        <v>0</v>
      </c>
      <c r="D38" s="13">
        <f>-D30</f>
        <v>200000000</v>
      </c>
      <c r="E38" s="13">
        <f>-E30</f>
        <v>200000000</v>
      </c>
      <c r="F38" s="13">
        <f>-F30</f>
        <v>200000000</v>
      </c>
      <c r="G38" s="13">
        <f>-G30</f>
        <v>200000000</v>
      </c>
      <c r="H38" s="13">
        <f>-H30</f>
        <v>680000000</v>
      </c>
    </row>
    <row r="39" spans="1:14" ht="6.9" customHeight="1" x14ac:dyDescent="0.3">
      <c r="B39" s="3"/>
      <c r="C39" s="4"/>
      <c r="D39" s="4"/>
      <c r="E39" s="4"/>
      <c r="F39" s="4"/>
      <c r="G39" s="4"/>
      <c r="H39" s="4"/>
    </row>
    <row r="40" spans="1:14" x14ac:dyDescent="0.3">
      <c r="A40" s="7">
        <v>6</v>
      </c>
      <c r="B40" s="19" t="s">
        <v>39</v>
      </c>
      <c r="C40" s="13">
        <f>C35+C38</f>
        <v>-50000000</v>
      </c>
      <c r="D40" s="13">
        <f>D35+D38+D37</f>
        <v>266666987.25797591</v>
      </c>
      <c r="E40" s="13">
        <f>E35+E38+E37</f>
        <v>317528384.70957106</v>
      </c>
      <c r="F40" s="13">
        <f>F35+F38+F37</f>
        <v>409362061.65148526</v>
      </c>
      <c r="G40" s="13">
        <f>G35+G38+G37</f>
        <v>487442473.98178232</v>
      </c>
      <c r="H40" s="13">
        <f>H35+H37+H38</f>
        <v>757458968.77813888</v>
      </c>
    </row>
    <row r="41" spans="1:14" ht="9.9" customHeight="1" x14ac:dyDescent="0.3">
      <c r="B41" s="3"/>
      <c r="C41" s="4"/>
      <c r="D41" s="4"/>
      <c r="E41" s="4"/>
      <c r="F41" s="4"/>
      <c r="G41" s="4"/>
      <c r="H41" s="4"/>
    </row>
    <row r="42" spans="1:14" x14ac:dyDescent="0.3">
      <c r="A42" s="7">
        <v>7</v>
      </c>
      <c r="B42" s="15" t="s">
        <v>33</v>
      </c>
      <c r="C42" s="9">
        <f>C43+C44+C45</f>
        <v>0</v>
      </c>
      <c r="D42" s="9">
        <f t="shared" ref="D42:H42" si="15">D43+D44+D45</f>
        <v>0</v>
      </c>
      <c r="E42" s="9">
        <f t="shared" si="15"/>
        <v>0</v>
      </c>
      <c r="F42" s="9">
        <f t="shared" si="15"/>
        <v>0</v>
      </c>
      <c r="G42" s="9">
        <f t="shared" si="15"/>
        <v>0</v>
      </c>
      <c r="H42" s="9">
        <f t="shared" si="15"/>
        <v>0</v>
      </c>
    </row>
    <row r="43" spans="1:14" x14ac:dyDescent="0.3">
      <c r="A43" s="7" t="s">
        <v>25</v>
      </c>
      <c r="B43" s="3" t="s">
        <v>30</v>
      </c>
      <c r="C43" s="4">
        <f>K31</f>
        <v>0</v>
      </c>
      <c r="D43" s="14"/>
      <c r="E43" s="14"/>
      <c r="F43" s="14"/>
      <c r="G43" s="14"/>
      <c r="H43" s="14"/>
    </row>
    <row r="44" spans="1:14" ht="6" customHeight="1" x14ac:dyDescent="0.3">
      <c r="B44" s="3"/>
      <c r="C44" s="4"/>
      <c r="D44" s="4"/>
      <c r="E44" s="4"/>
      <c r="F44" s="4"/>
      <c r="G44" s="4"/>
      <c r="H44" s="4"/>
    </row>
    <row r="45" spans="1:14" ht="6" customHeight="1" x14ac:dyDescent="0.3">
      <c r="B45" s="3"/>
      <c r="C45" s="4"/>
      <c r="D45" s="4"/>
      <c r="E45" s="4"/>
      <c r="F45" s="4"/>
      <c r="G45" s="4"/>
      <c r="H45" s="4"/>
    </row>
    <row r="46" spans="1:14" x14ac:dyDescent="0.3">
      <c r="A46" s="7">
        <v>8</v>
      </c>
      <c r="B46" s="15" t="s">
        <v>34</v>
      </c>
      <c r="C46" s="9">
        <f>C47+C48+C49+C50</f>
        <v>-1090000000</v>
      </c>
      <c r="D46" s="9">
        <f>D47+D48+D49+D50</f>
        <v>0</v>
      </c>
      <c r="E46" s="9">
        <f t="shared" ref="E46:H46" si="16">E47+E48+E49+E50</f>
        <v>0</v>
      </c>
      <c r="F46" s="9">
        <f t="shared" si="16"/>
        <v>-390000000</v>
      </c>
      <c r="G46" s="9">
        <f t="shared" si="16"/>
        <v>0</v>
      </c>
      <c r="H46" s="9">
        <f t="shared" si="16"/>
        <v>0</v>
      </c>
    </row>
    <row r="47" spans="1:14" x14ac:dyDescent="0.3">
      <c r="A47" s="7" t="s">
        <v>26</v>
      </c>
      <c r="B47" s="3" t="s">
        <v>31</v>
      </c>
      <c r="C47" s="4"/>
      <c r="D47" s="4">
        <f>-M32</f>
        <v>0</v>
      </c>
      <c r="E47" s="4">
        <f>-M33</f>
        <v>0</v>
      </c>
      <c r="F47" s="4">
        <f>-M34</f>
        <v>0</v>
      </c>
      <c r="G47" s="4">
        <f>-M35</f>
        <v>0</v>
      </c>
      <c r="H47" s="4">
        <f>-M36</f>
        <v>0</v>
      </c>
      <c r="J47">
        <v>1</v>
      </c>
      <c r="K47" s="95">
        <v>1000000</v>
      </c>
      <c r="L47">
        <v>6000000</v>
      </c>
    </row>
    <row r="48" spans="1:14" x14ac:dyDescent="0.3">
      <c r="A48" s="7" t="s">
        <v>27</v>
      </c>
      <c r="B48" s="3" t="s">
        <v>82</v>
      </c>
      <c r="C48" s="4">
        <f>-F3*(D3*F7)</f>
        <v>-390000000</v>
      </c>
      <c r="D48" s="4"/>
      <c r="E48" s="4"/>
      <c r="F48" s="4">
        <v>-390000000</v>
      </c>
      <c r="G48" s="4">
        <v>0</v>
      </c>
      <c r="H48" s="4"/>
      <c r="J48">
        <v>2</v>
      </c>
      <c r="K48" s="95">
        <v>1000000</v>
      </c>
      <c r="L48">
        <v>7000000</v>
      </c>
    </row>
    <row r="49" spans="1:13" x14ac:dyDescent="0.3">
      <c r="A49" s="7" t="s">
        <v>28</v>
      </c>
      <c r="B49" s="3" t="s">
        <v>76</v>
      </c>
      <c r="C49" s="4">
        <v>-700000000</v>
      </c>
      <c r="D49" s="4"/>
      <c r="E49" s="4"/>
      <c r="F49" s="4"/>
      <c r="G49" s="4"/>
      <c r="H49" s="4"/>
      <c r="K49" s="95"/>
      <c r="L49">
        <v>13000000</v>
      </c>
      <c r="M49" t="s">
        <v>88</v>
      </c>
    </row>
    <row r="50" spans="1:13" ht="15.9" customHeight="1" x14ac:dyDescent="0.3">
      <c r="B50" s="3"/>
      <c r="C50" s="4"/>
      <c r="D50" s="4"/>
      <c r="E50" s="4"/>
      <c r="F50" s="4"/>
      <c r="G50" s="4"/>
      <c r="H50" s="4"/>
      <c r="L50">
        <v>11500000</v>
      </c>
      <c r="M50" t="s">
        <v>89</v>
      </c>
    </row>
    <row r="51" spans="1:13" ht="6.9" customHeight="1" x14ac:dyDescent="0.3">
      <c r="B51" s="1"/>
      <c r="C51" s="2"/>
      <c r="D51" s="2"/>
      <c r="E51" s="2"/>
      <c r="F51" s="2"/>
      <c r="G51" s="2"/>
      <c r="H51" s="2"/>
    </row>
    <row r="52" spans="1:13" ht="18.600000000000001" thickBot="1" x14ac:dyDescent="0.4">
      <c r="B52" s="5" t="s">
        <v>6</v>
      </c>
      <c r="C52" s="6">
        <f>C40+C42+C46</f>
        <v>-1140000000</v>
      </c>
      <c r="D52" s="6">
        <f>D40+D42+D46</f>
        <v>266666987.25797591</v>
      </c>
      <c r="E52" s="6">
        <f t="shared" ref="E52:H52" si="17">E40+E42+E46</f>
        <v>317528384.70957106</v>
      </c>
      <c r="F52" s="6">
        <f>F40+F42+F46</f>
        <v>19362061.651485264</v>
      </c>
      <c r="G52" s="6">
        <f>G40+G42+G46</f>
        <v>487442473.98178232</v>
      </c>
      <c r="H52" s="6">
        <f>H40+H42+H46</f>
        <v>757458968.77813888</v>
      </c>
    </row>
    <row r="53" spans="1:13" ht="21" x14ac:dyDescent="0.4">
      <c r="B53" s="47" t="s">
        <v>42</v>
      </c>
      <c r="C53" s="94">
        <f>IRR(C52:H52)</f>
        <v>0.15000002381574573</v>
      </c>
      <c r="D53" s="48" t="s">
        <v>40</v>
      </c>
      <c r="E53" s="22"/>
      <c r="F53" s="22"/>
      <c r="G53" s="21"/>
    </row>
    <row r="54" spans="1:13" ht="21" x14ac:dyDescent="0.4">
      <c r="B54" s="46" t="s">
        <v>43</v>
      </c>
      <c r="C54" s="43">
        <f>NPV(E54,D52:H52)+C52</f>
        <v>182643883.52089548</v>
      </c>
      <c r="D54" s="49" t="s">
        <v>41</v>
      </c>
      <c r="E54" s="44">
        <v>0.1</v>
      </c>
      <c r="F54" s="42" t="s">
        <v>44</v>
      </c>
      <c r="G54" s="45"/>
    </row>
    <row r="55" spans="1:13" ht="21.6" thickBot="1" x14ac:dyDescent="0.45">
      <c r="B55" s="64" t="s">
        <v>61</v>
      </c>
      <c r="C55" s="65">
        <f>3+(-C52+G57)/H52</f>
        <v>4.4403419228908367</v>
      </c>
      <c r="D55" s="66" t="s">
        <v>50</v>
      </c>
      <c r="E55" s="67" t="s">
        <v>51</v>
      </c>
      <c r="F55" s="68"/>
      <c r="G55" s="69"/>
      <c r="I55" s="93">
        <f>-PMT(E54,H10,C54)</f>
        <v>48180996.355381146</v>
      </c>
    </row>
    <row r="56" spans="1:13" ht="35.1" customHeight="1" x14ac:dyDescent="0.3">
      <c r="I56">
        <f>C54/-C52</f>
        <v>0.16021393291306621</v>
      </c>
    </row>
    <row r="57" spans="1:13" ht="18" x14ac:dyDescent="0.35">
      <c r="B57" s="70" t="s">
        <v>60</v>
      </c>
      <c r="C57" s="71">
        <f>C52</f>
        <v>-1140000000</v>
      </c>
      <c r="D57" s="71">
        <f>C57+D52</f>
        <v>-873333012.74202406</v>
      </c>
      <c r="E57" s="71">
        <f t="shared" ref="E57:H57" si="18">D57+E52</f>
        <v>-555804628.03245306</v>
      </c>
      <c r="F57" s="71">
        <f t="shared" si="18"/>
        <v>-536442566.3809678</v>
      </c>
      <c r="G57" s="71">
        <f t="shared" si="18"/>
        <v>-49000092.399185479</v>
      </c>
      <c r="H57" s="71">
        <f t="shared" si="18"/>
        <v>708458876.37895346</v>
      </c>
    </row>
    <row r="58" spans="1:13" ht="21" x14ac:dyDescent="0.4">
      <c r="B58" s="72" t="s">
        <v>36</v>
      </c>
      <c r="C58" s="73">
        <v>0</v>
      </c>
      <c r="D58" s="73">
        <v>1</v>
      </c>
      <c r="E58" s="73">
        <v>2</v>
      </c>
      <c r="F58" s="73">
        <v>3</v>
      </c>
      <c r="G58" s="73">
        <v>4</v>
      </c>
      <c r="H58" s="73">
        <v>5</v>
      </c>
    </row>
    <row r="65" spans="6:6" x14ac:dyDescent="0.3">
      <c r="F65" s="63"/>
    </row>
  </sheetData>
  <pageMargins left="0.7" right="0.7" top="0.75" bottom="0.75" header="0.3" footer="0.3"/>
  <pageSetup orientation="portrait" r:id="rId1"/>
  <ignoredErrors>
    <ignoredError sqref="D36"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Flujo Privado </vt:lpstr>
    </vt:vector>
  </TitlesOfParts>
  <Manager>Jorge Elliott</Manager>
  <Company>Universidad Diego Portales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UDP EIT -Evaluación de Proyectos TIC</dc:title>
  <dc:subject>Plantilla para Evaluación Económica Privada</dc:subject>
  <dc:creator>Jorge Elliott</dc:creator>
  <cp:keywords/>
  <dc:description/>
  <cp:lastModifiedBy>Pancho cornejo</cp:lastModifiedBy>
  <dcterms:created xsi:type="dcterms:W3CDTF">2019-05-29T06:25:22Z</dcterms:created>
  <dcterms:modified xsi:type="dcterms:W3CDTF">2023-07-07T06:30:08Z</dcterms:modified>
  <cp:category/>
</cp:coreProperties>
</file>