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" sheetId="1" r:id="rId4"/>
  </sheets>
  <definedNames>
    <definedName localSheetId="0" name="solver_cvg">0.0001</definedName>
    <definedName localSheetId="0" name="solver_drv">1</definedName>
    <definedName localSheetId="0" name="solver_eng">1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1</definedName>
    <definedName localSheetId="0" name="solver_nod">2147483647</definedName>
    <definedName localSheetId="0" name="solver_num">0</definedName>
    <definedName localSheetId="0" name="solver_nwt">1</definedName>
    <definedName localSheetId="0" name="solver_pre">0.000001</definedName>
    <definedName localSheetId="0" name="solver_rbv">1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3</definedName>
    <definedName localSheetId="0" name="solver_val">0.15</definedName>
    <definedName localSheetId="0" name="solver_ver">3</definedName>
    <definedName localSheetId="0" name="solver_adj">Flujo!$F$4</definedName>
    <definedName localSheetId="0" name="solver_opt">Flujo!$C$54</definedName>
  </definedNames>
  <calcPr/>
  <extLst>
    <ext uri="GoogleSheetsCustomDataVersion2">
      <go:sheetsCustomData xmlns:go="http://customooxmlschemas.google.com/" r:id="rId5" roundtripDataChecksum="D3STSl/38BrBBEx9PEs2os6QX4Y6VYoa1TWq5ID+038="/>
    </ext>
  </extLst>
</workbook>
</file>

<file path=xl/sharedStrings.xml><?xml version="1.0" encoding="utf-8"?>
<sst xmlns="http://schemas.openxmlformats.org/spreadsheetml/2006/main" count="178" uniqueCount="92">
  <si>
    <t>Compra Rappi Chile (USD)</t>
  </si>
  <si>
    <t>Costos instalación</t>
  </si>
  <si>
    <t>Licencias de software anuales</t>
  </si>
  <si>
    <t>Valor Dolar Compra Rappi</t>
  </si>
  <si>
    <t>Integrar administración Rappi</t>
  </si>
  <si>
    <t>Valor de desecho equipos</t>
  </si>
  <si>
    <t>Compra Rappi Chile (CLP)</t>
  </si>
  <si>
    <t>Facturación anual actual</t>
  </si>
  <si>
    <t>Inversión Software</t>
  </si>
  <si>
    <t>Utilidades anual holding primer año</t>
  </si>
  <si>
    <t>Inversión campaña</t>
  </si>
  <si>
    <t>Costo Administración</t>
  </si>
  <si>
    <t>Equipamiento Computacional</t>
  </si>
  <si>
    <t>Costos operaconales (respecto a la mayor facturación)</t>
  </si>
  <si>
    <t xml:space="preserve">AÑOS  (períodos) </t>
  </si>
  <si>
    <t>INGRESOS AFECTAN IMPUESTO A UTILIDAD</t>
  </si>
  <si>
    <t>1.1</t>
  </si>
  <si>
    <t>Utilidades</t>
  </si>
  <si>
    <t>1.2</t>
  </si>
  <si>
    <t>Facturación anual</t>
  </si>
  <si>
    <t>1.3</t>
  </si>
  <si>
    <t>Venta de equipos</t>
  </si>
  <si>
    <t>1.4</t>
  </si>
  <si>
    <t>EGRESOS AFECTAN IMPUESTO A UTILIDAD</t>
  </si>
  <si>
    <t>2.1</t>
  </si>
  <si>
    <t>Anteriores a la Puesta en Marcha</t>
  </si>
  <si>
    <t>2.1.1</t>
  </si>
  <si>
    <t>2.1.2</t>
  </si>
  <si>
    <t>Desarrollo software</t>
  </si>
  <si>
    <t>2.1.3</t>
  </si>
  <si>
    <t>Campaña Marca</t>
  </si>
  <si>
    <t>2.1.4</t>
  </si>
  <si>
    <t>Compra Rappi</t>
  </si>
  <si>
    <t>2.2</t>
  </si>
  <si>
    <t>Costos de Operación</t>
  </si>
  <si>
    <t>2.2.1</t>
  </si>
  <si>
    <t>Costo de administración y marketing</t>
  </si>
  <si>
    <t>2.2.2</t>
  </si>
  <si>
    <t>licencias de software</t>
  </si>
  <si>
    <t>2.2.3</t>
  </si>
  <si>
    <t>APALANCAMIENTO</t>
  </si>
  <si>
    <t>2.2.4</t>
  </si>
  <si>
    <t>2.2.5</t>
  </si>
  <si>
    <t>Intereses del crédito</t>
  </si>
  <si>
    <t>DESARROLLO DEL CRÉDITO PARA EL PROYECTO</t>
  </si>
  <si>
    <t>GASTOS NO DESEMBOLSABLES</t>
  </si>
  <si>
    <t>SALDO</t>
  </si>
  <si>
    <t>Periodos de Pago</t>
  </si>
  <si>
    <t>Tasa de int. Período</t>
  </si>
  <si>
    <t>Cuota</t>
  </si>
  <si>
    <t>3.1</t>
  </si>
  <si>
    <t>Deprecación de equipos</t>
  </si>
  <si>
    <t>3.2</t>
  </si>
  <si>
    <t>UTILIDAD DEL PERÍODO ANTES DE IMPUESTO</t>
  </si>
  <si>
    <t>4b</t>
  </si>
  <si>
    <t>PERDIDA ACUMULADA ANTES DE IMPUESTO</t>
  </si>
  <si>
    <t>Impuesto a las Utilidades  27%</t>
  </si>
  <si>
    <t>INTERESES</t>
  </si>
  <si>
    <t>AMORTIZACIÓN</t>
  </si>
  <si>
    <t>CUOTA</t>
  </si>
  <si>
    <t>5c</t>
  </si>
  <si>
    <t>AJUSTE POR GASTOS NO DESEMBOLSABLES</t>
  </si>
  <si>
    <t>UTILIDAD DESPUÉS DE IMPUESTOS</t>
  </si>
  <si>
    <t>INGRESOS NO AFECTAN IMPUESTO UTILID.</t>
  </si>
  <si>
    <t>7.1</t>
  </si>
  <si>
    <t>Crédito</t>
  </si>
  <si>
    <t>EGRESOS NO AFECTAN A IMPUESTO UTILID.</t>
  </si>
  <si>
    <t>8.2</t>
  </si>
  <si>
    <t>Amortizaciones crédito</t>
  </si>
  <si>
    <t>8.3</t>
  </si>
  <si>
    <t>8.4</t>
  </si>
  <si>
    <t>Equipamiento computacional</t>
  </si>
  <si>
    <t>FLUJO DE CAJA</t>
  </si>
  <si>
    <t xml:space="preserve">  =TIR</t>
  </si>
  <si>
    <t>TIR</t>
  </si>
  <si>
    <t xml:space="preserve">  =VNA</t>
  </si>
  <si>
    <t>VAN</t>
  </si>
  <si>
    <t>Tasa de descuento</t>
  </si>
  <si>
    <t>PRI</t>
  </si>
  <si>
    <t>Período de recuperación de la inversión.</t>
  </si>
  <si>
    <t>FLUJO ACUMULADO</t>
  </si>
  <si>
    <t>AÑOS  (períodos)</t>
  </si>
  <si>
    <t>Pregunta:</t>
  </si>
  <si>
    <t>Respuesta</t>
  </si>
  <si>
    <t>a)</t>
  </si>
  <si>
    <t>Está en la planilla, los resultados son de C53:H53</t>
  </si>
  <si>
    <t xml:space="preserve">b) </t>
  </si>
  <si>
    <t>Se puede observar en las celdas B53:H56</t>
  </si>
  <si>
    <t>c)</t>
  </si>
  <si>
    <t>Modificando la celda D3, se puede observar que la compra puede efectuarse hasta 163 millones de dólares sin que el TIR no se torne negativo</t>
  </si>
  <si>
    <t>d)</t>
  </si>
  <si>
    <t>Se puede observar en la celdas de abajo (fila 68 para abajo)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</si>
</sst>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* #,##0_-;\-* #,##0_-;_-* &quot;-&quot;_-;_-@"/>
    <numFmt numFmtId="165" formatCode="&quot;$&quot;#,##0"/>
    <numFmt numFmtId="166" formatCode="[$$]#,##0.00"/>
    <numFmt numFmtId="167" formatCode="#,##0_ ;[Red]\-#,##0\ "/>
    <numFmt numFmtId="168" formatCode="&quot;$&quot;#,##0;[Red]\-&quot;$&quot;#,##0"/>
    <numFmt numFmtId="169" formatCode="&quot;$&quot;#,##0.00;[Red]\-&quot;$&quot;#,##0.00"/>
    <numFmt numFmtId="170" formatCode="&quot;$&quot;#,##0.00"/>
    <numFmt numFmtId="171" formatCode="#,##0.00_ ;[Red]\-#,##0.00\ "/>
  </numFmts>
  <fonts count="11">
    <font>
      <sz val="12.0"/>
      <color theme="1"/>
      <name val="Calibri"/>
      <scheme val="minor"/>
    </font>
    <font>
      <sz val="12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u/>
      <sz val="12.0"/>
      <color theme="1"/>
      <name val="Calibri"/>
    </font>
    <font>
      <color theme="1"/>
      <name val="Calibri"/>
      <scheme val="minor"/>
    </font>
    <font>
      <sz val="33.0"/>
      <color theme="1"/>
      <name val="Calibri"/>
      <scheme val="minor"/>
    </font>
    <font>
      <sz val="9.0"/>
      <color rgb="FF4285F4"/>
      <name val="&quot;Google Sans Mono&quot;"/>
    </font>
  </fonts>
  <fills count="9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A5A5A5"/>
        <bgColor rgb="FFA5A5A5"/>
      </patternFill>
    </fill>
    <fill>
      <patternFill patternType="solid">
        <fgColor rgb="FFE06666"/>
        <bgColor rgb="FFE06666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center"/>
    </xf>
    <xf borderId="1" fillId="2" fontId="5" numFmtId="0" xfId="0" applyAlignment="1" applyBorder="1" applyFill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  <xf borderId="1" fillId="2" fontId="5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readingOrder="0"/>
    </xf>
    <xf borderId="1" fillId="2" fontId="5" numFmtId="164" xfId="0" applyAlignment="1" applyBorder="1" applyFont="1" applyNumberFormat="1">
      <alignment horizontal="left" readingOrder="0"/>
    </xf>
    <xf borderId="1" fillId="0" fontId="2" numFmtId="166" xfId="0" applyAlignment="1" applyBorder="1" applyFont="1" applyNumberFormat="1">
      <alignment readingOrder="0"/>
    </xf>
    <xf borderId="0" fillId="0" fontId="2" numFmtId="164" xfId="0" applyAlignment="1" applyFont="1" applyNumberFormat="1">
      <alignment horizontal="center"/>
    </xf>
    <xf borderId="1" fillId="0" fontId="2" numFmtId="165" xfId="0" applyAlignment="1" applyBorder="1" applyFont="1" applyNumberFormat="1">
      <alignment horizontal="right" readingOrder="0"/>
    </xf>
    <xf borderId="1" fillId="0" fontId="2" numFmtId="165" xfId="0" applyAlignment="1" applyBorder="1" applyFont="1" applyNumberFormat="1">
      <alignment horizontal="right"/>
    </xf>
    <xf borderId="0" fillId="0" fontId="2" numFmtId="165" xfId="0" applyFont="1" applyNumberFormat="1"/>
    <xf borderId="0" fillId="0" fontId="3" numFmtId="164" xfId="0" applyFont="1" applyNumberFormat="1"/>
    <xf borderId="0" fillId="0" fontId="2" numFmtId="164" xfId="0" applyFont="1" applyNumberFormat="1"/>
    <xf borderId="0" fillId="0" fontId="1" numFmtId="164" xfId="0" applyFont="1" applyNumberFormat="1"/>
    <xf borderId="0" fillId="0" fontId="2" numFmtId="9" xfId="0" applyFont="1" applyNumberFormat="1"/>
    <xf borderId="1" fillId="0" fontId="2" numFmtId="10" xfId="0" applyAlignment="1" applyBorder="1" applyFont="1" applyNumberFormat="1">
      <alignment readingOrder="0"/>
    </xf>
    <xf borderId="0" fillId="0" fontId="2" numFmtId="0" xfId="0" applyAlignment="1" applyFont="1">
      <alignment horizontal="right" readingOrder="0"/>
    </xf>
    <xf borderId="1" fillId="3" fontId="6" numFmtId="0" xfId="0" applyBorder="1" applyFill="1" applyFont="1"/>
    <xf borderId="1" fillId="3" fontId="6" numFmtId="167" xfId="0" applyBorder="1" applyFont="1" applyNumberFormat="1"/>
    <xf borderId="0" fillId="0" fontId="1" numFmtId="168" xfId="0" applyFont="1" applyNumberFormat="1"/>
    <xf borderId="1" fillId="0" fontId="6" numFmtId="0" xfId="0" applyAlignment="1" applyBorder="1" applyFont="1">
      <alignment horizontal="right" readingOrder="0"/>
    </xf>
    <xf borderId="1" fillId="4" fontId="6" numFmtId="167" xfId="0" applyBorder="1" applyFill="1" applyFont="1" applyNumberFormat="1"/>
    <xf borderId="1" fillId="0" fontId="6" numFmtId="167" xfId="0" applyBorder="1" applyFont="1" applyNumberFormat="1"/>
    <xf borderId="1" fillId="0" fontId="6" numFmtId="0" xfId="0" applyAlignment="1" applyBorder="1" applyFont="1">
      <alignment horizontal="right"/>
    </xf>
    <xf borderId="1" fillId="3" fontId="7" numFmtId="167" xfId="0" applyBorder="1" applyFont="1" applyNumberFormat="1"/>
    <xf borderId="2" fillId="5" fontId="3" numFmtId="0" xfId="0" applyBorder="1" applyFill="1" applyFont="1"/>
    <xf borderId="2" fillId="5" fontId="1" numFmtId="0" xfId="0" applyBorder="1" applyFont="1"/>
    <xf borderId="0" fillId="0" fontId="3" numFmtId="0" xfId="0" applyFont="1"/>
    <xf borderId="3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/>
    </xf>
    <xf borderId="0" fillId="0" fontId="8" numFmtId="0" xfId="0" applyFont="1"/>
    <xf borderId="6" fillId="3" fontId="6" numFmtId="169" xfId="0" applyAlignment="1" applyBorder="1" applyFont="1" applyNumberFormat="1">
      <alignment readingOrder="0"/>
    </xf>
    <xf borderId="7" fillId="3" fontId="6" numFmtId="0" xfId="0" applyAlignment="1" applyBorder="1" applyFont="1">
      <alignment horizontal="center" readingOrder="0"/>
    </xf>
    <xf borderId="7" fillId="3" fontId="6" numFmtId="9" xfId="0" applyAlignment="1" applyBorder="1" applyFont="1" applyNumberFormat="1">
      <alignment horizontal="center" readingOrder="0"/>
    </xf>
    <xf borderId="8" fillId="3" fontId="6" numFmtId="169" xfId="0" applyBorder="1" applyFont="1" applyNumberFormat="1"/>
    <xf borderId="9" fillId="0" fontId="1" numFmtId="169" xfId="0" applyBorder="1" applyFont="1" applyNumberFormat="1"/>
    <xf borderId="10" fillId="0" fontId="1" numFmtId="169" xfId="0" applyBorder="1" applyFont="1" applyNumberFormat="1"/>
    <xf borderId="11" fillId="0" fontId="1" numFmtId="169" xfId="0" applyBorder="1" applyFont="1" applyNumberFormat="1"/>
    <xf borderId="1" fillId="0" fontId="1" numFmtId="0" xfId="0" applyBorder="1" applyFont="1"/>
    <xf borderId="12" fillId="0" fontId="1" numFmtId="169" xfId="0" applyBorder="1" applyFont="1" applyNumberFormat="1"/>
    <xf borderId="1" fillId="0" fontId="1" numFmtId="169" xfId="0" applyBorder="1" applyFont="1" applyNumberFormat="1"/>
    <xf borderId="13" fillId="0" fontId="1" numFmtId="169" xfId="0" applyBorder="1" applyFont="1" applyNumberFormat="1"/>
    <xf borderId="14" fillId="3" fontId="6" numFmtId="0" xfId="0" applyBorder="1" applyFont="1"/>
    <xf borderId="14" fillId="3" fontId="6" numFmtId="167" xfId="0" applyBorder="1" applyFont="1" applyNumberFormat="1"/>
    <xf borderId="15" fillId="6" fontId="6" numFmtId="0" xfId="0" applyBorder="1" applyFill="1" applyFont="1"/>
    <xf borderId="16" fillId="6" fontId="6" numFmtId="167" xfId="0" applyBorder="1" applyFont="1" applyNumberFormat="1"/>
    <xf borderId="6" fillId="0" fontId="1" numFmtId="169" xfId="0" applyBorder="1" applyFont="1" applyNumberFormat="1"/>
    <xf borderId="7" fillId="0" fontId="1" numFmtId="169" xfId="0" applyBorder="1" applyFont="1" applyNumberFormat="1"/>
    <xf borderId="8" fillId="0" fontId="1" numFmtId="169" xfId="0" applyBorder="1" applyFont="1" applyNumberFormat="1"/>
    <xf borderId="0" fillId="0" fontId="4" numFmtId="0" xfId="0" applyAlignment="1" applyFont="1">
      <alignment horizontal="center"/>
    </xf>
    <xf borderId="17" fillId="0" fontId="3" numFmtId="0" xfId="0" applyAlignment="1" applyBorder="1" applyFont="1">
      <alignment horizontal="right"/>
    </xf>
    <xf borderId="17" fillId="0" fontId="3" numFmtId="167" xfId="0" applyBorder="1" applyFont="1" applyNumberFormat="1"/>
    <xf borderId="0" fillId="0" fontId="3" numFmtId="0" xfId="0" applyAlignment="1" applyFont="1">
      <alignment horizontal="center"/>
    </xf>
    <xf borderId="1" fillId="6" fontId="6" numFmtId="0" xfId="0" applyBorder="1" applyFont="1"/>
    <xf borderId="1" fillId="6" fontId="6" numFmtId="167" xfId="0" applyBorder="1" applyFont="1" applyNumberFormat="1"/>
    <xf borderId="1" fillId="0" fontId="6" numFmtId="0" xfId="0" applyBorder="1" applyFont="1"/>
    <xf borderId="1" fillId="0" fontId="6" numFmtId="3" xfId="0" applyBorder="1" applyFont="1" applyNumberFormat="1"/>
    <xf borderId="0" fillId="0" fontId="1" numFmtId="170" xfId="0" applyFont="1" applyNumberFormat="1"/>
    <xf borderId="1" fillId="0" fontId="1" numFmtId="0" xfId="0" applyAlignment="1" applyBorder="1" applyFont="1">
      <alignment readingOrder="0"/>
    </xf>
    <xf borderId="1" fillId="0" fontId="1" numFmtId="167" xfId="0" applyBorder="1" applyFont="1" applyNumberFormat="1"/>
    <xf borderId="1" fillId="3" fontId="3" numFmtId="0" xfId="0" applyBorder="1" applyFont="1"/>
    <xf borderId="1" fillId="3" fontId="3" numFmtId="167" xfId="0" applyBorder="1" applyFont="1" applyNumberFormat="1"/>
    <xf borderId="3" fillId="2" fontId="6" numFmtId="0" xfId="0" applyAlignment="1" applyBorder="1" applyFont="1">
      <alignment readingOrder="0"/>
    </xf>
    <xf borderId="4" fillId="2" fontId="3" numFmtId="9" xfId="0" applyBorder="1" applyFont="1" applyNumberFormat="1"/>
    <xf borderId="4" fillId="2" fontId="2" numFmtId="0" xfId="0" applyBorder="1" applyFont="1"/>
    <xf borderId="4" fillId="2" fontId="3" numFmtId="0" xfId="0" applyBorder="1" applyFont="1"/>
    <xf borderId="5" fillId="2" fontId="1" numFmtId="0" xfId="0" applyBorder="1" applyFont="1"/>
    <xf borderId="18" fillId="2" fontId="6" numFmtId="0" xfId="0" applyAlignment="1" applyBorder="1" applyFont="1">
      <alignment readingOrder="0"/>
    </xf>
    <xf borderId="2" fillId="2" fontId="3" numFmtId="167" xfId="0" applyBorder="1" applyFont="1" applyNumberFormat="1"/>
    <xf borderId="2" fillId="2" fontId="2" numFmtId="0" xfId="0" applyBorder="1" applyFont="1"/>
    <xf borderId="2" fillId="2" fontId="3" numFmtId="9" xfId="0" applyAlignment="1" applyBorder="1" applyFont="1" applyNumberFormat="1">
      <alignment horizontal="right" readingOrder="0"/>
    </xf>
    <xf borderId="2" fillId="2" fontId="3" numFmtId="0" xfId="0" applyBorder="1" applyFont="1"/>
    <xf borderId="19" fillId="2" fontId="1" numFmtId="0" xfId="0" applyBorder="1" applyFont="1"/>
    <xf borderId="20" fillId="7" fontId="6" numFmtId="0" xfId="0" applyBorder="1" applyFill="1" applyFont="1"/>
    <xf borderId="21" fillId="7" fontId="3" numFmtId="171" xfId="0" applyBorder="1" applyFont="1" applyNumberFormat="1"/>
    <xf borderId="21" fillId="7" fontId="2" numFmtId="0" xfId="0" applyBorder="1" applyFont="1"/>
    <xf borderId="21" fillId="7" fontId="3" numFmtId="9" xfId="0" applyAlignment="1" applyBorder="1" applyFont="1" applyNumberFormat="1">
      <alignment horizontal="left"/>
    </xf>
    <xf borderId="21" fillId="7" fontId="3" numFmtId="0" xfId="0" applyBorder="1" applyFont="1"/>
    <xf borderId="22" fillId="7" fontId="1" numFmtId="0" xfId="0" applyBorder="1" applyFont="1"/>
    <xf borderId="0" fillId="0" fontId="1" numFmtId="169" xfId="0" applyFont="1" applyNumberFormat="1"/>
    <xf borderId="2" fillId="7" fontId="4" numFmtId="0" xfId="0" applyBorder="1" applyFont="1"/>
    <xf borderId="2" fillId="7" fontId="4" numFmtId="167" xfId="0" applyBorder="1" applyFont="1" applyNumberFormat="1"/>
    <xf borderId="2" fillId="7" fontId="2" numFmtId="0" xfId="0" applyAlignment="1" applyBorder="1" applyFont="1">
      <alignment horizontal="right" readingOrder="0"/>
    </xf>
    <xf borderId="2" fillId="7" fontId="2" numFmtId="0" xfId="0" applyAlignment="1" applyBorder="1" applyFont="1">
      <alignment horizontal="center"/>
    </xf>
    <xf borderId="0" fillId="8" fontId="9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0" fillId="3" fontId="10" numFmtId="167" xfId="0" applyFont="1" applyNumberFormat="1"/>
    <xf borderId="9" fillId="0" fontId="1" numFmtId="169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28</xdr:row>
      <xdr:rowOff>85725</xdr:rowOff>
    </xdr:from>
    <xdr:ext cx="219075" cy="2543175"/>
    <xdr:sp>
      <xdr:nvSpPr>
        <xdr:cNvPr id="3" name="Shape 3"/>
        <xdr:cNvSpPr/>
      </xdr:nvSpPr>
      <xdr:spPr>
        <a:xfrm>
          <a:off x="5245988" y="2517938"/>
          <a:ext cx="200025" cy="2524125"/>
        </a:xfrm>
        <a:custGeom>
          <a:rect b="b" l="l" r="r" t="t"/>
          <a:pathLst>
            <a:path extrusionOk="0" h="2705100" w="2413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76200</xdr:colOff>
      <xdr:row>42</xdr:row>
      <xdr:rowOff>123825</xdr:rowOff>
    </xdr:from>
    <xdr:ext cx="171450" cy="533400"/>
    <xdr:sp>
      <xdr:nvSpPr>
        <xdr:cNvPr id="4" name="Shape 4"/>
        <xdr:cNvSpPr/>
      </xdr:nvSpPr>
      <xdr:spPr>
        <a:xfrm>
          <a:off x="5269800" y="3522825"/>
          <a:ext cx="152400" cy="514350"/>
        </a:xfrm>
        <a:custGeom>
          <a:rect b="b" l="l" r="r" t="t"/>
          <a:pathLst>
            <a:path extrusionOk="0" h="2705100" w="2413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28575</xdr:colOff>
      <xdr:row>30</xdr:row>
      <xdr:rowOff>133350</xdr:rowOff>
    </xdr:from>
    <xdr:ext cx="457200" cy="2962275"/>
    <xdr:sp>
      <xdr:nvSpPr>
        <xdr:cNvPr id="5" name="Shape 5"/>
        <xdr:cNvSpPr/>
      </xdr:nvSpPr>
      <xdr:spPr>
        <a:xfrm>
          <a:off x="5131688" y="2317913"/>
          <a:ext cx="428625" cy="2924175"/>
        </a:xfrm>
        <a:custGeom>
          <a:rect b="b" l="l" r="r" t="t"/>
          <a:pathLst>
            <a:path extrusionOk="0" h="2705100" w="2413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cap="flat" cmpd="sng" w="34925">
          <a:solidFill>
            <a:srgbClr val="C55A11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523875</xdr:colOff>
      <xdr:row>29</xdr:row>
      <xdr:rowOff>19050</xdr:rowOff>
    </xdr:from>
    <xdr:ext cx="514350" cy="1714500"/>
    <xdr:sp>
      <xdr:nvSpPr>
        <xdr:cNvPr id="6" name="Shape 6"/>
        <xdr:cNvSpPr/>
      </xdr:nvSpPr>
      <xdr:spPr>
        <a:xfrm flipH="1">
          <a:off x="5093588" y="2927513"/>
          <a:ext cx="504825" cy="17049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92D050"/>
        </a:solidFill>
        <a:ln cap="flat" cmpd="sng" w="12700">
          <a:solidFill>
            <a:srgbClr val="92D05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38100</xdr:colOff>
      <xdr:row>30</xdr:row>
      <xdr:rowOff>19050</xdr:rowOff>
    </xdr:from>
    <xdr:ext cx="114300" cy="361950"/>
    <xdr:sp>
      <xdr:nvSpPr>
        <xdr:cNvPr id="7" name="Shape 7"/>
        <xdr:cNvSpPr/>
      </xdr:nvSpPr>
      <xdr:spPr>
        <a:xfrm>
          <a:off x="5298375" y="3608550"/>
          <a:ext cx="95250" cy="342900"/>
        </a:xfrm>
        <a:prstGeom prst="rightBracket">
          <a:avLst>
            <a:gd fmla="val 8333" name="adj"/>
          </a:avLst>
        </a:prstGeom>
        <a:noFill/>
        <a:ln cap="flat" cmpd="sng" w="22225">
          <a:solidFill>
            <a:srgbClr val="C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76200</xdr:colOff>
      <xdr:row>47</xdr:row>
      <xdr:rowOff>47625</xdr:rowOff>
    </xdr:from>
    <xdr:ext cx="114300" cy="342900"/>
    <xdr:sp>
      <xdr:nvSpPr>
        <xdr:cNvPr id="8" name="Shape 8"/>
        <xdr:cNvSpPr/>
      </xdr:nvSpPr>
      <xdr:spPr>
        <a:xfrm>
          <a:off x="5298375" y="3618075"/>
          <a:ext cx="95250" cy="323850"/>
        </a:xfrm>
        <a:prstGeom prst="rightBracket">
          <a:avLst>
            <a:gd fmla="val 8333" name="adj"/>
          </a:avLst>
        </a:prstGeom>
        <a:noFill/>
        <a:ln cap="flat" cmpd="sng" w="22225">
          <a:solidFill>
            <a:srgbClr val="C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495300</xdr:colOff>
      <xdr:row>38</xdr:row>
      <xdr:rowOff>28575</xdr:rowOff>
    </xdr:from>
    <xdr:ext cx="8743950" cy="1181100"/>
    <xdr:grpSp>
      <xdr:nvGrpSpPr>
        <xdr:cNvPr id="2" name="Shape 2"/>
        <xdr:cNvGrpSpPr/>
      </xdr:nvGrpSpPr>
      <xdr:grpSpPr>
        <a:xfrm>
          <a:off x="993075" y="3208500"/>
          <a:ext cx="8705850" cy="1143000"/>
          <a:chOff x="993075" y="3208500"/>
          <a:chExt cx="8705850" cy="1143000"/>
        </a:xfrm>
      </xdr:grpSpPr>
      <xdr:cxnSp>
        <xdr:nvCxnSpPr>
          <xdr:cNvPr id="9" name="Shape 9"/>
          <xdr:cNvCxnSpPr/>
        </xdr:nvCxnSpPr>
        <xdr:spPr>
          <a:xfrm flipH="1">
            <a:off x="993075" y="3208500"/>
            <a:ext cx="8705850" cy="11430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1019175</xdr:colOff>
      <xdr:row>55</xdr:row>
      <xdr:rowOff>228600</xdr:rowOff>
    </xdr:from>
    <xdr:ext cx="1847850" cy="419100"/>
    <xdr:sp>
      <xdr:nvSpPr>
        <xdr:cNvPr id="10" name="Shape 10"/>
        <xdr:cNvSpPr/>
      </xdr:nvSpPr>
      <xdr:spPr>
        <a:xfrm>
          <a:off x="4431600" y="3575213"/>
          <a:ext cx="1828800" cy="40957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171450</xdr:colOff>
      <xdr:row>8</xdr:row>
      <xdr:rowOff>76200</xdr:rowOff>
    </xdr:from>
    <xdr:ext cx="3829050" cy="3276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37.22"/>
    <col customWidth="1" min="3" max="3" width="29.56"/>
    <col customWidth="1" min="4" max="4" width="20.67"/>
    <col customWidth="1" min="5" max="5" width="23.11"/>
    <col customWidth="1" min="6" max="7" width="15.89"/>
    <col customWidth="1" min="8" max="8" width="23.0"/>
    <col customWidth="1" min="9" max="9" width="53.89"/>
    <col customWidth="1" min="10" max="10" width="10.56"/>
    <col customWidth="1" min="11" max="11" width="19.44"/>
    <col customWidth="1" min="12" max="12" width="17.44"/>
    <col customWidth="1" min="13" max="13" width="16.0"/>
    <col customWidth="1" min="14" max="14" width="15.44"/>
    <col customWidth="1" min="15" max="26" width="10.56"/>
  </cols>
  <sheetData>
    <row r="1">
      <c r="A1" s="1"/>
      <c r="B1" s="2"/>
      <c r="C1" s="3"/>
      <c r="D1" s="4"/>
      <c r="E1" s="5"/>
      <c r="F1" s="2"/>
      <c r="G1" s="2"/>
      <c r="I1" s="6"/>
    </row>
    <row r="2" ht="15.0" customHeight="1">
      <c r="A2" s="1"/>
      <c r="B2" s="2"/>
      <c r="C2" s="3"/>
      <c r="D2" s="4"/>
      <c r="E2" s="5"/>
      <c r="F2" s="2"/>
      <c r="G2" s="2"/>
      <c r="I2" s="6"/>
    </row>
    <row r="3" ht="15.0" customHeight="1">
      <c r="A3" s="1"/>
      <c r="B3" s="2"/>
      <c r="C3" s="7" t="s">
        <v>0</v>
      </c>
      <c r="D3" s="8">
        <v>8.5E7</v>
      </c>
      <c r="E3" s="9" t="s">
        <v>1</v>
      </c>
      <c r="F3" s="10">
        <v>1.95E8</v>
      </c>
      <c r="G3" s="11" t="s">
        <v>2</v>
      </c>
      <c r="H3" s="12">
        <v>3.6E8</v>
      </c>
      <c r="I3" s="13"/>
    </row>
    <row r="4" ht="15.0" customHeight="1">
      <c r="A4" s="1"/>
      <c r="B4" s="2"/>
      <c r="C4" s="7" t="s">
        <v>3</v>
      </c>
      <c r="D4" s="14">
        <v>850.0</v>
      </c>
      <c r="E4" s="9" t="s">
        <v>4</v>
      </c>
      <c r="F4" s="10">
        <v>2.3E9</v>
      </c>
      <c r="G4" s="11" t="s">
        <v>5</v>
      </c>
      <c r="H4" s="12">
        <f>0.15*D8</f>
        <v>67500000</v>
      </c>
      <c r="I4" s="13"/>
    </row>
    <row r="5" ht="15.0" customHeight="1">
      <c r="A5" s="1"/>
      <c r="B5" s="2"/>
      <c r="C5" s="7" t="s">
        <v>6</v>
      </c>
      <c r="D5" s="15">
        <f>D3*D4</f>
        <v>72250000000</v>
      </c>
      <c r="E5" s="9" t="s">
        <v>7</v>
      </c>
      <c r="F5" s="12">
        <v>1.445E10</v>
      </c>
      <c r="G5" s="16"/>
      <c r="H5" s="17"/>
      <c r="I5" s="13"/>
    </row>
    <row r="6" ht="15.0" customHeight="1">
      <c r="A6" s="1"/>
      <c r="B6" s="2"/>
      <c r="C6" s="7" t="s">
        <v>8</v>
      </c>
      <c r="D6" s="14">
        <v>2.5E8</v>
      </c>
      <c r="E6" s="11" t="s">
        <v>9</v>
      </c>
      <c r="F6" s="12">
        <v>3.0E9</v>
      </c>
      <c r="G6" s="18"/>
      <c r="H6" s="19"/>
      <c r="I6" s="13"/>
    </row>
    <row r="7" ht="15.0" customHeight="1">
      <c r="A7" s="1"/>
      <c r="B7" s="2"/>
      <c r="C7" s="7" t="s">
        <v>10</v>
      </c>
      <c r="D7" s="14">
        <v>1.5E9</v>
      </c>
      <c r="E7" s="11" t="s">
        <v>11</v>
      </c>
      <c r="F7" s="12">
        <v>1.2E9</v>
      </c>
      <c r="G7" s="20"/>
      <c r="H7" s="18"/>
      <c r="I7" s="13"/>
    </row>
    <row r="8" ht="15.0" customHeight="1">
      <c r="A8" s="1"/>
      <c r="B8" s="2"/>
      <c r="C8" s="7" t="s">
        <v>12</v>
      </c>
      <c r="D8" s="14">
        <v>4.5E8</v>
      </c>
      <c r="E8" s="11" t="s">
        <v>13</v>
      </c>
      <c r="F8" s="21">
        <v>0.32</v>
      </c>
      <c r="G8" s="18"/>
      <c r="H8" s="19"/>
      <c r="I8" s="13"/>
    </row>
    <row r="9">
      <c r="A9" s="1"/>
    </row>
    <row r="10">
      <c r="A10" s="1"/>
      <c r="B10" s="22" t="s">
        <v>14</v>
      </c>
      <c r="C10" s="6">
        <v>0.0</v>
      </c>
      <c r="D10" s="6">
        <v>1.0</v>
      </c>
      <c r="E10" s="6">
        <v>2.0</v>
      </c>
      <c r="F10" s="6">
        <v>3.0</v>
      </c>
      <c r="G10" s="6">
        <v>4.0</v>
      </c>
      <c r="H10" s="6">
        <v>5.0</v>
      </c>
    </row>
    <row r="11">
      <c r="A11" s="1">
        <v>1.0</v>
      </c>
      <c r="B11" s="23" t="s">
        <v>15</v>
      </c>
      <c r="C11" s="24">
        <f t="shared" ref="C11:H11" si="1">C12+C13+C14+C15</f>
        <v>0</v>
      </c>
      <c r="D11" s="24">
        <f t="shared" si="1"/>
        <v>23230000000</v>
      </c>
      <c r="E11" s="24">
        <f t="shared" si="1"/>
        <v>27276000000</v>
      </c>
      <c r="F11" s="24">
        <f t="shared" si="1"/>
        <v>30917400000</v>
      </c>
      <c r="G11" s="24">
        <f t="shared" si="1"/>
        <v>33709140000</v>
      </c>
      <c r="H11" s="24">
        <f t="shared" si="1"/>
        <v>35312097000</v>
      </c>
      <c r="L11" s="25"/>
      <c r="N11" s="25"/>
    </row>
    <row r="12">
      <c r="A12" s="1" t="s">
        <v>16</v>
      </c>
      <c r="B12" s="26" t="s">
        <v>17</v>
      </c>
      <c r="C12" s="27"/>
      <c r="D12" s="27">
        <f t="shared" ref="D12:H12" si="2">$F6</f>
        <v>3000000000</v>
      </c>
      <c r="E12" s="27">
        <f t="shared" si="2"/>
        <v>3000000000</v>
      </c>
      <c r="F12" s="27">
        <f t="shared" si="2"/>
        <v>3000000000</v>
      </c>
      <c r="G12" s="27">
        <f t="shared" si="2"/>
        <v>3000000000</v>
      </c>
      <c r="H12" s="27">
        <f t="shared" si="2"/>
        <v>3000000000</v>
      </c>
      <c r="L12" s="25"/>
      <c r="N12" s="25"/>
    </row>
    <row r="13">
      <c r="A13" s="1" t="s">
        <v>18</v>
      </c>
      <c r="B13" s="26" t="s">
        <v>19</v>
      </c>
      <c r="C13" s="27"/>
      <c r="D13" s="28">
        <f>1.4*F5</f>
        <v>20230000000</v>
      </c>
      <c r="E13" s="28">
        <f>1.2*D13</f>
        <v>24276000000</v>
      </c>
      <c r="F13" s="28">
        <f>1.15*E13</f>
        <v>27917400000</v>
      </c>
      <c r="G13" s="28">
        <f>1.1*F13</f>
        <v>30709140000</v>
      </c>
      <c r="H13" s="28">
        <f>1.05*G13</f>
        <v>32244597000</v>
      </c>
      <c r="L13" s="25"/>
      <c r="N13" s="25"/>
    </row>
    <row r="14">
      <c r="A14" s="1" t="s">
        <v>20</v>
      </c>
      <c r="B14" s="26" t="s">
        <v>21</v>
      </c>
      <c r="C14" s="27"/>
      <c r="D14" s="28"/>
      <c r="E14" s="28"/>
      <c r="F14" s="28"/>
      <c r="G14" s="28"/>
      <c r="H14" s="28">
        <f>H4</f>
        <v>67500000</v>
      </c>
      <c r="L14" s="25"/>
      <c r="N14" s="25"/>
    </row>
    <row r="15">
      <c r="A15" s="1" t="s">
        <v>22</v>
      </c>
      <c r="B15" s="29"/>
      <c r="C15" s="27"/>
      <c r="D15" s="28"/>
      <c r="E15" s="28"/>
      <c r="F15" s="28"/>
      <c r="G15" s="28"/>
      <c r="H15" s="28"/>
      <c r="L15" s="25"/>
      <c r="N15" s="25"/>
    </row>
    <row r="16">
      <c r="A16" s="1">
        <v>2.0</v>
      </c>
      <c r="B16" s="23" t="s">
        <v>23</v>
      </c>
      <c r="C16" s="24">
        <f t="shared" ref="C16:H16" si="3">C17+C23+C30</f>
        <v>-76300000000</v>
      </c>
      <c r="D16" s="24">
        <f t="shared" si="3"/>
        <v>-1650000000</v>
      </c>
      <c r="E16" s="24">
        <f t="shared" si="3"/>
        <v>-1650000000</v>
      </c>
      <c r="F16" s="24">
        <f t="shared" si="3"/>
        <v>-1650000000</v>
      </c>
      <c r="G16" s="24">
        <f t="shared" si="3"/>
        <v>-1650000000</v>
      </c>
      <c r="H16" s="24">
        <f t="shared" si="3"/>
        <v>-1650000000</v>
      </c>
    </row>
    <row r="17">
      <c r="A17" s="1" t="s">
        <v>24</v>
      </c>
      <c r="B17" s="23" t="s">
        <v>25</v>
      </c>
      <c r="C17" s="30">
        <f t="shared" ref="C17:H17" si="4">C18+C19+C20+C21+C22</f>
        <v>-76300000000</v>
      </c>
      <c r="D17" s="24">
        <f t="shared" si="4"/>
        <v>0</v>
      </c>
      <c r="E17" s="24">
        <f t="shared" si="4"/>
        <v>0</v>
      </c>
      <c r="F17" s="24">
        <f t="shared" si="4"/>
        <v>0</v>
      </c>
      <c r="G17" s="24">
        <f t="shared" si="4"/>
        <v>0</v>
      </c>
      <c r="H17" s="24">
        <f t="shared" si="4"/>
        <v>0</v>
      </c>
      <c r="N17" s="25"/>
    </row>
    <row r="18">
      <c r="A18" s="1" t="s">
        <v>26</v>
      </c>
      <c r="B18" s="26" t="s">
        <v>4</v>
      </c>
      <c r="C18" s="28">
        <f>-(F4)</f>
        <v>-2300000000</v>
      </c>
      <c r="D18" s="28"/>
      <c r="E18" s="28"/>
      <c r="F18" s="28"/>
      <c r="G18" s="28"/>
      <c r="H18" s="28"/>
    </row>
    <row r="19">
      <c r="A19" s="1" t="s">
        <v>27</v>
      </c>
      <c r="B19" s="26" t="s">
        <v>28</v>
      </c>
      <c r="C19" s="28">
        <f t="shared" ref="C19:C20" si="5">-(D6)</f>
        <v>-250000000</v>
      </c>
      <c r="D19" s="28"/>
      <c r="E19" s="28"/>
      <c r="F19" s="28"/>
      <c r="G19" s="28"/>
      <c r="H19" s="28"/>
    </row>
    <row r="20">
      <c r="A20" s="1" t="s">
        <v>29</v>
      </c>
      <c r="B20" s="26" t="s">
        <v>30</v>
      </c>
      <c r="C20" s="28">
        <f t="shared" si="5"/>
        <v>-1500000000</v>
      </c>
      <c r="D20" s="28"/>
      <c r="E20" s="28"/>
      <c r="F20" s="28"/>
      <c r="G20" s="28"/>
      <c r="H20" s="28"/>
    </row>
    <row r="21">
      <c r="A21" s="1" t="s">
        <v>31</v>
      </c>
      <c r="B21" s="26" t="s">
        <v>32</v>
      </c>
      <c r="C21" s="28">
        <f>-(D5)</f>
        <v>-72250000000</v>
      </c>
      <c r="D21" s="28"/>
      <c r="E21" s="28"/>
      <c r="F21" s="28"/>
      <c r="G21" s="28"/>
      <c r="H21" s="28"/>
    </row>
    <row r="22" ht="6.75" customHeight="1">
      <c r="A22" s="1"/>
      <c r="B22" s="29"/>
      <c r="C22" s="28"/>
      <c r="D22" s="28"/>
      <c r="E22" s="28"/>
      <c r="F22" s="28"/>
      <c r="G22" s="28"/>
      <c r="H22" s="28"/>
    </row>
    <row r="23">
      <c r="A23" s="1" t="s">
        <v>33</v>
      </c>
      <c r="B23" s="23" t="s">
        <v>34</v>
      </c>
      <c r="C23" s="24">
        <f t="shared" ref="C23:H23" si="6">C24+C25+C26+C28+C29</f>
        <v>0</v>
      </c>
      <c r="D23" s="24">
        <f t="shared" si="6"/>
        <v>-1560000000</v>
      </c>
      <c r="E23" s="24">
        <f t="shared" si="6"/>
        <v>-1560000000</v>
      </c>
      <c r="F23" s="24">
        <f t="shared" si="6"/>
        <v>-1560000000</v>
      </c>
      <c r="G23" s="24">
        <f t="shared" si="6"/>
        <v>-1560000000</v>
      </c>
      <c r="H23" s="24">
        <f t="shared" si="6"/>
        <v>-1560000000</v>
      </c>
    </row>
    <row r="24">
      <c r="A24" s="1" t="s">
        <v>35</v>
      </c>
      <c r="B24" s="26" t="s">
        <v>36</v>
      </c>
      <c r="C24" s="28"/>
      <c r="D24" s="28">
        <f t="shared" ref="D24:H24" si="7">-($F7)</f>
        <v>-1200000000</v>
      </c>
      <c r="E24" s="28">
        <f t="shared" si="7"/>
        <v>-1200000000</v>
      </c>
      <c r="F24" s="28">
        <f t="shared" si="7"/>
        <v>-1200000000</v>
      </c>
      <c r="G24" s="28">
        <f t="shared" si="7"/>
        <v>-1200000000</v>
      </c>
      <c r="H24" s="28">
        <f t="shared" si="7"/>
        <v>-1200000000</v>
      </c>
    </row>
    <row r="25">
      <c r="A25" s="1" t="s">
        <v>37</v>
      </c>
      <c r="B25" s="26" t="s">
        <v>38</v>
      </c>
      <c r="C25" s="28"/>
      <c r="D25" s="28">
        <f t="shared" ref="D25:H25" si="8">-($H3)</f>
        <v>-360000000</v>
      </c>
      <c r="E25" s="28">
        <f t="shared" si="8"/>
        <v>-360000000</v>
      </c>
      <c r="F25" s="28">
        <f t="shared" si="8"/>
        <v>-360000000</v>
      </c>
      <c r="G25" s="28">
        <f t="shared" si="8"/>
        <v>-360000000</v>
      </c>
      <c r="H25" s="28">
        <f t="shared" si="8"/>
        <v>-360000000</v>
      </c>
    </row>
    <row r="26">
      <c r="A26" s="1" t="s">
        <v>39</v>
      </c>
      <c r="B26" s="29"/>
      <c r="C26" s="28"/>
      <c r="D26" s="28"/>
      <c r="E26" s="28"/>
      <c r="F26" s="28"/>
      <c r="G26" s="28"/>
      <c r="H26" s="28"/>
      <c r="K26" s="31" t="s">
        <v>40</v>
      </c>
      <c r="L26" s="32"/>
      <c r="M26" s="32"/>
      <c r="N26" s="32"/>
    </row>
    <row r="27">
      <c r="A27" s="1"/>
      <c r="B27" s="29"/>
      <c r="C27" s="28"/>
      <c r="D27" s="28">
        <f>(D3*F7)*(F5*F8)*-G5</f>
        <v>0</v>
      </c>
      <c r="E27" s="28">
        <f>D27*(1+F6)</f>
        <v>0</v>
      </c>
      <c r="F27" s="28">
        <f t="shared" ref="F27:H27" si="9">E27*(1+$F$6)</f>
        <v>0</v>
      </c>
      <c r="G27" s="28">
        <f t="shared" si="9"/>
        <v>0</v>
      </c>
      <c r="H27" s="28">
        <f t="shared" si="9"/>
        <v>0</v>
      </c>
      <c r="K27" s="31"/>
      <c r="L27" s="32"/>
      <c r="M27" s="32"/>
      <c r="N27" s="32"/>
    </row>
    <row r="28">
      <c r="A28" s="1" t="s">
        <v>41</v>
      </c>
      <c r="B28" s="29"/>
      <c r="C28" s="28"/>
      <c r="D28" s="28"/>
      <c r="E28" s="28"/>
      <c r="F28" s="28"/>
      <c r="G28" s="28"/>
      <c r="H28" s="28"/>
    </row>
    <row r="29">
      <c r="A29" s="1" t="s">
        <v>42</v>
      </c>
      <c r="B29" s="26" t="s">
        <v>43</v>
      </c>
      <c r="C29" s="28"/>
      <c r="D29" s="28">
        <f>-L32</f>
        <v>0</v>
      </c>
      <c r="E29" s="28">
        <f>-L33</f>
        <v>0</v>
      </c>
      <c r="F29" s="28">
        <f>-L34</f>
        <v>0</v>
      </c>
      <c r="G29" s="28">
        <f>-L35</f>
        <v>0</v>
      </c>
      <c r="H29" s="28">
        <f>-L36</f>
        <v>0</v>
      </c>
      <c r="K29" s="33" t="s">
        <v>44</v>
      </c>
    </row>
    <row r="30">
      <c r="A30" s="1">
        <v>3.0</v>
      </c>
      <c r="B30" s="23" t="s">
        <v>45</v>
      </c>
      <c r="C30" s="24">
        <f t="shared" ref="C30:H30" si="10">C31+C32+C33+C34</f>
        <v>0</v>
      </c>
      <c r="D30" s="24">
        <f t="shared" si="10"/>
        <v>-90000000</v>
      </c>
      <c r="E30" s="24">
        <f t="shared" si="10"/>
        <v>-90000000</v>
      </c>
      <c r="F30" s="24">
        <f t="shared" si="10"/>
        <v>-90000000</v>
      </c>
      <c r="G30" s="24">
        <f t="shared" si="10"/>
        <v>-90000000</v>
      </c>
      <c r="H30" s="24">
        <f t="shared" si="10"/>
        <v>-90000000</v>
      </c>
      <c r="K30" s="34" t="s">
        <v>46</v>
      </c>
      <c r="L30" s="35" t="s">
        <v>47</v>
      </c>
      <c r="M30" s="35" t="s">
        <v>48</v>
      </c>
      <c r="N30" s="36" t="s">
        <v>49</v>
      </c>
    </row>
    <row r="31">
      <c r="A31" s="1" t="s">
        <v>50</v>
      </c>
      <c r="B31" s="26" t="s">
        <v>51</v>
      </c>
      <c r="C31" s="28"/>
      <c r="D31" s="28">
        <f t="shared" ref="D31:H31" si="11">$C49/5</f>
        <v>-90000000</v>
      </c>
      <c r="E31" s="28">
        <f t="shared" si="11"/>
        <v>-90000000</v>
      </c>
      <c r="F31" s="28">
        <f t="shared" si="11"/>
        <v>-90000000</v>
      </c>
      <c r="G31" s="28">
        <f t="shared" si="11"/>
        <v>-90000000</v>
      </c>
      <c r="H31" s="28">
        <f t="shared" si="11"/>
        <v>-90000000</v>
      </c>
      <c r="J31" s="37">
        <v>0.0</v>
      </c>
      <c r="K31" s="38">
        <v>0.0</v>
      </c>
      <c r="L31" s="39">
        <v>4.0</v>
      </c>
      <c r="M31" s="40">
        <v>0.1</v>
      </c>
      <c r="N31" s="41">
        <f>PMT(M31,L31,K31)</f>
        <v>0</v>
      </c>
    </row>
    <row r="32">
      <c r="A32" s="1" t="s">
        <v>52</v>
      </c>
      <c r="B32" s="29"/>
      <c r="C32" s="28"/>
      <c r="D32" s="28"/>
      <c r="E32" s="28"/>
      <c r="F32" s="28"/>
      <c r="G32" s="28"/>
      <c r="H32" s="28"/>
      <c r="J32" s="37">
        <v>1.0</v>
      </c>
      <c r="K32" s="42">
        <f t="shared" ref="K32:K36" si="12">K31-M32</f>
        <v>0</v>
      </c>
      <c r="L32" s="43">
        <f t="shared" ref="L32:L36" si="13">K31*$M$31</f>
        <v>0</v>
      </c>
      <c r="M32" s="43">
        <f t="shared" ref="M32:M36" si="14">N32-L32</f>
        <v>0</v>
      </c>
      <c r="N32" s="44">
        <f>-N31</f>
        <v>0</v>
      </c>
    </row>
    <row r="33" ht="15.75" customHeight="1">
      <c r="A33" s="1"/>
      <c r="B33" s="45"/>
      <c r="C33" s="28"/>
      <c r="D33" s="28"/>
      <c r="E33" s="28"/>
      <c r="F33" s="28"/>
      <c r="G33" s="28"/>
      <c r="H33" s="28"/>
      <c r="J33" s="37">
        <v>2.0</v>
      </c>
      <c r="K33" s="46">
        <f t="shared" si="12"/>
        <v>0</v>
      </c>
      <c r="L33" s="47">
        <f t="shared" si="13"/>
        <v>0</v>
      </c>
      <c r="M33" s="47">
        <f t="shared" si="14"/>
        <v>0</v>
      </c>
      <c r="N33" s="48">
        <f t="shared" ref="N33:N36" si="15">N32</f>
        <v>0</v>
      </c>
    </row>
    <row r="34" ht="15.75" customHeight="1">
      <c r="A34" s="1"/>
      <c r="B34" s="45"/>
      <c r="C34" s="28"/>
      <c r="D34" s="28"/>
      <c r="E34" s="28"/>
      <c r="F34" s="28"/>
      <c r="G34" s="28"/>
      <c r="H34" s="28"/>
      <c r="J34" s="37">
        <v>3.0</v>
      </c>
      <c r="K34" s="46">
        <f t="shared" si="12"/>
        <v>0</v>
      </c>
      <c r="L34" s="47">
        <f t="shared" si="13"/>
        <v>0</v>
      </c>
      <c r="M34" s="47">
        <f t="shared" si="14"/>
        <v>0</v>
      </c>
      <c r="N34" s="48">
        <f t="shared" si="15"/>
        <v>0</v>
      </c>
    </row>
    <row r="35">
      <c r="A35" s="1">
        <v>4.0</v>
      </c>
      <c r="B35" s="49" t="s">
        <v>53</v>
      </c>
      <c r="C35" s="50">
        <f t="shared" ref="C35:H35" si="16">C11+C16+C30</f>
        <v>-76300000000</v>
      </c>
      <c r="D35" s="50">
        <f t="shared" si="16"/>
        <v>21490000000</v>
      </c>
      <c r="E35" s="50">
        <f t="shared" si="16"/>
        <v>25536000000</v>
      </c>
      <c r="F35" s="50">
        <f t="shared" si="16"/>
        <v>29177400000</v>
      </c>
      <c r="G35" s="50">
        <f t="shared" si="16"/>
        <v>31969140000</v>
      </c>
      <c r="H35" s="50">
        <f t="shared" si="16"/>
        <v>33572097000</v>
      </c>
      <c r="J35" s="37">
        <v>4.0</v>
      </c>
      <c r="K35" s="46">
        <f t="shared" si="12"/>
        <v>0</v>
      </c>
      <c r="L35" s="47">
        <f t="shared" si="13"/>
        <v>0</v>
      </c>
      <c r="M35" s="47">
        <f t="shared" si="14"/>
        <v>0</v>
      </c>
      <c r="N35" s="48">
        <f t="shared" si="15"/>
        <v>0</v>
      </c>
    </row>
    <row r="36">
      <c r="A36" s="1" t="s">
        <v>54</v>
      </c>
      <c r="B36" s="51" t="s">
        <v>55</v>
      </c>
      <c r="C36" s="52">
        <f>C35</f>
        <v>-76300000000</v>
      </c>
      <c r="D36" s="52">
        <f>C36+D35</f>
        <v>-54810000000</v>
      </c>
      <c r="E36" s="52">
        <f t="shared" ref="E36:H36" si="17">E35</f>
        <v>25536000000</v>
      </c>
      <c r="F36" s="52">
        <f t="shared" si="17"/>
        <v>29177400000</v>
      </c>
      <c r="G36" s="52">
        <f t="shared" si="17"/>
        <v>31969140000</v>
      </c>
      <c r="H36" s="52">
        <f t="shared" si="17"/>
        <v>33572097000</v>
      </c>
      <c r="J36" s="37">
        <v>5.0</v>
      </c>
      <c r="K36" s="53">
        <f t="shared" si="12"/>
        <v>0</v>
      </c>
      <c r="L36" s="54">
        <f t="shared" si="13"/>
        <v>0</v>
      </c>
      <c r="M36" s="54">
        <f t="shared" si="14"/>
        <v>0</v>
      </c>
      <c r="N36" s="55">
        <f t="shared" si="15"/>
        <v>0</v>
      </c>
    </row>
    <row r="37">
      <c r="A37" s="56">
        <v>5.0</v>
      </c>
      <c r="B37" s="57" t="s">
        <v>56</v>
      </c>
      <c r="C37" s="58"/>
      <c r="D37" s="58">
        <f t="shared" ref="D37:H37" si="18">D36*-0.27</f>
        <v>14798700000</v>
      </c>
      <c r="E37" s="58">
        <f t="shared" si="18"/>
        <v>-6894720000</v>
      </c>
      <c r="F37" s="58">
        <f t="shared" si="18"/>
        <v>-7877898000</v>
      </c>
      <c r="G37" s="58">
        <f t="shared" si="18"/>
        <v>-8631667800</v>
      </c>
      <c r="H37" s="58">
        <f t="shared" si="18"/>
        <v>-9064466190</v>
      </c>
      <c r="I37" s="5"/>
      <c r="J37" s="5"/>
      <c r="K37" s="5"/>
      <c r="L37" s="59" t="s">
        <v>57</v>
      </c>
      <c r="M37" s="59" t="s">
        <v>58</v>
      </c>
      <c r="N37" s="59" t="s">
        <v>59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 t="s">
        <v>60</v>
      </c>
      <c r="B38" s="60" t="s">
        <v>61</v>
      </c>
      <c r="C38" s="61">
        <f t="shared" ref="C38:H38" si="19">-C30</f>
        <v>0</v>
      </c>
      <c r="D38" s="61">
        <f t="shared" si="19"/>
        <v>90000000</v>
      </c>
      <c r="E38" s="61">
        <f t="shared" si="19"/>
        <v>90000000</v>
      </c>
      <c r="F38" s="61">
        <f t="shared" si="19"/>
        <v>90000000</v>
      </c>
      <c r="G38" s="61">
        <f t="shared" si="19"/>
        <v>90000000</v>
      </c>
      <c r="H38" s="61">
        <f t="shared" si="19"/>
        <v>90000000</v>
      </c>
    </row>
    <row r="39" ht="6.75" customHeight="1">
      <c r="A39" s="1"/>
      <c r="B39" s="62"/>
      <c r="C39" s="28"/>
      <c r="D39" s="28"/>
      <c r="E39" s="28"/>
      <c r="F39" s="28"/>
      <c r="G39" s="28"/>
      <c r="H39" s="28"/>
    </row>
    <row r="40">
      <c r="A40" s="1">
        <v>6.0</v>
      </c>
      <c r="B40" s="60" t="s">
        <v>62</v>
      </c>
      <c r="C40" s="61">
        <f>C35+C38</f>
        <v>-76300000000</v>
      </c>
      <c r="D40" s="61">
        <f t="shared" ref="D40:G40" si="20">D35+D38+D37</f>
        <v>36378700000</v>
      </c>
      <c r="E40" s="61">
        <f t="shared" si="20"/>
        <v>18731280000</v>
      </c>
      <c r="F40" s="61">
        <f t="shared" si="20"/>
        <v>21389502000</v>
      </c>
      <c r="G40" s="61">
        <f t="shared" si="20"/>
        <v>23427472200</v>
      </c>
      <c r="H40" s="61">
        <f>H35+H37+H38</f>
        <v>24597630810</v>
      </c>
    </row>
    <row r="41" ht="9.75" customHeight="1">
      <c r="A41" s="1"/>
      <c r="B41" s="62"/>
      <c r="C41" s="28"/>
      <c r="D41" s="28"/>
      <c r="E41" s="28"/>
      <c r="F41" s="28"/>
      <c r="G41" s="28"/>
      <c r="H41" s="28"/>
    </row>
    <row r="42">
      <c r="A42" s="1">
        <v>7.0</v>
      </c>
      <c r="B42" s="23" t="s">
        <v>63</v>
      </c>
      <c r="C42" s="24">
        <f t="shared" ref="C42:H42" si="21">C43+C44+C45</f>
        <v>0</v>
      </c>
      <c r="D42" s="24">
        <f t="shared" si="21"/>
        <v>0</v>
      </c>
      <c r="E42" s="24">
        <f t="shared" si="21"/>
        <v>0</v>
      </c>
      <c r="F42" s="24">
        <f t="shared" si="21"/>
        <v>0</v>
      </c>
      <c r="G42" s="24">
        <f t="shared" si="21"/>
        <v>0</v>
      </c>
      <c r="H42" s="24">
        <f t="shared" si="21"/>
        <v>0</v>
      </c>
    </row>
    <row r="43">
      <c r="A43" s="1" t="s">
        <v>64</v>
      </c>
      <c r="B43" s="26" t="s">
        <v>65</v>
      </c>
      <c r="C43" s="28">
        <f>K31</f>
        <v>0</v>
      </c>
      <c r="D43" s="63"/>
      <c r="E43" s="63"/>
      <c r="F43" s="63"/>
      <c r="G43" s="63"/>
      <c r="H43" s="63"/>
    </row>
    <row r="44" ht="6.0" customHeight="1">
      <c r="A44" s="1"/>
      <c r="B44" s="62"/>
      <c r="C44" s="28"/>
      <c r="D44" s="28"/>
      <c r="E44" s="28"/>
      <c r="F44" s="28"/>
      <c r="G44" s="28"/>
      <c r="H44" s="28"/>
    </row>
    <row r="45" ht="6.0" customHeight="1">
      <c r="A45" s="1"/>
      <c r="B45" s="62"/>
      <c r="C45" s="28"/>
      <c r="D45" s="28"/>
      <c r="E45" s="28"/>
      <c r="F45" s="28"/>
      <c r="G45" s="28"/>
      <c r="H45" s="28"/>
    </row>
    <row r="46">
      <c r="A46" s="1">
        <v>8.0</v>
      </c>
      <c r="B46" s="23" t="s">
        <v>66</v>
      </c>
      <c r="C46" s="24">
        <f>C47+C48+C49+C50+C51+C52</f>
        <v>-645000000</v>
      </c>
      <c r="D46" s="24">
        <f t="shared" ref="D46:H46" si="22">D47+D48+D49+D50</f>
        <v>0</v>
      </c>
      <c r="E46" s="24">
        <f t="shared" si="22"/>
        <v>0</v>
      </c>
      <c r="F46" s="24">
        <f t="shared" si="22"/>
        <v>0</v>
      </c>
      <c r="G46" s="24">
        <f t="shared" si="22"/>
        <v>0</v>
      </c>
      <c r="H46" s="24">
        <f t="shared" si="22"/>
        <v>-450000000</v>
      </c>
    </row>
    <row r="47">
      <c r="A47" s="1" t="s">
        <v>67</v>
      </c>
      <c r="B47" s="26" t="s">
        <v>68</v>
      </c>
      <c r="C47" s="28"/>
      <c r="D47" s="28">
        <f>-(M32)</f>
        <v>0</v>
      </c>
      <c r="E47" s="28">
        <f>-(M33)</f>
        <v>0</v>
      </c>
      <c r="F47" s="28">
        <f>-(M34)</f>
        <v>0</v>
      </c>
      <c r="G47" s="28">
        <f>-(M35)</f>
        <v>0</v>
      </c>
      <c r="H47" s="28">
        <f>-(M36)</f>
        <v>0</v>
      </c>
      <c r="K47" s="64"/>
    </row>
    <row r="48">
      <c r="A48" s="1" t="s">
        <v>69</v>
      </c>
      <c r="B48" s="26"/>
      <c r="C48" s="28"/>
      <c r="D48" s="28"/>
      <c r="E48" s="28"/>
      <c r="F48" s="28"/>
      <c r="G48" s="28">
        <v>0.0</v>
      </c>
      <c r="H48" s="28"/>
      <c r="K48" s="64"/>
    </row>
    <row r="49">
      <c r="A49" s="1" t="s">
        <v>70</v>
      </c>
      <c r="B49" s="26" t="s">
        <v>71</v>
      </c>
      <c r="C49" s="28">
        <f>-(D8)</f>
        <v>-450000000</v>
      </c>
      <c r="D49" s="28"/>
      <c r="E49" s="28"/>
      <c r="F49" s="28"/>
      <c r="G49" s="28"/>
      <c r="H49" s="28">
        <f>-(D8)</f>
        <v>-450000000</v>
      </c>
      <c r="K49" s="64"/>
    </row>
    <row r="50" ht="15.75" customHeight="1">
      <c r="A50" s="1"/>
      <c r="B50" s="26" t="s">
        <v>1</v>
      </c>
      <c r="C50" s="28">
        <f>-(F3)</f>
        <v>-195000000</v>
      </c>
      <c r="D50" s="28"/>
      <c r="E50" s="28"/>
      <c r="F50" s="28"/>
      <c r="G50" s="28"/>
      <c r="H50" s="28"/>
    </row>
    <row r="51" ht="19.5" customHeight="1">
      <c r="A51" s="1"/>
      <c r="B51" s="65"/>
      <c r="C51" s="66"/>
      <c r="D51" s="66"/>
      <c r="E51" s="66"/>
      <c r="F51" s="66"/>
      <c r="G51" s="66"/>
      <c r="H51" s="66"/>
    </row>
    <row r="52" ht="15.75" customHeight="1">
      <c r="A52" s="1"/>
      <c r="B52" s="45"/>
      <c r="C52" s="66"/>
      <c r="D52" s="66"/>
      <c r="E52" s="66"/>
      <c r="F52" s="66"/>
      <c r="G52" s="66"/>
      <c r="H52" s="66"/>
    </row>
    <row r="53">
      <c r="A53" s="1"/>
      <c r="B53" s="67" t="s">
        <v>72</v>
      </c>
      <c r="C53" s="68">
        <f t="shared" ref="C53:H53" si="23">C40+C42+C46</f>
        <v>-76945000000</v>
      </c>
      <c r="D53" s="68">
        <f t="shared" si="23"/>
        <v>36378700000</v>
      </c>
      <c r="E53" s="68">
        <f t="shared" si="23"/>
        <v>18731280000</v>
      </c>
      <c r="F53" s="68">
        <f t="shared" si="23"/>
        <v>21389502000</v>
      </c>
      <c r="G53" s="68">
        <f t="shared" si="23"/>
        <v>23427472200</v>
      </c>
      <c r="H53" s="68">
        <f t="shared" si="23"/>
        <v>24147630810</v>
      </c>
    </row>
    <row r="54">
      <c r="A54" s="1"/>
      <c r="B54" s="69" t="s">
        <v>73</v>
      </c>
      <c r="C54" s="70">
        <f>IRR(C53:H53)</f>
        <v>0.1984589834</v>
      </c>
      <c r="D54" s="71" t="s">
        <v>74</v>
      </c>
      <c r="E54" s="72"/>
      <c r="F54" s="72"/>
      <c r="G54" s="73"/>
    </row>
    <row r="55">
      <c r="A55" s="1"/>
      <c r="B55" s="74" t="s">
        <v>75</v>
      </c>
      <c r="C55" s="75">
        <f t="array" ref="C55">NPV(E55,D53:H53)+C53</f>
        <v>14283665250</v>
      </c>
      <c r="D55" s="76" t="s">
        <v>76</v>
      </c>
      <c r="E55" s="77">
        <v>0.12</v>
      </c>
      <c r="F55" s="78" t="s">
        <v>77</v>
      </c>
      <c r="G55" s="79"/>
    </row>
    <row r="56">
      <c r="A56" s="1"/>
      <c r="B56" s="80"/>
      <c r="C56" s="81">
        <f>3+(-C53+H58)/H53</f>
        <v>8.138168046</v>
      </c>
      <c r="D56" s="82" t="s">
        <v>78</v>
      </c>
      <c r="E56" s="83" t="s">
        <v>79</v>
      </c>
      <c r="F56" s="84"/>
      <c r="G56" s="85"/>
      <c r="I56" s="86"/>
    </row>
    <row r="57" ht="34.5" customHeight="1">
      <c r="A57" s="1"/>
    </row>
    <row r="58">
      <c r="A58" s="1"/>
      <c r="B58" s="87" t="s">
        <v>80</v>
      </c>
      <c r="C58" s="88">
        <f>C53</f>
        <v>-76945000000</v>
      </c>
      <c r="D58" s="88">
        <f t="shared" ref="D58:H58" si="24">C58+D53</f>
        <v>-40566300000</v>
      </c>
      <c r="E58" s="88">
        <f t="shared" si="24"/>
        <v>-21835020000</v>
      </c>
      <c r="F58" s="88">
        <f t="shared" si="24"/>
        <v>-445518000</v>
      </c>
      <c r="G58" s="88">
        <f t="shared" si="24"/>
        <v>22981954200</v>
      </c>
      <c r="H58" s="88">
        <f t="shared" si="24"/>
        <v>47129585010</v>
      </c>
    </row>
    <row r="59">
      <c r="A59" s="1"/>
      <c r="B59" s="89" t="s">
        <v>81</v>
      </c>
      <c r="C59" s="90">
        <v>0.0</v>
      </c>
      <c r="D59" s="90">
        <v>1.0</v>
      </c>
      <c r="E59" s="90">
        <v>2.0</v>
      </c>
      <c r="F59" s="90">
        <v>3.0</v>
      </c>
      <c r="G59" s="90">
        <v>4.0</v>
      </c>
      <c r="H59" s="90">
        <v>5.0</v>
      </c>
    </row>
    <row r="60">
      <c r="A60" s="1"/>
    </row>
    <row r="61">
      <c r="A61" s="1"/>
    </row>
    <row r="62" ht="42.75" customHeight="1">
      <c r="A62" s="1"/>
      <c r="B62" s="91" t="s">
        <v>82</v>
      </c>
      <c r="C62" s="91" t="s">
        <v>83</v>
      </c>
    </row>
    <row r="63">
      <c r="A63" s="1"/>
      <c r="B63" s="92" t="s">
        <v>84</v>
      </c>
      <c r="C63" s="92" t="s">
        <v>85</v>
      </c>
    </row>
    <row r="64">
      <c r="A64" s="1"/>
      <c r="B64" s="92" t="s">
        <v>86</v>
      </c>
      <c r="C64" s="92" t="s">
        <v>87</v>
      </c>
    </row>
    <row r="65">
      <c r="A65" s="1"/>
      <c r="B65" s="92" t="s">
        <v>88</v>
      </c>
      <c r="C65" s="92" t="s">
        <v>89</v>
      </c>
    </row>
    <row r="66">
      <c r="A66" s="1"/>
      <c r="B66" s="92" t="s">
        <v>90</v>
      </c>
      <c r="C66" s="92" t="s">
        <v>91</v>
      </c>
    </row>
    <row r="67">
      <c r="A67" s="1"/>
    </row>
    <row r="68">
      <c r="A68" s="1"/>
      <c r="B68" s="2"/>
      <c r="C68" s="3"/>
      <c r="D68" s="4"/>
      <c r="E68" s="5"/>
      <c r="F68" s="2"/>
      <c r="G68" s="2"/>
      <c r="I68" s="6"/>
    </row>
    <row r="69">
      <c r="A69" s="1"/>
      <c r="B69" s="2"/>
      <c r="C69" s="3"/>
      <c r="D69" s="4"/>
      <c r="E69" s="5"/>
      <c r="F69" s="2"/>
      <c r="G69" s="2"/>
      <c r="I69" s="6"/>
    </row>
    <row r="70">
      <c r="A70" s="1"/>
      <c r="B70" s="2"/>
      <c r="C70" s="7" t="s">
        <v>0</v>
      </c>
      <c r="D70" s="8">
        <v>8.5E7</v>
      </c>
      <c r="E70" s="9" t="s">
        <v>1</v>
      </c>
      <c r="F70" s="10">
        <v>1.95E8</v>
      </c>
      <c r="G70" s="11" t="s">
        <v>2</v>
      </c>
      <c r="H70" s="12">
        <v>3.6E8</v>
      </c>
      <c r="I70" s="13"/>
    </row>
    <row r="71">
      <c r="A71" s="1"/>
      <c r="B71" s="2"/>
      <c r="C71" s="7" t="s">
        <v>3</v>
      </c>
      <c r="D71" s="14">
        <v>850.0</v>
      </c>
      <c r="E71" s="9" t="s">
        <v>4</v>
      </c>
      <c r="F71" s="10">
        <v>2.3E9</v>
      </c>
      <c r="G71" s="11" t="s">
        <v>5</v>
      </c>
      <c r="H71" s="12">
        <f>0.15*D75</f>
        <v>67500000</v>
      </c>
      <c r="I71" s="13"/>
    </row>
    <row r="72">
      <c r="A72" s="1"/>
      <c r="B72" s="2"/>
      <c r="C72" s="7" t="s">
        <v>6</v>
      </c>
      <c r="D72" s="15">
        <f>D70*D71</f>
        <v>72250000000</v>
      </c>
      <c r="E72" s="9" t="s">
        <v>7</v>
      </c>
      <c r="F72" s="12">
        <v>1.445E10</v>
      </c>
      <c r="G72" s="16"/>
      <c r="H72" s="17"/>
      <c r="I72" s="13"/>
    </row>
    <row r="73">
      <c r="A73" s="1"/>
      <c r="B73" s="2"/>
      <c r="C73" s="7" t="s">
        <v>8</v>
      </c>
      <c r="D73" s="14">
        <v>2.5E8</v>
      </c>
      <c r="E73" s="11" t="s">
        <v>9</v>
      </c>
      <c r="F73" s="12">
        <v>3.0E9</v>
      </c>
      <c r="G73" s="18"/>
      <c r="H73" s="19"/>
      <c r="I73" s="13"/>
    </row>
    <row r="74">
      <c r="A74" s="1"/>
      <c r="B74" s="2"/>
      <c r="C74" s="7" t="s">
        <v>10</v>
      </c>
      <c r="D74" s="14">
        <v>1.5E9</v>
      </c>
      <c r="E74" s="11" t="s">
        <v>11</v>
      </c>
      <c r="F74" s="12">
        <v>1.2E9</v>
      </c>
      <c r="G74" s="20"/>
      <c r="H74" s="18"/>
      <c r="I74" s="13"/>
    </row>
    <row r="75">
      <c r="A75" s="1"/>
      <c r="B75" s="2"/>
      <c r="C75" s="7" t="s">
        <v>12</v>
      </c>
      <c r="D75" s="14">
        <v>4.5E8</v>
      </c>
      <c r="E75" s="11" t="s">
        <v>13</v>
      </c>
      <c r="F75" s="21">
        <v>0.32</v>
      </c>
      <c r="G75" s="18"/>
      <c r="H75" s="19"/>
      <c r="I75" s="13"/>
    </row>
    <row r="76">
      <c r="A76" s="1"/>
    </row>
    <row r="77">
      <c r="A77" s="1"/>
      <c r="B77" s="22" t="s">
        <v>14</v>
      </c>
      <c r="C77" s="6">
        <v>0.0</v>
      </c>
      <c r="D77" s="6">
        <v>1.0</v>
      </c>
      <c r="E77" s="6">
        <v>2.0</v>
      </c>
      <c r="F77" s="6">
        <v>3.0</v>
      </c>
      <c r="G77" s="6">
        <v>4.0</v>
      </c>
      <c r="H77" s="6">
        <v>5.0</v>
      </c>
    </row>
    <row r="78">
      <c r="A78" s="1">
        <v>1.0</v>
      </c>
      <c r="B78" s="23" t="s">
        <v>15</v>
      </c>
      <c r="C78" s="24">
        <f t="shared" ref="C78:H78" si="25">C79+C80+C81+C82</f>
        <v>0</v>
      </c>
      <c r="D78" s="24">
        <f t="shared" si="25"/>
        <v>23230000000</v>
      </c>
      <c r="E78" s="24">
        <f t="shared" si="25"/>
        <v>27276000000</v>
      </c>
      <c r="F78" s="24">
        <f t="shared" si="25"/>
        <v>30917400000</v>
      </c>
      <c r="G78" s="24">
        <f t="shared" si="25"/>
        <v>33709140000</v>
      </c>
      <c r="H78" s="24">
        <f t="shared" si="25"/>
        <v>35312097000</v>
      </c>
      <c r="L78" s="25"/>
      <c r="N78" s="25"/>
    </row>
    <row r="79">
      <c r="A79" s="1" t="s">
        <v>16</v>
      </c>
      <c r="B79" s="26" t="s">
        <v>17</v>
      </c>
      <c r="C79" s="27"/>
      <c r="D79" s="27">
        <f t="shared" ref="D79:H79" si="26">$F73</f>
        <v>3000000000</v>
      </c>
      <c r="E79" s="27">
        <f t="shared" si="26"/>
        <v>3000000000</v>
      </c>
      <c r="F79" s="27">
        <f t="shared" si="26"/>
        <v>3000000000</v>
      </c>
      <c r="G79" s="27">
        <f t="shared" si="26"/>
        <v>3000000000</v>
      </c>
      <c r="H79" s="27">
        <f t="shared" si="26"/>
        <v>3000000000</v>
      </c>
      <c r="L79" s="25"/>
      <c r="N79" s="25"/>
    </row>
    <row r="80">
      <c r="A80" s="1" t="s">
        <v>18</v>
      </c>
      <c r="B80" s="93" t="s">
        <v>19</v>
      </c>
      <c r="C80" s="27"/>
      <c r="D80" s="28">
        <f>1.4*F72</f>
        <v>20230000000</v>
      </c>
      <c r="E80" s="28">
        <f>1.2*D80</f>
        <v>24276000000</v>
      </c>
      <c r="F80" s="28">
        <f>1.15*E80</f>
        <v>27917400000</v>
      </c>
      <c r="G80" s="28">
        <f>1.1*F80</f>
        <v>30709140000</v>
      </c>
      <c r="H80" s="28">
        <f>1.05*G80</f>
        <v>32244597000</v>
      </c>
      <c r="L80" s="25"/>
      <c r="N80" s="25"/>
    </row>
    <row r="81">
      <c r="A81" s="1" t="s">
        <v>20</v>
      </c>
      <c r="B81" s="26" t="s">
        <v>21</v>
      </c>
      <c r="C81" s="27"/>
      <c r="D81" s="28"/>
      <c r="E81" s="28"/>
      <c r="F81" s="28"/>
      <c r="G81" s="28"/>
      <c r="H81" s="28">
        <f>H71</f>
        <v>67500000</v>
      </c>
      <c r="L81" s="25"/>
      <c r="N81" s="25"/>
    </row>
    <row r="82">
      <c r="A82" s="1" t="s">
        <v>22</v>
      </c>
      <c r="B82" s="29"/>
      <c r="C82" s="27"/>
      <c r="D82" s="28"/>
      <c r="E82" s="28"/>
      <c r="F82" s="28"/>
      <c r="G82" s="28"/>
      <c r="H82" s="28"/>
      <c r="L82" s="25"/>
      <c r="N82" s="25"/>
    </row>
    <row r="83">
      <c r="A83" s="1">
        <v>2.0</v>
      </c>
      <c r="B83" s="23" t="s">
        <v>23</v>
      </c>
      <c r="C83" s="24">
        <f t="shared" ref="C83:H83" si="27">C84+C90+C97</f>
        <v>-76300000000</v>
      </c>
      <c r="D83" s="24">
        <f t="shared" si="27"/>
        <v>-1650000000</v>
      </c>
      <c r="E83" s="24">
        <f t="shared" si="27"/>
        <v>-4650000000</v>
      </c>
      <c r="F83" s="24">
        <f t="shared" si="27"/>
        <v>-4950000000</v>
      </c>
      <c r="G83" s="24">
        <f t="shared" si="27"/>
        <v>-5280000000</v>
      </c>
      <c r="H83" s="24">
        <f t="shared" si="27"/>
        <v>-5643000000</v>
      </c>
    </row>
    <row r="84">
      <c r="A84" s="1" t="s">
        <v>24</v>
      </c>
      <c r="B84" s="23" t="s">
        <v>25</v>
      </c>
      <c r="C84" s="30">
        <f t="shared" ref="C84:H84" si="28">C85+C86+C87+C88+C89</f>
        <v>-76300000000</v>
      </c>
      <c r="D84" s="24">
        <f t="shared" si="28"/>
        <v>0</v>
      </c>
      <c r="E84" s="24">
        <f t="shared" si="28"/>
        <v>0</v>
      </c>
      <c r="F84" s="24">
        <f t="shared" si="28"/>
        <v>0</v>
      </c>
      <c r="G84" s="24">
        <f t="shared" si="28"/>
        <v>0</v>
      </c>
      <c r="H84" s="24">
        <f t="shared" si="28"/>
        <v>0</v>
      </c>
      <c r="N84" s="25"/>
    </row>
    <row r="85">
      <c r="A85" s="1" t="s">
        <v>26</v>
      </c>
      <c r="B85" s="26" t="s">
        <v>4</v>
      </c>
      <c r="C85" s="28">
        <f>-(F71)</f>
        <v>-2300000000</v>
      </c>
      <c r="D85" s="28"/>
      <c r="E85" s="28"/>
      <c r="F85" s="28"/>
      <c r="G85" s="28"/>
      <c r="H85" s="28"/>
    </row>
    <row r="86">
      <c r="A86" s="1" t="s">
        <v>27</v>
      </c>
      <c r="B86" s="26" t="s">
        <v>28</v>
      </c>
      <c r="C86" s="28">
        <f t="shared" ref="C86:C87" si="29">-(D73)</f>
        <v>-250000000</v>
      </c>
      <c r="D86" s="28"/>
      <c r="E86" s="28"/>
      <c r="F86" s="28"/>
      <c r="G86" s="28"/>
      <c r="H86" s="28"/>
    </row>
    <row r="87">
      <c r="A87" s="1" t="s">
        <v>29</v>
      </c>
      <c r="B87" s="93" t="s">
        <v>30</v>
      </c>
      <c r="C87" s="28">
        <f t="shared" si="29"/>
        <v>-1500000000</v>
      </c>
      <c r="D87" s="28"/>
      <c r="E87" s="28"/>
      <c r="F87" s="28"/>
      <c r="G87" s="28"/>
      <c r="H87" s="28"/>
    </row>
    <row r="88">
      <c r="A88" s="1" t="s">
        <v>31</v>
      </c>
      <c r="B88" s="93" t="s">
        <v>32</v>
      </c>
      <c r="C88" s="28">
        <f>-(D72)</f>
        <v>-72250000000</v>
      </c>
      <c r="D88" s="28"/>
      <c r="E88" s="28"/>
      <c r="F88" s="28"/>
      <c r="G88" s="28"/>
      <c r="H88" s="28"/>
    </row>
    <row r="89">
      <c r="A89" s="1"/>
      <c r="B89" s="29"/>
      <c r="C89" s="28"/>
      <c r="D89" s="28"/>
      <c r="E89" s="28"/>
      <c r="F89" s="28"/>
      <c r="G89" s="28"/>
      <c r="H89" s="28"/>
    </row>
    <row r="90">
      <c r="A90" s="1" t="s">
        <v>33</v>
      </c>
      <c r="B90" s="23" t="s">
        <v>34</v>
      </c>
      <c r="C90" s="94">
        <f t="shared" ref="C90:H90" si="30">C91+C92+C93+C95+C96</f>
        <v>0</v>
      </c>
      <c r="D90" s="94">
        <f t="shared" si="30"/>
        <v>-1560000000</v>
      </c>
      <c r="E90" s="94">
        <f t="shared" si="30"/>
        <v>-4560000000</v>
      </c>
      <c r="F90" s="94">
        <f t="shared" si="30"/>
        <v>-4860000000</v>
      </c>
      <c r="G90" s="94">
        <f t="shared" si="30"/>
        <v>-5190000000</v>
      </c>
      <c r="H90" s="94">
        <f t="shared" si="30"/>
        <v>-5553000000</v>
      </c>
    </row>
    <row r="91">
      <c r="A91" s="1" t="s">
        <v>35</v>
      </c>
      <c r="B91" s="26" t="s">
        <v>36</v>
      </c>
      <c r="C91" s="28"/>
      <c r="D91" s="28">
        <f t="shared" ref="D91:H91" si="31">-($F74)</f>
        <v>-1200000000</v>
      </c>
      <c r="E91" s="28">
        <f t="shared" si="31"/>
        <v>-1200000000</v>
      </c>
      <c r="F91" s="28">
        <f t="shared" si="31"/>
        <v>-1200000000</v>
      </c>
      <c r="G91" s="28">
        <f t="shared" si="31"/>
        <v>-1200000000</v>
      </c>
      <c r="H91" s="28">
        <f t="shared" si="31"/>
        <v>-1200000000</v>
      </c>
    </row>
    <row r="92">
      <c r="A92" s="1" t="s">
        <v>37</v>
      </c>
      <c r="B92" s="26" t="s">
        <v>38</v>
      </c>
      <c r="C92" s="28"/>
      <c r="D92" s="28">
        <f t="shared" ref="D92:H92" si="32">-($H70)</f>
        <v>-360000000</v>
      </c>
      <c r="E92" s="28">
        <f t="shared" si="32"/>
        <v>-360000000</v>
      </c>
      <c r="F92" s="28">
        <f t="shared" si="32"/>
        <v>-360000000</v>
      </c>
      <c r="G92" s="28">
        <f t="shared" si="32"/>
        <v>-360000000</v>
      </c>
      <c r="H92" s="28">
        <f t="shared" si="32"/>
        <v>-360000000</v>
      </c>
    </row>
    <row r="93">
      <c r="A93" s="1" t="s">
        <v>39</v>
      </c>
      <c r="B93" s="29"/>
      <c r="C93" s="28"/>
      <c r="D93" s="28"/>
      <c r="E93" s="28"/>
      <c r="F93" s="28"/>
      <c r="G93" s="28"/>
      <c r="H93" s="28"/>
      <c r="K93" s="31" t="s">
        <v>40</v>
      </c>
      <c r="L93" s="32"/>
      <c r="M93" s="32"/>
      <c r="N93" s="32"/>
    </row>
    <row r="94">
      <c r="A94" s="1"/>
      <c r="B94" s="29"/>
      <c r="C94" s="28"/>
      <c r="D94" s="28">
        <f>(D70*F74)*(F72*F75)*-G72</f>
        <v>0</v>
      </c>
      <c r="E94" s="28">
        <f>D94*(1+F73)</f>
        <v>0</v>
      </c>
      <c r="F94" s="28">
        <f t="shared" ref="F94:H94" si="33">E94*(1+$F$6)</f>
        <v>0</v>
      </c>
      <c r="G94" s="28">
        <f t="shared" si="33"/>
        <v>0</v>
      </c>
      <c r="H94" s="28">
        <f t="shared" si="33"/>
        <v>0</v>
      </c>
      <c r="K94" s="31"/>
      <c r="L94" s="32"/>
      <c r="M94" s="32"/>
      <c r="N94" s="32"/>
    </row>
    <row r="95">
      <c r="A95" s="1" t="s">
        <v>41</v>
      </c>
      <c r="B95" s="29"/>
      <c r="C95" s="28"/>
      <c r="D95" s="28"/>
      <c r="E95" s="28"/>
      <c r="F95" s="28"/>
      <c r="G95" s="28"/>
      <c r="H95" s="28"/>
    </row>
    <row r="96">
      <c r="A96" s="1" t="s">
        <v>42</v>
      </c>
      <c r="B96" s="26" t="s">
        <v>43</v>
      </c>
      <c r="C96" s="28"/>
      <c r="D96" s="28">
        <f>-L99</f>
        <v>0</v>
      </c>
      <c r="E96" s="28">
        <f>-L100</f>
        <v>-3000000000</v>
      </c>
      <c r="F96" s="28">
        <f>-L101</f>
        <v>-3300000000</v>
      </c>
      <c r="G96" s="28">
        <f>-L102</f>
        <v>-3630000000</v>
      </c>
      <c r="H96" s="28">
        <f>-L103</f>
        <v>-3993000000</v>
      </c>
      <c r="K96" s="33" t="s">
        <v>44</v>
      </c>
    </row>
    <row r="97">
      <c r="A97" s="1">
        <v>3.0</v>
      </c>
      <c r="B97" s="23" t="s">
        <v>45</v>
      </c>
      <c r="C97" s="24">
        <f t="shared" ref="C97:H97" si="34">C98+C99+C100+C101</f>
        <v>0</v>
      </c>
      <c r="D97" s="24">
        <f t="shared" si="34"/>
        <v>-90000000</v>
      </c>
      <c r="E97" s="24">
        <f t="shared" si="34"/>
        <v>-90000000</v>
      </c>
      <c r="F97" s="24">
        <f t="shared" si="34"/>
        <v>-90000000</v>
      </c>
      <c r="G97" s="24">
        <f t="shared" si="34"/>
        <v>-90000000</v>
      </c>
      <c r="H97" s="24">
        <f t="shared" si="34"/>
        <v>-90000000</v>
      </c>
      <c r="K97" s="34" t="s">
        <v>46</v>
      </c>
      <c r="L97" s="35" t="s">
        <v>47</v>
      </c>
      <c r="M97" s="35" t="s">
        <v>48</v>
      </c>
      <c r="N97" s="36" t="s">
        <v>49</v>
      </c>
    </row>
    <row r="98">
      <c r="A98" s="1" t="s">
        <v>50</v>
      </c>
      <c r="B98" s="26" t="s">
        <v>51</v>
      </c>
      <c r="C98" s="28"/>
      <c r="D98" s="28">
        <f t="shared" ref="D98:H98" si="35">$C116/5</f>
        <v>-90000000</v>
      </c>
      <c r="E98" s="28">
        <f t="shared" si="35"/>
        <v>-90000000</v>
      </c>
      <c r="F98" s="28">
        <f t="shared" si="35"/>
        <v>-90000000</v>
      </c>
      <c r="G98" s="28">
        <f t="shared" si="35"/>
        <v>-90000000</v>
      </c>
      <c r="H98" s="28">
        <f t="shared" si="35"/>
        <v>-90000000</v>
      </c>
      <c r="J98" s="37">
        <v>0.0</v>
      </c>
      <c r="K98" s="38">
        <v>0.0</v>
      </c>
      <c r="L98" s="39">
        <v>4.0</v>
      </c>
      <c r="M98" s="40">
        <v>0.1</v>
      </c>
      <c r="N98" s="41">
        <f>PMT(M98,L98,K98)</f>
        <v>0</v>
      </c>
    </row>
    <row r="99">
      <c r="A99" s="1" t="s">
        <v>52</v>
      </c>
      <c r="B99" s="29"/>
      <c r="C99" s="28"/>
      <c r="D99" s="28"/>
      <c r="E99" s="28"/>
      <c r="F99" s="28"/>
      <c r="G99" s="28"/>
      <c r="H99" s="28"/>
      <c r="J99" s="37">
        <v>1.0</v>
      </c>
      <c r="K99" s="95">
        <v>3.0E10</v>
      </c>
      <c r="L99" s="43">
        <f t="shared" ref="L99:L103" si="36">K98*$M$31</f>
        <v>0</v>
      </c>
      <c r="M99" s="43">
        <f t="shared" ref="M99:M103" si="37">N99-L99</f>
        <v>0</v>
      </c>
      <c r="N99" s="44">
        <f>-N98</f>
        <v>0</v>
      </c>
    </row>
    <row r="100">
      <c r="A100" s="1"/>
      <c r="B100" s="45"/>
      <c r="C100" s="28"/>
      <c r="D100" s="28"/>
      <c r="E100" s="28"/>
      <c r="F100" s="28"/>
      <c r="G100" s="28"/>
      <c r="H100" s="28"/>
      <c r="J100" s="37">
        <v>2.0</v>
      </c>
      <c r="K100" s="46">
        <f t="shared" ref="K100:K103" si="38">K99-M100</f>
        <v>33000000000</v>
      </c>
      <c r="L100" s="47">
        <f t="shared" si="36"/>
        <v>3000000000</v>
      </c>
      <c r="M100" s="47">
        <f t="shared" si="37"/>
        <v>-3000000000</v>
      </c>
      <c r="N100" s="48">
        <f t="shared" ref="N100:N103" si="39">N99</f>
        <v>0</v>
      </c>
    </row>
    <row r="101">
      <c r="A101" s="1"/>
      <c r="B101" s="45"/>
      <c r="C101" s="28"/>
      <c r="D101" s="28"/>
      <c r="E101" s="28"/>
      <c r="F101" s="28"/>
      <c r="G101" s="28"/>
      <c r="H101" s="28"/>
      <c r="J101" s="37">
        <v>3.0</v>
      </c>
      <c r="K101" s="46">
        <f t="shared" si="38"/>
        <v>36300000000</v>
      </c>
      <c r="L101" s="47">
        <f t="shared" si="36"/>
        <v>3300000000</v>
      </c>
      <c r="M101" s="47">
        <f t="shared" si="37"/>
        <v>-3300000000</v>
      </c>
      <c r="N101" s="48">
        <f t="shared" si="39"/>
        <v>0</v>
      </c>
    </row>
    <row r="102">
      <c r="A102" s="1">
        <v>4.0</v>
      </c>
      <c r="B102" s="49" t="s">
        <v>53</v>
      </c>
      <c r="C102" s="50">
        <f t="shared" ref="C102:H102" si="40">C78+C83+C97</f>
        <v>-76300000000</v>
      </c>
      <c r="D102" s="50">
        <f t="shared" si="40"/>
        <v>21490000000</v>
      </c>
      <c r="E102" s="50">
        <f t="shared" si="40"/>
        <v>22536000000</v>
      </c>
      <c r="F102" s="50">
        <f t="shared" si="40"/>
        <v>25877400000</v>
      </c>
      <c r="G102" s="50">
        <f t="shared" si="40"/>
        <v>28339140000</v>
      </c>
      <c r="H102" s="50">
        <f t="shared" si="40"/>
        <v>29579097000</v>
      </c>
      <c r="J102" s="37">
        <v>4.0</v>
      </c>
      <c r="K102" s="46">
        <f t="shared" si="38"/>
        <v>39930000000</v>
      </c>
      <c r="L102" s="47">
        <f t="shared" si="36"/>
        <v>3630000000</v>
      </c>
      <c r="M102" s="47">
        <f t="shared" si="37"/>
        <v>-3630000000</v>
      </c>
      <c r="N102" s="48">
        <f t="shared" si="39"/>
        <v>0</v>
      </c>
    </row>
    <row r="103">
      <c r="A103" s="1" t="s">
        <v>54</v>
      </c>
      <c r="B103" s="51" t="s">
        <v>55</v>
      </c>
      <c r="C103" s="52">
        <f>C102</f>
        <v>-76300000000</v>
      </c>
      <c r="D103" s="52">
        <f>C103+D102</f>
        <v>-54810000000</v>
      </c>
      <c r="E103" s="52">
        <f t="shared" ref="E103:H103" si="41">E102</f>
        <v>22536000000</v>
      </c>
      <c r="F103" s="52">
        <f t="shared" si="41"/>
        <v>25877400000</v>
      </c>
      <c r="G103" s="52">
        <f t="shared" si="41"/>
        <v>28339140000</v>
      </c>
      <c r="H103" s="52">
        <f t="shared" si="41"/>
        <v>29579097000</v>
      </c>
      <c r="J103" s="37">
        <v>5.0</v>
      </c>
      <c r="K103" s="53">
        <f t="shared" si="38"/>
        <v>43923000000</v>
      </c>
      <c r="L103" s="54">
        <f t="shared" si="36"/>
        <v>3993000000</v>
      </c>
      <c r="M103" s="54">
        <f t="shared" si="37"/>
        <v>-3993000000</v>
      </c>
      <c r="N103" s="55">
        <f t="shared" si="39"/>
        <v>0</v>
      </c>
    </row>
    <row r="104">
      <c r="A104" s="56">
        <v>5.0</v>
      </c>
      <c r="B104" s="57" t="s">
        <v>56</v>
      </c>
      <c r="C104" s="58"/>
      <c r="D104" s="58">
        <f t="shared" ref="D104:H104" si="42">D103*-0.27</f>
        <v>14798700000</v>
      </c>
      <c r="E104" s="58">
        <f t="shared" si="42"/>
        <v>-6084720000</v>
      </c>
      <c r="F104" s="58">
        <f t="shared" si="42"/>
        <v>-6986898000</v>
      </c>
      <c r="G104" s="58">
        <f t="shared" si="42"/>
        <v>-7651567800</v>
      </c>
      <c r="H104" s="58">
        <f t="shared" si="42"/>
        <v>-7986356190</v>
      </c>
      <c r="I104" s="5"/>
      <c r="J104" s="5"/>
      <c r="K104" s="5"/>
      <c r="L104" s="59" t="s">
        <v>57</v>
      </c>
      <c r="M104" s="59" t="s">
        <v>58</v>
      </c>
      <c r="N104" s="59" t="s">
        <v>59</v>
      </c>
      <c r="O104" s="5"/>
      <c r="P104" s="5"/>
    </row>
    <row r="105">
      <c r="A105" s="1" t="s">
        <v>60</v>
      </c>
      <c r="B105" s="60" t="s">
        <v>61</v>
      </c>
      <c r="C105" s="61">
        <f t="shared" ref="C105:H105" si="43">-C97</f>
        <v>0</v>
      </c>
      <c r="D105" s="61">
        <f t="shared" si="43"/>
        <v>90000000</v>
      </c>
      <c r="E105" s="61">
        <f t="shared" si="43"/>
        <v>90000000</v>
      </c>
      <c r="F105" s="61">
        <f t="shared" si="43"/>
        <v>90000000</v>
      </c>
      <c r="G105" s="61">
        <f t="shared" si="43"/>
        <v>90000000</v>
      </c>
      <c r="H105" s="61">
        <f t="shared" si="43"/>
        <v>90000000</v>
      </c>
    </row>
    <row r="106">
      <c r="A106" s="1"/>
      <c r="B106" s="62"/>
      <c r="C106" s="28"/>
      <c r="D106" s="28"/>
      <c r="E106" s="28"/>
      <c r="F106" s="28"/>
      <c r="G106" s="28"/>
      <c r="H106" s="28"/>
    </row>
    <row r="107">
      <c r="A107" s="1">
        <v>6.0</v>
      </c>
      <c r="B107" s="60" t="s">
        <v>62</v>
      </c>
      <c r="C107" s="61">
        <f>C102+C105</f>
        <v>-76300000000</v>
      </c>
      <c r="D107" s="61">
        <f t="shared" ref="D107:G107" si="44">D102+D105+D104</f>
        <v>36378700000</v>
      </c>
      <c r="E107" s="61">
        <f t="shared" si="44"/>
        <v>16541280000</v>
      </c>
      <c r="F107" s="61">
        <f t="shared" si="44"/>
        <v>18980502000</v>
      </c>
      <c r="G107" s="61">
        <f t="shared" si="44"/>
        <v>20777572200</v>
      </c>
      <c r="H107" s="61">
        <f>H102+H104+H105</f>
        <v>21682740810</v>
      </c>
    </row>
    <row r="108">
      <c r="A108" s="1"/>
      <c r="B108" s="62"/>
      <c r="C108" s="28"/>
      <c r="D108" s="28"/>
      <c r="E108" s="28"/>
      <c r="F108" s="28"/>
      <c r="G108" s="28"/>
      <c r="H108" s="28"/>
    </row>
    <row r="109">
      <c r="A109" s="1">
        <v>7.0</v>
      </c>
      <c r="B109" s="23" t="s">
        <v>63</v>
      </c>
      <c r="C109" s="24">
        <f t="shared" ref="C109:H109" si="45">C110+C111+C112</f>
        <v>0</v>
      </c>
      <c r="D109" s="24">
        <f t="shared" si="45"/>
        <v>0</v>
      </c>
      <c r="E109" s="24">
        <f t="shared" si="45"/>
        <v>0</v>
      </c>
      <c r="F109" s="24">
        <f t="shared" si="45"/>
        <v>0</v>
      </c>
      <c r="G109" s="24">
        <f t="shared" si="45"/>
        <v>0</v>
      </c>
      <c r="H109" s="24">
        <f t="shared" si="45"/>
        <v>0</v>
      </c>
    </row>
    <row r="110">
      <c r="A110" s="1" t="s">
        <v>64</v>
      </c>
      <c r="B110" s="96" t="s">
        <v>65</v>
      </c>
      <c r="C110" s="28">
        <f>K98</f>
        <v>0</v>
      </c>
      <c r="D110" s="63"/>
      <c r="E110" s="63"/>
      <c r="F110" s="63"/>
      <c r="G110" s="63"/>
      <c r="H110" s="63"/>
    </row>
    <row r="111">
      <c r="A111" s="1"/>
      <c r="B111" s="62"/>
      <c r="C111" s="28"/>
      <c r="D111" s="28"/>
      <c r="E111" s="28"/>
      <c r="F111" s="28"/>
      <c r="G111" s="28"/>
      <c r="H111" s="28"/>
    </row>
    <row r="112">
      <c r="A112" s="1"/>
      <c r="B112" s="62"/>
      <c r="C112" s="28"/>
      <c r="D112" s="28"/>
      <c r="E112" s="28"/>
      <c r="F112" s="28"/>
      <c r="G112" s="28"/>
      <c r="H112" s="28"/>
    </row>
    <row r="113">
      <c r="A113" s="1">
        <v>8.0</v>
      </c>
      <c r="B113" s="23" t="s">
        <v>66</v>
      </c>
      <c r="C113" s="24">
        <f>C114+C115+C116+C117+C118+C119</f>
        <v>-645000000</v>
      </c>
      <c r="D113" s="24">
        <f t="shared" ref="D113:H113" si="46">D114+D115+D116+D117</f>
        <v>0</v>
      </c>
      <c r="E113" s="24">
        <f t="shared" si="46"/>
        <v>3000000000</v>
      </c>
      <c r="F113" s="24">
        <f t="shared" si="46"/>
        <v>3300000000</v>
      </c>
      <c r="G113" s="24">
        <f t="shared" si="46"/>
        <v>3630000000</v>
      </c>
      <c r="H113" s="24">
        <f t="shared" si="46"/>
        <v>3543000000</v>
      </c>
    </row>
    <row r="114">
      <c r="A114" s="1" t="s">
        <v>67</v>
      </c>
      <c r="B114" s="96" t="s">
        <v>68</v>
      </c>
      <c r="C114" s="28"/>
      <c r="D114" s="28">
        <f>-(M99)</f>
        <v>0</v>
      </c>
      <c r="E114" s="28">
        <f>-(M100)</f>
        <v>3000000000</v>
      </c>
      <c r="F114" s="28">
        <f>-(M101)</f>
        <v>3300000000</v>
      </c>
      <c r="G114" s="28">
        <f>-(M102)</f>
        <v>3630000000</v>
      </c>
      <c r="H114" s="28">
        <f>-(M103)</f>
        <v>3993000000</v>
      </c>
      <c r="K114" s="64"/>
    </row>
    <row r="115">
      <c r="A115" s="1" t="s">
        <v>69</v>
      </c>
      <c r="B115" s="96"/>
      <c r="C115" s="28"/>
      <c r="D115" s="28"/>
      <c r="E115" s="28"/>
      <c r="F115" s="28"/>
      <c r="G115" s="28">
        <v>0.0</v>
      </c>
      <c r="H115" s="28"/>
      <c r="K115" s="64"/>
    </row>
    <row r="116">
      <c r="A116" s="1" t="s">
        <v>70</v>
      </c>
      <c r="B116" s="96" t="s">
        <v>71</v>
      </c>
      <c r="C116" s="28">
        <f>-(D75)</f>
        <v>-450000000</v>
      </c>
      <c r="D116" s="28"/>
      <c r="E116" s="28"/>
      <c r="F116" s="28"/>
      <c r="G116" s="28"/>
      <c r="H116" s="28">
        <f>-(D75)</f>
        <v>-450000000</v>
      </c>
      <c r="K116" s="64"/>
    </row>
    <row r="117">
      <c r="A117" s="1"/>
      <c r="B117" s="96" t="s">
        <v>1</v>
      </c>
      <c r="C117" s="28">
        <f>-(F70)</f>
        <v>-195000000</v>
      </c>
      <c r="D117" s="28"/>
      <c r="E117" s="28"/>
      <c r="F117" s="28"/>
      <c r="G117" s="28"/>
      <c r="H117" s="28"/>
    </row>
    <row r="118">
      <c r="A118" s="1"/>
      <c r="B118" s="65"/>
      <c r="C118" s="66"/>
      <c r="D118" s="66"/>
      <c r="E118" s="66"/>
      <c r="F118" s="66"/>
      <c r="G118" s="66"/>
      <c r="H118" s="66"/>
    </row>
    <row r="119">
      <c r="A119" s="1"/>
      <c r="B119" s="45"/>
      <c r="C119" s="66"/>
      <c r="D119" s="66"/>
      <c r="E119" s="66"/>
      <c r="F119" s="66"/>
      <c r="G119" s="66"/>
      <c r="H119" s="66"/>
    </row>
    <row r="120">
      <c r="A120" s="1"/>
      <c r="B120" s="67" t="s">
        <v>72</v>
      </c>
      <c r="C120" s="68">
        <f t="shared" ref="C120:H120" si="47">C107+C109+C113</f>
        <v>-76945000000</v>
      </c>
      <c r="D120" s="68">
        <f t="shared" si="47"/>
        <v>36378700000</v>
      </c>
      <c r="E120" s="68">
        <f t="shared" si="47"/>
        <v>19541280000</v>
      </c>
      <c r="F120" s="68">
        <f t="shared" si="47"/>
        <v>22280502000</v>
      </c>
      <c r="G120" s="68">
        <f t="shared" si="47"/>
        <v>24407572200</v>
      </c>
      <c r="H120" s="68">
        <f t="shared" si="47"/>
        <v>25225740810</v>
      </c>
    </row>
    <row r="121">
      <c r="A121" s="1"/>
      <c r="B121" s="69" t="s">
        <v>73</v>
      </c>
      <c r="C121" s="70">
        <f>IRR(C120:H120)</f>
        <v>0.2110002935</v>
      </c>
      <c r="D121" s="71" t="s">
        <v>74</v>
      </c>
      <c r="E121" s="72"/>
      <c r="F121" s="72"/>
      <c r="G121" s="73"/>
    </row>
    <row r="122">
      <c r="A122" s="1"/>
      <c r="B122" s="74" t="s">
        <v>75</v>
      </c>
      <c r="C122" s="75">
        <f t="array" ref="C122">NPV(E122,D120:H120)+C120</f>
        <v>16798208327</v>
      </c>
      <c r="D122" s="76" t="s">
        <v>76</v>
      </c>
      <c r="E122" s="77">
        <v>0.12</v>
      </c>
      <c r="F122" s="78" t="s">
        <v>77</v>
      </c>
      <c r="G122" s="79"/>
    </row>
    <row r="123">
      <c r="A123" s="1"/>
      <c r="B123" s="80"/>
      <c r="C123" s="81">
        <f>3+(-C120+H125)/H120</f>
        <v>8.067593296</v>
      </c>
      <c r="D123" s="82" t="s">
        <v>78</v>
      </c>
      <c r="E123" s="83" t="s">
        <v>79</v>
      </c>
      <c r="F123" s="84"/>
      <c r="G123" s="85"/>
      <c r="I123" s="86"/>
    </row>
    <row r="124">
      <c r="A124" s="1"/>
    </row>
    <row r="125">
      <c r="A125" s="1"/>
      <c r="B125" s="87" t="s">
        <v>80</v>
      </c>
      <c r="C125" s="88">
        <f>C120</f>
        <v>-76945000000</v>
      </c>
      <c r="D125" s="88">
        <f t="shared" ref="D125:H125" si="48">C125+D120</f>
        <v>-40566300000</v>
      </c>
      <c r="E125" s="88">
        <f t="shared" si="48"/>
        <v>-21025020000</v>
      </c>
      <c r="F125" s="88">
        <f t="shared" si="48"/>
        <v>1255482000</v>
      </c>
      <c r="G125" s="88">
        <f t="shared" si="48"/>
        <v>25663054200</v>
      </c>
      <c r="H125" s="88">
        <f t="shared" si="48"/>
        <v>50888795010</v>
      </c>
    </row>
    <row r="126">
      <c r="A126" s="1"/>
      <c r="B126" s="89" t="s">
        <v>81</v>
      </c>
      <c r="C126" s="90">
        <v>0.0</v>
      </c>
      <c r="D126" s="90">
        <v>1.0</v>
      </c>
      <c r="E126" s="90">
        <v>2.0</v>
      </c>
      <c r="F126" s="90">
        <v>3.0</v>
      </c>
      <c r="G126" s="90">
        <v>4.0</v>
      </c>
      <c r="H126" s="90">
        <v>5.0</v>
      </c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2019-05-29T06:25:22Z</dcterms:created>
  <dc:creator>Jorge Elliott</dc:creator>
</cp:coreProperties>
</file>