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Baeza\Desktop\Z. moelleri\"/>
    </mc:Choice>
  </mc:AlternateContent>
  <xr:revisionPtr revIDLastSave="0" documentId="13_ncr:1_{4F5D706C-D7F1-46F8-83E5-5E6E5B3759A7}" xr6:coauthVersionLast="47" xr6:coauthVersionMax="47" xr10:uidLastSave="{00000000-0000-0000-0000-000000000000}"/>
  <bookViews>
    <workbookView xWindow="-108" yWindow="-108" windowWidth="23256" windowHeight="12576" xr2:uid="{04C5D226-5C7C-4A0F-9D5E-30A03EF5EC62}"/>
  </bookViews>
  <sheets>
    <sheet name="Hoja1" sheetId="1" r:id="rId1"/>
  </sheets>
  <definedNames>
    <definedName name="ImageRes">Hoja1!$B$5</definedName>
    <definedName name="Mag">Hoja1!$B$4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E25" i="1"/>
  <c r="G25" i="1" s="1"/>
  <c r="E24" i="1"/>
  <c r="G24" i="1" s="1"/>
  <c r="E23" i="1"/>
  <c r="E22" i="1"/>
  <c r="G22" i="1" s="1"/>
  <c r="E21" i="1"/>
  <c r="G21" i="1" s="1"/>
  <c r="E20" i="1"/>
  <c r="G20" i="1" s="1"/>
  <c r="E19" i="1"/>
  <c r="E18" i="1"/>
  <c r="G18" i="1" s="1"/>
  <c r="E17" i="1"/>
  <c r="G17" i="1" s="1"/>
  <c r="E16" i="1"/>
  <c r="G16" i="1" s="1"/>
  <c r="E15" i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H15" i="1" l="1"/>
  <c r="H19" i="1"/>
  <c r="H23" i="1"/>
  <c r="H8" i="1"/>
  <c r="H12" i="1"/>
  <c r="H16" i="1"/>
  <c r="H20" i="1"/>
  <c r="H24" i="1"/>
  <c r="G15" i="1"/>
  <c r="G19" i="1"/>
  <c r="G23" i="1"/>
  <c r="H9" i="1"/>
  <c r="H13" i="1"/>
  <c r="H17" i="1"/>
  <c r="H21" i="1"/>
  <c r="H25" i="1"/>
  <c r="H11" i="1"/>
  <c r="H10" i="1"/>
  <c r="H14" i="1"/>
  <c r="H18" i="1"/>
  <c r="H22" i="1"/>
  <c r="C32" i="1"/>
  <c r="D22" i="1" l="1"/>
  <c r="D18" i="1"/>
  <c r="D10" i="1"/>
  <c r="D25" i="1"/>
  <c r="D17" i="1"/>
  <c r="D9" i="1"/>
  <c r="D14" i="1"/>
  <c r="D21" i="1"/>
  <c r="D13" i="1"/>
  <c r="D24" i="1"/>
  <c r="D11" i="1"/>
  <c r="D20" i="1"/>
  <c r="D16" i="1"/>
  <c r="D19" i="1"/>
  <c r="D8" i="1"/>
  <c r="D12" i="1"/>
  <c r="D15" i="1"/>
  <c r="D23" i="1"/>
</calcChain>
</file>

<file path=xl/sharedStrings.xml><?xml version="1.0" encoding="utf-8"?>
<sst xmlns="http://schemas.openxmlformats.org/spreadsheetml/2006/main" count="14" uniqueCount="14">
  <si>
    <t>Set ID: Foto final M. cautinensis</t>
  </si>
  <si>
    <t xml:space="preserve">Project: </t>
  </si>
  <si>
    <t>Mag:</t>
  </si>
  <si>
    <t>Image resolution:</t>
  </si>
  <si>
    <t>pixels per cm</t>
  </si>
  <si>
    <t>Marking order</t>
  </si>
  <si>
    <t>Rank</t>
  </si>
  <si>
    <t>Length each</t>
  </si>
  <si>
    <t>Totals for set:</t>
  </si>
  <si>
    <t>% of set</t>
  </si>
  <si>
    <t>Long arm</t>
  </si>
  <si>
    <t>Short arm</t>
  </si>
  <si>
    <t>Arm Ratio (L/S)</t>
  </si>
  <si>
    <t>Cent. Index (S/(L+S))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</si>
</sst>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5544-82CE-4601-B694-5059A8D0361F}">
  <dimension ref="A1:H32"/>
  <sheetViews>
    <sheetView tabSelected="1" topLeftCell="A5" workbookViewId="0">
      <selection activeCell="C28" sqref="C28"/>
    </sheetView>
  </sheetViews>
  <sheetFormatPr baseColWidth="10" defaultRowHeight="14.4" x14ac:dyDescent="0.3"/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A4" t="s">
        <v>2</v>
      </c>
      <c r="B4">
        <v>1160</v>
      </c>
    </row>
    <row r="5" spans="1:8" x14ac:dyDescent="0.3">
      <c r="A5" t="s">
        <v>3</v>
      </c>
      <c r="B5">
        <v>79.529998779296875</v>
      </c>
      <c r="C5" t="s">
        <v>4</v>
      </c>
    </row>
    <row r="7" spans="1:8" x14ac:dyDescent="0.3">
      <c r="A7" t="s">
        <v>5</v>
      </c>
      <c r="B7" t="s">
        <v>6</v>
      </c>
      <c r="C7" t="s">
        <v>7</v>
      </c>
      <c r="D7" t="s">
        <v>9</v>
      </c>
      <c r="E7" t="s">
        <v>10</v>
      </c>
      <c r="F7" t="s">
        <v>11</v>
      </c>
      <c r="G7" t="s">
        <v>12</v>
      </c>
      <c r="H7" t="s">
        <v>13</v>
      </c>
    </row>
    <row r="8" spans="1:8" x14ac:dyDescent="0.3">
      <c r="A8">
        <v>7</v>
      </c>
      <c r="B8">
        <v>1</v>
      </c>
      <c r="C8">
        <f>( 318.7356*10000)/(ImageRes*Mag)</f>
        <v>34.549487386267316</v>
      </c>
      <c r="D8" s="1">
        <f>($C$8)/($C$32)</f>
        <v>7.4624762717652518E-2</v>
      </c>
      <c r="E8">
        <f>( 240.4413*10000)/(ImageRes*Mag)</f>
        <v>26.062741850887431</v>
      </c>
      <c r="F8">
        <f>( 78.29432*10000)/(ImageRes*Mag)</f>
        <v>8.4867477032887972</v>
      </c>
      <c r="G8">
        <f>($E$8)/($F$8)</f>
        <v>3.0709928893947862</v>
      </c>
      <c r="H8">
        <f>($F$8)/($C$8)</f>
        <v>0.24564033637911797</v>
      </c>
    </row>
    <row r="9" spans="1:8" x14ac:dyDescent="0.3">
      <c r="A9">
        <v>16</v>
      </c>
      <c r="B9">
        <v>2</v>
      </c>
      <c r="C9">
        <f>( 312.1983*10000)/(ImageRes*Mag)</f>
        <v>33.840873839834956</v>
      </c>
      <c r="D9" s="1">
        <f>($C$9)/($C$32)</f>
        <v>7.3094201144630513E-2</v>
      </c>
      <c r="E9">
        <f>( 246.0772*10000)/(ImageRes*Mag)</f>
        <v>26.673647742668155</v>
      </c>
      <c r="F9">
        <f>( 66.1211*10000)/(ImageRes*Mag)</f>
        <v>7.1672260971668047</v>
      </c>
      <c r="G9">
        <f>($E$9)/($F$9)</f>
        <v>3.7216138267512187</v>
      </c>
      <c r="H9">
        <f>($F$9)/($C$9)</f>
        <v>0.21179199246120176</v>
      </c>
    </row>
    <row r="10" spans="1:8" x14ac:dyDescent="0.3">
      <c r="A10">
        <v>8</v>
      </c>
      <c r="B10">
        <v>3</v>
      </c>
      <c r="C10">
        <f>( 308.3964*10000)/(ImageRes*Mag)</f>
        <v>33.428765195259807</v>
      </c>
      <c r="D10" s="1">
        <f>($C$10)/($C$32)</f>
        <v>7.2204071879571202E-2</v>
      </c>
      <c r="E10">
        <f>( 213.4596*10000)/(ImageRes*Mag)</f>
        <v>23.138048456707274</v>
      </c>
      <c r="F10">
        <f>( 94.93682*10000)/(ImageRes*Mag)</f>
        <v>10.290718906461439</v>
      </c>
      <c r="G10">
        <f>($E$10)/($F$10)</f>
        <v>2.2484384878280101</v>
      </c>
      <c r="H10">
        <f>($F$10)/($C$10)</f>
        <v>0.30784023419209816</v>
      </c>
    </row>
    <row r="11" spans="1:8" x14ac:dyDescent="0.3">
      <c r="A11">
        <v>6</v>
      </c>
      <c r="B11">
        <v>4</v>
      </c>
      <c r="C11">
        <f>( 292.7886*10000)/(ImageRes*Mag)</f>
        <v>31.736950759635462</v>
      </c>
      <c r="D11" s="1">
        <f>($C$11)/($C$32)</f>
        <v>6.8549857001959216E-2</v>
      </c>
      <c r="E11">
        <f>( 218.0826*10000)/(ImageRes*Mag)</f>
        <v>23.639160601653472</v>
      </c>
      <c r="F11">
        <f>( 74.70609*10000)/(ImageRes*Mag)</f>
        <v>8.0977999135720982</v>
      </c>
      <c r="G11">
        <f>($E$11)/($F$11)</f>
        <v>2.9192077914933039</v>
      </c>
      <c r="H11">
        <f>($F$11)/($C$11)</f>
        <v>0.25515368426229712</v>
      </c>
    </row>
    <row r="12" spans="1:8" x14ac:dyDescent="0.3">
      <c r="A12">
        <v>15</v>
      </c>
      <c r="B12">
        <v>5</v>
      </c>
      <c r="C12">
        <f>( 289.7489*10000)/(ImageRes*Mag)</f>
        <v>31.407461123686311</v>
      </c>
      <c r="D12" s="1">
        <f>($C$12)/($C$32)</f>
        <v>6.7838179701924822E-2</v>
      </c>
      <c r="E12">
        <f>( 237.1181*10000)/(ImageRes*Mag)</f>
        <v>25.702522106114511</v>
      </c>
      <c r="F12">
        <f>( 52.63079*10000)/(ImageRes*Mag)</f>
        <v>5.7049379336173436</v>
      </c>
      <c r="G12">
        <f>($E$12)/($F$12)</f>
        <v>4.5053114346184042</v>
      </c>
      <c r="H12">
        <f>($F$12)/($C$12)</f>
        <v>0.18164276033489687</v>
      </c>
    </row>
    <row r="13" spans="1:8" x14ac:dyDescent="0.3">
      <c r="A13">
        <v>14</v>
      </c>
      <c r="B13">
        <v>6</v>
      </c>
      <c r="C13">
        <f>( 279.5149*10000)/(ImageRes*Mag)</f>
        <v>30.298142133554489</v>
      </c>
      <c r="D13" s="1">
        <f>($C$13)/($C$32)</f>
        <v>6.5442119074707594E-2</v>
      </c>
      <c r="E13">
        <f>( 226.5149*10000)/(ImageRes*Mag)</f>
        <v>24.553183517472171</v>
      </c>
      <c r="F13">
        <f>( 53*10000)/(ImageRes*Mag)</f>
        <v>5.7449586160823198</v>
      </c>
      <c r="G13">
        <f>($E$13)/($F$13)</f>
        <v>4.2738660377358491</v>
      </c>
      <c r="H13">
        <f>($F$13)/($C$13)</f>
        <v>0.18961422092346419</v>
      </c>
    </row>
    <row r="14" spans="1:8" x14ac:dyDescent="0.3">
      <c r="A14">
        <v>10</v>
      </c>
      <c r="B14">
        <v>7</v>
      </c>
      <c r="C14">
        <f>( 271.032*10000)/(ImageRes*Mag)</f>
        <v>29.378634408189118</v>
      </c>
      <c r="D14" s="1">
        <f>($C$14)/($C$32)</f>
        <v>6.3456039077187484E-2</v>
      </c>
      <c r="E14">
        <f>( 231.0195*10000)/(ImageRes*Mag)</f>
        <v>25.041461641660931</v>
      </c>
      <c r="F14">
        <f>( 40.0125*10000)/(ImageRes*Mag)</f>
        <v>4.3371727665281847</v>
      </c>
      <c r="G14">
        <f>($E$14)/($F$14)</f>
        <v>5.773683223992502</v>
      </c>
      <c r="H14">
        <f>($F$14)/($C$14)</f>
        <v>0.14763016913132027</v>
      </c>
    </row>
    <row r="15" spans="1:8" x14ac:dyDescent="0.3">
      <c r="A15">
        <v>11</v>
      </c>
      <c r="B15">
        <v>8</v>
      </c>
      <c r="C15">
        <f>( 270.1482*10000)/(ImageRes*Mag)</f>
        <v>29.2828345133798</v>
      </c>
      <c r="D15" s="1">
        <f>($C$15)/($C$32)</f>
        <v>6.3249117210631423E-2</v>
      </c>
      <c r="E15">
        <f>( 221.7747*10000)/(ImageRes*Mag)</f>
        <v>24.039367426303237</v>
      </c>
      <c r="F15">
        <f>( 48.37355*10000)/(ImageRes*Mag)</f>
        <v>5.243472506848847</v>
      </c>
      <c r="G15">
        <f>($E$15)/($F$15)</f>
        <v>4.5846273428350823</v>
      </c>
      <c r="H15">
        <f>($F$15)/($C$15)</f>
        <v>0.17906301059936736</v>
      </c>
    </row>
    <row r="16" spans="1:8" x14ac:dyDescent="0.3">
      <c r="A16">
        <v>13</v>
      </c>
      <c r="B16">
        <v>9</v>
      </c>
      <c r="C16">
        <f>( 269.6614*10000)/(ImageRes*Mag)</f>
        <v>29.230067610468318</v>
      </c>
      <c r="D16" s="1">
        <f>($C$16)/($C$32)</f>
        <v>6.3135143953515022E-2</v>
      </c>
      <c r="E16">
        <f>( 223.618*10000)/(ImageRes*Mag)</f>
        <v>24.239172751152758</v>
      </c>
      <c r="F16">
        <f>( 46.04346*10000)/(ImageRes*Mag)</f>
        <v>4.9909013630422949</v>
      </c>
      <c r="G16">
        <f>($E$16)/($F$16)</f>
        <v>4.8566723699739338</v>
      </c>
      <c r="H16">
        <f>($F$16)/($C$16)</f>
        <v>0.17074546078897462</v>
      </c>
    </row>
    <row r="17" spans="1:8" x14ac:dyDescent="0.3">
      <c r="A17">
        <v>9</v>
      </c>
      <c r="B17">
        <v>10</v>
      </c>
      <c r="C17">
        <f>( 269.5652*10000)/(ImageRes*Mag)</f>
        <v>29.219639968602898</v>
      </c>
      <c r="D17" s="1">
        <f>($C$17)/($C$32)</f>
        <v>6.3112620889968177E-2</v>
      </c>
      <c r="E17">
        <f>( 225.282*10000)/(ImageRes*Mag)</f>
        <v>24.419542772608626</v>
      </c>
      <c r="F17">
        <f>( 44.28318*10000)/(ImageRes*Mag)</f>
        <v>4.8000950280853631</v>
      </c>
      <c r="G17">
        <f>($E$17)/($F$17)</f>
        <v>5.0873040283014905</v>
      </c>
      <c r="H17">
        <f>($F$17)/($C$17)</f>
        <v>0.1642763235016983</v>
      </c>
    </row>
    <row r="18" spans="1:8" x14ac:dyDescent="0.3">
      <c r="A18">
        <v>3</v>
      </c>
      <c r="B18">
        <v>11</v>
      </c>
      <c r="C18">
        <f>( 259.9229*10000)/(ImageRes*Mag)</f>
        <v>28.174458563624594</v>
      </c>
      <c r="D18" s="1">
        <f>($C$18)/($C$32)</f>
        <v>6.0855093492487591E-2</v>
      </c>
      <c r="E18">
        <f>( 203.8872*10000)/(ImageRes*Mag)</f>
        <v>22.100443893375456</v>
      </c>
      <c r="F18">
        <f>( 56.0357*10000)/(ImageRes*Mag)</f>
        <v>6.0740146702491327</v>
      </c>
      <c r="G18">
        <f>($E$18)/($F$18)</f>
        <v>3.6385232985400382</v>
      </c>
      <c r="H18">
        <f>($F$18)/($C$18)</f>
        <v>0.21558585257397478</v>
      </c>
    </row>
    <row r="19" spans="1:8" x14ac:dyDescent="0.3">
      <c r="A19">
        <v>1</v>
      </c>
      <c r="B19">
        <v>12</v>
      </c>
      <c r="C19">
        <f>( 248.7275*10000)/(ImageRes*Mag)</f>
        <v>26.960928192105946</v>
      </c>
      <c r="D19" s="1">
        <f>($C$19)/($C$32)</f>
        <v>5.8233942706289843E-2</v>
      </c>
      <c r="E19">
        <f>( 175.0457*10000)/(ImageRes*Mag)</f>
        <v>18.974156649493601</v>
      </c>
      <c r="F19">
        <f>( 73.68175*10000)/(ImageRes*Mag)</f>
        <v>7.9867661228400637</v>
      </c>
      <c r="G19">
        <f>($E$19)/($F$19)</f>
        <v>2.375699545681258</v>
      </c>
      <c r="H19">
        <f>($F$19)/($C$19)</f>
        <v>0.29623483531173667</v>
      </c>
    </row>
    <row r="20" spans="1:8" x14ac:dyDescent="0.3">
      <c r="A20">
        <v>18</v>
      </c>
      <c r="B20">
        <v>13</v>
      </c>
      <c r="C20">
        <f>( 199.9318*10000)/(ImageRes*Mag)</f>
        <v>21.671696547902776</v>
      </c>
      <c r="D20" s="1">
        <f>($C$20)/($C$32)</f>
        <v>4.6809528445247911E-2</v>
      </c>
      <c r="E20">
        <f>( 163.6826*10000)/(ImageRes*Mag)</f>
        <v>17.74244836175011</v>
      </c>
      <c r="F20">
        <f>( 36.24914*10000)/(ImageRes*Mag)</f>
        <v>3.9292416824259289</v>
      </c>
      <c r="G20">
        <f>($E$20)/($F$20)</f>
        <v>4.5154891950540073</v>
      </c>
      <c r="H20">
        <f>($F$20)/($C$20)</f>
        <v>0.18130752586632037</v>
      </c>
    </row>
    <row r="21" spans="1:8" x14ac:dyDescent="0.3">
      <c r="A21">
        <v>12</v>
      </c>
      <c r="B21">
        <v>14</v>
      </c>
      <c r="C21">
        <f>( 156.3781*10000)/(ImageRes*Mag)</f>
        <v>16.95067382946382</v>
      </c>
      <c r="D21" s="1">
        <f>($C$21)/($C$32)</f>
        <v>3.6612410432776681E-2</v>
      </c>
      <c r="E21">
        <f>( 99.62429*10000)/(ImageRes*Mag)</f>
        <v>10.798819305784598</v>
      </c>
      <c r="F21">
        <f>( 56.75385*10000)/(ImageRes*Mag)</f>
        <v>6.1518588594970485</v>
      </c>
      <c r="G21">
        <f>($E$21)/($F$21)</f>
        <v>1.7553750098010972</v>
      </c>
      <c r="H21">
        <f>($F$21)/($C$21)</f>
        <v>0.36292709784810029</v>
      </c>
    </row>
    <row r="22" spans="1:8" x14ac:dyDescent="0.3">
      <c r="A22">
        <v>4</v>
      </c>
      <c r="B22">
        <v>15</v>
      </c>
      <c r="C22">
        <f>( 146.7838*10000)/(ImageRes*Mag)</f>
        <v>15.910695405873662</v>
      </c>
      <c r="D22" s="1">
        <f>($C$22)/($C$32)</f>
        <v>3.4366121154321527E-2</v>
      </c>
      <c r="E22">
        <f>( 95.38344*10000)/(ImageRes*Mag)</f>
        <v>10.339130480369262</v>
      </c>
      <c r="F22">
        <f>( 51.40039*10000)/(ImageRes*Mag)</f>
        <v>5.5715681773677641</v>
      </c>
      <c r="G22">
        <f>($E$22)/($F$22)</f>
        <v>1.8556948692412643</v>
      </c>
      <c r="H22">
        <f>($F$22)/($C$22)</f>
        <v>0.35017754002825918</v>
      </c>
    </row>
    <row r="23" spans="1:8" x14ac:dyDescent="0.3">
      <c r="A23">
        <v>17</v>
      </c>
      <c r="B23">
        <v>16</v>
      </c>
      <c r="C23">
        <f>( 134.7609*10000)/(ImageRes*Mag)</f>
        <v>14.607467803132224</v>
      </c>
      <c r="D23" s="1">
        <f>($C$23)/($C$32)</f>
        <v>3.1551229878674675E-2</v>
      </c>
      <c r="E23">
        <f>( 84.15462*10000)/(ImageRes*Mag)</f>
        <v>9.1219775330591215</v>
      </c>
      <c r="F23">
        <f>( 50.60632*10000)/(ImageRes*Mag)</f>
        <v>5.4854946058909242</v>
      </c>
      <c r="G23">
        <f>($E$23)/($F$23)</f>
        <v>1.662927081044423</v>
      </c>
      <c r="H23">
        <f>($F$23)/($C$23)</f>
        <v>0.37552672919222113</v>
      </c>
    </row>
    <row r="24" spans="1:8" x14ac:dyDescent="0.3">
      <c r="A24">
        <v>5</v>
      </c>
      <c r="B24">
        <v>17</v>
      </c>
      <c r="C24">
        <f>( 122.6484*10000)/(ImageRes*Mag)</f>
        <v>13.294527968466241</v>
      </c>
      <c r="D24" s="1">
        <f>($C$24)/($C$32)</f>
        <v>2.8715360780846987E-2</v>
      </c>
      <c r="E24">
        <f>( 67.47592*10000)/(ImageRes*Mag)</f>
        <v>7.3140824147562515</v>
      </c>
      <c r="F24">
        <f>( 55.17246*10000)/(ImageRes*Mag)</f>
        <v>5.9804433858010775</v>
      </c>
      <c r="G24">
        <f>($E$24)/($F$24)</f>
        <v>1.2230000257374787</v>
      </c>
      <c r="H24">
        <f>($F$24)/($C$24)</f>
        <v>0.44984247654270249</v>
      </c>
    </row>
    <row r="25" spans="1:8" x14ac:dyDescent="0.3">
      <c r="A25">
        <v>2</v>
      </c>
      <c r="B25">
        <v>18</v>
      </c>
      <c r="C25">
        <f>( 120.2345*10000)/(ImageRes*Mag)</f>
        <v>13.032872202365088</v>
      </c>
      <c r="D25" s="1">
        <f>($C$25)/($C$32)</f>
        <v>2.8150200457606842E-2</v>
      </c>
      <c r="E25">
        <f>( 65.00769*10000)/(ImageRes*Mag)</f>
        <v>7.0465375240963857</v>
      </c>
      <c r="F25">
        <f>( 55.22681*10000)/(ImageRes*Mag)</f>
        <v>5.9863346782687019</v>
      </c>
      <c r="G25">
        <f>($E$25)/($F$25)</f>
        <v>1.1771038377918261</v>
      </c>
      <c r="H25">
        <f>($F$25)/($C$25)</f>
        <v>0.45932581746503709</v>
      </c>
    </row>
    <row r="32" spans="1:8" x14ac:dyDescent="0.3">
      <c r="B32" t="s">
        <v>8</v>
      </c>
      <c r="C32">
        <f>SUM($C$8:$C$25)</f>
        <v>462.97617745181282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ImageRes</vt:lpstr>
      <vt:lpstr>Mag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Baeza</dc:creator>
  <cp:lastModifiedBy>Carlos Baeza</cp:lastModifiedBy>
  <dcterms:created xsi:type="dcterms:W3CDTF">2021-12-09T12:14:15Z</dcterms:created>
  <dcterms:modified xsi:type="dcterms:W3CDTF">2022-01-18T16:33:18Z</dcterms:modified>
</cp:coreProperties>
</file>