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Baeza\Desktop\A.HOOKERI\Manuscrito programa\"/>
    </mc:Choice>
  </mc:AlternateContent>
  <xr:revisionPtr revIDLastSave="0" documentId="13_ncr:1_{2CBD5DB7-8F13-459D-94FF-243735873617}" xr6:coauthVersionLast="47" xr6:coauthVersionMax="47" xr10:uidLastSave="{00000000-0000-0000-0000-000000000000}"/>
  <bookViews>
    <workbookView xWindow="-108" yWindow="-108" windowWidth="23256" windowHeight="12576" xr2:uid="{3D80432C-2316-4368-A689-2830D65E70BD}"/>
  </bookViews>
  <sheets>
    <sheet name="Hoja1" sheetId="1" r:id="rId1"/>
  </sheets>
  <definedNames>
    <definedName name="ImageRes">Hoja1!$B$5</definedName>
    <definedName name="Mag">Hoja1!$B$4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H13" i="1" s="1"/>
  <c r="F12" i="1"/>
  <c r="F11" i="1"/>
  <c r="F10" i="1"/>
  <c r="F9" i="1"/>
  <c r="F8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E12" i="1"/>
  <c r="G12" i="1" s="1"/>
  <c r="E11" i="1"/>
  <c r="G11" i="1" s="1"/>
  <c r="E10" i="1"/>
  <c r="G10" i="1" s="1"/>
  <c r="E9" i="1"/>
  <c r="G9" i="1" s="1"/>
  <c r="E8" i="1"/>
  <c r="G8" i="1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13" i="1" l="1"/>
  <c r="H9" i="1"/>
  <c r="H17" i="1"/>
  <c r="H21" i="1"/>
  <c r="H10" i="1"/>
  <c r="H14" i="1"/>
  <c r="H18" i="1"/>
  <c r="H22" i="1"/>
  <c r="H11" i="1"/>
  <c r="H15" i="1"/>
  <c r="H19" i="1"/>
  <c r="H23" i="1"/>
  <c r="H8" i="1"/>
  <c r="H12" i="1"/>
  <c r="H16" i="1"/>
  <c r="H20" i="1"/>
  <c r="D17" i="1"/>
  <c r="D12" i="1"/>
  <c r="D10" i="1"/>
  <c r="D14" i="1"/>
  <c r="C30" i="1"/>
  <c r="D16" i="1" s="1"/>
  <c r="D13" i="1" l="1"/>
  <c r="D9" i="1"/>
  <c r="D22" i="1"/>
  <c r="D20" i="1"/>
  <c r="D15" i="1"/>
  <c r="D23" i="1"/>
  <c r="D19" i="1"/>
  <c r="D11" i="1"/>
  <c r="D21" i="1"/>
  <c r="D18" i="1"/>
  <c r="D8" i="1"/>
</calcChain>
</file>

<file path=xl/sharedStrings.xml><?xml version="1.0" encoding="utf-8"?>
<sst xmlns="http://schemas.openxmlformats.org/spreadsheetml/2006/main" count="14" uniqueCount="14">
  <si>
    <t xml:space="preserve">Project: </t>
  </si>
  <si>
    <t>Mag:</t>
  </si>
  <si>
    <t>Image resolution:</t>
  </si>
  <si>
    <t>pixels per cm</t>
  </si>
  <si>
    <t>Marking order</t>
  </si>
  <si>
    <t>Rank</t>
  </si>
  <si>
    <t>Length each</t>
  </si>
  <si>
    <t>Totals for set:</t>
  </si>
  <si>
    <t>% of set</t>
  </si>
  <si>
    <t>Long arm</t>
  </si>
  <si>
    <t>Short arm</t>
  </si>
  <si>
    <t>Arm Ratio (L/S)</t>
  </si>
  <si>
    <t>Cent. Index (S/(L+S))</t>
  </si>
  <si>
    <t>Alstroemeria hookeri subsp. hookeri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</si>
</sst>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CBEA-AB9A-4BD8-999B-CB20740884FB}">
  <dimension ref="A1:H30"/>
  <sheetViews>
    <sheetView tabSelected="1" workbookViewId="0">
      <selection activeCell="F4" sqref="F4"/>
    </sheetView>
  </sheetViews>
  <sheetFormatPr baseColWidth="10" defaultRowHeight="14.4" x14ac:dyDescent="0.3"/>
  <sheetData>
    <row r="1" spans="1:8" x14ac:dyDescent="0.3">
      <c r="A1" t="s">
        <v>13</v>
      </c>
    </row>
    <row r="2" spans="1:8" x14ac:dyDescent="0.3">
      <c r="A2" t="s">
        <v>0</v>
      </c>
    </row>
    <row r="4" spans="1:8" x14ac:dyDescent="0.3">
      <c r="A4" t="s">
        <v>1</v>
      </c>
      <c r="B4">
        <v>1160</v>
      </c>
    </row>
    <row r="5" spans="1:8" x14ac:dyDescent="0.3">
      <c r="A5" t="s">
        <v>2</v>
      </c>
      <c r="B5">
        <v>28.350000381469727</v>
      </c>
      <c r="C5" t="s">
        <v>3</v>
      </c>
    </row>
    <row r="7" spans="1:8" x14ac:dyDescent="0.3">
      <c r="A7" t="s">
        <v>4</v>
      </c>
      <c r="B7" t="s">
        <v>5</v>
      </c>
      <c r="C7" t="s">
        <v>6</v>
      </c>
      <c r="D7" t="s">
        <v>8</v>
      </c>
      <c r="E7" t="s">
        <v>9</v>
      </c>
      <c r="F7" t="s">
        <v>10</v>
      </c>
      <c r="G7" t="s">
        <v>11</v>
      </c>
      <c r="H7" t="s">
        <v>12</v>
      </c>
    </row>
    <row r="8" spans="1:8" x14ac:dyDescent="0.3">
      <c r="A8">
        <v>11</v>
      </c>
      <c r="B8">
        <v>1</v>
      </c>
      <c r="C8">
        <f>( 495.7539*10000)/(ImageRes*Mag)</f>
        <v>150.74922256561251</v>
      </c>
      <c r="D8" s="1">
        <f>($C$8)/($C$30)</f>
        <v>0.11199681210896163</v>
      </c>
      <c r="E8">
        <f>( 249.6157*10000)/(ImageRes*Mag)</f>
        <v>75.903331703837651</v>
      </c>
      <c r="F8">
        <f>( 246.1382*10000)/(ImageRes*Mag)</f>
        <v>74.845890861774848</v>
      </c>
      <c r="G8">
        <f>($E$8)/($F$8)</f>
        <v>1.014128241776368</v>
      </c>
      <c r="H8">
        <f>($F$8)/($C$8)</f>
        <v>0.49649271543804291</v>
      </c>
    </row>
    <row r="9" spans="1:8" x14ac:dyDescent="0.3">
      <c r="A9">
        <v>13</v>
      </c>
      <c r="B9">
        <v>2</v>
      </c>
      <c r="C9">
        <f>( 482.8571*10000)/(ImageRes*Mag)</f>
        <v>146.82755382314937</v>
      </c>
      <c r="D9" s="1">
        <f>($C$9)/($C$30)</f>
        <v>0.109083268743177</v>
      </c>
      <c r="E9">
        <f>( 248.0806*10000)/(ImageRes*Mag)</f>
        <v>75.43653732953122</v>
      </c>
      <c r="F9">
        <f>( 234.7765*10000)/(ImageRes*Mag)</f>
        <v>71.391016493618153</v>
      </c>
      <c r="G9">
        <f>($E$9)/($F$9)</f>
        <v>1.0566670855047247</v>
      </c>
      <c r="H9">
        <f>($F$9)/($C$9)</f>
        <v>0.4862235638659968</v>
      </c>
    </row>
    <row r="10" spans="1:8" x14ac:dyDescent="0.3">
      <c r="A10">
        <v>6</v>
      </c>
      <c r="B10">
        <v>3</v>
      </c>
      <c r="C10">
        <f>( 316.8127*10000)/(ImageRes*Mag)</f>
        <v>96.336646517380146</v>
      </c>
      <c r="D10" s="1">
        <f>($C$10)/($C$30)</f>
        <v>7.1571827141718558E-2</v>
      </c>
      <c r="E10">
        <f>( 282.8127*10000)/(ImageRes*Mag)</f>
        <v>85.997900685565554</v>
      </c>
      <c r="F10">
        <f>( 34*10000)/(ImageRes*Mag)</f>
        <v>10.338745831814586</v>
      </c>
      <c r="G10">
        <f>($E$10)/($F$10)</f>
        <v>8.318020588235294</v>
      </c>
      <c r="H10">
        <f>($F$10)/($C$10)</f>
        <v>0.10731893008077012</v>
      </c>
    </row>
    <row r="11" spans="1:8" x14ac:dyDescent="0.3">
      <c r="A11">
        <v>7</v>
      </c>
      <c r="B11">
        <v>4</v>
      </c>
      <c r="C11">
        <f>( 311.6634*10000)/(ImageRes*Mag)</f>
        <v>94.770843461151841</v>
      </c>
      <c r="D11" s="1">
        <f>($C$11)/($C$30)</f>
        <v>7.0408537887528794E-2</v>
      </c>
      <c r="E11">
        <f>( 188.4887*10000)/(ImageRes*Mag)</f>
        <v>57.315787102033823</v>
      </c>
      <c r="F11">
        <f>( 123.1747*10000)/(ImageRes*Mag)</f>
        <v>37.455056359118004</v>
      </c>
      <c r="G11">
        <f>($E$11)/($F$11)</f>
        <v>1.5302549955469751</v>
      </c>
      <c r="H11">
        <f>($F$11)/($C$11)</f>
        <v>0.39521708355873669</v>
      </c>
    </row>
    <row r="12" spans="1:8" x14ac:dyDescent="0.3">
      <c r="A12">
        <v>5</v>
      </c>
      <c r="B12">
        <v>5</v>
      </c>
      <c r="C12">
        <f>( 298.4256*10000)/(ImageRes*Mag)</f>
        <v>90.745483179610787</v>
      </c>
      <c r="D12" s="1">
        <f>($C$12)/($C$30)</f>
        <v>6.7417958490501306E-2</v>
      </c>
      <c r="E12">
        <f>( 246.8117*10000)/(ImageRes*Mag)</f>
        <v>75.050689253472711</v>
      </c>
      <c r="F12">
        <f>( 51.61395*10000)/(ImageRes*Mag)</f>
        <v>15.694809130176072</v>
      </c>
      <c r="G12">
        <f>($E$12)/($F$12)</f>
        <v>4.7818797050022335</v>
      </c>
      <c r="H12">
        <f>($F$12)/($C$12)</f>
        <v>0.17295416344978448</v>
      </c>
    </row>
    <row r="13" spans="1:8" x14ac:dyDescent="0.3">
      <c r="A13">
        <v>16</v>
      </c>
      <c r="B13">
        <v>6</v>
      </c>
      <c r="C13">
        <f>( 294.0439*10000)/(ImageRes*Mag)</f>
        <v>89.413092514573677</v>
      </c>
      <c r="D13" s="1">
        <f>($C$13)/($C$30)</f>
        <v>6.6428079375848187E-2</v>
      </c>
      <c r="E13">
        <f>( 169.7056*10000)/(ImageRes*Mag)</f>
        <v>51.604207783399808</v>
      </c>
      <c r="F13">
        <f>( 124.3382*10000)/(ImageRes*Mag)</f>
        <v>37.808854323097897</v>
      </c>
      <c r="G13">
        <f>($E$13)/($F$13)</f>
        <v>1.3648709728788095</v>
      </c>
      <c r="H13">
        <f>($F$13)/($C$13)</f>
        <v>0.42285590689009367</v>
      </c>
    </row>
    <row r="14" spans="1:8" x14ac:dyDescent="0.3">
      <c r="A14">
        <v>1</v>
      </c>
      <c r="B14">
        <v>7</v>
      </c>
      <c r="C14">
        <f>( 260.8679*10000)/(ImageRes*Mag)</f>
        <v>79.32490922880072</v>
      </c>
      <c r="D14" s="1">
        <f>($C$14)/($C$30)</f>
        <v>5.8933219045900383E-2</v>
      </c>
      <c r="E14">
        <f>( 230.8679*10000)/(ImageRes*Mag)</f>
        <v>70.202486436023136</v>
      </c>
      <c r="F14">
        <f>( 30*10000)/(ImageRes*Mag)</f>
        <v>9.1224227927775754</v>
      </c>
      <c r="G14">
        <f>($E$14)/($F$14)</f>
        <v>7.6955966666666669</v>
      </c>
      <c r="H14">
        <f>($F$14)/($C$14)</f>
        <v>0.11500073408801924</v>
      </c>
    </row>
    <row r="15" spans="1:8" x14ac:dyDescent="0.3">
      <c r="A15">
        <v>14</v>
      </c>
      <c r="B15">
        <v>8</v>
      </c>
      <c r="C15">
        <f>( 258.9464*10000)/(ImageRes*Mag)</f>
        <v>78.740618048923309</v>
      </c>
      <c r="D15" s="1">
        <f>($C$15)/($C$30)</f>
        <v>5.8499128916771045E-2</v>
      </c>
      <c r="E15">
        <f>( 224.0179*10000)/(ImageRes*Mag)</f>
        <v>68.119533231672264</v>
      </c>
      <c r="F15">
        <f>( 34.9285*10000)/(ImageRes*Mag)</f>
        <v>10.621084817251052</v>
      </c>
      <c r="G15">
        <f>($E$15)/($F$15)</f>
        <v>6.4136135247720345</v>
      </c>
      <c r="H15">
        <f>($F$15)/($C$15)</f>
        <v>0.13488698819524042</v>
      </c>
    </row>
    <row r="16" spans="1:8" x14ac:dyDescent="0.3">
      <c r="A16">
        <v>12</v>
      </c>
      <c r="B16">
        <v>9</v>
      </c>
      <c r="C16">
        <f>( 247.9432*10000)/(ImageRes*Mag)</f>
        <v>75.394756633140304</v>
      </c>
      <c r="D16" s="1">
        <f>($C$16)/($C$30)</f>
        <v>5.6013372732104973E-2</v>
      </c>
      <c r="E16">
        <f>( 199.86*10000)/(ImageRes*Mag)</f>
        <v>60.773580645484216</v>
      </c>
      <c r="F16">
        <f>( 48.08326*10000)/(ImageRes*Mag)</f>
        <v>14.621194232501677</v>
      </c>
      <c r="G16">
        <f>($E$16)/($F$16)</f>
        <v>4.1565401347579183</v>
      </c>
      <c r="H16">
        <f>($F$16)/($C$16)</f>
        <v>0.1939285287920782</v>
      </c>
    </row>
    <row r="17" spans="1:8" x14ac:dyDescent="0.3">
      <c r="A17">
        <v>3</v>
      </c>
      <c r="B17">
        <v>10</v>
      </c>
      <c r="C17">
        <f>( 245.5823*10000)/(ImageRes*Mag)</f>
        <v>74.676852367424686</v>
      </c>
      <c r="D17" s="1">
        <f>($C$17)/($C$30)</f>
        <v>5.5480016819608777E-2</v>
      </c>
      <c r="E17">
        <f>( 205.8835*10000)/(ImageRes*Mag)</f>
        <v>62.605211101894071</v>
      </c>
      <c r="F17">
        <f>( 39.69887*10000)/(ImageRes*Mag)</f>
        <v>12.071662551183799</v>
      </c>
      <c r="G17">
        <f>($E$17)/($F$17)</f>
        <v>5.1861299830448573</v>
      </c>
      <c r="H17">
        <f>($F$17)/($C$17)</f>
        <v>0.16165200016450698</v>
      </c>
    </row>
    <row r="18" spans="1:8" x14ac:dyDescent="0.3">
      <c r="A18">
        <v>2</v>
      </c>
      <c r="B18">
        <v>11</v>
      </c>
      <c r="C18">
        <f>( 225.3175*10000)/(ImageRes*Mag)</f>
        <v>68.514716587055389</v>
      </c>
      <c r="D18" s="1">
        <f>($C$18)/($C$30)</f>
        <v>5.0901952989902778E-2</v>
      </c>
      <c r="E18">
        <f>( 168.9615*10000)/(ImageRes*Mag)</f>
        <v>51.37794129006295</v>
      </c>
      <c r="F18">
        <f>( 56.35601*10000)/(ImageRes*Mag)</f>
        <v>17.136778337800035</v>
      </c>
      <c r="G18">
        <f>($E$18)/($F$18)</f>
        <v>2.998109695842555</v>
      </c>
      <c r="H18">
        <f>($F$18)/($C$18)</f>
        <v>0.25011821096896603</v>
      </c>
    </row>
    <row r="19" spans="1:8" x14ac:dyDescent="0.3">
      <c r="A19">
        <v>15</v>
      </c>
      <c r="B19">
        <v>12</v>
      </c>
      <c r="C19">
        <f>( 218.4451*10000)/(ImageRes*Mag)</f>
        <v>66.424951973685893</v>
      </c>
      <c r="D19" s="1">
        <f>($C$19)/($C$30)</f>
        <v>4.9349394570215852E-2</v>
      </c>
      <c r="E19">
        <f>( 144.0139*10000)/(ImageRes*Mag)</f>
        <v>43.79185612789302</v>
      </c>
      <c r="F19">
        <f>( 74.43118*10000)/(ImageRes*Mag)</f>
        <v>22.633089764177679</v>
      </c>
      <c r="G19">
        <f>($E$19)/($F$19)</f>
        <v>1.9348598262179912</v>
      </c>
      <c r="H19">
        <f>($F$19)/($C$19)</f>
        <v>0.34073174449781657</v>
      </c>
    </row>
    <row r="20" spans="1:8" x14ac:dyDescent="0.3">
      <c r="A20">
        <v>9</v>
      </c>
      <c r="B20">
        <v>13</v>
      </c>
      <c r="C20">
        <f>( 215.3315*10000)/(ImageRes*Mag)</f>
        <v>65.478166120099488</v>
      </c>
      <c r="D20" s="1">
        <f>($C$20)/($C$30)</f>
        <v>4.8645994608697722E-2</v>
      </c>
      <c r="E20">
        <f>( 166.3009*10000)/(ImageRes*Mag)</f>
        <v>50.568904020647487</v>
      </c>
      <c r="F20">
        <f>( 49.0306*10000)/(ImageRes*Mag)</f>
        <v>14.909262099452008</v>
      </c>
      <c r="G20">
        <f>($E$20)/($F$20)</f>
        <v>3.3917777877488757</v>
      </c>
      <c r="H20">
        <f>($F$20)/($C$20)</f>
        <v>0.22769822343688684</v>
      </c>
    </row>
    <row r="21" spans="1:8" x14ac:dyDescent="0.3">
      <c r="A21">
        <v>10</v>
      </c>
      <c r="B21">
        <v>14</v>
      </c>
      <c r="C21">
        <f>( 187.0187*10000)/(ImageRes*Mag)</f>
        <v>56.86878838518772</v>
      </c>
      <c r="D21" s="1">
        <f>($C$21)/($C$30)</f>
        <v>4.2249790076814848E-2</v>
      </c>
      <c r="E21">
        <f>( 117.5925*10000)/(ImageRes*Mag)</f>
        <v>35.757616741989906</v>
      </c>
      <c r="F21">
        <f>( 69.42622*10000)/(ImageRes*Mag)</f>
        <v>21.111177724813011</v>
      </c>
      <c r="G21">
        <f>($E$21)/($F$21)</f>
        <v>1.6937765011547514</v>
      </c>
      <c r="H21">
        <f>($F$21)/($C$21)</f>
        <v>0.37122608594755496</v>
      </c>
    </row>
    <row r="22" spans="1:8" x14ac:dyDescent="0.3">
      <c r="A22">
        <v>8</v>
      </c>
      <c r="B22">
        <v>15</v>
      </c>
      <c r="C22">
        <f>( 185.1526*10000)/(ImageRes*Mag)</f>
        <v>56.301343279400982</v>
      </c>
      <c r="D22" s="1">
        <f>($C$22)/($C$30)</f>
        <v>4.1828215478861043E-2</v>
      </c>
      <c r="E22">
        <f>( 120.7477*10000)/(ImageRes*Mag)</f>
        <v>36.717052355182297</v>
      </c>
      <c r="F22">
        <f>( 64.40497*10000)/(ImageRes*Mag)</f>
        <v>19.584312209871868</v>
      </c>
      <c r="G22">
        <f>($E$22)/($F$22)</f>
        <v>1.8748195985496148</v>
      </c>
      <c r="H22">
        <f>($F$22)/($C$22)</f>
        <v>0.34784804534205843</v>
      </c>
    </row>
    <row r="23" spans="1:8" x14ac:dyDescent="0.3">
      <c r="A23">
        <v>4</v>
      </c>
      <c r="B23">
        <v>16</v>
      </c>
      <c r="C23">
        <f>( 182.3383*10000)/(ImageRes*Mag)</f>
        <v>55.44556879721052</v>
      </c>
      <c r="D23" s="1">
        <f>($C$23)/($C$30)</f>
        <v>4.1192431013386842E-2</v>
      </c>
      <c r="E23">
        <f>( 115.2562*10000)/(ImageRes*Mag)</f>
        <v>35.047192862964366</v>
      </c>
      <c r="F23">
        <f>( 67.08204*10000)/(ImageRes*Mag)</f>
        <v>20.398357689400569</v>
      </c>
      <c r="G23">
        <f>($E$23)/($F$23)</f>
        <v>1.7181379695668171</v>
      </c>
      <c r="H23">
        <f>($F$23)/($C$23)</f>
        <v>0.36789879032545547</v>
      </c>
    </row>
    <row r="30" spans="1:8" x14ac:dyDescent="0.3">
      <c r="B30" t="s">
        <v>7</v>
      </c>
      <c r="C30">
        <f>SUM($C$8:$C$23)</f>
        <v>1346.0135134824077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ImageRes</vt:lpstr>
      <vt:lpstr>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Baeza</dc:creator>
  <cp:lastModifiedBy>Carlos Baeza</cp:lastModifiedBy>
  <dcterms:created xsi:type="dcterms:W3CDTF">2021-12-17T21:24:04Z</dcterms:created>
  <dcterms:modified xsi:type="dcterms:W3CDTF">2022-05-04T19:00:01Z</dcterms:modified>
</cp:coreProperties>
</file>