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OneDrive\Escritorio\Pythonss\Indices_intento\elementos_web\"/>
    </mc:Choice>
  </mc:AlternateContent>
  <xr:revisionPtr revIDLastSave="0" documentId="8_{B4DE8210-11F6-4C6B-8CA4-351362E73F4E}" xr6:coauthVersionLast="47" xr6:coauthVersionMax="47" xr10:uidLastSave="{00000000-0000-0000-0000-000000000000}"/>
  <bookViews>
    <workbookView xWindow="-108" yWindow="-108" windowWidth="23256" windowHeight="12576"/>
  </bookViews>
  <sheets>
    <sheet name="Tabelle1" sheetId="1" r:id="rId1"/>
    <sheet name="Tabelle2" sheetId="2" r:id="rId2"/>
    <sheet name="Tabelle3" sheetId="3" r:id="rId3"/>
  </sheets>
  <definedNames>
    <definedName name="ImageRes">Tabelle1!$B$5</definedName>
    <definedName name="Mag">Tabelle1!$B$4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/>
  <c r="G8" i="1" s="1"/>
  <c r="F8" i="1"/>
  <c r="H8" i="1" s="1"/>
  <c r="C9" i="1"/>
  <c r="D9" i="1" s="1"/>
  <c r="E9" i="1"/>
  <c r="G9" i="1" s="1"/>
  <c r="F9" i="1"/>
  <c r="H9" i="1" s="1"/>
  <c r="C10" i="1"/>
  <c r="D10" i="1" s="1"/>
  <c r="E10" i="1"/>
  <c r="G10" i="1" s="1"/>
  <c r="F10" i="1"/>
  <c r="H10" i="1" s="1"/>
  <c r="C11" i="1"/>
  <c r="D11" i="1" s="1"/>
  <c r="E11" i="1"/>
  <c r="G11" i="1" s="1"/>
  <c r="F11" i="1"/>
  <c r="H11" i="1" s="1"/>
  <c r="C12" i="1"/>
  <c r="D12" i="1" s="1"/>
  <c r="E12" i="1"/>
  <c r="G12" i="1" s="1"/>
  <c r="F12" i="1"/>
  <c r="H12" i="1" s="1"/>
  <c r="C13" i="1"/>
  <c r="D13" i="1" s="1"/>
  <c r="E13" i="1"/>
  <c r="G13" i="1" s="1"/>
  <c r="F13" i="1"/>
  <c r="H13" i="1" s="1"/>
  <c r="C14" i="1"/>
  <c r="D14" i="1" s="1"/>
  <c r="E14" i="1"/>
  <c r="G14" i="1" s="1"/>
  <c r="F14" i="1"/>
  <c r="H14" i="1" s="1"/>
  <c r="C15" i="1"/>
  <c r="D15" i="1" s="1"/>
  <c r="E15" i="1"/>
  <c r="G15" i="1" s="1"/>
  <c r="F15" i="1"/>
  <c r="H15" i="1" s="1"/>
  <c r="C16" i="1"/>
  <c r="D16" i="1" s="1"/>
  <c r="E16" i="1"/>
  <c r="G16" i="1" s="1"/>
  <c r="F16" i="1"/>
  <c r="H16" i="1" s="1"/>
  <c r="C17" i="1"/>
  <c r="D17" i="1" s="1"/>
  <c r="E17" i="1"/>
  <c r="G17" i="1" s="1"/>
  <c r="F17" i="1"/>
  <c r="H17" i="1" s="1"/>
  <c r="C19" i="1"/>
</calcChain>
</file>

<file path=xl/sharedStrings.xml><?xml version="1.0" encoding="utf-8"?>
<sst xmlns="http://schemas.openxmlformats.org/spreadsheetml/2006/main" count="14" uniqueCount="14">
  <si>
    <t>Set ID: 300_6a Hapl. stolpii</t>
  </si>
  <si>
    <t>Project: C:\Messungen\300_6a.mpx</t>
  </si>
  <si>
    <t>Mag:</t>
  </si>
  <si>
    <t>Image resolution:</t>
  </si>
  <si>
    <t>pixels per cm</t>
  </si>
  <si>
    <t>Marking order</t>
  </si>
  <si>
    <t>Rank</t>
  </si>
  <si>
    <t>Length each</t>
  </si>
  <si>
    <t>Totals for set:</t>
  </si>
  <si>
    <t>% of set</t>
  </si>
  <si>
    <t>Long arm</t>
  </si>
  <si>
    <t>Short arm</t>
  </si>
  <si>
    <t>Arm Ratio (L/S)</t>
  </si>
  <si>
    <t>Cent. Index (S/(L+S))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</si>
</sst>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/>
  </sheetViews>
  <sheetFormatPr baseColWidth="10" defaultRowHeight="13.2" x14ac:dyDescent="0.25"/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>
        <v>1160</v>
      </c>
    </row>
    <row r="5" spans="1:8" x14ac:dyDescent="0.25">
      <c r="A5" t="s">
        <v>3</v>
      </c>
      <c r="B5">
        <v>118.11000061035156</v>
      </c>
      <c r="C5" t="s">
        <v>4</v>
      </c>
    </row>
    <row r="7" spans="1:8" x14ac:dyDescent="0.25">
      <c r="A7" t="s">
        <v>5</v>
      </c>
      <c r="B7" t="s">
        <v>6</v>
      </c>
      <c r="C7" t="s">
        <v>7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25">
      <c r="A8">
        <v>1</v>
      </c>
      <c r="B8">
        <v>1</v>
      </c>
      <c r="C8">
        <f>( 78.31197*10000)/(ImageRes*Mag)</f>
        <v>5.7158850746462884</v>
      </c>
      <c r="D8" s="1">
        <f>($C$8)/($C$19)</f>
        <v>0.11227486684881281</v>
      </c>
      <c r="E8">
        <f>( 63.99414*10000)/(ImageRes*Mag)</f>
        <v>4.6708459727270935</v>
      </c>
      <c r="F8">
        <f>( 14.31782*10000)/(ImageRes*Mag)</f>
        <v>1.0450383720326804</v>
      </c>
      <c r="G8">
        <f>($E$8)/($F$8)</f>
        <v>4.4695449446913011</v>
      </c>
      <c r="H8">
        <f>($F$8)/($C$8)</f>
        <v>0.18283054301915783</v>
      </c>
    </row>
    <row r="9" spans="1:8" x14ac:dyDescent="0.25">
      <c r="A9">
        <v>8</v>
      </c>
      <c r="B9">
        <v>2</v>
      </c>
      <c r="C9">
        <f>( 77.33564*10000)/(ImageRes*Mag)</f>
        <v>5.6446240646764272</v>
      </c>
      <c r="D9" s="1">
        <f>($C$9)/($C$19)</f>
        <v>0.1108751150516035</v>
      </c>
      <c r="E9">
        <f>( 48.97193*10000)/(ImageRes*Mag)</f>
        <v>3.5743951245719239</v>
      </c>
      <c r="F9">
        <f>( 28.36371*10000)/(ImageRes*Mag)</f>
        <v>2.0702289401045033</v>
      </c>
      <c r="G9">
        <f>($E$9)/($F$9)</f>
        <v>1.7265699726869297</v>
      </c>
      <c r="H9">
        <f>($F$9)/($C$9)</f>
        <v>0.36676117246847639</v>
      </c>
    </row>
    <row r="10" spans="1:8" x14ac:dyDescent="0.25">
      <c r="A10">
        <v>7</v>
      </c>
      <c r="B10">
        <v>3</v>
      </c>
      <c r="C10">
        <f>( 76.38461*10000)/(ImageRes*Mag)</f>
        <v>5.5752096675856517</v>
      </c>
      <c r="D10" s="1">
        <f>($C$10)/($C$19)</f>
        <v>0.10951163553986057</v>
      </c>
      <c r="E10">
        <f>( 50.98284*10000)/(ImageRes*Mag)</f>
        <v>3.7211687334526222</v>
      </c>
      <c r="F10">
        <f>( 25.40177*10000)/(ImageRes*Mag)</f>
        <v>1.8540409341330299</v>
      </c>
      <c r="G10">
        <f>($E$10)/($F$10)</f>
        <v>2.0070585632418529</v>
      </c>
      <c r="H10">
        <f>($F$10)/($C$10)</f>
        <v>0.33255088950509792</v>
      </c>
    </row>
    <row r="11" spans="1:8" x14ac:dyDescent="0.25">
      <c r="A11">
        <v>3</v>
      </c>
      <c r="B11">
        <v>4</v>
      </c>
      <c r="C11">
        <f>( 73.65626*10000)/(ImageRes*Mag)</f>
        <v>5.376071080682383</v>
      </c>
      <c r="D11" s="1">
        <f>($C$11)/($C$19)</f>
        <v>0.10560003514253997</v>
      </c>
      <c r="E11">
        <f>( 53.05893*10000)/(ImageRes*Mag)</f>
        <v>3.8726997426281335</v>
      </c>
      <c r="F11">
        <f>( 20.59733*10000)/(ImageRes*Mag)</f>
        <v>1.5033713380542491</v>
      </c>
      <c r="G11">
        <f>($E$11)/($F$11)</f>
        <v>2.5760100945122497</v>
      </c>
      <c r="H11">
        <f>($F$11)/($C$11)</f>
        <v>0.27964126878014167</v>
      </c>
    </row>
    <row r="12" spans="1:8" x14ac:dyDescent="0.25">
      <c r="A12">
        <v>5</v>
      </c>
      <c r="B12">
        <v>5</v>
      </c>
      <c r="C12">
        <f>( 72.53043*10000)/(ImageRes*Mag)</f>
        <v>5.2938982673361084</v>
      </c>
      <c r="D12" s="1">
        <f>($C$12)/($C$19)</f>
        <v>0.10398594711302929</v>
      </c>
      <c r="E12">
        <f>( 50.96077*10000)/(ImageRes*Mag)</f>
        <v>3.7195578739173878</v>
      </c>
      <c r="F12">
        <f>( 21.56965*10000)/(ImageRes*Mag)</f>
        <v>1.5743396635322071</v>
      </c>
      <c r="G12">
        <f>($E$12)/($F$12)</f>
        <v>2.3626145996805694</v>
      </c>
      <c r="H12">
        <f>($F$12)/($C$12)</f>
        <v>0.29738759304198253</v>
      </c>
    </row>
    <row r="13" spans="1:8" x14ac:dyDescent="0.25">
      <c r="A13">
        <v>9</v>
      </c>
      <c r="B13">
        <v>6</v>
      </c>
      <c r="C13">
        <f>( 70.86304*10000)/(ImageRes*Mag)</f>
        <v>5.1721977199662179</v>
      </c>
      <c r="D13" s="1">
        <f>($C$13)/($C$19)</f>
        <v>0.10159543145833383</v>
      </c>
      <c r="E13">
        <f>( 45.36794*10000)/(ImageRes*Mag)</f>
        <v>3.3113447550029487</v>
      </c>
      <c r="F13">
        <f>( 25.4951*10000)/(ImageRes*Mag)</f>
        <v>1.860852964963269</v>
      </c>
      <c r="G13">
        <f>($E$13)/($F$13)</f>
        <v>1.7794768406478105</v>
      </c>
      <c r="H13">
        <f>($F$13)/($C$13)</f>
        <v>0.35977993605693465</v>
      </c>
    </row>
    <row r="14" spans="1:8" x14ac:dyDescent="0.25">
      <c r="A14">
        <v>2</v>
      </c>
      <c r="B14">
        <v>7</v>
      </c>
      <c r="C14">
        <f>( 65.28902*10000)/(ImageRes*Mag)</f>
        <v>4.7653575175836203</v>
      </c>
      <c r="D14" s="1">
        <f>($C$14)/($C$19)</f>
        <v>9.3604030484605041E-2</v>
      </c>
      <c r="E14">
        <f>( 49.0102*10000)/(ImageRes*Mag)</f>
        <v>3.5771884002589833</v>
      </c>
      <c r="F14">
        <f>( 16.27882*10000)/(ImageRes*Mag)</f>
        <v>1.1881691173246371</v>
      </c>
      <c r="G14">
        <f>($E$14)/($F$14)</f>
        <v>3.0106727637506903</v>
      </c>
      <c r="H14">
        <f>($F$14)/($C$14)</f>
        <v>0.24933472734006421</v>
      </c>
    </row>
    <row r="15" spans="1:8" x14ac:dyDescent="0.25">
      <c r="A15">
        <v>10</v>
      </c>
      <c r="B15">
        <v>8</v>
      </c>
      <c r="C15">
        <f>( 64.87157*10000)/(ImageRes*Mag)</f>
        <v>4.7348884050787117</v>
      </c>
      <c r="D15" s="1">
        <f>($C$15)/($C$19)</f>
        <v>9.3005537774409716E-2</v>
      </c>
      <c r="E15">
        <f>( 41.83898*10000)/(ImageRes*Mag)</f>
        <v>3.0537707239445582</v>
      </c>
      <c r="F15">
        <f>( 23.03259*10000)/(ImageRes*Mag)</f>
        <v>1.6811176811341528</v>
      </c>
      <c r="G15">
        <f>($E$15)/($F$15)</f>
        <v>1.8165121681929821</v>
      </c>
      <c r="H15">
        <f>($F$15)/($C$15)</f>
        <v>0.35504906078271264</v>
      </c>
    </row>
    <row r="16" spans="1:8" x14ac:dyDescent="0.25">
      <c r="A16">
        <v>6</v>
      </c>
      <c r="B16">
        <v>9</v>
      </c>
      <c r="C16">
        <f>( 59.80193*10000)/(ImageRes*Mag)</f>
        <v>4.3648622186626387</v>
      </c>
      <c r="D16" s="1">
        <f>($C$16)/($C$19)</f>
        <v>8.5737259936789004E-2</v>
      </c>
      <c r="E16">
        <f>( 44.22952*10000)/(ImageRes*Mag)</f>
        <v>3.2282530145362132</v>
      </c>
      <c r="F16">
        <f>( 15.57241*10000)/(ImageRes*Mag)</f>
        <v>1.1366092041264266</v>
      </c>
      <c r="G16">
        <f>($E$16)/($F$16)</f>
        <v>2.8402488760570779</v>
      </c>
      <c r="H16">
        <f>($F$16)/($C$16)</f>
        <v>0.26039978977267125</v>
      </c>
    </row>
    <row r="17" spans="1:8" x14ac:dyDescent="0.25">
      <c r="A17">
        <v>4</v>
      </c>
      <c r="B17">
        <v>10</v>
      </c>
      <c r="C17">
        <f>( 58.45776*10000)/(ImageRes*Mag)</f>
        <v>4.2667530631812065</v>
      </c>
      <c r="D17" s="1">
        <f>($C$17)/($C$19)</f>
        <v>8.3810140650016268E-2</v>
      </c>
      <c r="E17">
        <f>( 42.10997*10000)/(ImageRes*Mag)</f>
        <v>3.0735499185731494</v>
      </c>
      <c r="F17">
        <f>( 16.34778*10000)/(ImageRes*Mag)</f>
        <v>1.1932024147215436</v>
      </c>
      <c r="G17">
        <f>($E$17)/($F$17)</f>
        <v>2.5758830862661473</v>
      </c>
      <c r="H17">
        <f>($F$17)/($C$17)</f>
        <v>0.27965115324295697</v>
      </c>
    </row>
    <row r="19" spans="1:8" x14ac:dyDescent="0.25">
      <c r="B19" t="s">
        <v>8</v>
      </c>
      <c r="C19">
        <f>SUM($C$8:$C$17)</f>
        <v>50.909747079399253</v>
      </c>
    </row>
  </sheetData>
  <phoneticPr fontId="0" type="noConversion"/>
  <pageMargins left="0.75" right="0.75" top="1" bottom="1" header="0.4921259845" footer="0.4921259845"/>
  <pageSetup paperSize="9" scale="95" orientation="landscape" horizontalDpi="300" verticalDpi="30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Tabelle1</vt:lpstr>
      <vt:lpstr>Tabelle2</vt:lpstr>
      <vt:lpstr>Tabelle3</vt:lpstr>
      <vt:lpstr>ImageRes</vt:lpstr>
      <vt:lpstr>Mag</vt:lpstr>
    </vt:vector>
  </TitlesOfParts>
  <Company>BAZ Quedlinburg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Carlos Marcelo Baeza Perry</dc:creator>
  <cp:lastModifiedBy>Alvaro</cp:lastModifiedBy>
  <cp:lastPrinted>2003-05-05T08:26:15Z</cp:lastPrinted>
  <dcterms:created xsi:type="dcterms:W3CDTF">2003-05-05T08:26:06Z</dcterms:created>
  <dcterms:modified xsi:type="dcterms:W3CDTF">2022-05-02T04:16:57Z</dcterms:modified>
</cp:coreProperties>
</file>