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OneDrive\Escritorio\Pythonss\Indices_intento\elementos_web\"/>
    </mc:Choice>
  </mc:AlternateContent>
  <xr:revisionPtr revIDLastSave="0" documentId="8_{D4B0B3F2-E07A-480C-9B62-BD47C28FAE61}" xr6:coauthVersionLast="47" xr6:coauthVersionMax="47" xr10:uidLastSave="{00000000-0000-0000-0000-000000000000}"/>
  <bookViews>
    <workbookView xWindow="-108" yWindow="-108" windowWidth="23256" windowHeight="12576"/>
  </bookViews>
  <sheets>
    <sheet name="Tabelle1" sheetId="1" r:id="rId1"/>
    <sheet name="Tabelle2" sheetId="2" r:id="rId2"/>
    <sheet name="Tabelle3" sheetId="3" r:id="rId3"/>
  </sheets>
  <definedNames>
    <definedName name="ImageRes">Tabelle1!$B$5</definedName>
    <definedName name="Mag">Tabelle1!$B$4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E8" i="1"/>
  <c r="F8" i="1"/>
  <c r="H8" i="1" s="1"/>
  <c r="G8" i="1"/>
  <c r="C9" i="1"/>
  <c r="C21" i="1" s="1"/>
  <c r="E9" i="1"/>
  <c r="G9" i="1" s="1"/>
  <c r="F9" i="1"/>
  <c r="H9" i="1"/>
  <c r="J9" i="1"/>
  <c r="K9" i="1"/>
  <c r="C10" i="1"/>
  <c r="E10" i="1"/>
  <c r="F10" i="1"/>
  <c r="G10" i="1"/>
  <c r="H10" i="1"/>
  <c r="J10" i="1"/>
  <c r="K10" i="1" s="1"/>
  <c r="C11" i="1"/>
  <c r="E11" i="1"/>
  <c r="F11" i="1"/>
  <c r="G11" i="1"/>
  <c r="H11" i="1"/>
  <c r="C12" i="1"/>
  <c r="E12" i="1"/>
  <c r="F12" i="1"/>
  <c r="H12" i="1" s="1"/>
  <c r="G12" i="1"/>
  <c r="C13" i="1"/>
  <c r="E13" i="1"/>
  <c r="F13" i="1"/>
  <c r="G13" i="1"/>
  <c r="H13" i="1"/>
  <c r="C14" i="1"/>
  <c r="E14" i="1"/>
  <c r="F14" i="1"/>
  <c r="H14" i="1" s="1"/>
  <c r="G14" i="1"/>
  <c r="C15" i="1"/>
  <c r="E15" i="1"/>
  <c r="F15" i="1"/>
  <c r="G15" i="1"/>
  <c r="H15" i="1"/>
  <c r="C16" i="1"/>
  <c r="E16" i="1"/>
  <c r="F16" i="1"/>
  <c r="H16" i="1" s="1"/>
  <c r="G16" i="1"/>
  <c r="C17" i="1"/>
  <c r="E17" i="1"/>
  <c r="F17" i="1"/>
  <c r="G17" i="1"/>
  <c r="H17" i="1"/>
  <c r="C18" i="1"/>
  <c r="E18" i="1"/>
  <c r="F18" i="1"/>
  <c r="H18" i="1" s="1"/>
  <c r="G18" i="1"/>
  <c r="C19" i="1"/>
  <c r="E19" i="1"/>
  <c r="F19" i="1"/>
  <c r="G19" i="1"/>
  <c r="H19" i="1"/>
  <c r="J28" i="1"/>
  <c r="K28" i="1"/>
  <c r="M28" i="1" s="1"/>
  <c r="L28" i="1"/>
  <c r="J32" i="1"/>
  <c r="K32" i="1"/>
  <c r="L32" i="1"/>
  <c r="M32" i="1"/>
  <c r="D8" i="1" l="1"/>
  <c r="D9" i="1"/>
  <c r="D13" i="1"/>
  <c r="D17" i="1"/>
  <c r="D12" i="1"/>
  <c r="D16" i="1"/>
  <c r="D11" i="1"/>
  <c r="D15" i="1"/>
  <c r="D19" i="1"/>
  <c r="D10" i="1"/>
  <c r="D14" i="1"/>
  <c r="D18" i="1"/>
  <c r="J21" i="1"/>
</calcChain>
</file>

<file path=xl/sharedStrings.xml><?xml version="1.0" encoding="utf-8"?>
<sst xmlns="http://schemas.openxmlformats.org/spreadsheetml/2006/main" count="34" uniqueCount="27">
  <si>
    <t>Set ID: 299_2a H. pectinatus 4186</t>
  </si>
  <si>
    <t>Project: C:\Messungen\299_2a.mpx</t>
  </si>
  <si>
    <t>Mag:</t>
  </si>
  <si>
    <t>Image resolution:</t>
  </si>
  <si>
    <t>pixels per cm</t>
  </si>
  <si>
    <t>Marking order</t>
  </si>
  <si>
    <t>Rank</t>
  </si>
  <si>
    <t>Length each</t>
  </si>
  <si>
    <t>Totals for set:</t>
  </si>
  <si>
    <t>% of set</t>
  </si>
  <si>
    <t>Long arm</t>
  </si>
  <si>
    <t>Short arm</t>
  </si>
  <si>
    <t>Arm Ratio (L/S)</t>
  </si>
  <si>
    <t>Cent. Index (S/(L+S))</t>
  </si>
  <si>
    <t>NOR</t>
  </si>
  <si>
    <t># of segments</t>
  </si>
  <si>
    <t>length in chrom</t>
  </si>
  <si>
    <t>Rel. len. in chrom</t>
  </si>
  <si>
    <t>Segments (chromosomes listed by rank order)</t>
  </si>
  <si>
    <t>Chromosome #  2</t>
  </si>
  <si>
    <t>Arm</t>
  </si>
  <si>
    <t>Distal pos</t>
  </si>
  <si>
    <t>Proximal pos</t>
  </si>
  <si>
    <t>Rel dist pos</t>
  </si>
  <si>
    <t>Rel prox pos</t>
  </si>
  <si>
    <t>S</t>
  </si>
  <si>
    <t>Chromosome #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</si>
</sst>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baseColWidth="10" defaultRowHeight="13.2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4" spans="1:11" x14ac:dyDescent="0.25">
      <c r="A4" t="s">
        <v>2</v>
      </c>
      <c r="B4">
        <v>1160</v>
      </c>
    </row>
    <row r="5" spans="1:11" x14ac:dyDescent="0.25">
      <c r="A5" t="s">
        <v>3</v>
      </c>
      <c r="B5">
        <v>118.11000061035156</v>
      </c>
      <c r="C5" t="s">
        <v>4</v>
      </c>
    </row>
    <row r="6" spans="1:11" x14ac:dyDescent="0.25">
      <c r="I6" t="s">
        <v>14</v>
      </c>
    </row>
    <row r="7" spans="1:11" x14ac:dyDescent="0.25">
      <c r="A7" t="s">
        <v>5</v>
      </c>
      <c r="B7" t="s">
        <v>6</v>
      </c>
      <c r="C7" t="s">
        <v>7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15</v>
      </c>
      <c r="J7" t="s">
        <v>16</v>
      </c>
      <c r="K7" t="s">
        <v>17</v>
      </c>
    </row>
    <row r="8" spans="1:11" x14ac:dyDescent="0.25">
      <c r="A8">
        <v>10</v>
      </c>
      <c r="B8">
        <v>1</v>
      </c>
      <c r="C8">
        <f>( 56.52795*10000)/(ImageRes*Mag)</f>
        <v>4.1258988339247704</v>
      </c>
      <c r="D8" s="1">
        <f>($C$8)/($C$21)</f>
        <v>9.4405010176921864E-2</v>
      </c>
      <c r="E8">
        <f>( 29.06888*10000)/(ImageRes*Mag)</f>
        <v>2.1216983473750433</v>
      </c>
      <c r="F8">
        <f>( 27.45906*10000)/(ImageRes*Mag)</f>
        <v>2.0041997566632141</v>
      </c>
      <c r="G8">
        <f>($E$8)/($F$8)</f>
        <v>1.0586261874951288</v>
      </c>
      <c r="H8">
        <f>($F$8)/($C$8)</f>
        <v>0.48576076082716618</v>
      </c>
    </row>
    <row r="9" spans="1:11" x14ac:dyDescent="0.25">
      <c r="A9">
        <v>1</v>
      </c>
      <c r="B9">
        <v>2</v>
      </c>
      <c r="C9">
        <f>( 55.39649*10000)/(ImageRes*Mag)</f>
        <v>4.0433150944714118</v>
      </c>
      <c r="D9" s="1">
        <f>($C$9)/($C$21)</f>
        <v>9.2515405250247915E-2</v>
      </c>
      <c r="E9">
        <f>( 31.30495*10000)/(ImageRes*Mag)</f>
        <v>2.2849060809930881</v>
      </c>
      <c r="F9">
        <f>( 24.09154*10000)/(ImageRes*Mag)</f>
        <v>1.758409013478323</v>
      </c>
      <c r="G9">
        <f>($E$9)/($F$9)</f>
        <v>1.2994167247091717</v>
      </c>
      <c r="H9">
        <f>($F$9)/($C$9)</f>
        <v>0.43489289664381259</v>
      </c>
      <c r="I9">
        <v>1</v>
      </c>
      <c r="J9">
        <f xml:space="preserve"> 5.385166*10000/(ImageRes*Mag)</f>
        <v>0.39305600362106391</v>
      </c>
      <c r="K9" s="1">
        <f>($J$9)/(55.39649*10000/($B$5*$B$4))</f>
        <v>9.7211321511525353E-2</v>
      </c>
    </row>
    <row r="10" spans="1:11" x14ac:dyDescent="0.25">
      <c r="A10">
        <v>12</v>
      </c>
      <c r="B10">
        <v>3</v>
      </c>
      <c r="C10">
        <f>( 55.06226*10000)/(ImageRes*Mag)</f>
        <v>4.0189200975316197</v>
      </c>
      <c r="D10" s="1">
        <f>($C$10)/($C$21)</f>
        <v>9.1957221439382064E-2</v>
      </c>
      <c r="E10">
        <f>( 32.69556*10000)/(ImageRes*Mag)</f>
        <v>2.3864048294430873</v>
      </c>
      <c r="F10">
        <f>( 22.3667*10000)/(ImageRes*Mag)</f>
        <v>1.6325152680885329</v>
      </c>
      <c r="G10">
        <f>($E$10)/($F$10)</f>
        <v>1.4617963311530084</v>
      </c>
      <c r="H10">
        <f>($F$10)/($C$10)</f>
        <v>0.40620744589851571</v>
      </c>
      <c r="I10">
        <v>1</v>
      </c>
      <c r="J10">
        <f xml:space="preserve"> 5*10000/(ImageRes*Mag)</f>
        <v>0.36494325673624911</v>
      </c>
      <c r="K10" s="1">
        <f>($J$10)/(55.06226*10000/($B$5*$B$4))</f>
        <v>9.0806298179551659E-2</v>
      </c>
    </row>
    <row r="11" spans="1:11" x14ac:dyDescent="0.25">
      <c r="A11">
        <v>8</v>
      </c>
      <c r="B11">
        <v>4</v>
      </c>
      <c r="C11">
        <f>( 53.07975*10000)/(ImageRes*Mag)</f>
        <v>3.8742193663491835</v>
      </c>
      <c r="D11" s="1">
        <f>($C$11)/($C$21)</f>
        <v>8.8646312822921555E-2</v>
      </c>
      <c r="E11">
        <f>( 26.90725*10000)/(ImageRes*Mag)</f>
        <v>1.9639238889632877</v>
      </c>
      <c r="F11">
        <f>( 26.1725*10000)/(ImageRes*Mag)</f>
        <v>1.910295477385896</v>
      </c>
      <c r="G11">
        <f>($E$11)/($F$11)</f>
        <v>1.0280733594421625</v>
      </c>
      <c r="H11">
        <f>($F$11)/($C$11)</f>
        <v>0.49307881065754833</v>
      </c>
    </row>
    <row r="12" spans="1:11" x14ac:dyDescent="0.25">
      <c r="A12">
        <v>2</v>
      </c>
      <c r="B12">
        <v>5</v>
      </c>
      <c r="C12">
        <f>( 51.35186*10000)/(ImageRes*Mag)</f>
        <v>3.7481030055727844</v>
      </c>
      <c r="D12" s="1">
        <f>($C$12)/($C$21)</f>
        <v>8.5760634622410112E-2</v>
      </c>
      <c r="E12">
        <f>( 26.1725*10000)/(ImageRes*Mag)</f>
        <v>1.910295477385896</v>
      </c>
      <c r="F12">
        <f>( 25.17936*10000)/(ImageRes*Mag)</f>
        <v>1.8378075281868882</v>
      </c>
      <c r="G12">
        <f>($E$12)/($F$12)</f>
        <v>1.0394426228466491</v>
      </c>
      <c r="H12">
        <f>($F$12)/($C$12)</f>
        <v>0.49033004841499406</v>
      </c>
    </row>
    <row r="13" spans="1:11" x14ac:dyDescent="0.25">
      <c r="A13">
        <v>9</v>
      </c>
      <c r="B13">
        <v>6</v>
      </c>
      <c r="C13">
        <f>( 50.57497*10000)/(ImageRes*Mag)</f>
        <v>3.6913988522276195</v>
      </c>
      <c r="D13" s="1">
        <f>($C$13)/($C$21)</f>
        <v>8.4463182506132245E-2</v>
      </c>
      <c r="E13">
        <f>( 25.4951*10000)/(ImageRes*Mag)</f>
        <v>1.860852964963269</v>
      </c>
      <c r="F13">
        <f>( 25.07987*10000)/(ImageRes*Mag)</f>
        <v>1.8305458872643503</v>
      </c>
      <c r="G13">
        <f>($E$13)/($F$13)</f>
        <v>1.0165563059138665</v>
      </c>
      <c r="H13">
        <f>($F$13)/($C$13)</f>
        <v>0.4958949061166027</v>
      </c>
    </row>
    <row r="14" spans="1:11" x14ac:dyDescent="0.25">
      <c r="A14">
        <v>5</v>
      </c>
      <c r="B14">
        <v>7</v>
      </c>
      <c r="C14">
        <f>( 48.58777*10000)/(ImageRes*Mag)</f>
        <v>3.5463558042703647</v>
      </c>
      <c r="D14" s="1">
        <f>($C$14)/($C$21)</f>
        <v>8.1144441313083876E-2</v>
      </c>
      <c r="E14">
        <f>( 29.27456*10000)/(ImageRes*Mag)</f>
        <v>2.1367106531841458</v>
      </c>
      <c r="F14">
        <f>( 19.31321*10000)/(ImageRes*Mag)</f>
        <v>1.4096451510862187</v>
      </c>
      <c r="G14">
        <f>($E$14)/($F$14)</f>
        <v>1.51577909627659</v>
      </c>
      <c r="H14">
        <f>($F$14)/($C$14)</f>
        <v>0.3974911793646837</v>
      </c>
    </row>
    <row r="15" spans="1:11" x14ac:dyDescent="0.25">
      <c r="A15">
        <v>4</v>
      </c>
      <c r="B15">
        <v>8</v>
      </c>
      <c r="C15">
        <f>( 48.50317*10000)/(ImageRes*Mag)</f>
        <v>3.5401809643663866</v>
      </c>
      <c r="D15" s="1">
        <f>($C$15)/($C$21)</f>
        <v>8.100315432388705E-2</v>
      </c>
      <c r="E15">
        <f>( 25.17936*10000)/(ImageRes*Mag)</f>
        <v>1.8378075281868882</v>
      </c>
      <c r="F15">
        <f>( 23.32381*10000)/(ImageRes*Mag)</f>
        <v>1.7023734361794989</v>
      </c>
      <c r="G15">
        <f>($E$15)/($F$15)</f>
        <v>1.0795560416587169</v>
      </c>
      <c r="H15">
        <f>($F$15)/($C$15)</f>
        <v>0.48087186878713295</v>
      </c>
    </row>
    <row r="16" spans="1:11" x14ac:dyDescent="0.25">
      <c r="A16">
        <v>11</v>
      </c>
      <c r="B16">
        <v>9</v>
      </c>
      <c r="C16">
        <f>( 46.35014*10000)/(ImageRes*Mag)</f>
        <v>3.3830342083562179</v>
      </c>
      <c r="D16" s="1">
        <f>($C$16)/($C$21)</f>
        <v>7.7407467251187315E-2</v>
      </c>
      <c r="E16">
        <f>( 26.62705*10000)/(ImageRes*Mag)</f>
        <v>1.9434724688557883</v>
      </c>
      <c r="F16">
        <f>( 19.72308*10000)/(ImageRes*Mag)</f>
        <v>1.439561009613916</v>
      </c>
      <c r="G16">
        <f>($E$16)/($F$16)</f>
        <v>1.3500452262019929</v>
      </c>
      <c r="H16">
        <f>($F$16)/($C$16)</f>
        <v>0.42552363380132185</v>
      </c>
    </row>
    <row r="17" spans="1:13" x14ac:dyDescent="0.25">
      <c r="A17">
        <v>7</v>
      </c>
      <c r="B17">
        <v>10</v>
      </c>
      <c r="C17">
        <f>( 45.34899*10000)/(ImageRes*Mag)</f>
        <v>3.3099616200599189</v>
      </c>
      <c r="D17" s="1">
        <f>($C$17)/($C$21)</f>
        <v>7.5735487709409743E-2</v>
      </c>
      <c r="E17">
        <f>( 28.3196*10000)/(ImageRes*Mag)</f>
        <v>2.0670094106935761</v>
      </c>
      <c r="F17">
        <f>( 17.02939*10000)/(ImageRes*Mag)</f>
        <v>1.2429522093663425</v>
      </c>
      <c r="G17">
        <f>($E$17)/($F$17)</f>
        <v>1.6629838179758643</v>
      </c>
      <c r="H17">
        <f>($F$17)/($C$17)</f>
        <v>0.37551861684240373</v>
      </c>
    </row>
    <row r="18" spans="1:13" x14ac:dyDescent="0.25">
      <c r="A18">
        <v>6</v>
      </c>
      <c r="B18">
        <v>11</v>
      </c>
      <c r="C18">
        <f>( 44.73522*10000)/(ImageRes*Mag)</f>
        <v>3.2651633755225169</v>
      </c>
      <c r="D18" s="1">
        <f>($C$18)/($C$21)</f>
        <v>7.4710455612963828E-2</v>
      </c>
      <c r="E18">
        <f>( 22.80351*10000)/(ImageRes*Mag)</f>
        <v>1.6643974408835249</v>
      </c>
      <c r="F18">
        <f>( 21.93171*10000)/(ImageRes*Mag)</f>
        <v>1.6007659346389922</v>
      </c>
      <c r="G18">
        <f>($E$18)/($F$18)</f>
        <v>1.0397506623970501</v>
      </c>
      <c r="H18">
        <f>($F$18)/($C$18)</f>
        <v>0.49025599963518673</v>
      </c>
    </row>
    <row r="19" spans="1:13" x14ac:dyDescent="0.25">
      <c r="A19">
        <v>3</v>
      </c>
      <c r="B19">
        <v>12</v>
      </c>
      <c r="C19">
        <f>( 43.26268*10000)/(ImageRes*Mag)</f>
        <v>3.1576846668676382</v>
      </c>
      <c r="D19" s="1">
        <f>($C$19)/($C$21)</f>
        <v>7.2251226971452434E-2</v>
      </c>
      <c r="E19">
        <f>( 26*10000)/(ImageRes*Mag)</f>
        <v>1.8977049350284954</v>
      </c>
      <c r="F19">
        <f>( 17.26268*10000)/(ImageRes*Mag)</f>
        <v>1.2599797318391424</v>
      </c>
      <c r="G19">
        <f>($E$19)/($F$19)</f>
        <v>1.5061392553184096</v>
      </c>
      <c r="H19">
        <f>($F$19)/($C$19)</f>
        <v>0.39902012542912263</v>
      </c>
    </row>
    <row r="21" spans="1:13" x14ac:dyDescent="0.25">
      <c r="B21" t="s">
        <v>8</v>
      </c>
      <c r="C21">
        <f>SUM($C$8:$C$19)</f>
        <v>43.704235889520433</v>
      </c>
      <c r="J21">
        <f>SUM($J$8:$J$19)</f>
        <v>0.75799926035731302</v>
      </c>
    </row>
    <row r="23" spans="1:13" x14ac:dyDescent="0.25">
      <c r="H23" t="s">
        <v>18</v>
      </c>
    </row>
    <row r="25" spans="1:13" x14ac:dyDescent="0.25">
      <c r="H25" t="s">
        <v>14</v>
      </c>
    </row>
    <row r="26" spans="1:13" x14ac:dyDescent="0.25">
      <c r="I26" t="s">
        <v>19</v>
      </c>
    </row>
    <row r="27" spans="1:13" x14ac:dyDescent="0.25">
      <c r="I27" t="s">
        <v>20</v>
      </c>
      <c r="J27" t="s">
        <v>21</v>
      </c>
      <c r="K27" t="s">
        <v>22</v>
      </c>
      <c r="L27" t="s">
        <v>23</v>
      </c>
      <c r="M27" t="s">
        <v>24</v>
      </c>
    </row>
    <row r="28" spans="1:13" x14ac:dyDescent="0.25">
      <c r="I28" t="s">
        <v>25</v>
      </c>
      <c r="J28">
        <f>14.872*10000/(ImageRes*Mag)</f>
        <v>1.0854872228362993</v>
      </c>
      <c r="K28">
        <f>9.486834*10000/(ImageRes*Mag)</f>
        <v>0.69243121921523543</v>
      </c>
      <c r="L28" s="1">
        <f>($J$28)/(24.09154*10000/($B$5*$B$4))</f>
        <v>0.6173121352972869</v>
      </c>
      <c r="M28" s="1">
        <f>($K$28)/(24.09154*10000/($B$5*$B$4))</f>
        <v>0.39378279678260503</v>
      </c>
    </row>
    <row r="30" spans="1:13" x14ac:dyDescent="0.25">
      <c r="I30" t="s">
        <v>26</v>
      </c>
    </row>
    <row r="31" spans="1:13" x14ac:dyDescent="0.25">
      <c r="I31" t="s">
        <v>20</v>
      </c>
      <c r="J31" t="s">
        <v>21</v>
      </c>
      <c r="K31" t="s">
        <v>22</v>
      </c>
      <c r="L31" t="s">
        <v>23</v>
      </c>
      <c r="M31" t="s">
        <v>24</v>
      </c>
    </row>
    <row r="32" spans="1:13" x14ac:dyDescent="0.25">
      <c r="I32" t="s">
        <v>25</v>
      </c>
      <c r="J32">
        <f>12.07107*10000/(ImageRes*Mag)</f>
        <v>0.881051119618247</v>
      </c>
      <c r="K32">
        <f>7.071068*10000/(ImageRes*Mag)</f>
        <v>0.51610771690469515</v>
      </c>
      <c r="L32" s="1">
        <f>($J$32)/(22.3667*10000/($B$5*$B$4))</f>
        <v>0.53968935962837605</v>
      </c>
      <c r="M32" s="1">
        <f>($K$32)/(22.3667*10000/($B$5*$B$4))</f>
        <v>0.31614265850572498</v>
      </c>
    </row>
  </sheetData>
  <phoneticPr fontId="0" type="noConversion"/>
  <pageMargins left="0.75" right="0.75" top="1" bottom="1" header="0.4921259845" footer="0.4921259845"/>
  <pageSetup paperSize="9"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ImageRes</vt:lpstr>
      <vt:lpstr>Mag</vt:lpstr>
    </vt:vector>
  </TitlesOfParts>
  <Company>BAZ Quedlinburg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Carlos Marcelo Baeza Perry</dc:creator>
  <cp:lastModifiedBy>Alvaro</cp:lastModifiedBy>
  <cp:lastPrinted>2003-04-22T14:13:52Z</cp:lastPrinted>
  <dcterms:created xsi:type="dcterms:W3CDTF">2003-04-22T14:12:57Z</dcterms:created>
  <dcterms:modified xsi:type="dcterms:W3CDTF">2022-05-02T04:17:21Z</dcterms:modified>
</cp:coreProperties>
</file>