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Infonans\Opportunities\Debark University\"/>
    </mc:Choice>
  </mc:AlternateContent>
  <bookViews>
    <workbookView xWindow="0" yWindow="0" windowWidth="19200" windowHeight="7050" tabRatio="751"/>
  </bookViews>
  <sheets>
    <sheet name="Summary-BoQ" sheetId="34" r:id="rId1"/>
    <sheet name="Campus Chech point-BE " sheetId="69" r:id="rId2"/>
    <sheet name="ILMS " sheetId="70" r:id="rId3"/>
    <sheet name="smart class " sheetId="71" r:id="rId4"/>
    <sheet name="One Card -BE" sheetId="72" r:id="rId5"/>
    <sheet name="Time Attendance" sheetId="73" r:id="rId6"/>
    <sheet name="Network-BE" sheetId="53" r:id="rId7"/>
    <sheet name="SCS-BE" sheetId="59" r:id="rId8"/>
    <sheet name="Wireless-BE" sheetId="75" r:id="rId9"/>
    <sheet name="UTM" sheetId="66" r:id="rId10"/>
    <sheet name="VC-Solution" sheetId="67" r:id="rId11"/>
    <sheet name="CCTV-Camer-BE" sheetId="74" r:id="rId12"/>
    <sheet name="DCF-BE" sheetId="55" r:id="rId13"/>
    <sheet name="DU_Training" sheetId="60" r:id="rId14"/>
    <sheet name="proffesional Service" sheetId="35" r:id="rId15"/>
  </sheets>
  <definedNames>
    <definedName name="_xlnm.Print_Area" localSheetId="11">'CCTV-Camer-BE'!$A$2:$T$57</definedName>
    <definedName name="_xlnm.Print_Area" localSheetId="12">'DCF-BE'!$B$2:$S$8</definedName>
    <definedName name="_xlnm.Print_Area" localSheetId="13">DU_Training!$B$2:$AB$22</definedName>
    <definedName name="_xlnm.Print_Area" localSheetId="6">'Network-BE'!$B$2:$S$17</definedName>
    <definedName name="_xlnm.Print_Area" localSheetId="14">'proffesional Service'!$B$2:$G$17</definedName>
    <definedName name="_xlnm.Print_Area" localSheetId="7">'SCS-BE'!$B$2:$S$56</definedName>
    <definedName name="_xlnm.Print_Area" localSheetId="5">'Time Attendance'!$B$2:$S$8</definedName>
    <definedName name="_xlnm.Print_Area" localSheetId="9">UTM!$B$2:$S$6</definedName>
    <definedName name="_xlnm.Print_Area" localSheetId="8">'Wireless-BE'!$B$2:$S$19</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 i="35" l="1"/>
  <c r="O5" i="60"/>
  <c r="O6" i="60"/>
  <c r="O7" i="60"/>
  <c r="O8" i="60"/>
  <c r="O9" i="60"/>
  <c r="O4" i="60"/>
  <c r="R18" i="75"/>
  <c r="R17" i="75"/>
  <c r="R16" i="75"/>
  <c r="R15" i="75"/>
  <c r="R13" i="75"/>
  <c r="R12" i="75"/>
  <c r="R9" i="75"/>
  <c r="R5" i="75"/>
  <c r="R5" i="66"/>
  <c r="S56" i="59"/>
  <c r="S17" i="53"/>
  <c r="R6" i="53"/>
  <c r="R8" i="53"/>
  <c r="R9" i="53"/>
  <c r="R11" i="53"/>
  <c r="R12" i="53"/>
  <c r="R14" i="53"/>
  <c r="R16" i="53"/>
  <c r="R5" i="53"/>
  <c r="R7" i="73"/>
  <c r="R6" i="73"/>
  <c r="R5" i="73"/>
  <c r="S11" i="72"/>
  <c r="R9" i="72"/>
  <c r="S23" i="71"/>
  <c r="R11" i="71"/>
  <c r="R13" i="71"/>
  <c r="R15" i="71"/>
  <c r="S20" i="70"/>
  <c r="D8" i="34" s="1"/>
  <c r="S35" i="69"/>
  <c r="R16" i="70"/>
  <c r="R6" i="69"/>
  <c r="J18" i="75" l="1"/>
  <c r="K18" i="75" s="1"/>
  <c r="H18" i="75"/>
  <c r="J17" i="75"/>
  <c r="P17" i="75" s="1"/>
  <c r="H17" i="75"/>
  <c r="J16" i="75"/>
  <c r="K16" i="75" s="1"/>
  <c r="H16" i="75"/>
  <c r="P15" i="75"/>
  <c r="S15" i="75" s="1"/>
  <c r="J15" i="75"/>
  <c r="K15" i="75" s="1"/>
  <c r="H15" i="75"/>
  <c r="J13" i="75"/>
  <c r="P13" i="75" s="1"/>
  <c r="H13" i="75"/>
  <c r="J12" i="75"/>
  <c r="P12" i="75" s="1"/>
  <c r="H12" i="75"/>
  <c r="P10" i="75"/>
  <c r="Q10" i="75" s="1"/>
  <c r="J10" i="75"/>
  <c r="K10" i="75" s="1"/>
  <c r="H10" i="75"/>
  <c r="P9" i="75"/>
  <c r="S9" i="75" s="1"/>
  <c r="K9" i="75"/>
  <c r="J9" i="75"/>
  <c r="H9" i="75"/>
  <c r="J7" i="75"/>
  <c r="P7" i="75" s="1"/>
  <c r="H7" i="75"/>
  <c r="J6" i="75"/>
  <c r="P6" i="75" s="1"/>
  <c r="H6" i="75"/>
  <c r="J5" i="75"/>
  <c r="K5" i="75" s="1"/>
  <c r="H5" i="75"/>
  <c r="H19" i="75" l="1"/>
  <c r="P16" i="75"/>
  <c r="Q16" i="75" s="1"/>
  <c r="P5" i="75"/>
  <c r="S5" i="75" s="1"/>
  <c r="Q13" i="75"/>
  <c r="S13" i="75"/>
  <c r="Q7" i="75"/>
  <c r="R7" i="75"/>
  <c r="S7" i="75" s="1"/>
  <c r="S17" i="75"/>
  <c r="Q17" i="75"/>
  <c r="S12" i="75"/>
  <c r="Q12" i="75"/>
  <c r="R6" i="75"/>
  <c r="S6" i="75" s="1"/>
  <c r="Q6" i="75"/>
  <c r="K7" i="75"/>
  <c r="K13" i="75"/>
  <c r="Q9" i="75"/>
  <c r="R10" i="75"/>
  <c r="S10" i="75" s="1"/>
  <c r="K12" i="75"/>
  <c r="Q15" i="75"/>
  <c r="K17" i="75"/>
  <c r="P18" i="75"/>
  <c r="K6" i="75"/>
  <c r="J15" i="67"/>
  <c r="K15" i="67" s="1"/>
  <c r="H15" i="67"/>
  <c r="J55" i="59"/>
  <c r="P55" i="59" s="1"/>
  <c r="H55" i="59"/>
  <c r="J54" i="59"/>
  <c r="K54" i="59" s="1"/>
  <c r="H54" i="59"/>
  <c r="H5" i="69"/>
  <c r="J5" i="69"/>
  <c r="K5" i="69" s="1"/>
  <c r="H7" i="69"/>
  <c r="J7" i="69"/>
  <c r="K7" i="69" s="1"/>
  <c r="S19" i="75" l="1"/>
  <c r="K19" i="75"/>
  <c r="Q5" i="75"/>
  <c r="S16" i="75"/>
  <c r="R55" i="59"/>
  <c r="S55" i="59" s="1"/>
  <c r="K55" i="59"/>
  <c r="P54" i="59"/>
  <c r="P7" i="69"/>
  <c r="P5" i="69"/>
  <c r="Q18" i="75"/>
  <c r="S18" i="75"/>
  <c r="Q19" i="75"/>
  <c r="P15" i="67"/>
  <c r="R15" i="67" s="1"/>
  <c r="S15" i="67" s="1"/>
  <c r="Q55" i="59"/>
  <c r="Q7" i="69"/>
  <c r="J6" i="67"/>
  <c r="P6" i="67" s="1"/>
  <c r="R6" i="67" s="1"/>
  <c r="H6" i="67"/>
  <c r="J5" i="67"/>
  <c r="P5" i="67" s="1"/>
  <c r="R5" i="67" s="1"/>
  <c r="H5" i="67"/>
  <c r="K46" i="74"/>
  <c r="Q46" i="74" s="1"/>
  <c r="S46" i="74" s="1"/>
  <c r="I46" i="74"/>
  <c r="F5" i="35" l="1"/>
  <c r="D5" i="34"/>
  <c r="Q54" i="59"/>
  <c r="R54" i="59"/>
  <c r="S54" i="59" s="1"/>
  <c r="Q5" i="69"/>
  <c r="R5" i="69"/>
  <c r="R7" i="69"/>
  <c r="S7" i="69" s="1"/>
  <c r="S5" i="69"/>
  <c r="Q15" i="67"/>
  <c r="S5" i="67"/>
  <c r="Q5" i="67"/>
  <c r="S6" i="67"/>
  <c r="Q6" i="67"/>
  <c r="K6" i="67"/>
  <c r="K5" i="67"/>
  <c r="T46" i="74"/>
  <c r="R46" i="74"/>
  <c r="L46" i="74"/>
  <c r="K56" i="74"/>
  <c r="Q56" i="74" s="1"/>
  <c r="S56" i="74" s="1"/>
  <c r="I56" i="74"/>
  <c r="K55" i="74"/>
  <c r="Q55" i="74" s="1"/>
  <c r="I55" i="74"/>
  <c r="K53" i="74"/>
  <c r="Q53" i="74" s="1"/>
  <c r="I53" i="74"/>
  <c r="K51" i="74"/>
  <c r="Q51" i="74" s="1"/>
  <c r="S51" i="74" s="1"/>
  <c r="I51" i="74"/>
  <c r="K50" i="74"/>
  <c r="L50" i="74" s="1"/>
  <c r="I50" i="74"/>
  <c r="K48" i="74"/>
  <c r="Q48" i="74" s="1"/>
  <c r="I48" i="74"/>
  <c r="K45" i="74"/>
  <c r="Q45" i="74" s="1"/>
  <c r="S45" i="74" s="1"/>
  <c r="I45" i="74"/>
  <c r="K43" i="74"/>
  <c r="Q43" i="74" s="1"/>
  <c r="S43" i="74" s="1"/>
  <c r="I43" i="74"/>
  <c r="K41" i="74"/>
  <c r="Q41" i="74" s="1"/>
  <c r="I41" i="74"/>
  <c r="K39" i="74"/>
  <c r="Q39" i="74" s="1"/>
  <c r="I39" i="74"/>
  <c r="K37" i="74"/>
  <c r="Q37" i="74" s="1"/>
  <c r="S37" i="74" s="1"/>
  <c r="I37" i="74"/>
  <c r="K36" i="74"/>
  <c r="Q36" i="74" s="1"/>
  <c r="S36" i="74" s="1"/>
  <c r="I36" i="74"/>
  <c r="K34" i="74"/>
  <c r="L34" i="74" s="1"/>
  <c r="I34" i="74"/>
  <c r="K33" i="74"/>
  <c r="L33" i="74" s="1"/>
  <c r="I33" i="74"/>
  <c r="K32" i="74"/>
  <c r="Q32" i="74" s="1"/>
  <c r="S32" i="74" s="1"/>
  <c r="I32" i="74"/>
  <c r="K31" i="74"/>
  <c r="Q31" i="74" s="1"/>
  <c r="S31" i="74" s="1"/>
  <c r="I31" i="74"/>
  <c r="K30" i="74"/>
  <c r="L30" i="74" s="1"/>
  <c r="I30" i="74"/>
  <c r="K28" i="74"/>
  <c r="L28" i="74" s="1"/>
  <c r="I28" i="74"/>
  <c r="K25" i="74"/>
  <c r="L25" i="74" s="1"/>
  <c r="I25" i="74"/>
  <c r="K24" i="74"/>
  <c r="Q24" i="74" s="1"/>
  <c r="S24" i="74" s="1"/>
  <c r="I24" i="74"/>
  <c r="K22" i="74"/>
  <c r="L22" i="74" s="1"/>
  <c r="I22" i="74"/>
  <c r="K21" i="74"/>
  <c r="L21" i="74" s="1"/>
  <c r="I21" i="74"/>
  <c r="K19" i="74"/>
  <c r="Q19" i="74" s="1"/>
  <c r="S19" i="74" s="1"/>
  <c r="I19" i="74"/>
  <c r="K18" i="74"/>
  <c r="L18" i="74" s="1"/>
  <c r="I18" i="74"/>
  <c r="K16" i="74"/>
  <c r="Q16" i="74" s="1"/>
  <c r="I16" i="74"/>
  <c r="K15" i="74"/>
  <c r="Q15" i="74" s="1"/>
  <c r="S15" i="74" s="1"/>
  <c r="I15" i="74"/>
  <c r="K13" i="74"/>
  <c r="Q13" i="74" s="1"/>
  <c r="S13" i="74" s="1"/>
  <c r="I13" i="74"/>
  <c r="K12" i="74"/>
  <c r="Q12" i="74" s="1"/>
  <c r="S12" i="74" s="1"/>
  <c r="I12" i="74"/>
  <c r="K10" i="74"/>
  <c r="L10" i="74" s="1"/>
  <c r="I10" i="74"/>
  <c r="K9" i="74"/>
  <c r="Q9" i="74" s="1"/>
  <c r="S9" i="74" s="1"/>
  <c r="I9" i="74"/>
  <c r="K8" i="74"/>
  <c r="Q8" i="74" s="1"/>
  <c r="S8" i="74" s="1"/>
  <c r="I8" i="74"/>
  <c r="K6" i="74"/>
  <c r="L6" i="74" s="1"/>
  <c r="I6" i="74"/>
  <c r="K5" i="74"/>
  <c r="Q5" i="74" s="1"/>
  <c r="I5" i="74"/>
  <c r="J7" i="73"/>
  <c r="P7" i="73" s="1"/>
  <c r="H7" i="73"/>
  <c r="J6" i="73"/>
  <c r="P6" i="73" s="1"/>
  <c r="H6" i="73"/>
  <c r="J5" i="73"/>
  <c r="K5" i="73" s="1"/>
  <c r="H5" i="73"/>
  <c r="J16" i="72"/>
  <c r="P16" i="72" s="1"/>
  <c r="R16" i="72" s="1"/>
  <c r="H16" i="72"/>
  <c r="J15" i="72"/>
  <c r="P15" i="72" s="1"/>
  <c r="R15" i="72" s="1"/>
  <c r="H15" i="72"/>
  <c r="J13" i="72"/>
  <c r="P13" i="72" s="1"/>
  <c r="R13" i="72" s="1"/>
  <c r="H13" i="72"/>
  <c r="J11" i="72"/>
  <c r="P11" i="72" s="1"/>
  <c r="R11" i="72" s="1"/>
  <c r="H11" i="72"/>
  <c r="J9" i="72"/>
  <c r="K9" i="72" s="1"/>
  <c r="H9" i="72"/>
  <c r="J7" i="72"/>
  <c r="P7" i="72" s="1"/>
  <c r="H7" i="72"/>
  <c r="G5" i="72"/>
  <c r="J5" i="72" s="1"/>
  <c r="J22" i="71"/>
  <c r="K22" i="71" s="1"/>
  <c r="H22" i="71"/>
  <c r="J20" i="71"/>
  <c r="P20" i="71" s="1"/>
  <c r="R20" i="71" s="1"/>
  <c r="H20" i="71"/>
  <c r="J18" i="71"/>
  <c r="P18" i="71" s="1"/>
  <c r="R18" i="71" s="1"/>
  <c r="H18" i="71"/>
  <c r="J16" i="71"/>
  <c r="P16" i="71" s="1"/>
  <c r="R16" i="71" s="1"/>
  <c r="H16" i="71"/>
  <c r="J14" i="71"/>
  <c r="P14" i="71" s="1"/>
  <c r="H14" i="71"/>
  <c r="J12" i="71"/>
  <c r="K12" i="71" s="1"/>
  <c r="H12" i="71"/>
  <c r="J10" i="71"/>
  <c r="P10" i="71" s="1"/>
  <c r="R10" i="71" s="1"/>
  <c r="H10" i="71"/>
  <c r="J9" i="71"/>
  <c r="P9" i="71" s="1"/>
  <c r="R9" i="71" s="1"/>
  <c r="H9" i="71"/>
  <c r="J8" i="71"/>
  <c r="K8" i="71" s="1"/>
  <c r="H8" i="71"/>
  <c r="J7" i="71"/>
  <c r="K7" i="71" s="1"/>
  <c r="H7" i="71"/>
  <c r="J6" i="71"/>
  <c r="K6" i="71" s="1"/>
  <c r="H6" i="71"/>
  <c r="J5" i="71"/>
  <c r="P5" i="71" s="1"/>
  <c r="R5" i="71" s="1"/>
  <c r="H5" i="71"/>
  <c r="J19" i="70"/>
  <c r="P19" i="70" s="1"/>
  <c r="R19" i="70" s="1"/>
  <c r="H19" i="70"/>
  <c r="J18" i="70"/>
  <c r="K18" i="70" s="1"/>
  <c r="H18" i="70"/>
  <c r="J17" i="70"/>
  <c r="P17" i="70" s="1"/>
  <c r="R17" i="70" s="1"/>
  <c r="H17" i="70"/>
  <c r="J15" i="70"/>
  <c r="P15" i="70" s="1"/>
  <c r="R15" i="70" s="1"/>
  <c r="H15" i="70"/>
  <c r="J13" i="70"/>
  <c r="P13" i="70" s="1"/>
  <c r="R13" i="70" s="1"/>
  <c r="H13" i="70"/>
  <c r="J11" i="70"/>
  <c r="K11" i="70" s="1"/>
  <c r="H11" i="70"/>
  <c r="J9" i="70"/>
  <c r="P9" i="70" s="1"/>
  <c r="H9" i="70"/>
  <c r="J8" i="70"/>
  <c r="K8" i="70" s="1"/>
  <c r="H8" i="70"/>
  <c r="J6" i="70"/>
  <c r="K6" i="70" s="1"/>
  <c r="H6" i="70"/>
  <c r="J34" i="69"/>
  <c r="K34" i="69" s="1"/>
  <c r="H34" i="69"/>
  <c r="J32" i="69"/>
  <c r="P32" i="69" s="1"/>
  <c r="R32" i="69" s="1"/>
  <c r="H32" i="69"/>
  <c r="J30" i="69"/>
  <c r="P30" i="69" s="1"/>
  <c r="R30" i="69" s="1"/>
  <c r="H30" i="69"/>
  <c r="J29" i="69"/>
  <c r="K29" i="69" s="1"/>
  <c r="H29" i="69"/>
  <c r="J28" i="69"/>
  <c r="P28" i="69" s="1"/>
  <c r="R28" i="69" s="1"/>
  <c r="H28" i="69"/>
  <c r="J27" i="69"/>
  <c r="P27" i="69" s="1"/>
  <c r="R27" i="69" s="1"/>
  <c r="H27" i="69"/>
  <c r="J25" i="69"/>
  <c r="K25" i="69" s="1"/>
  <c r="H25" i="69"/>
  <c r="J23" i="69"/>
  <c r="K23" i="69" s="1"/>
  <c r="H23" i="69"/>
  <c r="J22" i="69"/>
  <c r="K22" i="69" s="1"/>
  <c r="H22" i="69"/>
  <c r="J20" i="69"/>
  <c r="P20" i="69" s="1"/>
  <c r="R20" i="69" s="1"/>
  <c r="H20" i="69"/>
  <c r="J18" i="69"/>
  <c r="P18" i="69" s="1"/>
  <c r="R18" i="69" s="1"/>
  <c r="H18" i="69"/>
  <c r="J16" i="69"/>
  <c r="K16" i="69" s="1"/>
  <c r="H16" i="69"/>
  <c r="J14" i="69"/>
  <c r="P14" i="69" s="1"/>
  <c r="R14" i="69" s="1"/>
  <c r="H14" i="69"/>
  <c r="J12" i="69"/>
  <c r="P12" i="69" s="1"/>
  <c r="R12" i="69" s="1"/>
  <c r="H12" i="69"/>
  <c r="J10" i="69"/>
  <c r="K10" i="69" s="1"/>
  <c r="H10" i="69"/>
  <c r="J9" i="69"/>
  <c r="K9" i="69" s="1"/>
  <c r="H9" i="69"/>
  <c r="T53" i="74" l="1"/>
  <c r="S53" i="74"/>
  <c r="Q6" i="74"/>
  <c r="T39" i="74"/>
  <c r="S39" i="74"/>
  <c r="S48" i="74"/>
  <c r="T48" i="74" s="1"/>
  <c r="R55" i="74"/>
  <c r="S55" i="74"/>
  <c r="T55" i="74" s="1"/>
  <c r="T5" i="74"/>
  <c r="S5" i="74"/>
  <c r="T16" i="74"/>
  <c r="S16" i="74"/>
  <c r="S41" i="74"/>
  <c r="T41" i="74" s="1"/>
  <c r="R7" i="72"/>
  <c r="S7" i="72" s="1"/>
  <c r="R14" i="71"/>
  <c r="S14" i="71" s="1"/>
  <c r="K9" i="70"/>
  <c r="R9" i="70"/>
  <c r="S9" i="70" s="1"/>
  <c r="P11" i="70"/>
  <c r="P22" i="69"/>
  <c r="P34" i="69"/>
  <c r="P23" i="69"/>
  <c r="Q33" i="74"/>
  <c r="R33" i="74" s="1"/>
  <c r="L5" i="74"/>
  <c r="Q30" i="74"/>
  <c r="Q10" i="74"/>
  <c r="Q21" i="74"/>
  <c r="Q28" i="74"/>
  <c r="I57" i="74"/>
  <c r="Q22" i="74"/>
  <c r="P25" i="69"/>
  <c r="P9" i="72"/>
  <c r="K7" i="72"/>
  <c r="Q13" i="72"/>
  <c r="S13" i="72"/>
  <c r="Q20" i="71"/>
  <c r="S20" i="71"/>
  <c r="R9" i="74"/>
  <c r="T9" i="74"/>
  <c r="P5" i="73"/>
  <c r="Q5" i="73" s="1"/>
  <c r="R6" i="74"/>
  <c r="L53" i="74"/>
  <c r="L55" i="74"/>
  <c r="K13" i="72"/>
  <c r="P9" i="69"/>
  <c r="P7" i="71"/>
  <c r="K14" i="71"/>
  <c r="K20" i="71"/>
  <c r="L9" i="74"/>
  <c r="L16" i="74"/>
  <c r="Q18" i="74"/>
  <c r="S18" i="74" s="1"/>
  <c r="L39" i="74"/>
  <c r="L41" i="74"/>
  <c r="L48" i="74"/>
  <c r="Q50" i="74"/>
  <c r="P10" i="69"/>
  <c r="R10" i="69" s="1"/>
  <c r="P8" i="71"/>
  <c r="H23" i="71"/>
  <c r="P22" i="71"/>
  <c r="Q22" i="71" s="1"/>
  <c r="L15" i="74"/>
  <c r="Q34" i="74"/>
  <c r="R8" i="74"/>
  <c r="T8" i="74"/>
  <c r="T32" i="74"/>
  <c r="R32" i="74"/>
  <c r="T51" i="74"/>
  <c r="R51" i="74"/>
  <c r="R19" i="74"/>
  <c r="T19" i="74"/>
  <c r="T36" i="74"/>
  <c r="R36" i="74"/>
  <c r="T45" i="74"/>
  <c r="R45" i="74"/>
  <c r="T12" i="74"/>
  <c r="R12" i="74"/>
  <c r="T24" i="74"/>
  <c r="R24" i="74"/>
  <c r="T15" i="74"/>
  <c r="R15" i="74"/>
  <c r="T37" i="74"/>
  <c r="R37" i="74"/>
  <c r="R43" i="74"/>
  <c r="T43" i="74"/>
  <c r="R31" i="74"/>
  <c r="T31" i="74"/>
  <c r="T13" i="74"/>
  <c r="R13" i="74"/>
  <c r="R56" i="74"/>
  <c r="T56" i="74"/>
  <c r="R5" i="74"/>
  <c r="L13" i="74"/>
  <c r="R16" i="74"/>
  <c r="L37" i="74"/>
  <c r="R41" i="74"/>
  <c r="L12" i="74"/>
  <c r="L24" i="74"/>
  <c r="Q25" i="74"/>
  <c r="S25" i="74" s="1"/>
  <c r="L36" i="74"/>
  <c r="R39" i="74"/>
  <c r="L51" i="74"/>
  <c r="R53" i="74"/>
  <c r="L19" i="74"/>
  <c r="L32" i="74"/>
  <c r="L8" i="74"/>
  <c r="L45" i="74"/>
  <c r="L31" i="74"/>
  <c r="L43" i="74"/>
  <c r="R48" i="74"/>
  <c r="L56" i="74"/>
  <c r="Q6" i="73"/>
  <c r="S6" i="73"/>
  <c r="S7" i="73"/>
  <c r="Q7" i="73"/>
  <c r="K7" i="73"/>
  <c r="K6" i="73"/>
  <c r="S5" i="73"/>
  <c r="Q16" i="72"/>
  <c r="S16" i="72"/>
  <c r="Q11" i="72"/>
  <c r="K17" i="72"/>
  <c r="Q15" i="72"/>
  <c r="S15" i="72"/>
  <c r="K5" i="72"/>
  <c r="P5" i="72"/>
  <c r="R5" i="72" s="1"/>
  <c r="K11" i="72"/>
  <c r="H17" i="72"/>
  <c r="H5" i="72"/>
  <c r="Q7" i="72"/>
  <c r="K16" i="72"/>
  <c r="K15" i="72"/>
  <c r="Q5" i="71"/>
  <c r="S5" i="71"/>
  <c r="Q9" i="71"/>
  <c r="S9" i="71"/>
  <c r="Q10" i="71"/>
  <c r="S10" i="71"/>
  <c r="S16" i="71"/>
  <c r="Q16" i="71"/>
  <c r="S18" i="71"/>
  <c r="Q18" i="71"/>
  <c r="K18" i="71"/>
  <c r="K5" i="71"/>
  <c r="P6" i="71"/>
  <c r="R6" i="71" s="1"/>
  <c r="K16" i="71"/>
  <c r="K10" i="71"/>
  <c r="P12" i="71"/>
  <c r="R12" i="71" s="1"/>
  <c r="Q14" i="71"/>
  <c r="K9" i="71"/>
  <c r="S13" i="70"/>
  <c r="Q13" i="70"/>
  <c r="S17" i="70"/>
  <c r="Q17" i="70"/>
  <c r="S19" i="70"/>
  <c r="Q19" i="70"/>
  <c r="Q15" i="70"/>
  <c r="S15" i="70"/>
  <c r="K19" i="70"/>
  <c r="Q9" i="70"/>
  <c r="P6" i="70"/>
  <c r="R6" i="70" s="1"/>
  <c r="K17" i="70"/>
  <c r="P18" i="70"/>
  <c r="R18" i="70" s="1"/>
  <c r="K15" i="70"/>
  <c r="P8" i="70"/>
  <c r="R8" i="70" s="1"/>
  <c r="K13" i="70"/>
  <c r="S18" i="69"/>
  <c r="Q18" i="69"/>
  <c r="S30" i="69"/>
  <c r="Q30" i="69"/>
  <c r="Q27" i="69"/>
  <c r="S27" i="69"/>
  <c r="S28" i="69"/>
  <c r="Q28" i="69"/>
  <c r="Q12" i="69"/>
  <c r="S12" i="69"/>
  <c r="Q32" i="69"/>
  <c r="S32" i="69"/>
  <c r="Q20" i="69"/>
  <c r="S20" i="69"/>
  <c r="S14" i="69"/>
  <c r="Q14" i="69"/>
  <c r="Q34" i="69"/>
  <c r="K20" i="69"/>
  <c r="K32" i="69"/>
  <c r="K18" i="69"/>
  <c r="K30" i="69"/>
  <c r="K14" i="69"/>
  <c r="P16" i="69"/>
  <c r="R16" i="69" s="1"/>
  <c r="K28" i="69"/>
  <c r="P29" i="69"/>
  <c r="R29" i="69" s="1"/>
  <c r="K12" i="69"/>
  <c r="K27" i="69"/>
  <c r="J18" i="67"/>
  <c r="K18" i="67" s="1"/>
  <c r="H18" i="67"/>
  <c r="J10" i="67"/>
  <c r="K10" i="67" s="1"/>
  <c r="H10" i="67"/>
  <c r="J22" i="67"/>
  <c r="K22" i="67" s="1"/>
  <c r="H22" i="67"/>
  <c r="J17" i="67"/>
  <c r="K17" i="67" s="1"/>
  <c r="H17" i="67"/>
  <c r="J20" i="67"/>
  <c r="P20" i="67" s="1"/>
  <c r="R20" i="67" s="1"/>
  <c r="H20" i="67"/>
  <c r="H11" i="67"/>
  <c r="J11" i="67"/>
  <c r="K11" i="67" s="1"/>
  <c r="P11" i="67"/>
  <c r="J24" i="67"/>
  <c r="K24" i="67" s="1"/>
  <c r="H24" i="67"/>
  <c r="J13" i="67"/>
  <c r="P13" i="67" s="1"/>
  <c r="R13" i="67" s="1"/>
  <c r="H13" i="67"/>
  <c r="J8" i="67"/>
  <c r="P8" i="67" s="1"/>
  <c r="R8" i="67" s="1"/>
  <c r="H8" i="67"/>
  <c r="J5" i="66"/>
  <c r="K5" i="66" s="1"/>
  <c r="H5" i="66"/>
  <c r="H6" i="66" s="1"/>
  <c r="S50" i="74" l="1"/>
  <c r="T50" i="74" s="1"/>
  <c r="S34" i="74"/>
  <c r="T34" i="74" s="1"/>
  <c r="S28" i="74"/>
  <c r="T28" i="74" s="1"/>
  <c r="S33" i="74"/>
  <c r="T33" i="74" s="1"/>
  <c r="S22" i="74"/>
  <c r="T22" i="74" s="1"/>
  <c r="S21" i="74"/>
  <c r="T21" i="74" s="1"/>
  <c r="S10" i="74"/>
  <c r="T10" i="74" s="1"/>
  <c r="S6" i="74"/>
  <c r="T6" i="74" s="1"/>
  <c r="L57" i="74"/>
  <c r="R30" i="74"/>
  <c r="S30" i="74"/>
  <c r="T30" i="74"/>
  <c r="R22" i="74"/>
  <c r="R21" i="74"/>
  <c r="Q11" i="67"/>
  <c r="R11" i="67"/>
  <c r="Q9" i="72"/>
  <c r="S9" i="72"/>
  <c r="R8" i="71"/>
  <c r="S8" i="71" s="1"/>
  <c r="R7" i="71"/>
  <c r="S7" i="71" s="1"/>
  <c r="R22" i="71"/>
  <c r="S22" i="71" s="1"/>
  <c r="Q11" i="70"/>
  <c r="R11" i="70"/>
  <c r="S11" i="70" s="1"/>
  <c r="R25" i="69"/>
  <c r="S25" i="69" s="1"/>
  <c r="R23" i="69"/>
  <c r="S23" i="69" s="1"/>
  <c r="R9" i="69"/>
  <c r="S9" i="69" s="1"/>
  <c r="R34" i="69"/>
  <c r="S34" i="69" s="1"/>
  <c r="Q22" i="69"/>
  <c r="R22" i="69"/>
  <c r="S22" i="69" s="1"/>
  <c r="K23" i="71"/>
  <c r="Q23" i="69"/>
  <c r="R10" i="74"/>
  <c r="R28" i="74"/>
  <c r="R50" i="74"/>
  <c r="Q25" i="69"/>
  <c r="Q9" i="69"/>
  <c r="Q7" i="71"/>
  <c r="S8" i="73"/>
  <c r="R34" i="74"/>
  <c r="R57" i="74"/>
  <c r="S10" i="69"/>
  <c r="Q10" i="69"/>
  <c r="Q8" i="71"/>
  <c r="T18" i="74"/>
  <c r="R18" i="74"/>
  <c r="P10" i="67"/>
  <c r="P18" i="67"/>
  <c r="P22" i="67"/>
  <c r="Q22" i="67" s="1"/>
  <c r="T25" i="74"/>
  <c r="R25" i="74"/>
  <c r="S5" i="72"/>
  <c r="S17" i="72" s="1"/>
  <c r="Q5" i="72"/>
  <c r="Q17" i="72"/>
  <c r="Q6" i="71"/>
  <c r="S6" i="71"/>
  <c r="S12" i="71"/>
  <c r="Q12" i="71"/>
  <c r="Q8" i="70"/>
  <c r="S8" i="70"/>
  <c r="S18" i="70"/>
  <c r="Q18" i="70"/>
  <c r="S6" i="70"/>
  <c r="Q6" i="70"/>
  <c r="S29" i="69"/>
  <c r="Q29" i="69"/>
  <c r="S16" i="69"/>
  <c r="Q16" i="69"/>
  <c r="R22" i="67"/>
  <c r="S22" i="67" s="1"/>
  <c r="S11" i="67"/>
  <c r="S8" i="67"/>
  <c r="P17" i="67"/>
  <c r="R17" i="67" s="1"/>
  <c r="Q20" i="67"/>
  <c r="S20" i="67"/>
  <c r="K20" i="67"/>
  <c r="K8" i="67"/>
  <c r="H25" i="67"/>
  <c r="P5" i="66"/>
  <c r="S5" i="66" s="1"/>
  <c r="S6" i="66" s="1"/>
  <c r="S13" i="67"/>
  <c r="Q13" i="67"/>
  <c r="Q8" i="67"/>
  <c r="K13" i="67"/>
  <c r="P24" i="67"/>
  <c r="K6" i="66"/>
  <c r="R10" i="67" l="1"/>
  <c r="S10" i="67" s="1"/>
  <c r="Q18" i="67"/>
  <c r="R18" i="67"/>
  <c r="S18" i="67" s="1"/>
  <c r="D9" i="34"/>
  <c r="Q23" i="71"/>
  <c r="T57" i="74"/>
  <c r="D12" i="34" s="1"/>
  <c r="F7" i="35"/>
  <c r="F11" i="35"/>
  <c r="G11" i="35" s="1"/>
  <c r="D11" i="34"/>
  <c r="Q10" i="67"/>
  <c r="S17" i="67"/>
  <c r="Q25" i="67"/>
  <c r="Q5" i="66"/>
  <c r="Q6" i="66" s="1"/>
  <c r="Q17" i="67"/>
  <c r="K25" i="67"/>
  <c r="Q24" i="67"/>
  <c r="R24" i="67"/>
  <c r="S24" i="67" s="1"/>
  <c r="F12" i="35" l="1"/>
  <c r="G12" i="35" s="1"/>
  <c r="S25" i="67"/>
  <c r="D7" i="34"/>
  <c r="F14" i="35"/>
  <c r="G14" i="35" s="1"/>
  <c r="D14" i="34"/>
  <c r="F10" i="35"/>
  <c r="D10" i="34"/>
  <c r="F15" i="35" l="1"/>
  <c r="G15" i="35" s="1"/>
  <c r="D15" i="34"/>
  <c r="H16" i="53" l="1"/>
  <c r="J16" i="53"/>
  <c r="K16" i="53" s="1"/>
  <c r="P16" i="53" l="1"/>
  <c r="Q16" i="53" l="1"/>
  <c r="S16" i="53"/>
  <c r="J52" i="59" l="1"/>
  <c r="K52" i="59" s="1"/>
  <c r="H52" i="59"/>
  <c r="P52" i="59" l="1"/>
  <c r="R52" i="59" l="1"/>
  <c r="S52" i="59" s="1"/>
  <c r="Q52" i="59"/>
  <c r="J6" i="53" l="1"/>
  <c r="P6" i="53" s="1"/>
  <c r="H6" i="53"/>
  <c r="S6" i="53" l="1"/>
  <c r="Q6" i="53"/>
  <c r="K6" i="53"/>
  <c r="J37" i="59"/>
  <c r="P37" i="59" s="1"/>
  <c r="R37" i="59" s="1"/>
  <c r="H37" i="59"/>
  <c r="Q37" i="59" l="1"/>
  <c r="S37" i="59"/>
  <c r="K37" i="59"/>
  <c r="J9" i="53" l="1"/>
  <c r="P9" i="53" s="1"/>
  <c r="H9" i="53"/>
  <c r="J8" i="53"/>
  <c r="P8" i="53" s="1"/>
  <c r="H8" i="53"/>
  <c r="S8" i="53" l="1"/>
  <c r="Q8" i="53"/>
  <c r="S9" i="53"/>
  <c r="Q9" i="53"/>
  <c r="K8" i="53"/>
  <c r="K9" i="53"/>
  <c r="H9" i="60" l="1"/>
  <c r="M9" i="60" s="1"/>
  <c r="P9" i="60" l="1"/>
  <c r="N9" i="60"/>
  <c r="J46" i="59" l="1"/>
  <c r="K46" i="59" s="1"/>
  <c r="H46" i="59"/>
  <c r="J7" i="59"/>
  <c r="P7" i="59" s="1"/>
  <c r="R7" i="59" s="1"/>
  <c r="H7" i="59"/>
  <c r="P46" i="59" l="1"/>
  <c r="R46" i="59" s="1"/>
  <c r="Q7" i="59"/>
  <c r="S7" i="59"/>
  <c r="K7" i="59"/>
  <c r="S46" i="59" l="1"/>
  <c r="Q46" i="59"/>
  <c r="H8" i="60"/>
  <c r="M8" i="60" s="1"/>
  <c r="H7" i="60"/>
  <c r="M7" i="60" s="1"/>
  <c r="H6" i="60"/>
  <c r="M6" i="60" s="1"/>
  <c r="H5" i="60"/>
  <c r="M5" i="60" s="1"/>
  <c r="H4" i="60"/>
  <c r="M4" i="60" s="1"/>
  <c r="N8" i="60" l="1"/>
  <c r="P8" i="60"/>
  <c r="N6" i="60"/>
  <c r="P6" i="60"/>
  <c r="P4" i="60"/>
  <c r="N4" i="60"/>
  <c r="P5" i="60"/>
  <c r="N5" i="60"/>
  <c r="N7" i="60"/>
  <c r="P7" i="60"/>
  <c r="P10" i="60" l="1"/>
  <c r="F16" i="35" s="1"/>
  <c r="G16" i="35" s="1"/>
  <c r="J50" i="59"/>
  <c r="K50" i="59" s="1"/>
  <c r="H50" i="59"/>
  <c r="J48" i="59"/>
  <c r="P48" i="59" s="1"/>
  <c r="R48" i="59" s="1"/>
  <c r="H48" i="59"/>
  <c r="J44" i="59"/>
  <c r="K44" i="59" s="1"/>
  <c r="H44" i="59"/>
  <c r="J42" i="59"/>
  <c r="P42" i="59" s="1"/>
  <c r="R42" i="59" s="1"/>
  <c r="H42" i="59"/>
  <c r="J35" i="59"/>
  <c r="P35" i="59" s="1"/>
  <c r="R35" i="59" s="1"/>
  <c r="H35" i="59"/>
  <c r="J40" i="59"/>
  <c r="K40" i="59" s="1"/>
  <c r="H40" i="59"/>
  <c r="J38" i="59"/>
  <c r="K38" i="59" s="1"/>
  <c r="H38" i="59"/>
  <c r="J34" i="59"/>
  <c r="K34" i="59" s="1"/>
  <c r="H34" i="59"/>
  <c r="J32" i="59"/>
  <c r="K32" i="59" s="1"/>
  <c r="H32" i="59"/>
  <c r="J27" i="59"/>
  <c r="P27" i="59" s="1"/>
  <c r="R27" i="59" s="1"/>
  <c r="H27" i="59"/>
  <c r="J31" i="59"/>
  <c r="K31" i="59" s="1"/>
  <c r="H31" i="59"/>
  <c r="J29" i="59"/>
  <c r="P29" i="59" s="1"/>
  <c r="R29" i="59" s="1"/>
  <c r="H29" i="59"/>
  <c r="J25" i="59"/>
  <c r="K25" i="59" s="1"/>
  <c r="H25" i="59"/>
  <c r="J23" i="59"/>
  <c r="K23" i="59" s="1"/>
  <c r="H23" i="59"/>
  <c r="J21" i="59"/>
  <c r="P21" i="59" s="1"/>
  <c r="R21" i="59" s="1"/>
  <c r="H21" i="59"/>
  <c r="J19" i="59"/>
  <c r="K19" i="59" s="1"/>
  <c r="H19" i="59"/>
  <c r="J14" i="59"/>
  <c r="K14" i="59" s="1"/>
  <c r="H14" i="59"/>
  <c r="D16" i="34" l="1"/>
  <c r="K48" i="59"/>
  <c r="P38" i="59"/>
  <c r="R38" i="59" s="1"/>
  <c r="P23" i="59"/>
  <c r="P14" i="59"/>
  <c r="P40" i="59"/>
  <c r="P11" i="60"/>
  <c r="P12" i="60" s="1"/>
  <c r="P31" i="59"/>
  <c r="P32" i="59"/>
  <c r="P19" i="59"/>
  <c r="R19" i="59" s="1"/>
  <c r="P50" i="59"/>
  <c r="R50" i="59" s="1"/>
  <c r="S48" i="59"/>
  <c r="P44" i="59"/>
  <c r="R44" i="59" s="1"/>
  <c r="S38" i="59"/>
  <c r="S35" i="59"/>
  <c r="K35" i="59"/>
  <c r="S29" i="59"/>
  <c r="K29" i="59"/>
  <c r="P25" i="59"/>
  <c r="R25" i="59" s="1"/>
  <c r="S19" i="59"/>
  <c r="Q48" i="59"/>
  <c r="Q42" i="59"/>
  <c r="S42" i="59"/>
  <c r="K42" i="59"/>
  <c r="Q35" i="59"/>
  <c r="P34" i="59"/>
  <c r="R34" i="59" s="1"/>
  <c r="Q27" i="59"/>
  <c r="S27" i="59"/>
  <c r="K27" i="59"/>
  <c r="Q29" i="59"/>
  <c r="Q21" i="59"/>
  <c r="S21" i="59"/>
  <c r="K21" i="59"/>
  <c r="Q19" i="59"/>
  <c r="R40" i="59" l="1"/>
  <c r="S40" i="59" s="1"/>
  <c r="Q31" i="59"/>
  <c r="R31" i="59"/>
  <c r="R14" i="59"/>
  <c r="S14" i="59" s="1"/>
  <c r="Q23" i="59"/>
  <c r="R23" i="59"/>
  <c r="S23" i="59" s="1"/>
  <c r="Q38" i="59"/>
  <c r="Q32" i="59"/>
  <c r="R32" i="59"/>
  <c r="Q14" i="59"/>
  <c r="S31" i="59"/>
  <c r="Q40" i="59"/>
  <c r="S32" i="59"/>
  <c r="Q50" i="59"/>
  <c r="S50" i="59"/>
  <c r="Q44" i="59"/>
  <c r="S44" i="59"/>
  <c r="Q25" i="59"/>
  <c r="S25" i="59"/>
  <c r="Q34" i="59"/>
  <c r="S34" i="59"/>
  <c r="J18" i="59" l="1"/>
  <c r="P18" i="59" s="1"/>
  <c r="R18" i="59" s="1"/>
  <c r="H18" i="59"/>
  <c r="J16" i="59"/>
  <c r="P16" i="59" s="1"/>
  <c r="R16" i="59" s="1"/>
  <c r="H16" i="59"/>
  <c r="J13" i="59"/>
  <c r="K13" i="59" s="1"/>
  <c r="H13" i="59"/>
  <c r="J12" i="59"/>
  <c r="K12" i="59" s="1"/>
  <c r="H12" i="59"/>
  <c r="J10" i="59"/>
  <c r="P10" i="59" s="1"/>
  <c r="R10" i="59" s="1"/>
  <c r="H10" i="59"/>
  <c r="J9" i="59"/>
  <c r="P9" i="59" s="1"/>
  <c r="R9" i="59" s="1"/>
  <c r="H9" i="59"/>
  <c r="J5" i="59"/>
  <c r="K5" i="59" s="1"/>
  <c r="H5" i="59"/>
  <c r="P13" i="59" l="1"/>
  <c r="P12" i="59"/>
  <c r="P5" i="59"/>
  <c r="R5" i="59" s="1"/>
  <c r="H56" i="59"/>
  <c r="Q10" i="59"/>
  <c r="S10" i="59"/>
  <c r="S9" i="59"/>
  <c r="Q9" i="59"/>
  <c r="Q16" i="59"/>
  <c r="S16" i="59"/>
  <c r="Q18" i="59"/>
  <c r="S18" i="59"/>
  <c r="K18" i="59"/>
  <c r="K10" i="59"/>
  <c r="K9" i="59"/>
  <c r="K56" i="59" s="1"/>
  <c r="K16" i="59"/>
  <c r="Q12" i="59" l="1"/>
  <c r="R12" i="59"/>
  <c r="R13" i="59"/>
  <c r="S13" i="59" s="1"/>
  <c r="Q13" i="59"/>
  <c r="S12" i="59"/>
  <c r="Q5" i="59"/>
  <c r="Q56" i="59" s="1"/>
  <c r="S5" i="59"/>
  <c r="D13" i="34" l="1"/>
  <c r="F13" i="35"/>
  <c r="G13" i="35" s="1"/>
  <c r="G10" i="35"/>
  <c r="J7" i="55" l="1"/>
  <c r="K7" i="55" s="1"/>
  <c r="H7" i="55"/>
  <c r="J12" i="53"/>
  <c r="P12" i="53" s="1"/>
  <c r="H12" i="53"/>
  <c r="S12" i="53" l="1"/>
  <c r="P7" i="55"/>
  <c r="R7" i="55" s="1"/>
  <c r="K12" i="53"/>
  <c r="Q12" i="53"/>
  <c r="S7" i="55" l="1"/>
  <c r="Q7" i="55"/>
  <c r="H14" i="53" l="1"/>
  <c r="J14" i="53"/>
  <c r="K14" i="53" s="1"/>
  <c r="J5" i="55"/>
  <c r="K5" i="55" s="1"/>
  <c r="K8" i="55" s="1"/>
  <c r="H5" i="55"/>
  <c r="H8" i="55" s="1"/>
  <c r="J11" i="53"/>
  <c r="K11" i="53" s="1"/>
  <c r="H11" i="53"/>
  <c r="J5" i="53"/>
  <c r="K5" i="53" s="1"/>
  <c r="H5" i="53"/>
  <c r="P11" i="53" l="1"/>
  <c r="Q11" i="53" s="1"/>
  <c r="P5" i="55"/>
  <c r="R5" i="55" s="1"/>
  <c r="H17" i="53"/>
  <c r="P5" i="53"/>
  <c r="P14" i="53"/>
  <c r="K17" i="53"/>
  <c r="S14" i="53" l="1"/>
  <c r="S5" i="55"/>
  <c r="S8" i="55" s="1"/>
  <c r="F6" i="35" s="1"/>
  <c r="G6" i="35" s="1"/>
  <c r="G5" i="35"/>
  <c r="S5" i="53"/>
  <c r="S11" i="53"/>
  <c r="Q5" i="55"/>
  <c r="Q8" i="55" s="1"/>
  <c r="Q14" i="53"/>
  <c r="Q5" i="53"/>
  <c r="Q17" i="53" s="1"/>
  <c r="F4" i="35" l="1"/>
  <c r="D6" i="34"/>
  <c r="F9" i="35"/>
  <c r="G9" i="35" s="1"/>
  <c r="D4" i="34" l="1"/>
  <c r="G7" i="35"/>
  <c r="G8" i="35"/>
  <c r="G4" i="35" l="1"/>
  <c r="G17" i="35" l="1"/>
  <c r="D17" i="34" s="1"/>
  <c r="D18" i="34" s="1"/>
</calcChain>
</file>

<file path=xl/sharedStrings.xml><?xml version="1.0" encoding="utf-8"?>
<sst xmlns="http://schemas.openxmlformats.org/spreadsheetml/2006/main" count="862" uniqueCount="466">
  <si>
    <t>GPL Unit Cost (USD)</t>
  </si>
  <si>
    <t>No.</t>
  </si>
  <si>
    <t>VAT (15%)</t>
  </si>
  <si>
    <t>Discount (%)</t>
  </si>
  <si>
    <t xml:space="preserve">Frieght &amp; Insurance </t>
  </si>
  <si>
    <t xml:space="preserve">Bank Charges </t>
  </si>
  <si>
    <t xml:space="preserve">Import Tax </t>
  </si>
  <si>
    <t>Unit Price (ETB)</t>
  </si>
  <si>
    <t>Total Price (ETB)</t>
  </si>
  <si>
    <t>Total Price (USD)</t>
  </si>
  <si>
    <t>Qty.</t>
  </si>
  <si>
    <t>GPL Total Cost (USD)</t>
  </si>
  <si>
    <t>Discounted Unit Cost (USD)</t>
  </si>
  <si>
    <t>Discounted Total Cost (USD)</t>
  </si>
  <si>
    <t>Margin (%)</t>
  </si>
  <si>
    <t>Item Description</t>
  </si>
  <si>
    <t>Total (ETB)</t>
  </si>
  <si>
    <t>Service Category</t>
  </si>
  <si>
    <t>Service Description</t>
  </si>
  <si>
    <t>Qty.</t>
    <phoneticPr fontId="0" type="noConversion"/>
  </si>
  <si>
    <t xml:space="preserve">Design, Installation and Configuration </t>
  </si>
  <si>
    <t>Item Part Number</t>
  </si>
  <si>
    <t xml:space="preserve"> Unit Price (USD)</t>
  </si>
  <si>
    <t>Total</t>
  </si>
  <si>
    <t>Grand Total (ETB)</t>
  </si>
  <si>
    <t>Professional Service</t>
  </si>
  <si>
    <t xml:space="preserve">Grand Total  </t>
  </si>
  <si>
    <t>pcs</t>
  </si>
  <si>
    <t>UoM</t>
  </si>
  <si>
    <t>Pcs</t>
  </si>
  <si>
    <t xml:space="preserve">One Card System </t>
  </si>
  <si>
    <t>Dual Side ID Printer</t>
  </si>
  <si>
    <t>ribbon consists of yellow (Y), magenta (M) and cyan (C) panels for printing a full spectrum of colors by combining the colors using varying degrees of heat and the O panel is a thin, clear protective layer.</t>
  </si>
  <si>
    <t xml:space="preserve">Pcs </t>
  </si>
  <si>
    <t xml:space="preserve">Dell 740 </t>
  </si>
  <si>
    <t>43” Display Screen</t>
  </si>
  <si>
    <t xml:space="preserve">43" television </t>
  </si>
  <si>
    <t>roll</t>
  </si>
  <si>
    <t>Photo capturing Device</t>
  </si>
  <si>
    <t xml:space="preserve">• 4K Ultra HD video calling (up to 4096 x 2160 pixels @ 30 fps)
• 1080p Full HD video calling (up to 1920 x 1080 pixels @ 30 or 60 fps)
• 720p HD video calling (up to 1280 x 720 pixels @ 30, 60, or 90 fps)
• Plug-and-play USB connectivity
• Field of View:
• Diagonal: 90°
• Horizontal: 82.1°
• Vertical: 52.2°
• 5x digital zoom in Full HD
• Material: Aluminium +Plastic
• Head type: Three-way
• Leg Lock type: Flip-lock
• Panning range:180°
• Max load capacity: 2kg
• Max height: 42in
• Min height: 13.77in
• Folded height: 13.87in
• Leg colomn quantity: 4 sections
• Item weight: 16oz
</t>
  </si>
  <si>
    <t xml:space="preserve">Logitech Brio with tripod </t>
  </si>
  <si>
    <t>Desktop Computer</t>
  </si>
  <si>
    <t xml:space="preserve">Known brand desktop Core I-5 computer
Minimum of 8 GB RAM, 2.5 GHz Processing speed and 500 GB hard disk.
</t>
  </si>
  <si>
    <t>PC</t>
  </si>
  <si>
    <t>Network Item</t>
  </si>
  <si>
    <t xml:space="preserve">Wireless Access Point </t>
  </si>
  <si>
    <t>FusionModule800</t>
  </si>
  <si>
    <t xml:space="preserve">• Rack Height -42U,Width X Height X  Depth/ mm -600×2000×1100 , UPS Capacity-10kVA,rPDU Installation-Vertical,rPDU Type -IEC/GB, Battery pack Quantity -4, Liquid sensor- Standard configuration, Tem&amp;Hum sensor- Standard configuration,Door magnetic switch- Standard configuration, Smoke sensor- Standard configuration, Web monitoring- Standard configuration
</t>
  </si>
  <si>
    <t>Type-Smart Mini Data Center Solution (qt
y =1pcs)</t>
  </si>
  <si>
    <t>DCF</t>
  </si>
  <si>
    <t>C9200L-48T-4X-E</t>
  </si>
  <si>
    <t>Catalyst 9200L 48-port Data 4x10G uplink Switch, Network Essentials</t>
  </si>
  <si>
    <t>CMD-10G-LR</t>
  </si>
  <si>
    <t>COMMANDO 10GBASE-LR, SFP+, 1310nm, 10km, SMF, DOM, Compatible w/ Cisco SFP-10G-LR</t>
  </si>
  <si>
    <t xml:space="preserve">PCS </t>
  </si>
  <si>
    <t>C9200-DNA-E-48-3Y</t>
  </si>
  <si>
    <t>C9200 Cisco DNA Essentials, 48-port, 3 Year Term license</t>
  </si>
  <si>
    <t>Civil Work</t>
  </si>
  <si>
    <t>Fooundation</t>
  </si>
  <si>
    <t>Out Door AP</t>
  </si>
  <si>
    <t xml:space="preserve">Out Door Access Point  pole mount foundation </t>
  </si>
  <si>
    <t>Out Door Access Point Mount Pole</t>
  </si>
  <si>
    <t>Civil Work(qt
y =1pcs)</t>
  </si>
  <si>
    <t>Training Category</t>
  </si>
  <si>
    <t>Trainees</t>
  </si>
  <si>
    <t>Tutition</t>
  </si>
  <si>
    <t>Exam Voucher</t>
  </si>
  <si>
    <t>Accommodation</t>
  </si>
  <si>
    <t>Accomodation perday</t>
  </si>
  <si>
    <t>No. of Days</t>
  </si>
  <si>
    <t>Plane Ticket</t>
  </si>
  <si>
    <t>Margin</t>
  </si>
  <si>
    <t>Unit Price in (USD)</t>
  </si>
  <si>
    <t>Total Price in (USD)</t>
  </si>
  <si>
    <t>Unit Price including  VAT (ETB)</t>
  </si>
  <si>
    <t xml:space="preserve">                                  </t>
  </si>
  <si>
    <t xml:space="preserve"> Terms and Conditions</t>
  </si>
  <si>
    <t>2. Cisco traning location: Addis Ababa</t>
  </si>
  <si>
    <t xml:space="preserve">CCNA Routing and Switching Local Training </t>
  </si>
  <si>
    <t xml:space="preserve">CCNA Routing and Switching Certefication </t>
  </si>
  <si>
    <t>PMP Abroad  Traning and Completion Certefication</t>
  </si>
  <si>
    <t>3.Travel/Return air ticket and accomodation are included</t>
  </si>
  <si>
    <t>Local and international Training and Certefication</t>
  </si>
  <si>
    <t xml:space="preserve">Manhole </t>
  </si>
  <si>
    <t xml:space="preserve">Digging  and Back Fill </t>
  </si>
  <si>
    <t xml:space="preserve">Manhole,Lin ,and Manhole Cover </t>
  </si>
  <si>
    <t>Digging and and Back Fill From Building To Pole Through Manhole</t>
  </si>
  <si>
    <t>meter</t>
  </si>
  <si>
    <t xml:space="preserve">Biometric Attendance Devices </t>
  </si>
  <si>
    <t xml:space="preserve">Time Attendance </t>
  </si>
  <si>
    <t xml:space="preserve">FTP Cable </t>
  </si>
  <si>
    <t>FTP Cable</t>
  </si>
  <si>
    <t xml:space="preserve">Fiber cable </t>
  </si>
  <si>
    <t>Single Mode Fiber cable indoor</t>
  </si>
  <si>
    <t>Single Mode Fiber cable Outdoor</t>
  </si>
  <si>
    <t xml:space="preserve">• 6 core
• Known Brand 
• Indoor type
</t>
  </si>
  <si>
    <t xml:space="preserve">•12 core
• Known Brand 
• outdoor type
</t>
  </si>
  <si>
    <t xml:space="preserve">Fiber Patch cord </t>
  </si>
  <si>
    <t>1 Meter LC-LC Single mode duplex Fiber Optic Patch Cord 9/125µm Cord</t>
  </si>
  <si>
    <t>3m Fiber Path Cord</t>
  </si>
  <si>
    <t>1m Fiber Path Cord</t>
  </si>
  <si>
    <t>15m Fiber Path Cord</t>
  </si>
  <si>
    <t xml:space="preserve">3 Meter LC-LC Single mode duplex Fiber Optic Patch
Cord 9/125µm
</t>
  </si>
  <si>
    <t>15 Meter LC-LC Single mode duplex Fiber Optic Patch Cord 9/125µm Cord</t>
  </si>
  <si>
    <t xml:space="preserve"> Sleeve</t>
  </si>
  <si>
    <t>Fiber splicing sleeve</t>
  </si>
  <si>
    <t xml:space="preserve">• Feature:
 12-port LC duplex panel loaded with 12xLCduplex
single mode 
• Brand: known brand
</t>
  </si>
  <si>
    <t>Fiber Patch Panel</t>
  </si>
  <si>
    <t xml:space="preserve">• 24-port LC duplex panel loaded with 24xLCduplex
single mode wall mounted
• Brand: known brand
</t>
  </si>
  <si>
    <t xml:space="preserve">24 portSingle Mode Fiber Patch Panel </t>
  </si>
  <si>
    <t xml:space="preserve">12 port Single Mode Fiber Patch Panel </t>
  </si>
  <si>
    <t xml:space="preserve"> Pigtail </t>
  </si>
  <si>
    <t>Single Mode Pigtail (LC)</t>
  </si>
  <si>
    <t xml:space="preserve">• LC/UPC single mode fiber pigtail tight buffer-9/125
OSI/OS2 white 900um 1 meter
</t>
  </si>
  <si>
    <t>pack</t>
  </si>
  <si>
    <t>Warning Tape</t>
  </si>
  <si>
    <t xml:space="preserve"> Patch Panel for UTP</t>
  </si>
  <si>
    <t>Patch Panel for UTP</t>
  </si>
  <si>
    <t xml:space="preserve">• Brand: known brand
• Number of RJ-45 port:
 24 Port, with cable management and port labeling
features
• Standard/category
 Compatible for Category 6
</t>
  </si>
  <si>
    <t xml:space="preserve">Wall Outlet </t>
  </si>
  <si>
    <t>Wall Outlet (Single mode)</t>
  </si>
  <si>
    <t xml:space="preserve">• wall out late UTP RJ45 flush sockets
• package quantity: one
• Single node mode
• left connecter type: RJ 45
• gender: female
• Cat6 RJ45 UTP White outlets
</t>
  </si>
  <si>
    <t>Rack</t>
  </si>
  <si>
    <t>Switch Rack</t>
  </si>
  <si>
    <t xml:space="preserve">UTP Patch Cord </t>
  </si>
  <si>
    <t>1m UTP Patch Cord</t>
  </si>
  <si>
    <t xml:space="preserve">• Cable Type
 Category 6 Cable Factory Made (with cable Jacket
and RJ-45 Connector)
• Cable Length
 1m
• Brand
 Known brand
</t>
  </si>
  <si>
    <t>3m UTP Patch Cord</t>
  </si>
  <si>
    <t>Cable trunk</t>
  </si>
  <si>
    <t>• PVC cable Trucking (25mmx40mm)</t>
  </si>
  <si>
    <t>• PVC cable Trucking (40mmx100mm)</t>
  </si>
  <si>
    <t xml:space="preserve"> UPVC </t>
  </si>
  <si>
    <t>Fisher</t>
  </si>
  <si>
    <t>Washer</t>
  </si>
  <si>
    <t xml:space="preserve">Washer </t>
  </si>
  <si>
    <t xml:space="preserve">Screw </t>
  </si>
  <si>
    <t>Power outlet</t>
  </si>
  <si>
    <t>Grounding</t>
  </si>
  <si>
    <r>
      <t>Lightning Protection Rod</t>
    </r>
    <r>
      <rPr>
        <sz val="12"/>
        <color theme="1"/>
        <rFont val="Times New Roman"/>
        <family val="1"/>
      </rPr>
      <t>.</t>
    </r>
  </si>
  <si>
    <t>pc</t>
  </si>
  <si>
    <t xml:space="preserve">pack </t>
  </si>
  <si>
    <t>SCS</t>
  </si>
  <si>
    <t xml:space="preserve">
Finger Print scanner
</t>
  </si>
  <si>
    <t xml:space="preserve">4. the SQL trainings include  Database Administration and Business Intelligent Development trinings </t>
  </si>
  <si>
    <t>5.Hotel accomodation will be arranged besides perdime</t>
  </si>
  <si>
    <t>6. Visa processing shall be supported by the Bank</t>
  </si>
  <si>
    <t>7. Per dime of USD 200 per trainee is included</t>
  </si>
  <si>
    <t>role</t>
  </si>
  <si>
    <t xml:space="preserve">UTP Cable </t>
  </si>
  <si>
    <t>UTP Cable</t>
  </si>
  <si>
    <t>• (UTP) Full Copper  CAT6 UTP  cable 305M Per Roll</t>
  </si>
  <si>
    <t>Cable tie</t>
  </si>
  <si>
    <t>Cable Tie</t>
  </si>
  <si>
    <t>Usr</t>
  </si>
  <si>
    <t>Windows Server 2016 Standard Edition operating system</t>
  </si>
  <si>
    <t>System type software which is installed on the specified server machine for central database system</t>
  </si>
  <si>
    <t xml:space="preserve">SQL Server 2017 standard edition </t>
  </si>
  <si>
    <r>
      <t xml:space="preserve">Microsoft  </t>
    </r>
    <r>
      <rPr>
        <sz val="12"/>
        <color theme="1"/>
        <rFont val="Tahoma"/>
        <family val="2"/>
      </rPr>
      <t>SQL Server 2017 Standard + 5 user CAL License</t>
    </r>
  </si>
  <si>
    <t xml:space="preserve">·        White Cable Tie 250mm Size </t>
  </si>
  <si>
    <t>·         (FTP) outdoor-rated CAT6 cable 305 meter Per Role</t>
  </si>
  <si>
    <r>
      <t xml:space="preserve">·         </t>
    </r>
    <r>
      <rPr>
        <sz val="12"/>
        <color rgb="FF000000"/>
        <rFont val="Times New Roman"/>
        <family val="1"/>
      </rPr>
      <t>Fiber Optics Fusion Splicing Sleeve 12 per pack</t>
    </r>
  </si>
  <si>
    <r>
      <t xml:space="preserve">·         </t>
    </r>
    <r>
      <rPr>
        <sz val="12"/>
        <color rgb="FF000000"/>
        <rFont val="Times New Roman"/>
        <family val="1"/>
      </rPr>
      <t>Fiber Optics Warning Tape</t>
    </r>
  </si>
  <si>
    <r>
      <t>·</t>
    </r>
    <r>
      <rPr>
        <sz val="12"/>
        <color rgb="FF000000"/>
        <rFont val="Times New Roman"/>
        <family val="1"/>
      </rPr>
      <t>        12Unit Rack With Mounting Accessory</t>
    </r>
  </si>
  <si>
    <t>·         Single phase power outlet</t>
  </si>
  <si>
    <t>·         Copper Bonded Grounding Rod, Earthing Pit Cover, Earth Bar, Earthing Plate Clamp, Earthing Electrode Pipe</t>
  </si>
  <si>
    <t xml:space="preserve">Software Requirments </t>
  </si>
  <si>
    <t>SVT10KX</t>
  </si>
  <si>
    <t>3-Phase 380/400/415V 10kVA 9kW On-Line Double-Conversion UPS with IGBT technology provides battery backup and AC power protection against power disturbances that can damage electronics or destroy data. It’s recommended for critical IT or corporate infrastructure, telecom, LAN/WAN, security and emergency, financial and light industrial applications</t>
  </si>
  <si>
    <t>48 Port Non POE Access Switch (qty=5 pcs)</t>
  </si>
  <si>
    <t>ITIL Abroad  Traning and Completion Certefication</t>
  </si>
  <si>
    <t>1. PMP &amp; ITIL Training location: Dubai</t>
  </si>
  <si>
    <t>C9200L-24P-4X-E</t>
  </si>
  <si>
    <t>Catalyst 9200L 24-port PoE+ 4x10G uplink Switch, Network Essentials</t>
  </si>
  <si>
    <t>C9200-DNA-E-24-3Y</t>
  </si>
  <si>
    <t>C9200 Cisco DNA Essentials, 24-port, 3 Year Term license</t>
  </si>
  <si>
    <t xml:space="preserve">Full HD (FHD) Disply Screen TV </t>
  </si>
  <si>
    <t xml:space="preserve"> All Datacenter Room Floor Covered By Porcelain
 All Window Must Be Covered By HCB
 Must have 10mm Glass partition For Datacenter Room and NOC Room 
 Door must Be changed to Fire Rated Door and Make Open with access Control (RF Card, PIN, Finger Print) 
 Room Wall Must be decorated with  Cllading  
 Must have Standard Lightning 
 Must have Their own CCTV Camera Surveillance Inside and Out Side Datacenter Room monitor Activity 
</t>
  </si>
  <si>
    <t xml:space="preserve">Out Door Camera pole mount foundation </t>
  </si>
  <si>
    <t>Out Door Camera Mount Pole</t>
  </si>
  <si>
    <t>Out Door Camera</t>
  </si>
  <si>
    <t xml:space="preserve"> Four Standard CCTV Camera Control Table 
 Four   ergonomic Standard Chair 
 Room Renovation that include gypsum work, lighting. Room paint, carpet, Certain, Door Security 
</t>
  </si>
  <si>
    <t>Control Room</t>
  </si>
  <si>
    <t xml:space="preserve">CCTV Control Room </t>
  </si>
  <si>
    <t xml:space="preserve">Known brand 24BTU Wall Mounted AC 
</t>
  </si>
  <si>
    <t xml:space="preserve">Wall Mounted </t>
  </si>
  <si>
    <t>Wall Mounted Ac Qty=1)</t>
  </si>
  <si>
    <t>ALL IN ONE PC- Minimum HDD =1TB ,display:27" LCD, processor: core i7, Minimum RAM:16GB,</t>
  </si>
  <si>
    <t>ALL IN ONE PC</t>
  </si>
  <si>
    <t>All In One PC (Qty=4)</t>
  </si>
  <si>
    <t>Vertical Pole Mount</t>
  </si>
  <si>
    <t>DS-1275ZJ-S-SUS</t>
  </si>
  <si>
    <t xml:space="preserve"> Max. 2688 × 1520 @ 25fps
    2.8 mm/4 mm/6 mm fixed lens
    H.265, H.264
    120dB WDR
    False alarm reduction by human and vehicle target classification based on deep learning
    Powered by Darkfighter
    12 VDC &amp; PoE (802.3at, class 4)
    IR range: Up to 50 m, optional
    Support on-board storage, up to 128 GB
    IP67
    BLC/3D DNR/ROI
    Color: 0.007 Lux @ (F1.2, AGC ON), 0.012 Lux @ (F1.6, AGC ON) </t>
  </si>
  <si>
    <t>CCTV Solution</t>
  </si>
  <si>
    <t>DU-One Card System - BE</t>
  </si>
  <si>
    <t xml:space="preserve">Chassis Configuration
• Chassis with up to 8 x 2.5" SAS/SATA Hard Drives for 2CPU Configuration
Trusted Platform Module (TPM)
• No Trusted Platform Module
Processor and thermal configuration
• Intel® Xeon® Bronze 3106 1.7G, 8C/8T, 9.6GT/s, 11M Cache, No Turbo, No HT (85W) DDR4-2133
• Intel® Xeon® Bronze 3106 1.7G, 8C/8T, 9.6GT/s, 11M Cache, No Turbo, No HT (85W) DDR4-2133
• 2 Standard Heatsinks for 125W or less CPUs
Memory capacity and DIMM type
• Performance Optimized
• 2666MT/s RDIMMs
• 16GB RDIMM, 2666MT/s, Dual Rank
Operating System and OS media Kits
• No Operating System
• No Media Required
RAID Configuration and Controller
• C7, Unconfigured RAID for HDDs or SSDs (Mixed Drive Types Allowed)
• PERC H330+ RAID Controller, Adapter, Low Profile
Hard Drives
• 12TB 7.2K RPM SATA 6Gbps 512n 2.5in Hot-plug Hard Drive
Advanced System Configurations’
• UEFI BIOS Setting
Power Supply and power Cords 
• Dual, Hot-plug, Redundant Power Supply (1+1), 750W
• Rack Power Cord 2M (C13/C14 10A)
PCIe Riser
• Riser Config 2, 3 x8, 1 x16 slots
Rack unit 
• 2U Standard 
Quick Sync
• No Quick Sync
Internal Optical Drive
• No Internal Optical Drive
Base Warranty
• 1Yr Parts Only Warranty (Emerging Only)
Support Services
• 3Yr Basic Warranty - NBD Included - No Upgrade Selected
Fans
• 6 Standard Fans 
Network Daughter Card
• QLogic 57800 2x10Gb SR/SFP+ + 2x1Gb BT Network Daughter Card, with SR Optics
</t>
  </si>
  <si>
    <t xml:space="preserve">Central Data Storage  Server </t>
  </si>
  <si>
    <t>DU-Network  Active Devices - BE</t>
  </si>
  <si>
    <t>INFONANS-DU -Training BoQ</t>
  </si>
  <si>
    <t>DU Professional Service - BE</t>
  </si>
  <si>
    <t>Screw  8 mm, 100pc Per Pack</t>
  </si>
  <si>
    <t>• Small size 100pc Per Pack</t>
  </si>
  <si>
    <t>• Fisher 8 mm 100pc Per Pack</t>
  </si>
  <si>
    <t>DS-96256NI-I24</t>
  </si>
  <si>
    <t>768Mbps Bit Rate Input Max(up to 256-ch IP video), 24 SATA Interfaces, alarm I/O: 16/8,  RAID0,1,5,6,10 supported, 4U case,19"</t>
  </si>
  <si>
    <t>ST8000VX0002-520</t>
  </si>
  <si>
    <t>8TB/128MB(6GB/s NCQ)/5900RPM/SATA</t>
  </si>
  <si>
    <t>DS-2DE7425IW-AE</t>
  </si>
  <si>
    <t>4MP, 1/2.5" CMOS,H.265+/H.265/H.264+/H.264 codec, 3D DNR, True WDR, 
Ultra-low light  Powered By DarkFighter Color: 0.005lux/F1.6, B/W:0.001lux/F1.6, 
Optical Zoom:25x,, Digital Zoom:16X, 150m IR
2560*1440:30fps, Pan Speed: 0.1° -160°/s, Tilt Speed: 0.1° -120°/s, Hi-PoE&amp;24VAC
Smart Tracking Smart Detection</t>
  </si>
  <si>
    <t xml:space="preserve">DS-1604ZJ-pole
</t>
  </si>
  <si>
    <t xml:space="preserve">Wall mount with junction box
</t>
  </si>
  <si>
    <t xml:space="preserve">DS-1273ZJ-130B
</t>
  </si>
  <si>
    <t>Hikvision White
Aluminum Alloy
Ø 132 mm × 242.9 mm × 288.5mm (5.20" × 9.56" × 11.36")
1690 g (3.73 lb.)</t>
  </si>
  <si>
    <t xml:space="preserve">DS-2CD63C5G0-IS
</t>
  </si>
  <si>
    <t xml:space="preserve">"1/1.7"" Progressive CMOS, ICR, 0lux with IR, 20fps (4000 × 3072),30fps(3000 × 3000) 1.29mm/F2.2 lens;Immervision lens;  360°Panoramic view, H.265+/H.265/H.264+/H.264/MJPEG, hemisphere Dewarping; DC12V &amp; PoE, Support on-board storage, Up to 15m IR,3 LEDs.Each LED is independently controlled;Heater;Up to 1600x1200 ePTZ, Built-in dual microphone &amp; speaker;Onboard and client side dewarping;
DeepLearning:Heat map/Intersection analysis/people counting by deep learning;
-S: Audio/Alarm IO/linein/lineout and RS485;
-V: IP67 IK10 and Vandal-proof for outdoor;"
</t>
  </si>
  <si>
    <t>DS-1273ZJ-DM25</t>
  </si>
  <si>
    <t xml:space="preserve">"Hik white
Aluminum alloy
183.5×164×231.7mm
900g"
</t>
  </si>
  <si>
    <t>NO</t>
  </si>
  <si>
    <t>UOM</t>
  </si>
  <si>
    <t>EB-710Ui</t>
  </si>
  <si>
    <t>V12H731P01</t>
  </si>
  <si>
    <t>This high-speed, wireless network adapter plugs directly into selected Epson projectors allowing quick and easy wireless access to LAN or peer-to-peer networks.</t>
  </si>
  <si>
    <t>V12H467040DA</t>
  </si>
  <si>
    <t>active speakers (with built-in amplifiers) enable all students in the room to clearly hear your lesson, enhancing the learning experience</t>
  </si>
  <si>
    <t>V12H759040</t>
  </si>
  <si>
    <t>Quick to set-up visualiser for magnifying source material clearly and easily for the benefit of everyone in the classroom</t>
  </si>
  <si>
    <t>V12H927040DA</t>
  </si>
  <si>
    <t xml:space="preserve">safty wire for the projector and accessories </t>
  </si>
  <si>
    <t>wall-mounted AV control box perfectly complements Epson's short-throw and ultra-short-throw display solutions. Teachers, and pupils, benefit from greater device connectivity, ease of use and neat cable management</t>
  </si>
  <si>
    <t xml:space="preserve">Whiteboard  </t>
  </si>
  <si>
    <t>whiteboard surface is optimized for projection, with minimal glare or reflection</t>
  </si>
  <si>
    <t>Logitech MeetUp</t>
  </si>
  <si>
    <t>Logitech® MeetUp is a premier
ConferenceCam designed for small
conference rooms and huddle rooms.
With a room capturing, super-wide 120°
field of view,</t>
  </si>
  <si>
    <t xml:space="preserve">desktop computer  </t>
  </si>
  <si>
    <t xml:space="preserve">core i3 dell computer with 8GB and 500Gb HDD processing speed 3.6 ghz </t>
  </si>
  <si>
    <t>Multipurpose presentation cart</t>
  </si>
  <si>
    <t xml:space="preserve">• Recessed 2" deep surface area for laptop
• Slide-out, locking shelf for multimedia equipment
• 3 locking doors provide secure storage area
• Wire management grommets on shelves
• Input/output lines for media players, extension speakers
• Made of high-quality melamine thermo-fused MDF
• Durable scratch resistant surface
</t>
  </si>
  <si>
    <t>Class room Door with access control</t>
  </si>
  <si>
    <t>Class Room door woth access control</t>
  </si>
  <si>
    <t>• Integrated access control 
• Support pin, Card and Finger print for accessing 
• Made of durable materials 
• 200cm height 
• 100cm width 
• Supply and installation</t>
  </si>
  <si>
    <t>Multipurpose presentation cart  (Qty=5)</t>
  </si>
  <si>
    <t>Desktop computer  (Qty=5)</t>
  </si>
  <si>
    <t>ILMS system software</t>
  </si>
  <si>
    <t xml:space="preserve">• Completely Web-based, 
• run on browser. ̇Web-based Application –Asp.net, JavaScript, AJAX, XML, Web-Printing Supported ̇
• Multi-lingual Support –Full Unicode (UTF-8) Support ̇
• Standard Compliant –Marc21, UNI-Marc, ISO2709, Z39.50, MARCXML ̇
</t>
  </si>
  <si>
    <t xml:space="preserve">RFID Detection Gates </t>
  </si>
  <si>
    <t xml:space="preserve">1.capable of  Detecting  EAS Armed RFID tags
2.should Support AFI anti-theft figure
3.support Multi-item detection
4.support People Counter (In and Out)
5.shoud be Able to integrate camera with the gate if required  
6.should be Able to integrate with Surveillance Station is required  including base plat 
</t>
  </si>
  <si>
    <t xml:space="preserve">RFID Tags for Books </t>
  </si>
  <si>
    <t xml:space="preserve">• Integrated Circuit (IC)                   NXP I-CODE SLIX2
• IC’s protocol /anti-collision          ISO 15693 : SLIX2 IC   specification
• Memory                                     2,560 bits (320 bytes)
• Operating frequency                13.56 MHz (HF)
• Unloaded resonance frequency     14,40 MHz ± 0,35 MHz
• Transponder antenna material         Aluminum
</t>
  </si>
  <si>
    <t xml:space="preserve">Staff Station Unit </t>
  </si>
  <si>
    <t xml:space="preserve">arming/disarming module, tagging module and sorting module.     
1.Editing and updating of Students record
2.Add and deleting of Students record
3.Generate loan history for a particular Students
4.Managing of fines incurred by the Student
5.Arm/Disarm of EAS bit inside the library material
6.Program of new library material
7.desktop computer for managment 
</t>
  </si>
  <si>
    <t>Shelf Management System (wifi handle reader + tablet)</t>
  </si>
  <si>
    <t>1. Industrial Tablet (8” Touch Screen)
2. WIFI Handheld Reader and Antenna
3. Carry Bag
4. Software Function: Inventory Check, Searching</t>
  </si>
  <si>
    <t>Windows Server 2019 Standard Edition operating system</t>
  </si>
  <si>
    <t>Teach without disruption and ensure your students can read everything on the screen with this interactive ultra-short-throw laser display solution, delivering collaborative lessons on a large scalable display to promote greater sharing and participation in the classroom.</t>
  </si>
  <si>
    <t>SU20KRTHW</t>
  </si>
  <si>
    <t>20kVA / 20,000VA / 18,000W on-line double-conversion UPS; 0.9 power factor
200/208/220/230/240V 50/60Hz output
Hot-swap power and battery modules, N+1 fault tolerance at loads up to 10kVA
USB, RS232 &amp; EPO ports; slot for network management card options</t>
  </si>
  <si>
    <t xml:space="preserve">Media Converter </t>
  </si>
  <si>
    <t>HTB-GS-03-A/B</t>
  </si>
  <si>
    <t>8 port
PoE/PoE+
Switch</t>
  </si>
  <si>
    <t>WS-C2960CX-8PC-L</t>
  </si>
  <si>
    <t>Switch-10 ports managed
Subtype: Gigabit
 Twisted Pair=
Ethernet Technology: FE Gigabit Ethernet
Network Technology: 10/100Base-TX1000Base-X
I/O Expansions: Number of Total Expansion Slots: 2
Expansion Slot Type: SFP
Number of SFP Slots:2
 Network &amp; Communication: Layer
Supported: 2</t>
  </si>
  <si>
    <t>HD Video controler</t>
  </si>
  <si>
    <t>IVMS</t>
  </si>
  <si>
    <t xml:space="preserve">keybord controller </t>
  </si>
  <si>
    <t>DS-1600KI</t>
  </si>
  <si>
    <t>DS-1600KI  Network Keyboard                                                                    •10.1" Capacitive Touchscreen                                                                •Detachable Touchscreen and Joystick Design                                                •Wired and WiFi Network Connection                                                  •PoE Power Supply                                                                                  •Up to 2-ch 1080p Decoding; 16-Division Window Display                            •DVI and HDMI Monitor Output•Connectable to Hikvision Products, such as DVRs, DVSs, NVRs, Network Cameras, and Speed Domes</t>
  </si>
  <si>
    <t xml:space="preserve">20KVA UPS  For the control room </t>
  </si>
  <si>
    <t>DU- Surveliance CCTV Camera - BE</t>
  </si>
  <si>
    <t>DU-Stractural Network cabling System (SCS) - BE</t>
  </si>
  <si>
    <t>DU-Time Attendance - BE</t>
  </si>
  <si>
    <t>DU-Smart Class Room Solution BE</t>
  </si>
  <si>
    <t>DU-Datacenter Facility (DCF)- BE</t>
  </si>
  <si>
    <t xml:space="preserve">DU- ICT Infrastracture Enhancement - Budgetary Estimate  Summary </t>
  </si>
  <si>
    <t>ZK-D180</t>
  </si>
  <si>
    <t>ZK-D4330</t>
  </si>
  <si>
    <t xml:space="preserve">gate series </t>
  </si>
  <si>
    <t xml:space="preserve">fast and can widely adjust from 0.9s-10s,Able to work under -40°C—+75°C outdoor, Support wide range of 100-240V DC and 24V battery.
</t>
  </si>
  <si>
    <t>BLADE6040</t>
  </si>
  <si>
    <t xml:space="preserve">ZK-M3 </t>
  </si>
  <si>
    <t xml:space="preserve">Belt clip 
</t>
  </si>
  <si>
    <t xml:space="preserve">KBH-11 </t>
  </si>
  <si>
    <t>KNB-48L
Li-Ion Battery
(2550mAh)</t>
  </si>
  <si>
    <t xml:space="preserve">20° C to +60° C (discharge) / 0° C to +45° C (charge), CONDITIONER COMPATIBLE Yes 
VOLTAGE 7.4V 
</t>
  </si>
  <si>
    <t>KEP-1
Heavy Duty Earphone</t>
  </si>
  <si>
    <t xml:space="preserve">Heavy Duty Earphone
</t>
  </si>
  <si>
    <t xml:space="preserve"> KSC-326
</t>
  </si>
  <si>
    <t xml:space="preserve">Multiple Charger
</t>
  </si>
  <si>
    <t>Digital &amp; FM Mobile Radios</t>
  </si>
  <si>
    <t xml:space="preserve">6.25 &amp; 12.5 kHz Channels, 50W (136-174 MHz) Mode, Frequency Range 400-470 MHz, Operating Voltage 13.6 V DC ± 15%
Operating Temperature Range -22˚ F to +140˚ F (-30˚ C to +60˚ C)
</t>
  </si>
  <si>
    <t>ProBG3030</t>
  </si>
  <si>
    <t>C9500-40X-A</t>
  </si>
  <si>
    <t>DU-University Check point Security management system - BE</t>
  </si>
  <si>
    <t>x-ray object  Inspection Systems</t>
  </si>
  <si>
    <t xml:space="preserve">Campus Check point security solution </t>
  </si>
  <si>
    <t>DU-Integrated Digital Library System (ILSM) - BE</t>
  </si>
  <si>
    <t>DS-1260ZJ</t>
  </si>
  <si>
    <t xml:space="preserve">Junction  box </t>
  </si>
  <si>
    <t xml:space="preserve">DS-2CD2146G1-I
</t>
  </si>
  <si>
    <t>DS-6916UDI</t>
  </si>
  <si>
    <t>DS-D2055NL-B/G</t>
  </si>
  <si>
    <r>
      <t>55",1080P,500cd/</t>
    </r>
    <r>
      <rPr>
        <sz val="10.5"/>
        <color theme="1"/>
        <rFont val="宋体"/>
        <family val="3"/>
        <charset val="134"/>
      </rPr>
      <t>㎡</t>
    </r>
    <r>
      <rPr>
        <sz val="10.5"/>
        <color theme="1"/>
        <rFont val="Calibri"/>
        <family val="2"/>
      </rPr>
      <t>,bezelwidth:3.5mm,Input: VGA/DVI/BNC/HDMI/Ypbpr, Output: VGA/DVI/2*BNC</t>
    </r>
  </si>
  <si>
    <t>HikCentral-VSS-Base/300Ch</t>
  </si>
  <si>
    <t xml:space="preserve">300 cameras manageable.
Supported: Cloud Storage Server, Auxiliary Storage, Alarm Management (Alarm Cofiguration, Alarm Logs, Alarm Search), Email notification, Active Directory, Running on Virtual Machine, 100 Users Logged In Simultaneously, Client Operation (Auto-Switch, Private View, Adding Tag, Locking Video, Instant Playback, Custom Window Division)  </t>
  </si>
  <si>
    <t>HikCentral-SmartWall-Base</t>
  </si>
  <si>
    <t>Device Supported: Decoders , Video Wall Controllers and Keyboards
Support 32 smart walls manageable.
Support 32 decoders
Function Supported: displaying camera live view/playback on video wall, spanning window, roaming window 
alarm linkage etc.</t>
  </si>
  <si>
    <t xml:space="preserve">PoE Injector </t>
  </si>
  <si>
    <t xml:space="preserve">	
60W PoE injector, 1*RJ45 interface,1000M
(For DS-2DF8/76/5xxx-AE/AE3/AEL, DS-2DE2DE7xxx-AE models)</t>
  </si>
  <si>
    <t>30W PoE injector, 1*RJ45 interface,1000M
(For DS-2DE5/4xxx-AE/-AE3 models)</t>
  </si>
  <si>
    <t xml:space="preserve">NX-820HG with micraphone </t>
  </si>
  <si>
    <t>NXR-810</t>
  </si>
  <si>
    <t xml:space="preserve">base unit repeater </t>
  </si>
  <si>
    <t>Digital &amp; FM portable Radios</t>
  </si>
  <si>
    <t xml:space="preserve"> NX-300S
 </t>
  </si>
  <si>
    <t xml:space="preserve">• 400 - 470,  • Repeater Operation • Duplex / Simplex Base Operation • 30 CH Scanning Base • Two-Digit LED Display • 6 Lighted Programmable Function keys 
</t>
  </si>
  <si>
    <t xml:space="preserve">5 W (400-470 MHz) Models,Number of Channels 64 Zones 4 Max. Channels per Zone 16
</t>
  </si>
  <si>
    <t xml:space="preserve"> accessories for portable Radio Communication </t>
  </si>
  <si>
    <t>Turnstile</t>
  </si>
  <si>
    <t xml:space="preserve">desctop computer </t>
  </si>
  <si>
    <t>Intel Core i7 3.8GHz, 16GB DDR3,  1TB HDD, Windows 10 Pro 64-Bit, WiFi, USB 3.0, DVDRW, 2X Display Port</t>
  </si>
  <si>
    <t xml:space="preserve">Cable trunk with connector </t>
  </si>
  <si>
    <t>HDP</t>
  </si>
  <si>
    <t xml:space="preserve">UPVC </t>
  </si>
  <si>
    <t>• HDP diameter 75 mm</t>
  </si>
  <si>
    <t>•UPVC diameter 75 4PN</t>
  </si>
  <si>
    <t xml:space="preserve">Catalyst 9500 40-port 10Gig switch, Network Advantage
</t>
  </si>
  <si>
    <t>C9500-DNA-A-3Y</t>
  </si>
  <si>
    <t xml:space="preserve">Cisco Catalyst 9500 DNA Advantage 3 Year License
</t>
  </si>
  <si>
    <t>48 port Core Swiht switch  (qty =2pcs)</t>
  </si>
  <si>
    <t>24 Port  Access Layer Switch (Qty =10)</t>
  </si>
  <si>
    <t xml:space="preserve">HTB-GS-03-A/B netLINK 1000M Single-mode Single Fiber Optic Ethernet Media
Converte </t>
  </si>
  <si>
    <t>AIR-AP1572EAC-E-K9</t>
  </si>
  <si>
    <t xml:space="preserve"> Cisco Aironet 1572EAC Outdoor Access Point
Detail:  802.11ac Outdoor AP, External Antenna, AC-power, E Regulatory Domain</t>
  </si>
  <si>
    <t>UHF reader and tag</t>
  </si>
  <si>
    <t>UHF1-Tag4</t>
  </si>
  <si>
    <t xml:space="preserve">
• Model UHF1-Tag4 
• Working Frequency 860MHz~960MHz 
• Reading Distance Up to 10 meters for UHF1-10E and UHF1-10F (Determined by the environment and reader) 
• Protocol Standard ISO/IEC 18000-6C, EPC global Class 1 Gen 2 
• Chip Alien H3 
</t>
  </si>
  <si>
    <t xml:space="preserve">10 KVA UPS </t>
  </si>
  <si>
    <t>1.5 KVA UPS (Qty =30)</t>
  </si>
  <si>
    <t>SMX1500XLRT2U</t>
  </si>
  <si>
    <t xml:space="preserve">Product type  UPS
Output Volt Amp Capacity
(VA) 1500
Output kVA Capacity (kVA)  1.5
Nominal Output Voltage(s)
Supported  220V; 230V; 240V
Output Voltage Regulation
(Line
Mode) -18%, +8%
Output Voltage Regulation
(Batry Mode)  +/- 5%
</t>
  </si>
  <si>
    <t xml:space="preserve">• Cable Type
 Category 6 Cable Factory Made (with cable Jacket
and RJ-45 Connector)
Cable Length
 3m
Brand  Known brand
</t>
  </si>
  <si>
    <t>power cable</t>
  </si>
  <si>
    <t xml:space="preserve">power cable </t>
  </si>
  <si>
    <t xml:space="preserve">wireless controller </t>
  </si>
  <si>
    <t xml:space="preserve">Indoor  Wireless Access Point </t>
  </si>
  <si>
    <t>Outdoor Access Point</t>
  </si>
  <si>
    <t>Indoor Dome Camera</t>
  </si>
  <si>
    <t>Outdoor fixed bullet IP camera Camera</t>
  </si>
  <si>
    <t>Fisheye Camera</t>
  </si>
  <si>
    <t xml:space="preserve">Panoramic and PTZ camera </t>
  </si>
  <si>
    <t xml:space="preserve">Outdoor Network Speed Dome camera with accessories </t>
  </si>
  <si>
    <t xml:space="preserve">
DS-2DF6225X-AEl
</t>
  </si>
  <si>
    <t xml:space="preserve">
Image Sensor 1/1.9" progressive scan CMOS Min. Illumination Color: 0.002 Lux @(F1.5, AGC ON) B/W: 0.0002 Lux @(F1.5, AGC ON) Shutter Time 1/1 s to 1/30,000 s 
White Balance 
Auto/Manual/ATW (Auto-tracking White Balance)/Indoor/Outdoor/Fluorescent Lamp/Sodium Lamp AGC Auto/Manual Day &amp; Night IR cut filter Digital Zoom 16× Privacy Mask 24 programmable privacy masks Focus Mode Auto/Semi-automatic/Manual 
</t>
  </si>
  <si>
    <t xml:space="preserve">Vertical Pole Mounting Bracket </t>
  </si>
  <si>
    <t xml:space="preserve">Vertical Pole Mounting Bracket with Junction Box </t>
  </si>
  <si>
    <t>Handheld Metal Detector</t>
  </si>
  <si>
    <t>Walk Through Metal Detector</t>
  </si>
  <si>
    <t>Vehicle Inspection Mirror</t>
  </si>
  <si>
    <t>Visualize metal detection indicator
Device Dimension: 345(L)×69(W)×25(H)mm
Power:Rechargeable 9V Ni-MH Battery, DC charger</t>
  </si>
  <si>
    <t>7 inch LCD display
Detecting Zones: 33 zones
LED indicators: four LED light bars
Sensitivity Level: 300
Frequency Channel: 100
Supprot sensitivity quick settings
20 Levels volume, 16 tones setting
Turnstile &amp; barrier linkage : standard
IR Remote Control: standard
Wooden frame packing: standard</t>
  </si>
  <si>
    <t>Mirror diameter: 300mm
Rod length: 1200-1400mm
Light source: LED
Device weight: 1.6kg
Package weight: 2.42kg
Package size: 860mm*290mm*330mm
include: 
Rod * 4
LED flashlight*1
Mirror*1
Spanner*1</t>
  </si>
  <si>
    <r>
      <rPr>
        <b/>
        <sz val="11"/>
        <rFont val="微软雅黑"/>
        <charset val="134"/>
      </rPr>
      <t>Tunnel Dimensions(WxH)：</t>
    </r>
    <r>
      <rPr>
        <sz val="11"/>
        <rFont val="微软雅黑"/>
        <charset val="134"/>
      </rPr>
      <t xml:space="preserve">610 × 420 mm
</t>
    </r>
    <r>
      <rPr>
        <b/>
        <sz val="11"/>
        <rFont val="微软雅黑"/>
        <charset val="134"/>
      </rPr>
      <t>Conveyor Speed</t>
    </r>
    <r>
      <rPr>
        <sz val="11"/>
        <rFont val="微软雅黑"/>
        <charset val="134"/>
      </rPr>
      <t xml:space="preserve">：0.20 m/sec. ~0.40m/sec
</t>
    </r>
    <r>
      <rPr>
        <b/>
        <sz val="11"/>
        <rFont val="微软雅黑"/>
        <charset val="134"/>
      </rPr>
      <t>Load on Conveyer:</t>
    </r>
    <r>
      <rPr>
        <sz val="11"/>
        <rFont val="微软雅黑"/>
        <charset val="134"/>
      </rPr>
      <t xml:space="preserve"> Max 200 kg. (Evenly Distributed)
</t>
    </r>
    <r>
      <rPr>
        <b/>
        <sz val="11"/>
        <rFont val="微软雅黑"/>
        <charset val="134"/>
      </rPr>
      <t>Space Defintion</t>
    </r>
    <r>
      <rPr>
        <sz val="11"/>
        <rFont val="微软雅黑"/>
        <charset val="134"/>
      </rPr>
      <t xml:space="preserve">：HorizontalΦ1.0mm,VerticalΦ2.0mm
</t>
    </r>
    <r>
      <rPr>
        <b/>
        <sz val="11"/>
        <rFont val="微软雅黑"/>
        <charset val="134"/>
      </rPr>
      <t>Steel Penetration:</t>
    </r>
    <r>
      <rPr>
        <sz val="11"/>
        <rFont val="微软雅黑"/>
        <charset val="134"/>
      </rPr>
      <t xml:space="preserve"> 38mm Guaranteed; 40mm Typical
</t>
    </r>
    <r>
      <rPr>
        <b/>
        <sz val="11"/>
        <rFont val="微软雅黑"/>
        <charset val="134"/>
      </rPr>
      <t xml:space="preserve">Wire Resolution: </t>
    </r>
    <r>
      <rPr>
        <sz val="11"/>
        <rFont val="微软雅黑"/>
        <charset val="134"/>
      </rPr>
      <t xml:space="preserve">38AWG Guaranteed; 40AWG Typical
</t>
    </r>
    <r>
      <rPr>
        <b/>
        <sz val="11"/>
        <rFont val="微软雅黑"/>
        <charset val="134"/>
      </rPr>
      <t>Dual-energy detector</t>
    </r>
    <r>
      <rPr>
        <sz val="11"/>
        <rFont val="微软雅黑"/>
        <charset val="134"/>
      </rPr>
      <t xml:space="preserve">: Yes
</t>
    </r>
    <r>
      <rPr>
        <b/>
        <sz val="11"/>
        <rFont val="微软雅黑"/>
        <charset val="134"/>
      </rPr>
      <t>Number of Colors in X-ray Image: 3</t>
    </r>
    <r>
      <rPr>
        <sz val="11"/>
        <rFont val="微软雅黑"/>
        <charset val="134"/>
      </rPr>
      <t xml:space="preserve">
</t>
    </r>
    <r>
      <rPr>
        <b/>
        <sz val="11"/>
        <rFont val="微软雅黑"/>
        <charset val="134"/>
      </rPr>
      <t>Dimensions(LxWxH)</t>
    </r>
    <r>
      <rPr>
        <sz val="11"/>
        <rFont val="微软雅黑"/>
        <charset val="134"/>
      </rPr>
      <t xml:space="preserve">：1990 × 970 × 1320 </t>
    </r>
  </si>
  <si>
    <t>FBL5022 Pro</t>
  </si>
  <si>
    <t>Power requirements
AC 100 ~ 120V/200 ~ 240V, 50/60Hz
Working temperature
-28℃ ~ 60℃
Working humidity
5% ~ 80%
Working environment
Indoor/outdoor (if sheltered)
Speed of throughput
RFID
Maximum 30/ minuteFingerprint
Maximum 25/ minute
Lane width(mm)
600
Footprint(mm*mm)
1200*1200
Dimensions(mm)
L=1200,W=300,H=1010
Dimension with packing(mm)
L=1400,W=840,H=1110</t>
  </si>
  <si>
    <t>FBL5222 Pro</t>
  </si>
  <si>
    <t>Power requirements
 AC 100 ~ 120V/200 ~ 240V, 50/60Hz
Working temperature  -28℃ ~ 60
Working humidity  5% ~ 80%  Working environment
Indoor/outdoor (if sheltered)
Speed of throughput RFID Maximum 30/ minute
Fingerprint Maximum 25/ minute
Lane width(mm)  600
Footprint(mm*mm) 1200*840
Dimensions(mm)  L=1200, W=300, H=1010
Dimension with packing(mm) L=1400, W=400, H=1100</t>
  </si>
  <si>
    <t>Access controler Software</t>
  </si>
  <si>
    <t>ZKBioSecurity -V4.0</t>
  </si>
  <si>
    <t>Max  Personnel: 5000
Max  Department:500        
Max Area:500                    
Supported max doors: 25</t>
  </si>
  <si>
    <t xml:space="preserve">Card Issue Device </t>
  </si>
  <si>
    <t>ZK8500R</t>
  </si>
  <si>
    <t>Material Optical
CPU 120MHz DSP
Flash 16 KB
SoC RTOS
Image Quality 0.3 million pixels CMOS
Sunlight Operation White filed, General Sunlight</t>
  </si>
  <si>
    <t>UHF1-10F: A34020217(Blank Logo)</t>
  </si>
  <si>
    <t xml:space="preserve"> American standard frequency band(902MHz-926MHz)
Application:
Long distancen fixed vehicle access management 
(Reading distance for 0-6m)
</t>
  </si>
  <si>
    <t xml:space="preserve">ILMS  software </t>
  </si>
  <si>
    <t xml:space="preserve">ILMS Gate detection </t>
  </si>
  <si>
    <t xml:space="preserve">Base plate for each aisle </t>
  </si>
  <si>
    <t xml:space="preserve">Base plat for the gate 
</t>
  </si>
  <si>
    <t xml:space="preserve">ILMS Book Tag </t>
  </si>
  <si>
    <t xml:space="preserve">ILMS Staff Station </t>
  </si>
  <si>
    <t xml:space="preserve">ILMS shalf management </t>
  </si>
  <si>
    <t xml:space="preserve">ILMS Softare requirmrnts </t>
  </si>
  <si>
    <t xml:space="preserve">Smart Class Room solution  </t>
  </si>
  <si>
    <t xml:space="preserve">Firewall </t>
  </si>
  <si>
    <t>DkU-Wireless Solution- BE</t>
  </si>
  <si>
    <t>FG-601E</t>
  </si>
  <si>
    <t>2x 10 GE SFP+ slots, 10x GE RJ45 ports (including 1x MGMT port, 1x HA port, 8x switch ports), 8x GE SFP slots, SPU NP6 and CP9 hardware accelerated, 2x 240 GB onboard SSD storage</t>
  </si>
  <si>
    <t>DKU-Collaborative smart meeting room Solution- BE</t>
  </si>
  <si>
    <t>White board</t>
  </si>
  <si>
    <t>High Definition Video Conferencing Room System</t>
  </si>
  <si>
    <t>Ceiling Microphone</t>
  </si>
  <si>
    <t xml:space="preserve">White board </t>
  </si>
  <si>
    <t>Presentation cart</t>
  </si>
  <si>
    <t xml:space="preserve">Touch Control </t>
  </si>
  <si>
    <t>2200-23809-002</t>
  </si>
  <si>
    <t>Ceiling Microphone array-White "Primary". Includes 2ft/60cm drop cable, electronics Interface, wall plate with 10ft/3m and 50ft/15m plenum cable, RJ45(F)/Walta(M). For RealPresence Group, HDX and SoundStructure. See Extension for additional arrays.</t>
  </si>
  <si>
    <t>8200-65810-001</t>
  </si>
  <si>
    <t>Polycom RealPresence Touch with silver trim for use with Group Series models. Requires PoE network connection or optional external p ower supply (2200-42740-XXX). One year Premier Maintenance Included in CALA.</t>
  </si>
  <si>
    <t>Class room door with access control</t>
  </si>
  <si>
    <t xml:space="preserve"> access control</t>
  </si>
  <si>
    <t>Civil work &amp; renovation</t>
  </si>
  <si>
    <t>7200-67264-114</t>
  </si>
  <si>
    <t>Group 500-720 Media Center 2RT55. Includes: Stand, audio system, Group 500-720 codec, rmt, MicArray, EagleEye IV-12x camera, 2-55" 1 080p LED displays, cable bundle, Russia-Type C. Order casters separately. (Maintenance Contract Required)</t>
  </si>
  <si>
    <t>4870-67264-112</t>
  </si>
  <si>
    <t>Premier, One Year, Group 500-720 Media Center 2RT55. Includes: Stand, audio system, Group 500-720 codec, rmt, MicArray, EagleEye IV- 12x camera, 2-55" 1080p LED displays</t>
  </si>
  <si>
    <t>4870-00967-112</t>
  </si>
  <si>
    <t>Premier One Year, Touch Control</t>
  </si>
  <si>
    <t xml:space="preserve">Work includes: Gypsum wall board for use on walls, ceilings or partitions and that affords a surface suitable to receive decoration, redecorated gypsum board for use as the finished surfacing for walls, ceilings or partitions gypsum backing board; and gypsum ceiling board for interior ceilings and walls. room will be furnished with  one Standard stage  table and 100  chairs setup, large blue curtain  with opening  strings attached at one end , Door with Automatic Handle, Carpet to improve the acoustics nature of the room. and lightings.  </t>
  </si>
  <si>
    <t>VC</t>
  </si>
  <si>
    <t>ILMS</t>
  </si>
  <si>
    <t xml:space="preserve">Camera </t>
  </si>
  <si>
    <t xml:space="preserve">Class Room Decoration </t>
  </si>
  <si>
    <t xml:space="preserve">Room renovation 
- Access control with attendance and integrated Camera System
- floor with pourcline
- standard classroom Lithinig 
- windows protection and glass                 - painting
-Gypsum for the projector aria </t>
  </si>
  <si>
    <t>smart class room</t>
  </si>
  <si>
    <r>
      <t xml:space="preserve"> YMCKO Color Ribbon Kit</t>
    </r>
    <r>
      <rPr>
        <b/>
        <sz val="12"/>
        <rFont val="Times New Roman"/>
        <family val="1"/>
      </rPr>
      <t xml:space="preserve"> </t>
    </r>
  </si>
  <si>
    <t xml:space="preserve">Time Attendance &amp; Access Control Standalone Device 
Firmware : T&amp;A Push SDK
3.5-inch TFT color screen
SilkID fingerprint reader with living object detecting function
Suggested Software:ZKBioSecurity/BioTime/ZKTime.Web
Cap: Fingerprint: 20,000 / 40,000(Optional) Cards: 20,000 
Transactions: 200,000
Full Access Control Features: Access control interface for 3rd party electric lock, door sensor, exit button, alarm and doorbell
Multiple Verification Modes: Fingerprint &amp; Card &amp; Password
Communication: TCP/IP, Wiegand Input / Output, SRB
Supported Card Module: EM/ Mifare / HID 
Standard Function: Work Code / WDMS, Attendance Auto Switch, DST / Bell Schedule, External Printer (Optional)
</t>
  </si>
  <si>
    <t>Time Attendance Module(web-based)</t>
  </si>
  <si>
    <t xml:space="preserve">Max Supported personnel:3000
Max Supported  departments:300
Max Areas:300
Supported Max Attendance Points: 25
</t>
  </si>
  <si>
    <t>Network 
 Video
 Recorder</t>
  </si>
  <si>
    <t xml:space="preserve">DS-2CD2T46G1-4I
</t>
  </si>
  <si>
    <t xml:space="preserve">Outdoor PTZ Dome Camera </t>
  </si>
  <si>
    <t xml:space="preserve">
DS-1602ZJ-box
</t>
  </si>
  <si>
    <t>Decoder, supports Output: 16*HDMI/8*BNC, Input: VGA/DVI/RJ45, odd HDMI support 3840*2160@30HZ, decoding 128-ch 1080P,36 division</t>
    <phoneticPr fontId="8" type="noConversion"/>
  </si>
  <si>
    <t>DS-DN55B3M/B</t>
    <phoneticPr fontId="8" type="noConversion"/>
  </si>
  <si>
    <t>Modular bracket, Pedestal part, available for DS-2055NL-B,DS-D2055NH-B, DS-D2055NH-B/G,DS-D2055NL-B/G,Hight: 800mm</t>
    <phoneticPr fontId="8" type="noConversion"/>
  </si>
  <si>
    <t>DS-DN55B3M/F</t>
    <phoneticPr fontId="8" type="noConversion"/>
  </si>
  <si>
    <t>Modular bracket, frame part, available for DS-D2055NH-B/G,DS-D2055NL-B/G</t>
    <phoneticPr fontId="8" type="noConversion"/>
  </si>
  <si>
    <t>HDMI cable</t>
    <phoneticPr fontId="8" type="noConversion"/>
  </si>
  <si>
    <t>HIKVISION HDMI CABLE-15m</t>
    <phoneticPr fontId="8" type="noConversion"/>
  </si>
  <si>
    <t xml:space="preserve">Wirelesscontrolert </t>
  </si>
  <si>
    <t xml:space="preserve">1M SC/SC fiber patch cord </t>
  </si>
  <si>
    <t xml:space="preserve">1M  SC/SC type fiber cable compatable for media converter </t>
  </si>
  <si>
    <t xml:space="preserve"> Programming with C#  or JAVA or PHP</t>
  </si>
  <si>
    <t xml:space="preserve"> Database Development (oracl 11g or SQL2016)</t>
  </si>
  <si>
    <t xml:space="preserve"> Large Venue Projector for event  (Qty=2)</t>
  </si>
  <si>
    <t>EB-G7900U</t>
  </si>
  <si>
    <t xml:space="preserve">Superior picture quality: 3LCD technology; superior white balance; better color matching
HD images with 4K enhancement: Exceptional sharpness, clarity and detail for the real 4K effect
Flexible 360⁰ installation: True flexibility without distortion or loss of brightness
Lens memory function: Stores projector settings such as image position, focus and zoom Portrait projection mode: Switch mode without having to change the lamp
7000 lumen, WUXGA projector
</t>
  </si>
  <si>
    <t>V12H803010</t>
  </si>
  <si>
    <t>Ceiling Mount - ELPMB48 High EB-G7000/L1000</t>
  </si>
  <si>
    <t xml:space="preserve">10G SFP </t>
  </si>
  <si>
    <t>box</t>
  </si>
  <si>
    <t>Outdoor fiber termination box</t>
  </si>
  <si>
    <t>Outdoor pol mounted Box</t>
  </si>
  <si>
    <t xml:space="preserve">DS-2DP0818ZIX-D/236
</t>
  </si>
  <si>
    <t xml:space="preserve">DS-1603ZJ-Pole-P
</t>
  </si>
  <si>
    <t xml:space="preserve">Four 1/1.8" progressive scan CMOS  Up to 4096×1800 resolution @30fps  Horizontal field of view: 180°, vertical field of view: 80°
  Min. illumination: Color: 0.005 Lux@(F2.0, AGC ON), B/W: 0.0005 Lux@(F2.0, AGC ON) </t>
  </si>
  <si>
    <t>Joystick and Camera Control Board</t>
  </si>
  <si>
    <t>Smart classroom renovation and design</t>
  </si>
  <si>
    <t xml:space="preserve">wall mount speakers </t>
  </si>
  <si>
    <t>DKU-Wireless Solution- BE</t>
  </si>
  <si>
    <t>C9800-40-K9</t>
  </si>
  <si>
    <t>Cisco Catalyst 9800-40 Wireless Controller</t>
  </si>
  <si>
    <t>LIC-C9800-DTLS-K9</t>
  </si>
  <si>
    <t xml:space="preserve"> 
Cisco Catalyst 9800 Series Wireless Controller DTLS License</t>
  </si>
  <si>
    <t>SC980040K9-1610</t>
  </si>
  <si>
    <t xml:space="preserve"> 
Cisco Catalyst 9800-40 Wireless Controller</t>
  </si>
  <si>
    <t>C9115AXI-E</t>
  </si>
  <si>
    <t>Cisco Catalyst 9115AXI Access Point: Indoor environments, with internal antennas</t>
  </si>
  <si>
    <t xml:space="preserve">
DNA-A-3Y-C9115</t>
  </si>
  <si>
    <t xml:space="preserve">C9115AX CISCO DNA Advantage 3 Year Term Licenses </t>
  </si>
  <si>
    <t xml:space="preserve">HS Code </t>
  </si>
  <si>
    <t>Unit Price (ETB) Inclduing VAT</t>
  </si>
  <si>
    <t>Unit Price Including VAT</t>
  </si>
  <si>
    <t>Unit Price including VAT</t>
  </si>
  <si>
    <t>Unit Price inclduing VAT</t>
  </si>
  <si>
    <t>SR-D8-M</t>
  </si>
  <si>
    <t xml:space="preserve">HS code </t>
  </si>
  <si>
    <t xml:space="preserve">Unit Price Including VAT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</si>
</sst>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7" formatCode="&quot;$&quot;#,##0.00_);\(&quot;$&quot;#,##0.00\)"/>
    <numFmt numFmtId="44" formatCode="_(&quot;$&quot;* #,##0.00_);_(&quot;$&quot;* \(#,##0.00\);_(&quot;$&quot;* &quot;-&quot;??_);_(@_)"/>
    <numFmt numFmtId="43" formatCode="_(* #,##0.00_);_(* \(#,##0.00\);_(* &quot;-&quot;??_);_(@_)"/>
    <numFmt numFmtId="164" formatCode="&quot;$&quot;#,##0.00"/>
    <numFmt numFmtId="165" formatCode="&quot;$&quot;#,##0"/>
    <numFmt numFmtId="166" formatCode="_(* #,##0.00_);_(* \(#,##0.00\);_(* \-??_);_(@_)"/>
    <numFmt numFmtId="167" formatCode="_([$$-409]* #,##0.00_);_([$$-409]* \(#,##0.00\);_([$$-409]* \-??_);_(@_)"/>
  </numFmts>
  <fonts count="116">
    <font>
      <sz val="11"/>
      <color theme="1"/>
      <name val="Calibri"/>
      <family val="2"/>
      <scheme val="minor"/>
    </font>
    <font>
      <sz val="11"/>
      <color indexed="8"/>
      <name val="Calibri"/>
      <family val="2"/>
    </font>
    <font>
      <sz val="10"/>
      <name val="Arial"/>
      <family val="2"/>
    </font>
    <font>
      <sz val="11"/>
      <color indexed="8"/>
      <name val="Calibri"/>
      <family val="2"/>
    </font>
    <font>
      <sz val="10"/>
      <name val="Calibri"/>
      <family val="2"/>
    </font>
    <font>
      <sz val="11"/>
      <color indexed="8"/>
      <name val="Calibri"/>
      <family val="2"/>
    </font>
    <font>
      <sz val="10"/>
      <name val="Arial"/>
      <family val="2"/>
    </font>
    <font>
      <b/>
      <i/>
      <u/>
      <sz val="10"/>
      <name val="Arial"/>
      <family val="2"/>
    </font>
    <font>
      <sz val="12"/>
      <color indexed="8"/>
      <name val="Calibri"/>
      <family val="2"/>
    </font>
    <font>
      <b/>
      <sz val="12"/>
      <color indexed="8"/>
      <name val="Calibri"/>
      <family val="2"/>
    </font>
    <font>
      <sz val="12"/>
      <name val="Calibri"/>
      <family val="2"/>
    </font>
    <font>
      <b/>
      <sz val="11"/>
      <color indexed="8"/>
      <name val="Calibri"/>
      <family val="2"/>
    </font>
    <font>
      <sz val="8"/>
      <name val="Calibri"/>
      <family val="2"/>
    </font>
    <font>
      <sz val="11"/>
      <name val="Times New Roman"/>
      <family val="1"/>
    </font>
    <font>
      <b/>
      <sz val="11"/>
      <color indexed="8"/>
      <name val="Times New Roman"/>
      <family val="1"/>
    </font>
    <font>
      <sz val="12"/>
      <name val="Times New Roman"/>
      <family val="1"/>
    </font>
    <font>
      <sz val="12"/>
      <name val="Arial"/>
      <family val="2"/>
    </font>
    <font>
      <b/>
      <sz val="12"/>
      <name val="Times New Roman"/>
      <family val="1"/>
    </font>
    <font>
      <b/>
      <sz val="12"/>
      <color indexed="8"/>
      <name val="Times New Roman"/>
      <family val="1"/>
    </font>
    <font>
      <sz val="11"/>
      <color theme="1"/>
      <name val="Calibri"/>
      <family val="2"/>
      <scheme val="minor"/>
    </font>
    <font>
      <sz val="11"/>
      <color theme="0"/>
      <name val="Calibri"/>
      <family val="2"/>
      <scheme val="minor"/>
    </font>
    <font>
      <sz val="11"/>
      <color indexed="14"/>
      <name val="Calibri"/>
      <family val="2"/>
      <scheme val="minor"/>
    </font>
    <font>
      <b/>
      <sz val="11"/>
      <color rgb="FFFA7D00"/>
      <name val="Calibri"/>
      <family val="2"/>
      <scheme val="minor"/>
    </font>
    <font>
      <b/>
      <sz val="11"/>
      <color theme="0"/>
      <name val="Calibri"/>
      <family val="2"/>
      <scheme val="minor"/>
    </font>
    <font>
      <sz val="11"/>
      <color rgb="FF000000"/>
      <name val="Calibri"/>
      <family val="2"/>
    </font>
    <font>
      <i/>
      <sz val="11"/>
      <color rgb="FF7F7F7F"/>
      <name val="Calibri"/>
      <family val="2"/>
      <scheme val="minor"/>
    </font>
    <font>
      <sz val="11"/>
      <color rgb="FF006100"/>
      <name val="Calibri"/>
      <family val="2"/>
      <scheme val="minor"/>
    </font>
    <font>
      <b/>
      <sz val="15"/>
      <color theme="3"/>
      <name val="Calibri"/>
      <family val="2"/>
      <scheme val="minor"/>
    </font>
    <font>
      <b/>
      <sz val="15"/>
      <color indexed="62"/>
      <name val="Calibri"/>
      <family val="2"/>
      <scheme val="minor"/>
    </font>
    <font>
      <b/>
      <sz val="13"/>
      <color theme="3"/>
      <name val="Calibri"/>
      <family val="2"/>
      <scheme val="minor"/>
    </font>
    <font>
      <b/>
      <sz val="13"/>
      <color indexed="62"/>
      <name val="Calibri"/>
      <family val="2"/>
      <scheme val="minor"/>
    </font>
    <font>
      <b/>
      <sz val="11"/>
      <color theme="3"/>
      <name val="Calibri"/>
      <family val="2"/>
      <scheme val="minor"/>
    </font>
    <font>
      <b/>
      <sz val="11"/>
      <color indexed="62"/>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rgb="FF000000"/>
      <name val="Calibri"/>
      <family val="2"/>
      <scheme val="minor"/>
    </font>
    <font>
      <b/>
      <sz val="11"/>
      <color rgb="FF3F3F3F"/>
      <name val="Calibri"/>
      <family val="2"/>
      <scheme val="minor"/>
    </font>
    <font>
      <b/>
      <sz val="18"/>
      <color theme="3"/>
      <name val="Cambria"/>
      <family val="2"/>
      <scheme val="major"/>
    </font>
    <font>
      <b/>
      <sz val="18"/>
      <color indexed="62"/>
      <name val="Cambria"/>
      <family val="2"/>
      <scheme val="major"/>
    </font>
    <font>
      <b/>
      <sz val="11"/>
      <color theme="1"/>
      <name val="Calibri"/>
      <family val="2"/>
      <scheme val="minor"/>
    </font>
    <font>
      <sz val="11"/>
      <color rgb="FFFF0000"/>
      <name val="Calibri"/>
      <family val="2"/>
      <scheme val="minor"/>
    </font>
    <font>
      <sz val="11"/>
      <name val="Calibri"/>
      <family val="2"/>
      <scheme val="minor"/>
    </font>
    <font>
      <sz val="11"/>
      <color indexed="8"/>
      <name val="Calibri"/>
      <family val="2"/>
      <scheme val="minor"/>
    </font>
    <font>
      <sz val="12"/>
      <color theme="1"/>
      <name val="Times New Roman"/>
      <family val="1"/>
    </font>
    <font>
      <sz val="12"/>
      <name val="Calibri"/>
      <family val="2"/>
      <scheme val="minor"/>
    </font>
    <font>
      <sz val="12"/>
      <color theme="1"/>
      <name val="Calibri"/>
      <family val="2"/>
      <scheme val="minor"/>
    </font>
    <font>
      <sz val="12"/>
      <color theme="1"/>
      <name val="Arial"/>
      <family val="2"/>
    </font>
    <font>
      <sz val="12"/>
      <color rgb="FF000000"/>
      <name val="Arial"/>
      <family val="2"/>
    </font>
    <font>
      <sz val="14"/>
      <color theme="1"/>
      <name val="Times New Roman"/>
      <family val="1"/>
    </font>
    <font>
      <sz val="12"/>
      <name val="Calibri"/>
      <family val="2"/>
      <charset val="162"/>
      <scheme val="minor"/>
    </font>
    <font>
      <sz val="12"/>
      <color rgb="FF000000"/>
      <name val="Times New Roman"/>
      <family val="1"/>
    </font>
    <font>
      <sz val="11"/>
      <color rgb="FF000000"/>
      <name val="Calibri"/>
      <family val="2"/>
      <charset val="1"/>
    </font>
    <font>
      <b/>
      <sz val="12"/>
      <color theme="0"/>
      <name val="Calibri"/>
      <family val="2"/>
    </font>
    <font>
      <b/>
      <sz val="12"/>
      <color rgb="FF000000"/>
      <name val="Calibri"/>
      <family val="2"/>
      <scheme val="minor"/>
    </font>
    <font>
      <b/>
      <sz val="12"/>
      <color rgb="FF000000"/>
      <name val="Times New Roman"/>
      <family val="1"/>
    </font>
    <font>
      <b/>
      <sz val="12"/>
      <color theme="1"/>
      <name val="Times New Roman"/>
      <family val="1"/>
    </font>
    <font>
      <sz val="18"/>
      <color rgb="FF000000"/>
      <name val="Times New Roman"/>
      <family val="1"/>
    </font>
    <font>
      <sz val="18"/>
      <name val="Times New Roman"/>
      <family val="1"/>
    </font>
    <font>
      <b/>
      <sz val="14"/>
      <color rgb="FF000000"/>
      <name val="Times New Roman"/>
      <family val="1"/>
    </font>
    <font>
      <b/>
      <sz val="12"/>
      <color rgb="FFFFFFFF"/>
      <name val="Times New Roman"/>
      <family val="1"/>
    </font>
    <font>
      <sz val="11"/>
      <color rgb="FF000000"/>
      <name val="Times New Roman"/>
      <family val="1"/>
    </font>
    <font>
      <sz val="12"/>
      <color theme="1"/>
      <name val="Tahoma"/>
      <family val="2"/>
    </font>
    <font>
      <b/>
      <i/>
      <sz val="12"/>
      <color rgb="FFFFFFFF"/>
      <name val="Times New Roman"/>
      <family val="1"/>
    </font>
    <font>
      <sz val="12"/>
      <color indexed="8"/>
      <name val="Times New Roman"/>
      <family val="1"/>
    </font>
    <font>
      <b/>
      <sz val="16"/>
      <color theme="0"/>
      <name val="Calibri"/>
      <family val="2"/>
    </font>
    <font>
      <sz val="14"/>
      <name val="Times New Roman"/>
      <family val="1"/>
    </font>
    <font>
      <sz val="11"/>
      <name val="Arial"/>
      <family val="2"/>
    </font>
    <font>
      <sz val="11"/>
      <color rgb="FF000000"/>
      <name val="Arial"/>
      <family val="2"/>
    </font>
    <font>
      <sz val="11"/>
      <name val="Calibri"/>
      <family val="2"/>
    </font>
    <font>
      <sz val="10"/>
      <color theme="1"/>
      <name val="Calibri"/>
      <family val="2"/>
      <scheme val="minor"/>
    </font>
    <font>
      <sz val="10"/>
      <name val="Calibri"/>
      <family val="2"/>
      <scheme val="minor"/>
    </font>
    <font>
      <b/>
      <sz val="10"/>
      <color indexed="8"/>
      <name val="Calibri"/>
      <family val="2"/>
    </font>
    <font>
      <sz val="10"/>
      <color indexed="8"/>
      <name val="Calibri"/>
      <family val="2"/>
    </font>
    <font>
      <b/>
      <sz val="12"/>
      <color theme="1"/>
      <name val="Calibri"/>
      <family val="2"/>
      <scheme val="minor"/>
    </font>
    <font>
      <b/>
      <sz val="11"/>
      <color rgb="FF000000"/>
      <name val="Calibri"/>
      <family val="2"/>
    </font>
    <font>
      <b/>
      <sz val="14"/>
      <color theme="0"/>
      <name val="Calibri"/>
      <family val="2"/>
    </font>
    <font>
      <b/>
      <sz val="11"/>
      <name val="Calibri"/>
      <family val="2"/>
    </font>
    <font>
      <b/>
      <sz val="12"/>
      <color theme="0"/>
      <name val="Times New Roman"/>
      <family val="1"/>
    </font>
    <font>
      <b/>
      <sz val="20"/>
      <color theme="0"/>
      <name val="Calibri"/>
      <family val="2"/>
    </font>
    <font>
      <sz val="12"/>
      <color theme="1"/>
      <name val="Calibri (Body)_x0000_"/>
    </font>
    <font>
      <b/>
      <sz val="12"/>
      <color theme="0"/>
      <name val="Calibri (Body)_x0000_"/>
    </font>
    <font>
      <b/>
      <sz val="14"/>
      <color indexed="8"/>
      <name val="Calibri"/>
      <family val="2"/>
    </font>
    <font>
      <b/>
      <sz val="14"/>
      <color indexed="9"/>
      <name val="Calibri"/>
      <family val="2"/>
    </font>
    <font>
      <sz val="14"/>
      <color theme="1"/>
      <name val="Calibri (Body)_x0000_"/>
    </font>
    <font>
      <b/>
      <sz val="14"/>
      <color theme="0"/>
      <name val="Calibri (Body)_x0000_"/>
    </font>
    <font>
      <b/>
      <sz val="20"/>
      <color theme="0"/>
      <name val="Times New Roman"/>
      <family val="1"/>
    </font>
    <font>
      <b/>
      <sz val="14"/>
      <color theme="0"/>
      <name val="Times New Roman"/>
      <family val="1"/>
    </font>
    <font>
      <b/>
      <sz val="14"/>
      <color theme="0"/>
      <name val="Calibri"/>
      <family val="2"/>
      <scheme val="minor"/>
    </font>
    <font>
      <b/>
      <sz val="18"/>
      <color theme="0"/>
      <name val="Calibri"/>
      <family val="2"/>
    </font>
    <font>
      <sz val="10.5"/>
      <color theme="1"/>
      <name val="Calibri"/>
      <family val="2"/>
    </font>
    <font>
      <sz val="10.5"/>
      <color theme="1"/>
      <name val="宋体"/>
      <family val="3"/>
      <charset val="134"/>
    </font>
    <font>
      <sz val="14"/>
      <color rgb="FFFF0000"/>
      <name val="Times New Roman"/>
      <family val="1"/>
    </font>
    <font>
      <sz val="11"/>
      <color rgb="FFFF0000"/>
      <name val="Times New Roman"/>
      <family val="1"/>
    </font>
    <font>
      <b/>
      <sz val="12"/>
      <color rgb="FFFF0000"/>
      <name val="Times New Roman"/>
      <family val="1"/>
    </font>
    <font>
      <sz val="12"/>
      <color rgb="FFFF0000"/>
      <name val="Times New Roman"/>
      <family val="1"/>
    </font>
    <font>
      <b/>
      <sz val="11"/>
      <color rgb="FFFF0000"/>
      <name val="Calibri"/>
      <family val="2"/>
    </font>
    <font>
      <sz val="11"/>
      <color rgb="FFFF0000"/>
      <name val="Calibri"/>
      <family val="2"/>
    </font>
    <font>
      <sz val="11"/>
      <color theme="1"/>
      <name val="Calibri"/>
      <family val="2"/>
      <scheme val="minor"/>
    </font>
    <font>
      <sz val="10"/>
      <color indexed="8"/>
      <name val="Arial"/>
      <family val="2"/>
    </font>
    <font>
      <sz val="11"/>
      <name val="微软雅黑"/>
      <charset val="134"/>
    </font>
    <font>
      <b/>
      <sz val="11"/>
      <name val="微软雅黑"/>
      <charset val="134"/>
    </font>
    <font>
      <sz val="12"/>
      <name val="宋体"/>
      <charset val="134"/>
    </font>
    <font>
      <sz val="11"/>
      <color indexed="8"/>
      <name val="宋体"/>
      <charset val="134"/>
    </font>
    <font>
      <sz val="11"/>
      <name val="돋움"/>
      <charset val="134"/>
    </font>
    <font>
      <b/>
      <sz val="12"/>
      <color rgb="FFFF0000"/>
      <name val="Calibri"/>
      <family val="2"/>
    </font>
    <font>
      <sz val="12"/>
      <color rgb="FFFF0000"/>
      <name val="Calibri"/>
      <family val="2"/>
    </font>
    <font>
      <sz val="10"/>
      <color rgb="FF92D050"/>
      <name val="Calibri"/>
      <family val="2"/>
      <scheme val="minor"/>
    </font>
    <font>
      <sz val="11"/>
      <color theme="1"/>
      <name val="Arial"/>
      <family val="2"/>
    </font>
    <font>
      <sz val="11"/>
      <color rgb="FF92D050"/>
      <name val="Calibri"/>
      <family val="2"/>
      <scheme val="minor"/>
    </font>
    <font>
      <b/>
      <sz val="11"/>
      <color rgb="FF92D050"/>
      <name val="Calibri"/>
      <family val="2"/>
    </font>
    <font>
      <sz val="12"/>
      <color rgb="FF92D050"/>
      <name val="Times New Roman"/>
      <family val="1"/>
    </font>
    <font>
      <sz val="11"/>
      <color rgb="FF92D050"/>
      <name val="Calibri"/>
      <family val="2"/>
    </font>
    <font>
      <sz val="14"/>
      <color rgb="FF92D050"/>
      <name val="Times New Roman"/>
      <family val="1"/>
    </font>
    <font>
      <sz val="11"/>
      <color rgb="FF92D050"/>
      <name val="Times New Roman"/>
      <family val="1"/>
    </font>
    <font>
      <sz val="12"/>
      <color rgb="FFFF0000"/>
      <name val="Calibri"/>
      <family val="2"/>
      <scheme val="minor"/>
    </font>
  </fonts>
  <fills count="49">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31"/>
      </patternFill>
    </fill>
    <fill>
      <patternFill patternType="solid">
        <fgColor indexed="41"/>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19"/>
      </patternFill>
    </fill>
    <fill>
      <patternFill patternType="solid">
        <fgColor indexed="54"/>
      </patternFill>
    </fill>
    <fill>
      <patternFill patternType="solid">
        <fgColor indexed="22"/>
        <bgColor indexed="64"/>
      </patternFill>
    </fill>
    <fill>
      <patternFill patternType="solid">
        <fgColor indexed="9"/>
        <bgColor indexed="64"/>
      </patternFill>
    </fill>
    <fill>
      <patternFill patternType="solid">
        <fgColor indexed="9"/>
        <bgColor indexed="8"/>
      </patternFill>
    </fill>
    <fill>
      <patternFill patternType="solid">
        <fgColor theme="9"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7"/>
      </patternFill>
    </fill>
    <fill>
      <patternFill patternType="solid">
        <fgColor theme="8"/>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theme="0"/>
        <bgColor indexed="64"/>
      </patternFill>
    </fill>
    <fill>
      <patternFill patternType="solid">
        <fgColor rgb="FFFFFFFF"/>
        <bgColor indexed="8"/>
      </patternFill>
    </fill>
    <fill>
      <patternFill patternType="solid">
        <fgColor theme="0" tint="-0.249977111117893"/>
        <bgColor indexed="64"/>
      </patternFill>
    </fill>
    <fill>
      <patternFill patternType="solid">
        <fgColor theme="3" tint="0.39997558519241921"/>
        <bgColor indexed="64"/>
      </patternFill>
    </fill>
    <fill>
      <patternFill patternType="solid">
        <fgColor theme="0"/>
        <bgColor indexed="73"/>
      </patternFill>
    </fill>
    <fill>
      <patternFill patternType="solid">
        <fgColor theme="0"/>
        <bgColor rgb="FF000000"/>
      </patternFill>
    </fill>
    <fill>
      <patternFill patternType="solid">
        <fgColor rgb="FFC0C0C0"/>
        <bgColor rgb="FF000000"/>
      </patternFill>
    </fill>
    <fill>
      <patternFill patternType="solid">
        <fgColor rgb="FFFFFFFF"/>
        <bgColor rgb="FF000000"/>
      </patternFill>
    </fill>
    <fill>
      <patternFill patternType="solid">
        <fgColor rgb="FF948A54"/>
        <bgColor rgb="FF000000"/>
      </patternFill>
    </fill>
    <fill>
      <patternFill patternType="solid">
        <fgColor rgb="FFFFFFFF"/>
        <bgColor rgb="FFFFFFCC"/>
      </patternFill>
    </fill>
    <fill>
      <patternFill patternType="solid">
        <fgColor theme="0"/>
        <bgColor indexed="8"/>
      </patternFill>
    </fill>
    <fill>
      <patternFill patternType="solid">
        <fgColor theme="3" tint="-0.499984740745262"/>
        <bgColor indexed="64"/>
      </patternFill>
    </fill>
    <fill>
      <patternFill patternType="solid">
        <fgColor theme="3" tint="-0.499984740745262"/>
        <bgColor rgb="FF000000"/>
      </patternFill>
    </fill>
    <fill>
      <patternFill patternType="solid">
        <fgColor rgb="FFFF0000"/>
        <bgColor indexed="64"/>
      </patternFill>
    </fill>
    <fill>
      <patternFill patternType="solid">
        <fgColor rgb="FFFFFFFF"/>
        <bgColor indexed="64"/>
      </patternFill>
    </fill>
    <fill>
      <patternFill patternType="solid">
        <fgColor rgb="FFFF0000"/>
        <bgColor indexed="8"/>
      </patternFill>
    </fill>
    <fill>
      <patternFill patternType="solid">
        <fgColor rgb="FFFF0000"/>
        <bgColor indexed="73"/>
      </patternFill>
    </fill>
  </fills>
  <borders count="47">
    <border>
      <left/>
      <right/>
      <top/>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bottom/>
      <diagonal/>
    </border>
    <border>
      <left style="thick">
        <color indexed="64"/>
      </left>
      <right/>
      <top style="thick">
        <color indexed="64"/>
      </top>
      <bottom/>
      <diagonal/>
    </border>
    <border>
      <left/>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right style="thick">
        <color indexed="64"/>
      </right>
      <top/>
      <bottom style="thick">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indexed="64"/>
      </bottom>
      <diagonal/>
    </border>
    <border>
      <left/>
      <right style="medium">
        <color indexed="64"/>
      </right>
      <top/>
      <bottom style="medium">
        <color indexed="64"/>
      </bottom>
      <diagonal/>
    </border>
  </borders>
  <cellStyleXfs count="97">
    <xf numFmtId="0" fontId="0" fillId="0" borderId="0"/>
    <xf numFmtId="0" fontId="2" fillId="0" borderId="0"/>
    <xf numFmtId="0" fontId="19" fillId="2" borderId="0" applyNumberFormat="0" applyBorder="0" applyAlignment="0" applyProtection="0"/>
    <xf numFmtId="0" fontId="19" fillId="3" borderId="0" applyNumberFormat="0" applyBorder="0" applyAlignment="0" applyProtection="0"/>
    <xf numFmtId="0" fontId="19" fillId="5" borderId="0" applyNumberFormat="0" applyBorder="0" applyAlignment="0" applyProtection="0"/>
    <xf numFmtId="0" fontId="19" fillId="2" borderId="0" applyNumberFormat="0" applyBorder="0" applyAlignment="0" applyProtection="0"/>
    <xf numFmtId="0" fontId="19" fillId="6"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7" borderId="0" applyNumberFormat="0" applyBorder="0" applyAlignment="0" applyProtection="0"/>
    <xf numFmtId="0" fontId="19" fillId="3" borderId="0" applyNumberFormat="0" applyBorder="0" applyAlignment="0" applyProtection="0"/>
    <xf numFmtId="0" fontId="19" fillId="5" borderId="0" applyNumberFormat="0" applyBorder="0" applyAlignment="0" applyProtection="0"/>
    <xf numFmtId="0" fontId="19" fillId="18" borderId="0" applyNumberFormat="0" applyBorder="0" applyAlignment="0" applyProtection="0"/>
    <xf numFmtId="0" fontId="19" fillId="7"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3" borderId="0" applyNumberFormat="0" applyBorder="0" applyAlignment="0" applyProtection="0"/>
    <xf numFmtId="0" fontId="20" fillId="21" borderId="0" applyNumberFormat="0" applyBorder="0" applyAlignment="0" applyProtection="0"/>
    <xf numFmtId="0" fontId="20" fillId="10" borderId="0" applyNumberFormat="0" applyBorder="0" applyAlignment="0" applyProtection="0"/>
    <xf numFmtId="0" fontId="20" fillId="22" borderId="0" applyNumberFormat="0" applyBorder="0" applyAlignment="0" applyProtection="0"/>
    <xf numFmtId="0" fontId="20" fillId="5" borderId="0" applyNumberFormat="0" applyBorder="0" applyAlignment="0" applyProtection="0"/>
    <xf numFmtId="0" fontId="20" fillId="7" borderId="0" applyNumberFormat="0" applyBorder="0" applyAlignment="0" applyProtection="0"/>
    <xf numFmtId="0" fontId="20" fillId="23" borderId="0" applyNumberFormat="0" applyBorder="0" applyAlignment="0" applyProtection="0"/>
    <xf numFmtId="0" fontId="20" fillId="3" borderId="0" applyNumberFormat="0" applyBorder="0" applyAlignment="0" applyProtection="0"/>
    <xf numFmtId="0" fontId="20" fillId="24"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5" borderId="0" applyNumberFormat="0" applyBorder="0" applyAlignment="0" applyProtection="0"/>
    <xf numFmtId="0" fontId="20" fillId="25" borderId="0" applyNumberFormat="0" applyBorder="0" applyAlignment="0" applyProtection="0"/>
    <xf numFmtId="0" fontId="20" fillId="12" borderId="0" applyNumberFormat="0" applyBorder="0" applyAlignment="0" applyProtection="0"/>
    <xf numFmtId="0" fontId="20" fillId="26" borderId="0" applyNumberFormat="0" applyBorder="0" applyAlignment="0" applyProtection="0"/>
    <xf numFmtId="0" fontId="20" fillId="8" borderId="0" applyNumberFormat="0" applyBorder="0" applyAlignment="0" applyProtection="0"/>
    <xf numFmtId="0" fontId="21" fillId="27" borderId="0" applyNumberFormat="0" applyBorder="0" applyAlignment="0" applyProtection="0"/>
    <xf numFmtId="0" fontId="22" fillId="28" borderId="20" applyNumberFormat="0" applyAlignment="0" applyProtection="0"/>
    <xf numFmtId="0" fontId="22" fillId="2" borderId="20" applyNumberFormat="0" applyAlignment="0" applyProtection="0"/>
    <xf numFmtId="0" fontId="23" fillId="29" borderId="21" applyNumberFormat="0" applyAlignment="0" applyProtection="0"/>
    <xf numFmtId="0" fontId="4" fillId="0" borderId="0" applyNumberForma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5" fillId="0" borderId="0" applyFont="0" applyFill="0" applyBorder="0" applyAlignment="0" applyProtection="0"/>
    <xf numFmtId="44" fontId="1" fillId="0" borderId="0" applyFont="0" applyFill="0" applyBorder="0" applyAlignment="0" applyProtection="0"/>
    <xf numFmtId="44" fontId="24" fillId="0" borderId="0" applyFont="0" applyFill="0" applyBorder="0" applyAlignment="0" applyProtection="0"/>
    <xf numFmtId="44" fontId="2" fillId="0" borderId="0" applyFont="0" applyFill="0" applyBorder="0" applyAlignment="0" applyProtection="0"/>
    <xf numFmtId="0" fontId="25" fillId="0" borderId="0" applyNumberFormat="0" applyFill="0" applyBorder="0" applyAlignment="0" applyProtection="0"/>
    <xf numFmtId="0" fontId="26" fillId="30" borderId="0" applyNumberFormat="0" applyBorder="0" applyAlignment="0" applyProtection="0"/>
    <xf numFmtId="0" fontId="27" fillId="0" borderId="22" applyNumberFormat="0" applyFill="0" applyAlignment="0" applyProtection="0"/>
    <xf numFmtId="0" fontId="28" fillId="0" borderId="1" applyNumberFormat="0" applyFill="0" applyAlignment="0" applyProtection="0"/>
    <xf numFmtId="0" fontId="29" fillId="0" borderId="23" applyNumberFormat="0" applyFill="0" applyAlignment="0" applyProtection="0"/>
    <xf numFmtId="0" fontId="30" fillId="0" borderId="23" applyNumberFormat="0" applyFill="0" applyAlignment="0" applyProtection="0"/>
    <xf numFmtId="0" fontId="31" fillId="0" borderId="24" applyNumberFormat="0" applyFill="0" applyAlignment="0" applyProtection="0"/>
    <xf numFmtId="0" fontId="32" fillId="0" borderId="2" applyNumberFormat="0" applyFill="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31" borderId="20" applyNumberFormat="0" applyAlignment="0" applyProtection="0"/>
    <xf numFmtId="0" fontId="2" fillId="0" borderId="0"/>
    <xf numFmtId="0" fontId="34" fillId="0" borderId="25" applyNumberFormat="0" applyFill="0" applyAlignment="0" applyProtection="0"/>
    <xf numFmtId="0" fontId="35" fillId="4" borderId="0" applyNumberFormat="0" applyBorder="0" applyAlignment="0" applyProtection="0"/>
    <xf numFmtId="0" fontId="36" fillId="0" borderId="0"/>
    <xf numFmtId="0" fontId="36" fillId="0" borderId="0"/>
    <xf numFmtId="0" fontId="2" fillId="0" borderId="0"/>
    <xf numFmtId="0" fontId="19" fillId="0" borderId="0"/>
    <xf numFmtId="0" fontId="19" fillId="0" borderId="0"/>
    <xf numFmtId="0" fontId="6" fillId="0" borderId="0"/>
    <xf numFmtId="0" fontId="2" fillId="0" borderId="0"/>
    <xf numFmtId="0" fontId="24" fillId="0" borderId="0"/>
    <xf numFmtId="0" fontId="1" fillId="9" borderId="26" applyNumberFormat="0" applyFont="0" applyAlignment="0" applyProtection="0"/>
    <xf numFmtId="0" fontId="37" fillId="28" borderId="27" applyNumberFormat="0" applyAlignment="0" applyProtection="0"/>
    <xf numFmtId="0" fontId="37" fillId="2" borderId="27" applyNumberFormat="0" applyAlignment="0" applyProtection="0"/>
    <xf numFmtId="9" fontId="1" fillId="0" borderId="0" applyFont="0" applyFill="0" applyBorder="0" applyAlignment="0" applyProtection="0"/>
    <xf numFmtId="9" fontId="19" fillId="0" borderId="0" applyFont="0" applyFill="0" applyBorder="0" applyAlignment="0" applyProtection="0"/>
    <xf numFmtId="0" fontId="7" fillId="0" borderId="0" applyNumberFormat="0" applyFill="0" applyBorder="0" applyProtection="0">
      <alignment vertical="top"/>
    </xf>
    <xf numFmtId="0" fontId="38" fillId="0" borderId="0" applyNumberFormat="0" applyFill="0" applyBorder="0" applyAlignment="0" applyProtection="0"/>
    <xf numFmtId="0" fontId="39" fillId="0" borderId="0" applyNumberFormat="0" applyFill="0" applyBorder="0" applyAlignment="0" applyProtection="0"/>
    <xf numFmtId="0" fontId="40" fillId="0" borderId="28" applyNumberFormat="0" applyFill="0" applyAlignment="0" applyProtection="0"/>
    <xf numFmtId="0" fontId="40" fillId="0" borderId="3" applyNumberFormat="0" applyFill="0" applyAlignment="0" applyProtection="0"/>
    <xf numFmtId="0" fontId="41" fillId="0" borderId="0" applyNumberFormat="0" applyFill="0" applyBorder="0" applyAlignment="0" applyProtection="0"/>
    <xf numFmtId="0" fontId="52" fillId="0" borderId="0"/>
    <xf numFmtId="0" fontId="52" fillId="0" borderId="0"/>
    <xf numFmtId="44" fontId="19" fillId="0" borderId="0" applyFont="0" applyFill="0" applyBorder="0" applyAlignment="0" applyProtection="0"/>
    <xf numFmtId="0" fontId="19" fillId="0" borderId="0"/>
    <xf numFmtId="0" fontId="98" fillId="0" borderId="0"/>
    <xf numFmtId="0" fontId="19" fillId="0" borderId="0">
      <alignment vertical="center"/>
    </xf>
    <xf numFmtId="0" fontId="103" fillId="0" borderId="0">
      <alignment vertical="center"/>
    </xf>
    <xf numFmtId="0" fontId="104" fillId="0" borderId="0"/>
    <xf numFmtId="0" fontId="19" fillId="0" borderId="0"/>
    <xf numFmtId="0" fontId="102" fillId="0" borderId="0"/>
    <xf numFmtId="0" fontId="102" fillId="0" borderId="0"/>
    <xf numFmtId="0" fontId="19" fillId="0" borderId="0"/>
    <xf numFmtId="0" fontId="102" fillId="0" borderId="0"/>
    <xf numFmtId="0" fontId="19" fillId="0" borderId="0"/>
    <xf numFmtId="0" fontId="19" fillId="0" borderId="0"/>
    <xf numFmtId="0" fontId="19" fillId="0" borderId="0"/>
    <xf numFmtId="0" fontId="19" fillId="0" borderId="0"/>
    <xf numFmtId="0" fontId="103" fillId="0" borderId="0">
      <alignment vertical="center"/>
    </xf>
  </cellStyleXfs>
  <cellXfs count="554">
    <xf numFmtId="0" fontId="0" fillId="0" borderId="0" xfId="0"/>
    <xf numFmtId="0" fontId="40" fillId="0" borderId="0" xfId="0" applyFont="1"/>
    <xf numFmtId="0" fontId="9" fillId="0" borderId="4" xfId="0" applyFont="1" applyFill="1" applyBorder="1" applyAlignment="1">
      <alignment horizontal="center"/>
    </xf>
    <xf numFmtId="0" fontId="1" fillId="0" borderId="5" xfId="0" applyFont="1" applyBorder="1"/>
    <xf numFmtId="0" fontId="9" fillId="13" borderId="6" xfId="0" applyFont="1" applyFill="1" applyBorder="1"/>
    <xf numFmtId="0" fontId="9" fillId="13" borderId="7" xfId="0" applyFont="1" applyFill="1" applyBorder="1"/>
    <xf numFmtId="4" fontId="0" fillId="0" borderId="0" xfId="0" applyNumberFormat="1"/>
    <xf numFmtId="4" fontId="9" fillId="13" borderId="8" xfId="0" applyNumberFormat="1" applyFont="1" applyFill="1" applyBorder="1" applyAlignment="1">
      <alignment horizontal="right"/>
    </xf>
    <xf numFmtId="4" fontId="10" fillId="0" borderId="9" xfId="0" applyNumberFormat="1" applyFont="1" applyFill="1" applyBorder="1"/>
    <xf numFmtId="164" fontId="0" fillId="0" borderId="0" xfId="0" applyNumberFormat="1"/>
    <xf numFmtId="0" fontId="0" fillId="0" borderId="0" xfId="0" applyFont="1"/>
    <xf numFmtId="0" fontId="11" fillId="32" borderId="4" xfId="0" applyFont="1" applyFill="1" applyBorder="1" applyAlignment="1">
      <alignment horizontal="center"/>
    </xf>
    <xf numFmtId="9" fontId="1" fillId="15" borderId="5" xfId="0" applyNumberFormat="1" applyFont="1" applyFill="1" applyBorder="1" applyAlignment="1">
      <alignment horizontal="right" wrapText="1"/>
    </xf>
    <xf numFmtId="43" fontId="1" fillId="15" borderId="5" xfId="38" applyFont="1" applyFill="1" applyBorder="1" applyAlignment="1">
      <alignment horizontal="left" wrapText="1"/>
    </xf>
    <xf numFmtId="43" fontId="1" fillId="15" borderId="9" xfId="38" applyFont="1" applyFill="1" applyBorder="1" applyAlignment="1">
      <alignment horizontal="left" wrapText="1"/>
    </xf>
    <xf numFmtId="0" fontId="8" fillId="0" borderId="0" xfId="0" applyFont="1"/>
    <xf numFmtId="0" fontId="8" fillId="0" borderId="0" xfId="0" applyFont="1" applyAlignment="1">
      <alignment horizontal="left"/>
    </xf>
    <xf numFmtId="9" fontId="0" fillId="0" borderId="0" xfId="0" applyNumberFormat="1"/>
    <xf numFmtId="0" fontId="0" fillId="0" borderId="0" xfId="0" applyAlignment="1">
      <alignment horizontal="center"/>
    </xf>
    <xf numFmtId="0" fontId="8" fillId="0" borderId="0" xfId="0" applyFont="1" applyAlignment="1">
      <alignment horizontal="center"/>
    </xf>
    <xf numFmtId="9" fontId="1" fillId="15" borderId="5" xfId="0" applyNumberFormat="1" applyFont="1" applyFill="1" applyBorder="1" applyAlignment="1">
      <alignment horizontal="center" wrapText="1"/>
    </xf>
    <xf numFmtId="164" fontId="1" fillId="33" borderId="5" xfId="40" applyNumberFormat="1" applyFont="1" applyFill="1" applyBorder="1" applyAlignment="1">
      <alignment horizontal="right" wrapText="1"/>
    </xf>
    <xf numFmtId="0" fontId="11" fillId="13" borderId="13" xfId="0" applyFont="1" applyFill="1" applyBorder="1" applyAlignment="1">
      <alignment horizontal="center"/>
    </xf>
    <xf numFmtId="0" fontId="11" fillId="13" borderId="14" xfId="0" applyFont="1" applyFill="1" applyBorder="1" applyAlignment="1">
      <alignment horizontal="left" wrapText="1"/>
    </xf>
    <xf numFmtId="0" fontId="11" fillId="13" borderId="14" xfId="0" applyFont="1" applyFill="1" applyBorder="1"/>
    <xf numFmtId="0" fontId="11" fillId="13" borderId="14" xfId="0" applyFont="1" applyFill="1" applyBorder="1" applyAlignment="1">
      <alignment horizontal="center"/>
    </xf>
    <xf numFmtId="164" fontId="11" fillId="13" borderId="14" xfId="0" applyNumberFormat="1" applyFont="1" applyFill="1" applyBorder="1" applyAlignment="1">
      <alignment horizontal="right" wrapText="1"/>
    </xf>
    <xf numFmtId="10" fontId="11" fillId="13" borderId="14" xfId="0" applyNumberFormat="1" applyFont="1" applyFill="1" applyBorder="1" applyAlignment="1">
      <alignment horizontal="center"/>
    </xf>
    <xf numFmtId="164" fontId="11" fillId="13" borderId="14" xfId="0" applyNumberFormat="1" applyFont="1" applyFill="1" applyBorder="1" applyAlignment="1">
      <alignment horizontal="center" wrapText="1"/>
    </xf>
    <xf numFmtId="164" fontId="11" fillId="13" borderId="14" xfId="0" applyNumberFormat="1" applyFont="1" applyFill="1" applyBorder="1" applyAlignment="1">
      <alignment horizontal="right"/>
    </xf>
    <xf numFmtId="164" fontId="11" fillId="13" borderId="15" xfId="0" applyNumberFormat="1" applyFont="1" applyFill="1" applyBorder="1" applyAlignment="1">
      <alignment horizontal="right"/>
    </xf>
    <xf numFmtId="0" fontId="11" fillId="0" borderId="4" xfId="0" applyFont="1" applyBorder="1" applyAlignment="1">
      <alignment horizontal="center"/>
    </xf>
    <xf numFmtId="0" fontId="11" fillId="34" borderId="13" xfId="0" applyFont="1" applyFill="1" applyBorder="1" applyAlignment="1">
      <alignment horizontal="center"/>
    </xf>
    <xf numFmtId="0" fontId="11" fillId="34" borderId="14" xfId="0" applyFont="1" applyFill="1" applyBorder="1" applyAlignment="1">
      <alignment horizontal="left"/>
    </xf>
    <xf numFmtId="0" fontId="11" fillId="13" borderId="14" xfId="0" applyFont="1" applyFill="1" applyBorder="1" applyAlignment="1">
      <alignment horizontal="center" vertical="top"/>
    </xf>
    <xf numFmtId="4" fontId="11" fillId="13" borderId="14" xfId="0" applyNumberFormat="1" applyFont="1" applyFill="1" applyBorder="1" applyAlignment="1">
      <alignment horizontal="left" vertical="top"/>
    </xf>
    <xf numFmtId="4" fontId="11" fillId="34" borderId="15" xfId="0" applyNumberFormat="1" applyFont="1" applyFill="1" applyBorder="1" applyAlignment="1">
      <alignment horizontal="right"/>
    </xf>
    <xf numFmtId="43" fontId="1" fillId="15" borderId="5" xfId="0" applyNumberFormat="1" applyFont="1" applyFill="1" applyBorder="1" applyAlignment="1">
      <alignment horizontal="left" vertical="top" wrapText="1"/>
    </xf>
    <xf numFmtId="0" fontId="42" fillId="0" borderId="5" xfId="0" applyFont="1" applyBorder="1" applyAlignment="1">
      <alignment horizontal="center" vertical="top"/>
    </xf>
    <xf numFmtId="43" fontId="19" fillId="0" borderId="5" xfId="37" applyFont="1" applyBorder="1"/>
    <xf numFmtId="4" fontId="43" fillId="14" borderId="9" xfId="0" applyNumberFormat="1" applyFont="1" applyFill="1" applyBorder="1" applyAlignment="1">
      <alignment horizontal="right"/>
    </xf>
    <xf numFmtId="0" fontId="0" fillId="35" borderId="0" xfId="0" applyFont="1" applyFill="1"/>
    <xf numFmtId="0" fontId="0" fillId="32" borderId="0" xfId="0" applyFont="1" applyFill="1"/>
    <xf numFmtId="0" fontId="13" fillId="32" borderId="5" xfId="67" applyFont="1" applyFill="1" applyBorder="1" applyAlignment="1">
      <alignment horizontal="center" vertical="center" wrapText="1"/>
    </xf>
    <xf numFmtId="0" fontId="13" fillId="32" borderId="5" xfId="67" applyFont="1" applyFill="1" applyBorder="1" applyAlignment="1">
      <alignment horizontal="center" wrapText="1"/>
    </xf>
    <xf numFmtId="0" fontId="14" fillId="13" borderId="5" xfId="67" applyFont="1" applyFill="1" applyBorder="1" applyAlignment="1">
      <alignment horizontal="center"/>
    </xf>
    <xf numFmtId="0" fontId="16" fillId="0" borderId="5" xfId="0" applyFont="1" applyFill="1" applyBorder="1" applyAlignment="1">
      <alignment wrapText="1"/>
    </xf>
    <xf numFmtId="0" fontId="15" fillId="32" borderId="5" xfId="67" applyFont="1" applyFill="1" applyBorder="1" applyAlignment="1">
      <alignment wrapText="1"/>
    </xf>
    <xf numFmtId="4" fontId="16" fillId="0" borderId="5" xfId="0" applyNumberFormat="1" applyFont="1" applyFill="1" applyBorder="1"/>
    <xf numFmtId="0" fontId="45" fillId="32" borderId="5" xfId="0" applyFont="1" applyFill="1" applyBorder="1"/>
    <xf numFmtId="0" fontId="47" fillId="32" borderId="5" xfId="0" applyFont="1" applyFill="1" applyBorder="1" applyAlignment="1">
      <alignment wrapText="1"/>
    </xf>
    <xf numFmtId="165" fontId="15" fillId="32" borderId="5" xfId="67" applyNumberFormat="1" applyFont="1" applyFill="1" applyBorder="1" applyAlignment="1">
      <alignment horizontal="right" wrapText="1"/>
    </xf>
    <xf numFmtId="0" fontId="48" fillId="37" borderId="5" xfId="0" applyFont="1" applyFill="1" applyBorder="1" applyAlignment="1">
      <alignment wrapText="1"/>
    </xf>
    <xf numFmtId="164" fontId="1" fillId="15" borderId="5" xfId="38" applyNumberFormat="1" applyFont="1" applyFill="1" applyBorder="1" applyAlignment="1">
      <alignment horizontal="left" wrapText="1"/>
    </xf>
    <xf numFmtId="0" fontId="0" fillId="32" borderId="0" xfId="0" applyFill="1"/>
    <xf numFmtId="0" fontId="49" fillId="32" borderId="5" xfId="0" applyNumberFormat="1" applyFont="1" applyFill="1" applyBorder="1" applyAlignment="1">
      <alignment horizontal="left" vertical="center" wrapText="1"/>
    </xf>
    <xf numFmtId="0" fontId="49" fillId="0" borderId="5" xfId="0" applyNumberFormat="1" applyFont="1" applyBorder="1" applyAlignment="1">
      <alignment horizontal="left" wrapText="1"/>
    </xf>
    <xf numFmtId="0" fontId="18" fillId="13" borderId="5" xfId="67" applyFont="1" applyFill="1" applyBorder="1" applyAlignment="1">
      <alignment horizontal="center"/>
    </xf>
    <xf numFmtId="0" fontId="15" fillId="32" borderId="5" xfId="67" applyFont="1" applyFill="1" applyBorder="1" applyAlignment="1">
      <alignment horizontal="center" vertical="center" wrapText="1"/>
    </xf>
    <xf numFmtId="0" fontId="15" fillId="32" borderId="5" xfId="67" applyFont="1" applyFill="1" applyBorder="1" applyAlignment="1">
      <alignment horizontal="center" wrapText="1"/>
    </xf>
    <xf numFmtId="164" fontId="8" fillId="33" borderId="5" xfId="40" applyNumberFormat="1" applyFont="1" applyFill="1" applyBorder="1" applyAlignment="1">
      <alignment horizontal="right" wrapText="1"/>
    </xf>
    <xf numFmtId="9" fontId="8" fillId="15" borderId="5" xfId="0" applyNumberFormat="1" applyFont="1" applyFill="1" applyBorder="1" applyAlignment="1">
      <alignment horizontal="center" wrapText="1"/>
    </xf>
    <xf numFmtId="9" fontId="8" fillId="15" borderId="5" xfId="0" applyNumberFormat="1" applyFont="1" applyFill="1" applyBorder="1" applyAlignment="1">
      <alignment horizontal="right" wrapText="1"/>
    </xf>
    <xf numFmtId="43" fontId="8" fillId="15" borderId="5" xfId="38" applyFont="1" applyFill="1" applyBorder="1" applyAlignment="1">
      <alignment horizontal="left" wrapText="1"/>
    </xf>
    <xf numFmtId="0" fontId="50" fillId="32" borderId="5" xfId="0" applyFont="1" applyFill="1" applyBorder="1" applyAlignment="1">
      <alignment horizontal="left" vertical="center" wrapText="1"/>
    </xf>
    <xf numFmtId="43" fontId="15" fillId="32" borderId="5" xfId="39" applyFont="1" applyFill="1" applyBorder="1" applyAlignment="1">
      <alignment horizontal="center" wrapText="1"/>
    </xf>
    <xf numFmtId="164" fontId="8" fillId="15" borderId="5" xfId="38" applyNumberFormat="1" applyFont="1" applyFill="1" applyBorder="1" applyAlignment="1">
      <alignment horizontal="left" wrapText="1"/>
    </xf>
    <xf numFmtId="7" fontId="45" fillId="36" borderId="5" xfId="0" applyNumberFormat="1" applyFont="1" applyFill="1" applyBorder="1" applyAlignment="1">
      <alignment horizontal="right"/>
    </xf>
    <xf numFmtId="0" fontId="16" fillId="32" borderId="5" xfId="0" applyFont="1" applyFill="1" applyBorder="1" applyAlignment="1">
      <alignment vertical="top" wrapText="1"/>
    </xf>
    <xf numFmtId="0" fontId="9" fillId="13" borderId="5" xfId="0" applyFont="1" applyFill="1" applyBorder="1" applyAlignment="1">
      <alignment horizontal="center"/>
    </xf>
    <xf numFmtId="0" fontId="9" fillId="13" borderId="5" xfId="0" applyFont="1" applyFill="1" applyBorder="1" applyAlignment="1">
      <alignment horizontal="left" wrapText="1"/>
    </xf>
    <xf numFmtId="0" fontId="9" fillId="13" borderId="5" xfId="0" applyFont="1" applyFill="1" applyBorder="1"/>
    <xf numFmtId="164" fontId="9" fillId="13" borderId="5" xfId="0" applyNumberFormat="1" applyFont="1" applyFill="1" applyBorder="1" applyAlignment="1">
      <alignment horizontal="right" wrapText="1"/>
    </xf>
    <xf numFmtId="10" fontId="9" fillId="13" borderId="5" xfId="0" applyNumberFormat="1" applyFont="1" applyFill="1" applyBorder="1" applyAlignment="1">
      <alignment horizontal="center"/>
    </xf>
    <xf numFmtId="164" fontId="9" fillId="13" borderId="5" xfId="0" applyNumberFormat="1" applyFont="1" applyFill="1" applyBorder="1" applyAlignment="1">
      <alignment horizontal="center" wrapText="1"/>
    </xf>
    <xf numFmtId="164" fontId="9" fillId="13" borderId="5" xfId="0" applyNumberFormat="1" applyFont="1" applyFill="1" applyBorder="1" applyAlignment="1">
      <alignment horizontal="right"/>
    </xf>
    <xf numFmtId="0" fontId="9" fillId="32" borderId="5" xfId="0" applyFont="1" applyFill="1" applyBorder="1" applyAlignment="1">
      <alignment horizontal="center"/>
    </xf>
    <xf numFmtId="0" fontId="54" fillId="0" borderId="5" xfId="0" applyFont="1" applyBorder="1" applyAlignment="1">
      <alignment vertical="center" wrapText="1"/>
    </xf>
    <xf numFmtId="0" fontId="46" fillId="0" borderId="5" xfId="0" applyFont="1" applyBorder="1" applyAlignment="1">
      <alignment wrapText="1"/>
    </xf>
    <xf numFmtId="0" fontId="16" fillId="0" borderId="5" xfId="0" applyFont="1" applyBorder="1" applyAlignment="1">
      <alignment vertical="center" wrapText="1"/>
    </xf>
    <xf numFmtId="0" fontId="59" fillId="38" borderId="4" xfId="0" applyFont="1" applyFill="1" applyBorder="1" applyAlignment="1">
      <alignment horizontal="center"/>
    </xf>
    <xf numFmtId="0" fontId="59" fillId="38" borderId="5" xfId="0" applyFont="1" applyFill="1" applyBorder="1" applyAlignment="1"/>
    <xf numFmtId="0" fontId="59" fillId="38" borderId="5" xfId="0" applyFont="1" applyFill="1" applyBorder="1" applyAlignment="1">
      <alignment horizontal="center" wrapText="1"/>
    </xf>
    <xf numFmtId="0" fontId="59" fillId="38" borderId="5" xfId="0" applyFont="1" applyFill="1" applyBorder="1" applyAlignment="1">
      <alignment horizontal="right" wrapText="1"/>
    </xf>
    <xf numFmtId="0" fontId="59" fillId="38" borderId="9" xfId="0" applyFont="1" applyFill="1" applyBorder="1" applyAlignment="1">
      <alignment horizontal="right" wrapText="1"/>
    </xf>
    <xf numFmtId="0" fontId="55" fillId="0" borderId="4" xfId="0" applyFont="1" applyFill="1" applyBorder="1" applyAlignment="1">
      <alignment horizontal="center"/>
    </xf>
    <xf numFmtId="0" fontId="51" fillId="0" borderId="5" xfId="39" applyNumberFormat="1" applyFont="1" applyFill="1" applyBorder="1" applyAlignment="1">
      <alignment horizontal="center" wrapText="1"/>
    </xf>
    <xf numFmtId="43" fontId="51" fillId="0" borderId="5" xfId="39" applyFont="1" applyFill="1" applyBorder="1" applyAlignment="1">
      <alignment horizontal="center"/>
    </xf>
    <xf numFmtId="0" fontId="51" fillId="0" borderId="5" xfId="0" applyFont="1" applyFill="1" applyBorder="1" applyAlignment="1">
      <alignment horizontal="center"/>
    </xf>
    <xf numFmtId="9" fontId="51" fillId="0" borderId="5" xfId="0" applyNumberFormat="1" applyFont="1" applyFill="1" applyBorder="1" applyAlignment="1">
      <alignment horizontal="center"/>
    </xf>
    <xf numFmtId="4" fontId="51" fillId="39" borderId="9" xfId="0" applyNumberFormat="1" applyFont="1" applyFill="1" applyBorder="1" applyAlignment="1">
      <alignment horizontal="right" wrapText="1"/>
    </xf>
    <xf numFmtId="0" fontId="51" fillId="0" borderId="0" xfId="0" applyFont="1" applyFill="1" applyBorder="1" applyAlignment="1">
      <alignment horizontal="right"/>
    </xf>
    <xf numFmtId="0" fontId="51" fillId="0" borderId="0" xfId="0" applyFont="1" applyFill="1" applyBorder="1" applyAlignment="1">
      <alignment horizontal="center"/>
    </xf>
    <xf numFmtId="0" fontId="61" fillId="0" borderId="0" xfId="0" applyFont="1" applyFill="1" applyBorder="1" applyAlignment="1">
      <alignment horizontal="center"/>
    </xf>
    <xf numFmtId="0" fontId="61" fillId="0" borderId="0" xfId="0" applyFont="1" applyFill="1" applyBorder="1" applyAlignment="1">
      <alignment horizontal="right"/>
    </xf>
    <xf numFmtId="0" fontId="57" fillId="0" borderId="0" xfId="80" applyFont="1" applyFill="1" applyBorder="1" applyAlignment="1">
      <alignment horizontal="left"/>
    </xf>
    <xf numFmtId="0" fontId="57" fillId="0" borderId="0" xfId="0" applyFont="1" applyFill="1" applyBorder="1" applyAlignment="1">
      <alignment horizontal="center"/>
    </xf>
    <xf numFmtId="0" fontId="57" fillId="0" borderId="0" xfId="0" applyFont="1" applyFill="1" applyBorder="1" applyAlignment="1">
      <alignment horizontal="left"/>
    </xf>
    <xf numFmtId="0" fontId="61" fillId="0" borderId="31" xfId="0" applyFont="1" applyFill="1" applyBorder="1" applyAlignment="1">
      <alignment horizontal="center"/>
    </xf>
    <xf numFmtId="0" fontId="44" fillId="0" borderId="5" xfId="0" applyFont="1" applyBorder="1" applyAlignment="1">
      <alignment vertical="top" wrapText="1"/>
    </xf>
    <xf numFmtId="0" fontId="54" fillId="0" borderId="5" xfId="0" applyFont="1" applyBorder="1" applyAlignment="1">
      <alignment horizontal="justify" vertical="center" wrapText="1"/>
    </xf>
    <xf numFmtId="0" fontId="55" fillId="0" borderId="5" xfId="0" applyFont="1" applyBorder="1" applyAlignment="1">
      <alignment horizontal="justify" vertical="center" wrapText="1"/>
    </xf>
    <xf numFmtId="4" fontId="0" fillId="0" borderId="5" xfId="0" applyNumberFormat="1" applyBorder="1"/>
    <xf numFmtId="0" fontId="0" fillId="0" borderId="5" xfId="0" applyBorder="1"/>
    <xf numFmtId="0" fontId="0" fillId="0" borderId="5" xfId="0" applyBorder="1" applyAlignment="1">
      <alignment wrapText="1"/>
    </xf>
    <xf numFmtId="0" fontId="56" fillId="0" borderId="5" xfId="0" applyFont="1" applyBorder="1" applyAlignment="1">
      <alignment horizontal="justify" vertical="center" wrapText="1"/>
    </xf>
    <xf numFmtId="0" fontId="44" fillId="0" borderId="5" xfId="0" applyFont="1" applyBorder="1"/>
    <xf numFmtId="0" fontId="55" fillId="0" borderId="5" xfId="0" applyFont="1" applyBorder="1"/>
    <xf numFmtId="0" fontId="57" fillId="0" borderId="34" xfId="80" applyFont="1" applyFill="1" applyBorder="1"/>
    <xf numFmtId="0" fontId="0" fillId="0" borderId="0" xfId="0" applyBorder="1"/>
    <xf numFmtId="0" fontId="0" fillId="0" borderId="35" xfId="0" applyBorder="1"/>
    <xf numFmtId="0" fontId="57" fillId="0" borderId="34" xfId="0" applyFont="1" applyFill="1" applyBorder="1" applyAlignment="1">
      <alignment horizontal="left"/>
    </xf>
    <xf numFmtId="0" fontId="58" fillId="0" borderId="36" xfId="79" applyFont="1" applyFill="1" applyBorder="1" applyAlignment="1">
      <alignment horizontal="left" vertical="center"/>
    </xf>
    <xf numFmtId="0" fontId="57" fillId="0" borderId="37" xfId="80" applyFont="1" applyFill="1" applyBorder="1" applyAlignment="1">
      <alignment horizontal="left"/>
    </xf>
    <xf numFmtId="0" fontId="57" fillId="0" borderId="37" xfId="0" applyFont="1" applyFill="1" applyBorder="1" applyAlignment="1">
      <alignment horizontal="center"/>
    </xf>
    <xf numFmtId="0" fontId="61" fillId="0" borderId="37" xfId="0" applyFont="1" applyFill="1" applyBorder="1" applyAlignment="1">
      <alignment horizontal="center"/>
    </xf>
    <xf numFmtId="0" fontId="61" fillId="0" borderId="38" xfId="0" applyFont="1" applyFill="1" applyBorder="1" applyAlignment="1">
      <alignment horizontal="center"/>
    </xf>
    <xf numFmtId="0" fontId="61" fillId="0" borderId="37" xfId="0" applyFont="1" applyFill="1" applyBorder="1" applyAlignment="1">
      <alignment horizontal="right"/>
    </xf>
    <xf numFmtId="0" fontId="0" fillId="0" borderId="37" xfId="0" applyBorder="1"/>
    <xf numFmtId="0" fontId="0" fillId="0" borderId="39" xfId="0" applyBorder="1"/>
    <xf numFmtId="0" fontId="60" fillId="40" borderId="32" xfId="79" applyFont="1" applyFill="1" applyBorder="1" applyAlignment="1">
      <alignment wrapText="1"/>
    </xf>
    <xf numFmtId="0" fontId="46" fillId="0" borderId="5" xfId="0" applyFont="1" applyBorder="1" applyAlignment="1">
      <alignment vertical="top" wrapText="1"/>
    </xf>
    <xf numFmtId="0" fontId="18" fillId="13" borderId="5" xfId="0" applyFont="1" applyFill="1" applyBorder="1" applyAlignment="1">
      <alignment horizontal="center"/>
    </xf>
    <xf numFmtId="0" fontId="18" fillId="13" borderId="5" xfId="0" applyFont="1" applyFill="1" applyBorder="1" applyAlignment="1">
      <alignment horizontal="left" wrapText="1"/>
    </xf>
    <xf numFmtId="0" fontId="18" fillId="13" borderId="5" xfId="0" applyFont="1" applyFill="1" applyBorder="1"/>
    <xf numFmtId="164" fontId="18" fillId="13" borderId="5" xfId="0" applyNumberFormat="1" applyFont="1" applyFill="1" applyBorder="1" applyAlignment="1">
      <alignment horizontal="right" wrapText="1"/>
    </xf>
    <xf numFmtId="10" fontId="18" fillId="13" borderId="5" xfId="0" applyNumberFormat="1" applyFont="1" applyFill="1" applyBorder="1" applyAlignment="1">
      <alignment horizontal="center"/>
    </xf>
    <xf numFmtId="164" fontId="18" fillId="13" borderId="5" xfId="0" applyNumberFormat="1" applyFont="1" applyFill="1" applyBorder="1" applyAlignment="1">
      <alignment horizontal="center" wrapText="1"/>
    </xf>
    <xf numFmtId="164" fontId="18" fillId="13" borderId="5" xfId="0" applyNumberFormat="1" applyFont="1" applyFill="1" applyBorder="1" applyAlignment="1">
      <alignment horizontal="right"/>
    </xf>
    <xf numFmtId="0" fontId="18" fillId="32" borderId="5" xfId="0" applyFont="1" applyFill="1" applyBorder="1" applyAlignment="1">
      <alignment horizontal="center"/>
    </xf>
    <xf numFmtId="0" fontId="44" fillId="0" borderId="5" xfId="0" applyFont="1" applyBorder="1" applyAlignment="1">
      <alignment horizontal="justify" vertical="top" wrapText="1"/>
    </xf>
    <xf numFmtId="164" fontId="64" fillId="33" borderId="5" xfId="40" applyNumberFormat="1" applyFont="1" applyFill="1" applyBorder="1" applyAlignment="1">
      <alignment horizontal="right" wrapText="1"/>
    </xf>
    <xf numFmtId="9" fontId="64" fillId="15" borderId="5" xfId="0" applyNumberFormat="1" applyFont="1" applyFill="1" applyBorder="1" applyAlignment="1">
      <alignment horizontal="center" wrapText="1"/>
    </xf>
    <xf numFmtId="9" fontId="64" fillId="15" borderId="5" xfId="0" applyNumberFormat="1" applyFont="1" applyFill="1" applyBorder="1" applyAlignment="1">
      <alignment horizontal="right" wrapText="1"/>
    </xf>
    <xf numFmtId="43" fontId="64" fillId="15" borderId="5" xfId="38" applyFont="1" applyFill="1" applyBorder="1" applyAlignment="1">
      <alignment horizontal="left" wrapText="1"/>
    </xf>
    <xf numFmtId="164" fontId="64" fillId="15" borderId="5" xfId="38" applyNumberFormat="1" applyFont="1" applyFill="1" applyBorder="1" applyAlignment="1">
      <alignment horizontal="left" wrapText="1"/>
    </xf>
    <xf numFmtId="0" fontId="44" fillId="0" borderId="5" xfId="0" applyFont="1" applyBorder="1" applyAlignment="1">
      <alignment horizontal="justify" vertical="center" wrapText="1"/>
    </xf>
    <xf numFmtId="0" fontId="51" fillId="0" borderId="5" xfId="0" applyFont="1" applyBorder="1" applyAlignment="1">
      <alignment horizontal="justify" vertical="center" wrapText="1"/>
    </xf>
    <xf numFmtId="4" fontId="44" fillId="0" borderId="5" xfId="0" applyNumberFormat="1" applyFont="1" applyBorder="1"/>
    <xf numFmtId="0" fontId="44" fillId="0" borderId="5" xfId="0" applyFont="1" applyBorder="1" applyAlignment="1">
      <alignment wrapText="1"/>
    </xf>
    <xf numFmtId="0" fontId="50" fillId="32" borderId="5" xfId="0" applyFont="1" applyFill="1" applyBorder="1" applyAlignment="1">
      <alignment horizontal="left" vertical="top" wrapText="1"/>
    </xf>
    <xf numFmtId="165" fontId="13" fillId="32" borderId="5" xfId="67" applyNumberFormat="1" applyFont="1" applyFill="1" applyBorder="1" applyAlignment="1">
      <alignment horizontal="right" wrapText="1"/>
    </xf>
    <xf numFmtId="0" fontId="66" fillId="0" borderId="5" xfId="0" applyNumberFormat="1" applyFont="1" applyBorder="1" applyAlignment="1">
      <alignment horizontal="left" wrapText="1"/>
    </xf>
    <xf numFmtId="4" fontId="67" fillId="32" borderId="5" xfId="0" applyNumberFormat="1" applyFont="1" applyFill="1" applyBorder="1"/>
    <xf numFmtId="0" fontId="68" fillId="0" borderId="5" xfId="0" applyFont="1" applyBorder="1"/>
    <xf numFmtId="0" fontId="67" fillId="41" borderId="5" xfId="0" applyFont="1" applyFill="1" applyBorder="1" applyAlignment="1">
      <alignment wrapText="1"/>
    </xf>
    <xf numFmtId="0" fontId="13" fillId="41" borderId="5" xfId="46" applyFont="1" applyFill="1" applyBorder="1" applyAlignment="1"/>
    <xf numFmtId="0" fontId="69" fillId="41" borderId="5" xfId="0" applyFont="1" applyFill="1" applyBorder="1" applyAlignment="1"/>
    <xf numFmtId="0" fontId="69" fillId="41" borderId="5" xfId="0" applyFont="1" applyFill="1" applyBorder="1" applyAlignment="1">
      <alignment wrapText="1"/>
    </xf>
    <xf numFmtId="164" fontId="73" fillId="33" borderId="5" xfId="40" applyNumberFormat="1" applyFont="1" applyFill="1" applyBorder="1" applyAlignment="1">
      <alignment horizontal="right" wrapText="1"/>
    </xf>
    <xf numFmtId="0" fontId="70" fillId="0" borderId="5" xfId="0" applyFont="1" applyBorder="1" applyAlignment="1">
      <alignment horizontal="center"/>
    </xf>
    <xf numFmtId="44" fontId="15" fillId="32" borderId="5" xfId="81" applyFont="1" applyFill="1" applyBorder="1" applyAlignment="1">
      <alignment horizontal="right" wrapText="1"/>
    </xf>
    <xf numFmtId="0" fontId="56" fillId="0" borderId="5" xfId="0" applyNumberFormat="1" applyFont="1" applyBorder="1" applyAlignment="1">
      <alignment vertical="center"/>
    </xf>
    <xf numFmtId="0" fontId="70" fillId="0" borderId="0" xfId="0" applyFont="1" applyAlignment="1">
      <alignment wrapText="1"/>
    </xf>
    <xf numFmtId="0" fontId="70" fillId="0" borderId="0" xfId="0" applyFont="1" applyAlignment="1">
      <alignment vertical="top" wrapText="1"/>
    </xf>
    <xf numFmtId="0" fontId="70" fillId="0" borderId="5" xfId="0" applyFont="1" applyFill="1" applyBorder="1" applyAlignment="1">
      <alignment wrapText="1"/>
    </xf>
    <xf numFmtId="0" fontId="70" fillId="0" borderId="5" xfId="0" applyFont="1" applyBorder="1" applyAlignment="1">
      <alignment vertical="top" wrapText="1"/>
    </xf>
    <xf numFmtId="0" fontId="70" fillId="0" borderId="5" xfId="0" applyFont="1" applyBorder="1" applyAlignment="1">
      <alignment wrapText="1"/>
    </xf>
    <xf numFmtId="0" fontId="70" fillId="0" borderId="5" xfId="0" applyFont="1" applyBorder="1"/>
    <xf numFmtId="43" fontId="73" fillId="15" borderId="9" xfId="38" applyFont="1" applyFill="1" applyBorder="1" applyAlignment="1">
      <alignment horizontal="left" wrapText="1"/>
    </xf>
    <xf numFmtId="43" fontId="73" fillId="15" borderId="5" xfId="38" applyFont="1" applyFill="1" applyBorder="1" applyAlignment="1">
      <alignment horizontal="left" wrapText="1"/>
    </xf>
    <xf numFmtId="9" fontId="73" fillId="15" borderId="5" xfId="0" applyNumberFormat="1" applyFont="1" applyFill="1" applyBorder="1" applyAlignment="1">
      <alignment horizontal="right" wrapText="1"/>
    </xf>
    <xf numFmtId="9" fontId="73" fillId="15" borderId="5" xfId="0" applyNumberFormat="1" applyFont="1" applyFill="1" applyBorder="1" applyAlignment="1">
      <alignment horizontal="center" wrapText="1"/>
    </xf>
    <xf numFmtId="7" fontId="71" fillId="36" borderId="5" xfId="0" applyNumberFormat="1" applyFont="1" applyFill="1" applyBorder="1" applyAlignment="1">
      <alignment horizontal="right"/>
    </xf>
    <xf numFmtId="0" fontId="70" fillId="0" borderId="5" xfId="0" applyFont="1" applyFill="1" applyBorder="1" applyAlignment="1">
      <alignment vertical="top" wrapText="1"/>
    </xf>
    <xf numFmtId="0" fontId="70" fillId="32" borderId="5" xfId="0" applyFont="1" applyFill="1" applyBorder="1"/>
    <xf numFmtId="0" fontId="72" fillId="32" borderId="4" xfId="0" applyFont="1" applyFill="1" applyBorder="1" applyAlignment="1">
      <alignment horizontal="center"/>
    </xf>
    <xf numFmtId="164" fontId="72" fillId="13" borderId="15" xfId="0" applyNumberFormat="1" applyFont="1" applyFill="1" applyBorder="1" applyAlignment="1">
      <alignment horizontal="right"/>
    </xf>
    <xf numFmtId="164" fontId="72" fillId="13" borderId="14" xfId="0" applyNumberFormat="1" applyFont="1" applyFill="1" applyBorder="1" applyAlignment="1">
      <alignment horizontal="right"/>
    </xf>
    <xf numFmtId="164" fontId="72" fillId="13" borderId="14" xfId="0" applyNumberFormat="1" applyFont="1" applyFill="1" applyBorder="1" applyAlignment="1">
      <alignment horizontal="center" wrapText="1"/>
    </xf>
    <xf numFmtId="10" fontId="72" fillId="13" borderId="14" xfId="0" applyNumberFormat="1" applyFont="1" applyFill="1" applyBorder="1" applyAlignment="1">
      <alignment horizontal="center"/>
    </xf>
    <xf numFmtId="164" fontId="72" fillId="13" borderId="14" xfId="0" applyNumberFormat="1" applyFont="1" applyFill="1" applyBorder="1" applyAlignment="1">
      <alignment horizontal="right" wrapText="1"/>
    </xf>
    <xf numFmtId="0" fontId="72" fillId="13" borderId="14" xfId="0" applyFont="1" applyFill="1" applyBorder="1" applyAlignment="1">
      <alignment horizontal="center"/>
    </xf>
    <xf numFmtId="0" fontId="72" fillId="13" borderId="14" xfId="0" applyFont="1" applyFill="1" applyBorder="1"/>
    <xf numFmtId="0" fontId="72" fillId="13" borderId="14" xfId="0" applyFont="1" applyFill="1" applyBorder="1" applyAlignment="1">
      <alignment horizontal="left" wrapText="1"/>
    </xf>
    <xf numFmtId="0" fontId="72" fillId="13" borderId="13" xfId="0" applyFont="1" applyFill="1" applyBorder="1" applyAlignment="1">
      <alignment horizontal="center"/>
    </xf>
    <xf numFmtId="0" fontId="0" fillId="0" borderId="0" xfId="0"/>
    <xf numFmtId="0" fontId="9" fillId="13" borderId="5" xfId="0" applyNumberFormat="1" applyFont="1" applyFill="1" applyBorder="1" applyAlignment="1">
      <alignment horizontal="center"/>
    </xf>
    <xf numFmtId="0" fontId="9" fillId="13" borderId="5" xfId="0" applyNumberFormat="1" applyFont="1" applyFill="1" applyBorder="1" applyAlignment="1">
      <alignment horizontal="left" wrapText="1"/>
    </xf>
    <xf numFmtId="0" fontId="9" fillId="13" borderId="5" xfId="0" applyNumberFormat="1" applyFont="1" applyFill="1" applyBorder="1"/>
    <xf numFmtId="0" fontId="18" fillId="13" borderId="5" xfId="67" applyNumberFormat="1" applyFont="1" applyFill="1" applyBorder="1" applyAlignment="1">
      <alignment horizontal="center"/>
    </xf>
    <xf numFmtId="0" fontId="9" fillId="13" borderId="5" xfId="0" applyNumberFormat="1" applyFont="1" applyFill="1" applyBorder="1" applyAlignment="1">
      <alignment horizontal="right" wrapText="1"/>
    </xf>
    <xf numFmtId="0" fontId="9" fillId="13" borderId="5" xfId="0" applyNumberFormat="1" applyFont="1" applyFill="1" applyBorder="1" applyAlignment="1">
      <alignment horizontal="center" wrapText="1"/>
    </xf>
    <xf numFmtId="0" fontId="9" fillId="13" borderId="5" xfId="0" applyNumberFormat="1" applyFont="1" applyFill="1" applyBorder="1" applyAlignment="1">
      <alignment horizontal="right"/>
    </xf>
    <xf numFmtId="0" fontId="9" fillId="32" borderId="5" xfId="0" applyNumberFormat="1" applyFont="1" applyFill="1" applyBorder="1" applyAlignment="1">
      <alignment horizontal="center"/>
    </xf>
    <xf numFmtId="0" fontId="16" fillId="32" borderId="5" xfId="0" applyNumberFormat="1" applyFont="1" applyFill="1" applyBorder="1" applyAlignment="1">
      <alignment vertical="top" wrapText="1"/>
    </xf>
    <xf numFmtId="0" fontId="15" fillId="32" borderId="5" xfId="67" applyNumberFormat="1" applyFont="1" applyFill="1" applyBorder="1" applyAlignment="1">
      <alignment horizontal="center" wrapText="1"/>
    </xf>
    <xf numFmtId="9" fontId="8" fillId="15" borderId="5" xfId="0" applyNumberFormat="1" applyFont="1" applyFill="1" applyBorder="1" applyAlignment="1">
      <alignment horizontal="center" wrapText="1"/>
    </xf>
    <xf numFmtId="9" fontId="8" fillId="15" borderId="5" xfId="0" applyNumberFormat="1" applyFont="1" applyFill="1" applyBorder="1" applyAlignment="1">
      <alignment horizontal="right" wrapText="1"/>
    </xf>
    <xf numFmtId="0" fontId="15" fillId="32" borderId="5" xfId="67" applyNumberFormat="1" applyFont="1" applyFill="1" applyBorder="1" applyAlignment="1">
      <alignment horizontal="center" vertical="center" wrapText="1"/>
    </xf>
    <xf numFmtId="0" fontId="8" fillId="33" borderId="5" xfId="40" applyNumberFormat="1" applyFont="1" applyFill="1" applyBorder="1" applyAlignment="1">
      <alignment horizontal="right" wrapText="1"/>
    </xf>
    <xf numFmtId="0" fontId="56" fillId="0" borderId="5" xfId="0" applyFont="1" applyBorder="1" applyAlignment="1">
      <alignment vertical="center"/>
    </xf>
    <xf numFmtId="0" fontId="45" fillId="0" borderId="5" xfId="47" applyNumberFormat="1" applyFont="1" applyFill="1" applyBorder="1" applyAlignment="1">
      <alignment horizontal="left" vertical="top" wrapText="1"/>
    </xf>
    <xf numFmtId="0" fontId="44" fillId="0" borderId="5" xfId="0" applyFont="1" applyBorder="1" applyAlignment="1">
      <alignment vertical="top" wrapText="1"/>
    </xf>
    <xf numFmtId="0" fontId="56" fillId="0" borderId="5" xfId="0" applyFont="1" applyBorder="1" applyAlignment="1">
      <alignment vertical="center" wrapText="1"/>
    </xf>
    <xf numFmtId="44" fontId="8" fillId="33" borderId="5" xfId="40" applyNumberFormat="1" applyFont="1" applyFill="1" applyBorder="1" applyAlignment="1">
      <alignment horizontal="right" wrapText="1"/>
    </xf>
    <xf numFmtId="43" fontId="8" fillId="15" borderId="5" xfId="81" applyNumberFormat="1" applyFont="1" applyFill="1" applyBorder="1" applyAlignment="1">
      <alignment horizontal="left" wrapText="1"/>
    </xf>
    <xf numFmtId="0" fontId="0" fillId="41" borderId="0" xfId="0" applyFont="1" applyFill="1"/>
    <xf numFmtId="0" fontId="42" fillId="32" borderId="5" xfId="0" applyFont="1" applyFill="1" applyBorder="1" applyAlignment="1">
      <alignment wrapText="1"/>
    </xf>
    <xf numFmtId="0" fontId="70" fillId="32" borderId="0" xfId="0" applyFont="1" applyFill="1" applyAlignment="1">
      <alignment wrapText="1"/>
    </xf>
    <xf numFmtId="0" fontId="70" fillId="32" borderId="0" xfId="0" applyFont="1" applyFill="1" applyAlignment="1">
      <alignment vertical="top" wrapText="1"/>
    </xf>
    <xf numFmtId="0" fontId="70" fillId="32" borderId="5" xfId="0" applyFont="1" applyFill="1" applyBorder="1" applyAlignment="1">
      <alignment horizontal="center"/>
    </xf>
    <xf numFmtId="164" fontId="73" fillId="42" borderId="5" xfId="40" applyNumberFormat="1" applyFont="1" applyFill="1" applyBorder="1" applyAlignment="1">
      <alignment horizontal="right" wrapText="1"/>
    </xf>
    <xf numFmtId="9" fontId="73" fillId="42" borderId="5" xfId="0" applyNumberFormat="1" applyFont="1" applyFill="1" applyBorder="1" applyAlignment="1">
      <alignment horizontal="center" wrapText="1"/>
    </xf>
    <xf numFmtId="9" fontId="73" fillId="42" borderId="5" xfId="0" applyNumberFormat="1" applyFont="1" applyFill="1" applyBorder="1" applyAlignment="1">
      <alignment horizontal="right" wrapText="1"/>
    </xf>
    <xf numFmtId="43" fontId="73" fillId="42" borderId="9" xfId="38" applyFont="1" applyFill="1" applyBorder="1" applyAlignment="1">
      <alignment horizontal="left" wrapText="1"/>
    </xf>
    <xf numFmtId="0" fontId="77" fillId="32" borderId="4" xfId="0" applyFont="1" applyFill="1" applyBorder="1" applyAlignment="1">
      <alignment horizontal="center"/>
    </xf>
    <xf numFmtId="0" fontId="66" fillId="32" borderId="5" xfId="0" applyNumberFormat="1" applyFont="1" applyFill="1" applyBorder="1" applyAlignment="1">
      <alignment horizontal="left" vertical="center" wrapText="1"/>
    </xf>
    <xf numFmtId="164" fontId="69" fillId="33" borderId="5" xfId="40" applyNumberFormat="1" applyFont="1" applyFill="1" applyBorder="1" applyAlignment="1">
      <alignment horizontal="right" wrapText="1"/>
    </xf>
    <xf numFmtId="9" fontId="69" fillId="15" borderId="5" xfId="0" applyNumberFormat="1" applyFont="1" applyFill="1" applyBorder="1" applyAlignment="1">
      <alignment horizontal="center" wrapText="1"/>
    </xf>
    <xf numFmtId="9" fontId="69" fillId="15" borderId="5" xfId="0" applyNumberFormat="1" applyFont="1" applyFill="1" applyBorder="1" applyAlignment="1">
      <alignment horizontal="right" wrapText="1"/>
    </xf>
    <xf numFmtId="43" fontId="69" fillId="15" borderId="9" xfId="38" applyFont="1" applyFill="1" applyBorder="1" applyAlignment="1">
      <alignment horizontal="left" wrapText="1"/>
    </xf>
    <xf numFmtId="0" fontId="42" fillId="0" borderId="0" xfId="0" applyFont="1"/>
    <xf numFmtId="0" fontId="44" fillId="0" borderId="5" xfId="0" applyNumberFormat="1" applyFont="1" applyBorder="1" applyAlignment="1">
      <alignment horizontal="left" wrapText="1"/>
    </xf>
    <xf numFmtId="0" fontId="9" fillId="13" borderId="13" xfId="0" applyFont="1" applyFill="1" applyBorder="1" applyAlignment="1">
      <alignment horizontal="center"/>
    </xf>
    <xf numFmtId="0" fontId="9" fillId="13" borderId="14" xfId="0" applyFont="1" applyFill="1" applyBorder="1" applyAlignment="1">
      <alignment horizontal="left" wrapText="1"/>
    </xf>
    <xf numFmtId="0" fontId="9" fillId="13" borderId="14" xfId="0" applyFont="1" applyFill="1" applyBorder="1"/>
    <xf numFmtId="0" fontId="9" fillId="13" borderId="14" xfId="0" applyFont="1" applyFill="1" applyBorder="1" applyAlignment="1">
      <alignment horizontal="center"/>
    </xf>
    <xf numFmtId="164" fontId="9" fillId="13" borderId="14" xfId="0" applyNumberFormat="1" applyFont="1" applyFill="1" applyBorder="1" applyAlignment="1">
      <alignment horizontal="right" wrapText="1"/>
    </xf>
    <xf numFmtId="10" fontId="9" fillId="13" borderId="14" xfId="0" applyNumberFormat="1" applyFont="1" applyFill="1" applyBorder="1" applyAlignment="1">
      <alignment horizontal="center"/>
    </xf>
    <xf numFmtId="164" fontId="9" fillId="13" borderId="14" xfId="0" applyNumberFormat="1" applyFont="1" applyFill="1" applyBorder="1" applyAlignment="1">
      <alignment horizontal="center" wrapText="1"/>
    </xf>
    <xf numFmtId="164" fontId="9" fillId="13" borderId="14" xfId="0" applyNumberFormat="1" applyFont="1" applyFill="1" applyBorder="1" applyAlignment="1">
      <alignment horizontal="right"/>
    </xf>
    <xf numFmtId="164" fontId="9" fillId="13" borderId="15" xfId="0" applyNumberFormat="1" applyFont="1" applyFill="1" applyBorder="1" applyAlignment="1">
      <alignment horizontal="right"/>
    </xf>
    <xf numFmtId="0" fontId="9" fillId="32" borderId="4" xfId="0" applyFont="1" applyFill="1" applyBorder="1" applyAlignment="1">
      <alignment horizontal="center"/>
    </xf>
    <xf numFmtId="0" fontId="46" fillId="0" borderId="0" xfId="0" applyFont="1"/>
    <xf numFmtId="43" fontId="8" fillId="15" borderId="9" xfId="38" applyFont="1" applyFill="1" applyBorder="1" applyAlignment="1">
      <alignment horizontal="left" wrapText="1"/>
    </xf>
    <xf numFmtId="0" fontId="44" fillId="32" borderId="5" xfId="0" applyNumberFormat="1" applyFont="1" applyFill="1" applyBorder="1" applyAlignment="1">
      <alignment horizontal="left" vertical="center" wrapText="1"/>
    </xf>
    <xf numFmtId="0" fontId="80" fillId="0" borderId="0" xfId="0" applyFont="1"/>
    <xf numFmtId="0" fontId="81" fillId="43" borderId="5" xfId="0" applyNumberFormat="1" applyFont="1" applyFill="1" applyBorder="1" applyAlignment="1">
      <alignment horizontal="center" vertical="top"/>
    </xf>
    <xf numFmtId="0" fontId="81" fillId="43" borderId="5" xfId="0" applyNumberFormat="1" applyFont="1" applyFill="1" applyBorder="1" applyAlignment="1">
      <alignment horizontal="center"/>
    </xf>
    <xf numFmtId="0" fontId="81" fillId="43" borderId="5" xfId="0" applyNumberFormat="1" applyFont="1" applyFill="1" applyBorder="1" applyAlignment="1"/>
    <xf numFmtId="0" fontId="82" fillId="43" borderId="5" xfId="0" applyNumberFormat="1" applyFont="1" applyFill="1" applyBorder="1" applyAlignment="1">
      <alignment horizontal="center"/>
    </xf>
    <xf numFmtId="0" fontId="83" fillId="43" borderId="5" xfId="0" applyNumberFormat="1" applyFont="1" applyFill="1" applyBorder="1" applyAlignment="1">
      <alignment horizontal="left" vertical="center"/>
    </xf>
    <xf numFmtId="0" fontId="83" fillId="43" borderId="5" xfId="0" applyNumberFormat="1" applyFont="1" applyFill="1" applyBorder="1" applyAlignment="1">
      <alignment horizontal="center" vertical="center"/>
    </xf>
    <xf numFmtId="0" fontId="83" fillId="43" borderId="5" xfId="0" applyNumberFormat="1" applyFont="1" applyFill="1" applyBorder="1" applyAlignment="1">
      <alignment horizontal="right" vertical="center"/>
    </xf>
    <xf numFmtId="0" fontId="83" fillId="43" borderId="5" xfId="0" applyNumberFormat="1" applyFont="1" applyFill="1" applyBorder="1"/>
    <xf numFmtId="43" fontId="83" fillId="43" borderId="5" xfId="0" applyNumberFormat="1" applyFont="1" applyFill="1" applyBorder="1"/>
    <xf numFmtId="0" fontId="83" fillId="43" borderId="5" xfId="0" applyNumberFormat="1" applyFont="1" applyFill="1" applyBorder="1" applyAlignment="1">
      <alignment horizontal="right"/>
    </xf>
    <xf numFmtId="0" fontId="53" fillId="43" borderId="4" xfId="0" applyFont="1" applyFill="1" applyBorder="1" applyAlignment="1">
      <alignment horizontal="center" vertical="top"/>
    </xf>
    <xf numFmtId="0" fontId="53" fillId="43" borderId="5" xfId="0" applyFont="1" applyFill="1" applyBorder="1" applyAlignment="1">
      <alignment horizontal="center"/>
    </xf>
    <xf numFmtId="0" fontId="53" fillId="43" borderId="5" xfId="0" applyFont="1" applyFill="1" applyBorder="1" applyAlignment="1"/>
    <xf numFmtId="0" fontId="53" fillId="43" borderId="9" xfId="0" applyFont="1" applyFill="1" applyBorder="1" applyAlignment="1"/>
    <xf numFmtId="0" fontId="82" fillId="43" borderId="4" xfId="0" applyFont="1" applyFill="1" applyBorder="1" applyAlignment="1">
      <alignment horizontal="center"/>
    </xf>
    <xf numFmtId="0" fontId="83" fillId="43" borderId="5" xfId="0" applyFont="1" applyFill="1" applyBorder="1" applyAlignment="1">
      <alignment horizontal="left" vertical="center"/>
    </xf>
    <xf numFmtId="0" fontId="83" fillId="43" borderId="5" xfId="0" applyFont="1" applyFill="1" applyBorder="1" applyAlignment="1">
      <alignment horizontal="center" vertical="center"/>
    </xf>
    <xf numFmtId="164" fontId="83" fillId="43" borderId="5" xfId="0" applyNumberFormat="1" applyFont="1" applyFill="1" applyBorder="1" applyAlignment="1">
      <alignment horizontal="right" vertical="center"/>
    </xf>
    <xf numFmtId="164" fontId="83" fillId="43" borderId="5" xfId="0" applyNumberFormat="1" applyFont="1" applyFill="1" applyBorder="1" applyAlignment="1">
      <alignment horizontal="left" vertical="center"/>
    </xf>
    <xf numFmtId="164" fontId="83" fillId="43" borderId="5" xfId="0" applyNumberFormat="1" applyFont="1" applyFill="1" applyBorder="1"/>
    <xf numFmtId="4" fontId="83" fillId="43" borderId="9" xfId="0" applyNumberFormat="1" applyFont="1" applyFill="1" applyBorder="1"/>
    <xf numFmtId="0" fontId="53" fillId="43" borderId="5" xfId="0" applyFont="1" applyFill="1" applyBorder="1" applyAlignment="1">
      <alignment horizontal="center" vertical="top"/>
    </xf>
    <xf numFmtId="0" fontId="53" fillId="43" borderId="5" xfId="0" applyFont="1" applyFill="1" applyBorder="1" applyAlignment="1">
      <alignment horizontal="center" vertical="center"/>
    </xf>
    <xf numFmtId="0" fontId="0" fillId="35" borderId="0" xfId="0" applyFont="1" applyFill="1" applyAlignment="1">
      <alignment vertical="center"/>
    </xf>
    <xf numFmtId="0" fontId="76" fillId="43" borderId="5" xfId="0" applyFont="1" applyFill="1" applyBorder="1" applyAlignment="1">
      <alignment horizontal="center"/>
    </xf>
    <xf numFmtId="0" fontId="76" fillId="43" borderId="5" xfId="0" applyFont="1" applyFill="1" applyBorder="1" applyAlignment="1">
      <alignment horizontal="left" vertical="center"/>
    </xf>
    <xf numFmtId="0" fontId="76" fillId="43" borderId="5" xfId="0" applyFont="1" applyFill="1" applyBorder="1" applyAlignment="1">
      <alignment horizontal="center" vertical="center"/>
    </xf>
    <xf numFmtId="164" fontId="76" fillId="43" borderId="5" xfId="0" applyNumberFormat="1" applyFont="1" applyFill="1" applyBorder="1" applyAlignment="1">
      <alignment horizontal="right" vertical="center"/>
    </xf>
    <xf numFmtId="164" fontId="76" fillId="43" borderId="5" xfId="0" applyNumberFormat="1" applyFont="1" applyFill="1" applyBorder="1" applyAlignment="1">
      <alignment horizontal="left" vertical="center"/>
    </xf>
    <xf numFmtId="164" fontId="76" fillId="43" borderId="5" xfId="0" applyNumberFormat="1" applyFont="1" applyFill="1" applyBorder="1"/>
    <xf numFmtId="4" fontId="76" fillId="43" borderId="5" xfId="0" applyNumberFormat="1" applyFont="1" applyFill="1" applyBorder="1"/>
    <xf numFmtId="0" fontId="76" fillId="43" borderId="4" xfId="0" applyFont="1" applyFill="1" applyBorder="1" applyAlignment="1">
      <alignment horizontal="center"/>
    </xf>
    <xf numFmtId="4" fontId="76" fillId="43" borderId="9" xfId="0" applyNumberFormat="1" applyFont="1" applyFill="1" applyBorder="1"/>
    <xf numFmtId="0" fontId="84" fillId="0" borderId="0" xfId="0" applyFont="1"/>
    <xf numFmtId="0" fontId="85" fillId="43" borderId="4" xfId="0" applyFont="1" applyFill="1" applyBorder="1" applyAlignment="1">
      <alignment horizontal="center" vertical="top"/>
    </xf>
    <xf numFmtId="0" fontId="85" fillId="43" borderId="5" xfId="0" applyFont="1" applyFill="1" applyBorder="1" applyAlignment="1">
      <alignment horizontal="left"/>
    </xf>
    <xf numFmtId="0" fontId="85" fillId="43" borderId="5" xfId="0" applyFont="1" applyFill="1" applyBorder="1" applyAlignment="1">
      <alignment horizontal="center"/>
    </xf>
    <xf numFmtId="0" fontId="85" fillId="43" borderId="5" xfId="0" applyFont="1" applyFill="1" applyBorder="1" applyAlignment="1"/>
    <xf numFmtId="0" fontId="80" fillId="32" borderId="0" xfId="0" applyFont="1" applyFill="1"/>
    <xf numFmtId="0" fontId="81" fillId="43" borderId="5" xfId="0" applyFont="1" applyFill="1" applyBorder="1" applyAlignment="1">
      <alignment horizontal="center" vertical="top"/>
    </xf>
    <xf numFmtId="0" fontId="81" fillId="43" borderId="5" xfId="0" applyFont="1" applyFill="1" applyBorder="1" applyAlignment="1">
      <alignment wrapText="1"/>
    </xf>
    <xf numFmtId="0" fontId="81" fillId="43" borderId="5" xfId="0" applyFont="1" applyFill="1" applyBorder="1" applyAlignment="1">
      <alignment horizontal="center"/>
    </xf>
    <xf numFmtId="0" fontId="81" fillId="43" borderId="5" xfId="0" applyFont="1" applyFill="1" applyBorder="1" applyAlignment="1"/>
    <xf numFmtId="0" fontId="80" fillId="35" borderId="0" xfId="0" applyFont="1" applyFill="1"/>
    <xf numFmtId="0" fontId="78" fillId="43" borderId="5" xfId="0" applyFont="1" applyFill="1" applyBorder="1" applyAlignment="1">
      <alignment horizontal="center" vertical="center"/>
    </xf>
    <xf numFmtId="0" fontId="78" fillId="43" borderId="5" xfId="0" applyFont="1" applyFill="1" applyBorder="1" applyAlignment="1">
      <alignment vertical="center" wrapText="1"/>
    </xf>
    <xf numFmtId="0" fontId="78" fillId="43" borderId="5" xfId="0" applyFont="1" applyFill="1" applyBorder="1" applyAlignment="1">
      <alignment vertical="center"/>
    </xf>
    <xf numFmtId="0" fontId="87" fillId="43" borderId="5" xfId="0" applyFont="1" applyFill="1" applyBorder="1" applyAlignment="1">
      <alignment horizontal="center"/>
    </xf>
    <xf numFmtId="0" fontId="87" fillId="43" borderId="5" xfId="0" applyFont="1" applyFill="1" applyBorder="1" applyAlignment="1">
      <alignment horizontal="left" vertical="center"/>
    </xf>
    <xf numFmtId="0" fontId="87" fillId="43" borderId="5" xfId="0" applyFont="1" applyFill="1" applyBorder="1" applyAlignment="1">
      <alignment horizontal="center" vertical="center"/>
    </xf>
    <xf numFmtId="164" fontId="87" fillId="43" borderId="5" xfId="0" applyNumberFormat="1" applyFont="1" applyFill="1" applyBorder="1" applyAlignment="1">
      <alignment horizontal="right" vertical="center"/>
    </xf>
    <xf numFmtId="164" fontId="87" fillId="43" borderId="5" xfId="0" applyNumberFormat="1" applyFont="1" applyFill="1" applyBorder="1" applyAlignment="1">
      <alignment horizontal="left" vertical="center"/>
    </xf>
    <xf numFmtId="164" fontId="87" fillId="43" borderId="5" xfId="0" applyNumberFormat="1" applyFont="1" applyFill="1" applyBorder="1"/>
    <xf numFmtId="4" fontId="87" fillId="43" borderId="5" xfId="0" applyNumberFormat="1" applyFont="1" applyFill="1" applyBorder="1"/>
    <xf numFmtId="0" fontId="53" fillId="43" borderId="4" xfId="0" applyFont="1" applyFill="1" applyBorder="1" applyAlignment="1">
      <alignment horizontal="center" vertical="center"/>
    </xf>
    <xf numFmtId="0" fontId="53" fillId="43" borderId="9" xfId="0" applyFont="1" applyFill="1" applyBorder="1" applyAlignment="1">
      <alignment vertical="center"/>
    </xf>
    <xf numFmtId="0" fontId="85" fillId="43" borderId="4" xfId="0" applyFont="1" applyFill="1" applyBorder="1" applyAlignment="1">
      <alignment horizontal="center"/>
    </xf>
    <xf numFmtId="0" fontId="85" fillId="43" borderId="5" xfId="0" applyFont="1" applyFill="1" applyBorder="1" applyAlignment="1">
      <alignment horizontal="left" vertical="center"/>
    </xf>
    <xf numFmtId="0" fontId="85" fillId="43" borderId="5" xfId="0" applyFont="1" applyFill="1" applyBorder="1" applyAlignment="1">
      <alignment horizontal="center" vertical="center"/>
    </xf>
    <xf numFmtId="164" fontId="85" fillId="43" borderId="5" xfId="0" applyNumberFormat="1" applyFont="1" applyFill="1" applyBorder="1" applyAlignment="1">
      <alignment horizontal="right" vertical="center"/>
    </xf>
    <xf numFmtId="164" fontId="85" fillId="43" borderId="5" xfId="0" applyNumberFormat="1" applyFont="1" applyFill="1" applyBorder="1" applyAlignment="1">
      <alignment horizontal="left" vertical="center"/>
    </xf>
    <xf numFmtId="164" fontId="85" fillId="43" borderId="5" xfId="0" applyNumberFormat="1" applyFont="1" applyFill="1" applyBorder="1"/>
    <xf numFmtId="4" fontId="85" fillId="43" borderId="9" xfId="0" applyNumberFormat="1" applyFont="1" applyFill="1" applyBorder="1"/>
    <xf numFmtId="0" fontId="78" fillId="44" borderId="4" xfId="0" applyFont="1" applyFill="1" applyBorder="1" applyAlignment="1">
      <alignment horizontal="center"/>
    </xf>
    <xf numFmtId="4" fontId="78" fillId="44" borderId="9" xfId="0" applyNumberFormat="1" applyFont="1" applyFill="1" applyBorder="1" applyAlignment="1">
      <alignment horizontal="right"/>
    </xf>
    <xf numFmtId="0" fontId="78" fillId="44" borderId="10" xfId="0" applyFont="1" applyFill="1" applyBorder="1" applyAlignment="1">
      <alignment horizontal="center"/>
    </xf>
    <xf numFmtId="4" fontId="78" fillId="44" borderId="16" xfId="0" applyNumberFormat="1" applyFont="1" applyFill="1" applyBorder="1" applyAlignment="1">
      <alignment horizontal="right"/>
    </xf>
    <xf numFmtId="164" fontId="88" fillId="43" borderId="4" xfId="0" applyNumberFormat="1" applyFont="1" applyFill="1" applyBorder="1" applyAlignment="1">
      <alignment vertical="center"/>
    </xf>
    <xf numFmtId="4" fontId="88" fillId="43" borderId="5" xfId="0" applyNumberFormat="1" applyFont="1" applyFill="1" applyBorder="1" applyAlignment="1">
      <alignment vertical="center" wrapText="1"/>
    </xf>
    <xf numFmtId="4" fontId="88" fillId="43" borderId="9" xfId="0" applyNumberFormat="1" applyFont="1" applyFill="1" applyBorder="1" applyAlignment="1">
      <alignment horizontal="right" vertical="center" wrapText="1"/>
    </xf>
    <xf numFmtId="0" fontId="88" fillId="43" borderId="5" xfId="0" applyNumberFormat="1" applyFont="1" applyFill="1" applyBorder="1" applyAlignment="1">
      <alignment horizontal="right" vertical="center" wrapText="1"/>
    </xf>
    <xf numFmtId="4" fontId="88" fillId="43" borderId="11" xfId="0" applyNumberFormat="1" applyFont="1" applyFill="1" applyBorder="1" applyAlignment="1">
      <alignment horizontal="right" vertical="center" wrapText="1"/>
    </xf>
    <xf numFmtId="166" fontId="0" fillId="0" borderId="9" xfId="46" applyNumberFormat="1" applyFont="1" applyFill="1" applyBorder="1" applyAlignment="1" applyProtection="1">
      <alignment horizontal="left" wrapText="1"/>
    </xf>
    <xf numFmtId="9" fontId="0" fillId="0" borderId="5" xfId="0" applyNumberFormat="1" applyFont="1" applyFill="1" applyBorder="1" applyAlignment="1">
      <alignment horizontal="right" wrapText="1"/>
    </xf>
    <xf numFmtId="9" fontId="0" fillId="0" borderId="5" xfId="0" applyNumberFormat="1" applyFont="1" applyFill="1" applyBorder="1" applyAlignment="1">
      <alignment horizontal="center" wrapText="1"/>
    </xf>
    <xf numFmtId="165" fontId="13" fillId="0" borderId="5" xfId="46" applyNumberFormat="1" applyFont="1" applyFill="1" applyBorder="1" applyAlignment="1">
      <alignment horizontal="right" wrapText="1"/>
    </xf>
    <xf numFmtId="0" fontId="61" fillId="0" borderId="5" xfId="0" applyFont="1" applyFill="1" applyBorder="1" applyAlignment="1">
      <alignment horizontal="left" wrapText="1"/>
    </xf>
    <xf numFmtId="0" fontId="75" fillId="0" borderId="4" xfId="0" applyFont="1" applyFill="1" applyBorder="1" applyAlignment="1">
      <alignment horizontal="center"/>
    </xf>
    <xf numFmtId="0" fontId="90" fillId="0" borderId="5" xfId="0" applyFont="1" applyBorder="1" applyAlignment="1">
      <alignment horizontal="left" vertical="center" wrapText="1"/>
    </xf>
    <xf numFmtId="0" fontId="69" fillId="0" borderId="5" xfId="0" applyNumberFormat="1" applyFont="1" applyFill="1" applyBorder="1" applyAlignment="1">
      <alignment horizontal="center" vertical="center"/>
    </xf>
    <xf numFmtId="0" fontId="90" fillId="0" borderId="5" xfId="0" applyFont="1" applyBorder="1" applyAlignment="1">
      <alignment horizontal="justify" vertical="center" wrapText="1"/>
    </xf>
    <xf numFmtId="0" fontId="0" fillId="41" borderId="5" xfId="0" applyFont="1" applyFill="1" applyBorder="1" applyAlignment="1"/>
    <xf numFmtId="0" fontId="49" fillId="0" borderId="5" xfId="0" applyNumberFormat="1" applyFont="1" applyBorder="1" applyAlignment="1">
      <alignment horizontal="center" wrapText="1"/>
    </xf>
    <xf numFmtId="164" fontId="0" fillId="0" borderId="5" xfId="46" applyNumberFormat="1" applyFont="1" applyFill="1" applyBorder="1" applyAlignment="1" applyProtection="1">
      <alignment horizontal="right" wrapText="1"/>
    </xf>
    <xf numFmtId="166" fontId="0" fillId="0" borderId="5" xfId="46" applyNumberFormat="1" applyFont="1" applyFill="1" applyBorder="1" applyAlignment="1" applyProtection="1">
      <alignment horizontal="left" wrapText="1"/>
    </xf>
    <xf numFmtId="0" fontId="0" fillId="0" borderId="0" xfId="0"/>
    <xf numFmtId="0" fontId="0" fillId="0" borderId="0" xfId="0" applyFont="1"/>
    <xf numFmtId="0" fontId="11" fillId="32" borderId="4" xfId="0" applyFont="1" applyFill="1" applyBorder="1" applyAlignment="1">
      <alignment horizontal="center"/>
    </xf>
    <xf numFmtId="9" fontId="1" fillId="15" borderId="5" xfId="0" applyNumberFormat="1" applyFont="1" applyFill="1" applyBorder="1" applyAlignment="1">
      <alignment horizontal="right" wrapText="1"/>
    </xf>
    <xf numFmtId="43" fontId="1" fillId="15" borderId="5" xfId="38" applyFont="1" applyFill="1" applyBorder="1" applyAlignment="1">
      <alignment horizontal="left" wrapText="1"/>
    </xf>
    <xf numFmtId="43" fontId="1" fillId="15" borderId="9" xfId="38" applyFont="1" applyFill="1" applyBorder="1" applyAlignment="1">
      <alignment horizontal="left" wrapText="1"/>
    </xf>
    <xf numFmtId="9" fontId="1" fillId="15" borderId="5" xfId="0" applyNumberFormat="1" applyFont="1" applyFill="1" applyBorder="1" applyAlignment="1">
      <alignment horizontal="center" wrapText="1"/>
    </xf>
    <xf numFmtId="164" fontId="1" fillId="33" borderId="5" xfId="40" applyNumberFormat="1" applyFont="1" applyFill="1" applyBorder="1" applyAlignment="1">
      <alignment horizontal="right" wrapText="1"/>
    </xf>
    <xf numFmtId="0" fontId="0" fillId="32" borderId="0" xfId="0" applyFont="1" applyFill="1"/>
    <xf numFmtId="0" fontId="44" fillId="0" borderId="5" xfId="0" applyNumberFormat="1" applyFont="1" applyBorder="1" applyAlignment="1">
      <alignment horizontal="center" wrapText="1"/>
    </xf>
    <xf numFmtId="0" fontId="44" fillId="0" borderId="5" xfId="0" applyNumberFormat="1" applyFont="1" applyFill="1" applyBorder="1" applyAlignment="1">
      <alignment horizontal="center" wrapText="1"/>
    </xf>
    <xf numFmtId="0" fontId="0" fillId="32" borderId="0" xfId="0" applyFill="1"/>
    <xf numFmtId="0" fontId="13" fillId="32" borderId="5" xfId="67" applyFont="1" applyFill="1" applyBorder="1" applyAlignment="1">
      <alignment wrapText="1"/>
    </xf>
    <xf numFmtId="43" fontId="44" fillId="0" borderId="5" xfId="39" applyFont="1" applyBorder="1" applyAlignment="1">
      <alignment horizontal="center" wrapText="1"/>
    </xf>
    <xf numFmtId="0" fontId="67" fillId="32" borderId="5" xfId="0" applyFont="1" applyFill="1" applyBorder="1" applyAlignment="1">
      <alignment wrapText="1"/>
    </xf>
    <xf numFmtId="0" fontId="13" fillId="41" borderId="5" xfId="46" applyFont="1" applyFill="1" applyBorder="1" applyAlignment="1">
      <alignment horizontal="center" wrapText="1"/>
    </xf>
    <xf numFmtId="0" fontId="69" fillId="41" borderId="5" xfId="0" applyFont="1" applyFill="1" applyBorder="1" applyAlignment="1">
      <alignment vertical="top" wrapText="1"/>
    </xf>
    <xf numFmtId="0" fontId="13" fillId="41" borderId="5" xfId="46" applyFont="1" applyFill="1" applyBorder="1" applyAlignment="1">
      <alignment wrapText="1"/>
    </xf>
    <xf numFmtId="165" fontId="13" fillId="41" borderId="5" xfId="46" applyNumberFormat="1" applyFont="1" applyFill="1" applyBorder="1" applyAlignment="1">
      <alignment horizontal="right" wrapText="1"/>
    </xf>
    <xf numFmtId="0" fontId="61" fillId="0" borderId="5" xfId="0" applyFont="1" applyBorder="1" applyAlignment="1">
      <alignment horizontal="left" wrapText="1"/>
    </xf>
    <xf numFmtId="0" fontId="61" fillId="41" borderId="5" xfId="0" applyFont="1" applyFill="1" applyBorder="1" applyAlignment="1">
      <alignment horizontal="left" vertical="center" wrapText="1"/>
    </xf>
    <xf numFmtId="0" fontId="75" fillId="41" borderId="4" xfId="0" applyFont="1" applyFill="1" applyBorder="1" applyAlignment="1">
      <alignment horizontal="center"/>
    </xf>
    <xf numFmtId="0" fontId="46" fillId="0" borderId="5" xfId="82" applyFont="1" applyBorder="1" applyAlignment="1">
      <alignment wrapText="1"/>
    </xf>
    <xf numFmtId="164" fontId="0" fillId="41" borderId="5" xfId="46" applyNumberFormat="1" applyFont="1" applyFill="1" applyBorder="1" applyAlignment="1" applyProtection="1">
      <alignment horizontal="right" wrapText="1"/>
    </xf>
    <xf numFmtId="9" fontId="0" fillId="41" borderId="5" xfId="0" applyNumberFormat="1" applyFont="1" applyFill="1" applyBorder="1" applyAlignment="1">
      <alignment horizontal="center" wrapText="1"/>
    </xf>
    <xf numFmtId="9" fontId="0" fillId="41" borderId="5" xfId="0" applyNumberFormat="1" applyFont="1" applyFill="1" applyBorder="1" applyAlignment="1">
      <alignment horizontal="right" wrapText="1"/>
    </xf>
    <xf numFmtId="166" fontId="0" fillId="41" borderId="5" xfId="46" applyNumberFormat="1" applyFont="1" applyFill="1" applyBorder="1" applyAlignment="1" applyProtection="1">
      <alignment horizontal="left" wrapText="1"/>
    </xf>
    <xf numFmtId="166" fontId="0" fillId="41" borderId="9" xfId="46" applyNumberFormat="1" applyFont="1" applyFill="1" applyBorder="1" applyAlignment="1" applyProtection="1">
      <alignment horizontal="left" wrapText="1"/>
    </xf>
    <xf numFmtId="0" fontId="13" fillId="0" borderId="5" xfId="67" applyFont="1" applyFill="1" applyBorder="1" applyAlignment="1">
      <alignment horizontal="center" wrapText="1"/>
    </xf>
    <xf numFmtId="167" fontId="61" fillId="41" borderId="5" xfId="0" applyNumberFormat="1" applyFont="1" applyFill="1" applyBorder="1" applyAlignment="1">
      <alignment horizontal="left" wrapText="1"/>
    </xf>
    <xf numFmtId="164" fontId="69" fillId="0" borderId="5" xfId="40" applyNumberFormat="1" applyFont="1" applyFill="1" applyBorder="1" applyAlignment="1">
      <alignment horizontal="right" wrapText="1"/>
    </xf>
    <xf numFmtId="9" fontId="69" fillId="0" borderId="5" xfId="0" applyNumberFormat="1" applyFont="1" applyFill="1" applyBorder="1" applyAlignment="1">
      <alignment horizontal="center" wrapText="1"/>
    </xf>
    <xf numFmtId="9" fontId="69" fillId="0" borderId="5" xfId="0" applyNumberFormat="1" applyFont="1" applyFill="1" applyBorder="1" applyAlignment="1">
      <alignment horizontal="right" wrapText="1"/>
    </xf>
    <xf numFmtId="43" fontId="69" fillId="0" borderId="9" xfId="38" applyFont="1" applyFill="1" applyBorder="1" applyAlignment="1">
      <alignment horizontal="left" wrapText="1"/>
    </xf>
    <xf numFmtId="0" fontId="61" fillId="0" borderId="5" xfId="0" applyFont="1" applyBorder="1" applyAlignment="1">
      <alignment horizontal="left" vertical="top" wrapText="1"/>
    </xf>
    <xf numFmtId="0" fontId="42" fillId="32" borderId="0" xfId="0" applyFont="1" applyFill="1"/>
    <xf numFmtId="0" fontId="80" fillId="35" borderId="0" xfId="0" applyFont="1" applyFill="1" applyAlignment="1">
      <alignment vertical="center"/>
    </xf>
    <xf numFmtId="0" fontId="81" fillId="43" borderId="4" xfId="0" applyFont="1" applyFill="1" applyBorder="1" applyAlignment="1">
      <alignment horizontal="center" vertical="center"/>
    </xf>
    <xf numFmtId="0" fontId="81" fillId="43" borderId="5" xfId="0" applyFont="1" applyFill="1" applyBorder="1" applyAlignment="1">
      <alignment vertical="center"/>
    </xf>
    <xf numFmtId="0" fontId="81" fillId="43" borderId="5" xfId="0" applyFont="1" applyFill="1" applyBorder="1" applyAlignment="1">
      <alignment horizontal="center" vertical="center"/>
    </xf>
    <xf numFmtId="0" fontId="81" fillId="43" borderId="9" xfId="0" applyFont="1" applyFill="1" applyBorder="1" applyAlignment="1">
      <alignment vertical="center"/>
    </xf>
    <xf numFmtId="0" fontId="80" fillId="32" borderId="0" xfId="0" applyFont="1" applyFill="1" applyAlignment="1">
      <alignment vertical="center"/>
    </xf>
    <xf numFmtId="0" fontId="84" fillId="32" borderId="0" xfId="0" applyFont="1" applyFill="1"/>
    <xf numFmtId="0" fontId="13" fillId="32" borderId="5" xfId="67" applyFont="1" applyFill="1" applyBorder="1" applyAlignment="1"/>
    <xf numFmtId="0" fontId="53" fillId="43" borderId="5" xfId="0" applyFont="1" applyFill="1" applyBorder="1" applyAlignment="1">
      <alignment vertical="center"/>
    </xf>
    <xf numFmtId="0" fontId="92" fillId="32" borderId="5" xfId="0" applyNumberFormat="1" applyFont="1" applyFill="1" applyBorder="1" applyAlignment="1">
      <alignment horizontal="left" vertical="center" wrapText="1"/>
    </xf>
    <xf numFmtId="0" fontId="92" fillId="0" borderId="5" xfId="0" applyNumberFormat="1" applyFont="1" applyBorder="1" applyAlignment="1">
      <alignment horizontal="left" wrapText="1"/>
    </xf>
    <xf numFmtId="0" fontId="93" fillId="32" borderId="5" xfId="67" applyFont="1" applyFill="1" applyBorder="1" applyAlignment="1">
      <alignment horizontal="center" wrapText="1"/>
    </xf>
    <xf numFmtId="0" fontId="41" fillId="0" borderId="0" xfId="0" applyFont="1"/>
    <xf numFmtId="0" fontId="94" fillId="32" borderId="5" xfId="0" applyFont="1" applyFill="1" applyBorder="1" applyAlignment="1">
      <alignment horizontal="center"/>
    </xf>
    <xf numFmtId="0" fontId="95" fillId="0" borderId="5" xfId="0" applyFont="1" applyBorder="1" applyAlignment="1">
      <alignment wrapText="1"/>
    </xf>
    <xf numFmtId="0" fontId="95" fillId="0" borderId="5" xfId="0" applyFont="1" applyBorder="1"/>
    <xf numFmtId="0" fontId="95" fillId="32" borderId="5" xfId="67" applyFont="1" applyFill="1" applyBorder="1" applyAlignment="1">
      <alignment horizontal="center" wrapText="1"/>
    </xf>
    <xf numFmtId="164" fontId="95" fillId="33" borderId="5" xfId="40" applyNumberFormat="1" applyFont="1" applyFill="1" applyBorder="1" applyAlignment="1">
      <alignment horizontal="right" wrapText="1"/>
    </xf>
    <xf numFmtId="9" fontId="95" fillId="15" borderId="5" xfId="0" applyNumberFormat="1" applyFont="1" applyFill="1" applyBorder="1" applyAlignment="1">
      <alignment horizontal="center" wrapText="1"/>
    </xf>
    <xf numFmtId="9" fontId="95" fillId="15" borderId="5" xfId="0" applyNumberFormat="1" applyFont="1" applyFill="1" applyBorder="1" applyAlignment="1">
      <alignment horizontal="right" wrapText="1"/>
    </xf>
    <xf numFmtId="164" fontId="95" fillId="15" borderId="5" xfId="38" applyNumberFormat="1" applyFont="1" applyFill="1" applyBorder="1" applyAlignment="1">
      <alignment horizontal="left" wrapText="1"/>
    </xf>
    <xf numFmtId="43" fontId="95" fillId="15" borderId="5" xfId="38" applyFont="1" applyFill="1" applyBorder="1" applyAlignment="1">
      <alignment horizontal="left" wrapText="1"/>
    </xf>
    <xf numFmtId="0" fontId="41" fillId="32" borderId="0" xfId="0" applyFont="1" applyFill="1"/>
    <xf numFmtId="0" fontId="96" fillId="32" borderId="4" xfId="0" applyFont="1" applyFill="1" applyBorder="1" applyAlignment="1">
      <alignment horizontal="center"/>
    </xf>
    <xf numFmtId="0" fontId="95" fillId="32" borderId="5" xfId="67" applyFont="1" applyFill="1" applyBorder="1" applyAlignment="1">
      <alignment wrapText="1"/>
    </xf>
    <xf numFmtId="0" fontId="93" fillId="32" borderId="5" xfId="67" applyFont="1" applyFill="1" applyBorder="1" applyAlignment="1">
      <alignment horizontal="center" vertical="center" wrapText="1"/>
    </xf>
    <xf numFmtId="164" fontId="97" fillId="33" borderId="5" xfId="40" applyNumberFormat="1" applyFont="1" applyFill="1" applyBorder="1" applyAlignment="1">
      <alignment horizontal="right" wrapText="1"/>
    </xf>
    <xf numFmtId="9" fontId="97" fillId="15" borderId="5" xfId="0" applyNumberFormat="1" applyFont="1" applyFill="1" applyBorder="1" applyAlignment="1">
      <alignment horizontal="center" wrapText="1"/>
    </xf>
    <xf numFmtId="9" fontId="97" fillId="15" borderId="5" xfId="0" applyNumberFormat="1" applyFont="1" applyFill="1" applyBorder="1" applyAlignment="1">
      <alignment horizontal="right" wrapText="1"/>
    </xf>
    <xf numFmtId="43" fontId="97" fillId="15" borderId="5" xfId="38" applyFont="1" applyFill="1" applyBorder="1" applyAlignment="1">
      <alignment horizontal="left" wrapText="1"/>
    </xf>
    <xf numFmtId="43" fontId="97" fillId="15" borderId="9" xfId="38" applyFont="1" applyFill="1" applyBorder="1" applyAlignment="1">
      <alignment horizontal="left" wrapText="1"/>
    </xf>
    <xf numFmtId="0" fontId="0" fillId="41" borderId="5" xfId="0" applyFont="1" applyFill="1" applyBorder="1" applyAlignment="1">
      <alignment wrapText="1"/>
    </xf>
    <xf numFmtId="0" fontId="53" fillId="43" borderId="5" xfId="0" applyFont="1" applyFill="1" applyBorder="1" applyAlignment="1">
      <alignment horizontal="left" vertical="center"/>
    </xf>
    <xf numFmtId="0" fontId="44" fillId="0" borderId="5" xfId="0" applyNumberFormat="1" applyFont="1" applyBorder="1" applyAlignment="1">
      <alignment horizontal="left" vertical="top" wrapText="1"/>
    </xf>
    <xf numFmtId="0" fontId="44" fillId="32" borderId="5" xfId="0" applyNumberFormat="1" applyFont="1" applyFill="1" applyBorder="1" applyAlignment="1">
      <alignment horizontal="left" vertical="top" wrapText="1"/>
    </xf>
    <xf numFmtId="0" fontId="2" fillId="0" borderId="5" xfId="83" applyFont="1" applyFill="1" applyBorder="1" applyAlignment="1">
      <alignment horizontal="left" vertical="top" wrapText="1"/>
    </xf>
    <xf numFmtId="0" fontId="2" fillId="0" borderId="5" xfId="83" applyFont="1" applyFill="1" applyBorder="1" applyAlignment="1">
      <alignment horizontal="left" vertical="center" wrapText="1"/>
    </xf>
    <xf numFmtId="0" fontId="99" fillId="0" borderId="5" xfId="83" applyFont="1" applyFill="1" applyBorder="1" applyAlignment="1">
      <alignment horizontal="left" vertical="center" wrapText="1"/>
    </xf>
    <xf numFmtId="0" fontId="100" fillId="0" borderId="5" xfId="0" applyFont="1" applyFill="1" applyBorder="1" applyAlignment="1">
      <alignment vertical="top" wrapText="1"/>
    </xf>
    <xf numFmtId="0" fontId="2" fillId="0" borderId="43" xfId="90" applyFont="1" applyBorder="1" applyAlignment="1">
      <alignment horizontal="center" vertical="center"/>
    </xf>
    <xf numFmtId="0" fontId="2" fillId="0" borderId="43" xfId="91" applyFont="1" applyBorder="1" applyAlignment="1">
      <alignment horizontal="center" vertical="center" wrapText="1"/>
    </xf>
    <xf numFmtId="0" fontId="2" fillId="0" borderId="44" xfId="90" applyFont="1" applyBorder="1" applyAlignment="1">
      <alignment horizontal="left" vertical="top" wrapText="1"/>
    </xf>
    <xf numFmtId="0" fontId="0" fillId="45" borderId="0" xfId="0" applyFill="1"/>
    <xf numFmtId="0" fontId="56" fillId="0" borderId="5" xfId="0" applyNumberFormat="1" applyFont="1" applyBorder="1" applyAlignment="1">
      <alignment vertical="center" wrapText="1"/>
    </xf>
    <xf numFmtId="0" fontId="53" fillId="43" borderId="5" xfId="0" applyFont="1" applyFill="1" applyBorder="1" applyAlignment="1">
      <alignment horizontal="left"/>
    </xf>
    <xf numFmtId="0" fontId="105" fillId="32" borderId="5" xfId="0" applyFont="1" applyFill="1" applyBorder="1" applyAlignment="1">
      <alignment horizontal="center"/>
    </xf>
    <xf numFmtId="0" fontId="41" fillId="0" borderId="5" xfId="0" applyFont="1" applyBorder="1"/>
    <xf numFmtId="0" fontId="41" fillId="0" borderId="5" xfId="0" applyFont="1" applyBorder="1" applyAlignment="1">
      <alignment vertical="top" wrapText="1"/>
    </xf>
    <xf numFmtId="164" fontId="106" fillId="33" borderId="5" xfId="40" applyNumberFormat="1" applyFont="1" applyFill="1" applyBorder="1" applyAlignment="1">
      <alignment horizontal="right" wrapText="1"/>
    </xf>
    <xf numFmtId="9" fontId="106" fillId="15" borderId="5" xfId="0" applyNumberFormat="1" applyFont="1" applyFill="1" applyBorder="1" applyAlignment="1">
      <alignment horizontal="center" wrapText="1"/>
    </xf>
    <xf numFmtId="9" fontId="106" fillId="15" borderId="5" xfId="0" applyNumberFormat="1" applyFont="1" applyFill="1" applyBorder="1" applyAlignment="1">
      <alignment horizontal="right" wrapText="1"/>
    </xf>
    <xf numFmtId="43" fontId="106" fillId="15" borderId="5" xfId="38" applyFont="1" applyFill="1" applyBorder="1" applyAlignment="1">
      <alignment horizontal="left" wrapText="1"/>
    </xf>
    <xf numFmtId="43" fontId="95" fillId="32" borderId="5" xfId="39" applyFont="1" applyFill="1" applyBorder="1" applyAlignment="1">
      <alignment horizontal="center" wrapText="1"/>
    </xf>
    <xf numFmtId="43" fontId="69" fillId="15" borderId="5" xfId="38" applyFont="1" applyFill="1" applyBorder="1" applyAlignment="1">
      <alignment horizontal="left" wrapText="1"/>
    </xf>
    <xf numFmtId="164" fontId="97" fillId="15" borderId="5" xfId="38" applyNumberFormat="1" applyFont="1" applyFill="1" applyBorder="1" applyAlignment="1">
      <alignment horizontal="left" wrapText="1"/>
    </xf>
    <xf numFmtId="0" fontId="108" fillId="0" borderId="5" xfId="0" applyFont="1" applyBorder="1" applyAlignment="1">
      <alignment wrapText="1"/>
    </xf>
    <xf numFmtId="0" fontId="0" fillId="0" borderId="0" xfId="0" applyAlignment="1">
      <alignment wrapText="1"/>
    </xf>
    <xf numFmtId="0" fontId="0" fillId="0" borderId="0" xfId="0" applyAlignment="1">
      <alignment vertical="top" wrapText="1"/>
    </xf>
    <xf numFmtId="0" fontId="42" fillId="46" borderId="5" xfId="0" applyNumberFormat="1" applyFont="1" applyFill="1" applyBorder="1" applyAlignment="1">
      <alignment horizontal="left" vertical="center" wrapText="1"/>
    </xf>
    <xf numFmtId="0" fontId="0" fillId="0" borderId="5" xfId="0" applyNumberFormat="1" applyFont="1" applyBorder="1" applyAlignment="1">
      <alignment wrapText="1"/>
    </xf>
    <xf numFmtId="0" fontId="0" fillId="0" borderId="5" xfId="0" applyNumberFormat="1" applyFont="1" applyBorder="1" applyAlignment="1">
      <alignment vertical="center" wrapText="1"/>
    </xf>
    <xf numFmtId="164" fontId="43" fillId="14" borderId="5" xfId="0" applyNumberFormat="1" applyFont="1" applyFill="1" applyBorder="1" applyAlignment="1">
      <alignment horizontal="right" vertical="center"/>
    </xf>
    <xf numFmtId="7" fontId="42" fillId="36" borderId="5" xfId="0" applyNumberFormat="1" applyFont="1" applyFill="1" applyBorder="1" applyAlignment="1">
      <alignment horizontal="right"/>
    </xf>
    <xf numFmtId="0" fontId="109" fillId="0" borderId="0" xfId="0" applyFont="1"/>
    <xf numFmtId="0" fontId="110" fillId="32" borderId="4" xfId="0" applyFont="1" applyFill="1" applyBorder="1" applyAlignment="1">
      <alignment horizontal="center"/>
    </xf>
    <xf numFmtId="0" fontId="107" fillId="32" borderId="5" xfId="0" applyNumberFormat="1" applyFont="1" applyFill="1" applyBorder="1" applyAlignment="1">
      <alignment horizontal="left" vertical="top" wrapText="1"/>
    </xf>
    <xf numFmtId="0" fontId="107" fillId="32" borderId="5" xfId="0" applyNumberFormat="1" applyFont="1" applyFill="1" applyBorder="1" applyAlignment="1">
      <alignment vertical="top" wrapText="1"/>
    </xf>
    <xf numFmtId="0" fontId="111" fillId="32" borderId="5" xfId="67" applyFont="1" applyFill="1" applyBorder="1" applyAlignment="1">
      <alignment horizontal="center" wrapText="1"/>
    </xf>
    <xf numFmtId="164" fontId="112" fillId="33" borderId="5" xfId="40" applyNumberFormat="1" applyFont="1" applyFill="1" applyBorder="1" applyAlignment="1">
      <alignment horizontal="right" wrapText="1"/>
    </xf>
    <xf numFmtId="9" fontId="112" fillId="15" borderId="5" xfId="0" applyNumberFormat="1" applyFont="1" applyFill="1" applyBorder="1" applyAlignment="1">
      <alignment horizontal="center" wrapText="1"/>
    </xf>
    <xf numFmtId="9" fontId="112" fillId="15" borderId="5" xfId="0" applyNumberFormat="1" applyFont="1" applyFill="1" applyBorder="1" applyAlignment="1">
      <alignment horizontal="right" wrapText="1"/>
    </xf>
    <xf numFmtId="164" fontId="112" fillId="15" borderId="5" xfId="38" applyNumberFormat="1" applyFont="1" applyFill="1" applyBorder="1" applyAlignment="1">
      <alignment horizontal="left" wrapText="1"/>
    </xf>
    <xf numFmtId="43" fontId="112" fillId="15" borderId="9" xfId="38" applyFont="1" applyFill="1" applyBorder="1" applyAlignment="1">
      <alignment horizontal="left" wrapText="1"/>
    </xf>
    <xf numFmtId="0" fontId="109" fillId="32" borderId="0" xfId="0" applyFont="1" applyFill="1"/>
    <xf numFmtId="0" fontId="113" fillId="32" borderId="5" xfId="0" applyNumberFormat="1" applyFont="1" applyFill="1" applyBorder="1" applyAlignment="1">
      <alignment horizontal="left" vertical="center" wrapText="1"/>
    </xf>
    <xf numFmtId="0" fontId="113" fillId="0" borderId="5" xfId="0" applyNumberFormat="1" applyFont="1" applyBorder="1" applyAlignment="1">
      <alignment horizontal="left" wrapText="1"/>
    </xf>
    <xf numFmtId="0" fontId="114" fillId="32" borderId="5" xfId="67" applyFont="1" applyFill="1" applyBorder="1" applyAlignment="1">
      <alignment horizontal="center" wrapText="1"/>
    </xf>
    <xf numFmtId="43" fontId="111" fillId="32" borderId="5" xfId="39" applyFont="1" applyFill="1" applyBorder="1" applyAlignment="1">
      <alignment horizontal="center" wrapText="1"/>
    </xf>
    <xf numFmtId="0" fontId="53" fillId="43" borderId="5" xfId="0" applyFont="1" applyFill="1" applyBorder="1" applyAlignment="1">
      <alignment horizontal="left" vertical="center"/>
    </xf>
    <xf numFmtId="43" fontId="85" fillId="43" borderId="9" xfId="38" applyFont="1" applyFill="1" applyBorder="1" applyAlignment="1"/>
    <xf numFmtId="0" fontId="70" fillId="32" borderId="43" xfId="0" applyFont="1" applyFill="1" applyBorder="1"/>
    <xf numFmtId="0" fontId="70" fillId="0" borderId="44" xfId="0" applyFont="1" applyBorder="1" applyAlignment="1">
      <alignment horizontal="center"/>
    </xf>
    <xf numFmtId="0" fontId="0" fillId="0" borderId="5" xfId="0" applyFont="1" applyBorder="1" applyAlignment="1">
      <alignment horizontal="center"/>
    </xf>
    <xf numFmtId="43" fontId="8" fillId="47" borderId="5" xfId="38" applyFont="1" applyFill="1" applyBorder="1" applyAlignment="1">
      <alignment horizontal="left" wrapText="1"/>
    </xf>
    <xf numFmtId="0" fontId="48" fillId="0" borderId="0" xfId="0" applyFont="1" applyAlignment="1">
      <alignment wrapText="1"/>
    </xf>
    <xf numFmtId="0" fontId="13" fillId="41" borderId="5" xfId="46" applyFont="1" applyFill="1" applyBorder="1" applyAlignment="1">
      <alignment horizontal="center" vertical="center" wrapText="1"/>
    </xf>
    <xf numFmtId="0" fontId="42" fillId="41" borderId="5" xfId="0" applyFont="1" applyFill="1" applyBorder="1" applyAlignment="1">
      <alignment wrapText="1"/>
    </xf>
    <xf numFmtId="0" fontId="66" fillId="0" borderId="5" xfId="0" applyNumberFormat="1" applyFont="1" applyBorder="1" applyAlignment="1">
      <alignment horizontal="center" wrapText="1"/>
    </xf>
    <xf numFmtId="44" fontId="90" fillId="0" borderId="5" xfId="81" applyFont="1" applyBorder="1" applyAlignment="1">
      <alignment horizontal="center" vertical="center" wrapText="1"/>
    </xf>
    <xf numFmtId="0" fontId="69" fillId="0" borderId="44" xfId="0" applyFont="1" applyBorder="1" applyAlignment="1">
      <alignment horizontal="center" vertical="center" wrapText="1"/>
    </xf>
    <xf numFmtId="43" fontId="107" fillId="32" borderId="5" xfId="0" applyNumberFormat="1" applyFont="1" applyFill="1" applyBorder="1" applyAlignment="1">
      <alignment horizontal="right"/>
    </xf>
    <xf numFmtId="0" fontId="53" fillId="43" borderId="5" xfId="0" applyFont="1" applyFill="1" applyBorder="1" applyAlignment="1">
      <alignment horizontal="left" vertical="center"/>
    </xf>
    <xf numFmtId="0" fontId="0" fillId="0" borderId="44" xfId="0" applyFont="1" applyFill="1" applyBorder="1" applyAlignment="1">
      <alignment wrapText="1"/>
    </xf>
    <xf numFmtId="0" fontId="24" fillId="0" borderId="46" xfId="0" applyFont="1" applyBorder="1" applyAlignment="1">
      <alignment vertical="center" wrapText="1"/>
    </xf>
    <xf numFmtId="0" fontId="36" fillId="0" borderId="5" xfId="0" applyFont="1" applyBorder="1"/>
    <xf numFmtId="0" fontId="24" fillId="0" borderId="5" xfId="0" applyFont="1" applyBorder="1" applyAlignment="1">
      <alignment vertical="center"/>
    </xf>
    <xf numFmtId="0" fontId="53" fillId="43" borderId="5" xfId="0" applyFont="1" applyFill="1" applyBorder="1" applyAlignment="1">
      <alignment horizontal="left" vertical="center"/>
    </xf>
    <xf numFmtId="0" fontId="53" fillId="45" borderId="4" xfId="0" applyFont="1" applyFill="1" applyBorder="1" applyAlignment="1">
      <alignment horizontal="center" vertical="top"/>
    </xf>
    <xf numFmtId="0" fontId="53" fillId="45" borderId="5" xfId="0" applyFont="1" applyFill="1" applyBorder="1" applyAlignment="1">
      <alignment horizontal="left"/>
    </xf>
    <xf numFmtId="0" fontId="53" fillId="45" borderId="5" xfId="0" applyFont="1" applyFill="1" applyBorder="1" applyAlignment="1">
      <alignment horizontal="center"/>
    </xf>
    <xf numFmtId="0" fontId="53" fillId="45" borderId="5" xfId="0" applyFont="1" applyFill="1" applyBorder="1" applyAlignment="1"/>
    <xf numFmtId="0" fontId="53" fillId="45" borderId="9" xfId="0" applyFont="1" applyFill="1" applyBorder="1" applyAlignment="1"/>
    <xf numFmtId="0" fontId="9" fillId="45" borderId="4" xfId="0" applyFont="1" applyFill="1" applyBorder="1" applyAlignment="1">
      <alignment horizontal="center"/>
    </xf>
    <xf numFmtId="0" fontId="15" fillId="45" borderId="5" xfId="67" applyFont="1" applyFill="1" applyBorder="1" applyAlignment="1">
      <alignment wrapText="1"/>
    </xf>
    <xf numFmtId="0" fontId="2" fillId="45" borderId="5" xfId="83" applyFont="1" applyFill="1" applyBorder="1" applyAlignment="1">
      <alignment horizontal="left" vertical="top" wrapText="1"/>
    </xf>
    <xf numFmtId="0" fontId="15" fillId="45" borderId="5" xfId="67" applyFont="1" applyFill="1" applyBorder="1" applyAlignment="1">
      <alignment horizontal="center" wrapText="1"/>
    </xf>
    <xf numFmtId="43" fontId="46" fillId="45" borderId="0" xfId="38" applyFont="1" applyFill="1"/>
    <xf numFmtId="164" fontId="8" fillId="47" borderId="5" xfId="40" applyNumberFormat="1" applyFont="1" applyFill="1" applyBorder="1" applyAlignment="1">
      <alignment horizontal="right" wrapText="1"/>
    </xf>
    <xf numFmtId="9" fontId="8" fillId="47" borderId="5" xfId="0" applyNumberFormat="1" applyFont="1" applyFill="1" applyBorder="1" applyAlignment="1">
      <alignment horizontal="center" wrapText="1"/>
    </xf>
    <xf numFmtId="9" fontId="8" fillId="47" borderId="5" xfId="0" applyNumberFormat="1" applyFont="1" applyFill="1" applyBorder="1" applyAlignment="1">
      <alignment horizontal="right" wrapText="1"/>
    </xf>
    <xf numFmtId="43" fontId="8" fillId="47" borderId="9" xfId="38" applyFont="1" applyFill="1" applyBorder="1" applyAlignment="1">
      <alignment horizontal="left" wrapText="1"/>
    </xf>
    <xf numFmtId="0" fontId="94" fillId="32" borderId="5" xfId="0" applyFont="1" applyFill="1" applyBorder="1" applyAlignment="1">
      <alignment horizontal="justify" vertical="center" wrapText="1"/>
    </xf>
    <xf numFmtId="0" fontId="95" fillId="32" borderId="5" xfId="0" applyFont="1" applyFill="1" applyBorder="1" applyAlignment="1">
      <alignment vertical="top" wrapText="1"/>
    </xf>
    <xf numFmtId="0" fontId="95" fillId="32" borderId="5" xfId="0" applyFont="1" applyFill="1" applyBorder="1"/>
    <xf numFmtId="164" fontId="95" fillId="42" borderId="5" xfId="40" applyNumberFormat="1" applyFont="1" applyFill="1" applyBorder="1" applyAlignment="1">
      <alignment horizontal="right" wrapText="1"/>
    </xf>
    <xf numFmtId="9" fontId="95" fillId="42" borderId="5" xfId="0" applyNumberFormat="1" applyFont="1" applyFill="1" applyBorder="1" applyAlignment="1">
      <alignment horizontal="center" wrapText="1"/>
    </xf>
    <xf numFmtId="9" fontId="95" fillId="42" borderId="5" xfId="0" applyNumberFormat="1" applyFont="1" applyFill="1" applyBorder="1" applyAlignment="1">
      <alignment horizontal="right" wrapText="1"/>
    </xf>
    <xf numFmtId="164" fontId="95" fillId="42" borderId="5" xfId="38" applyNumberFormat="1" applyFont="1" applyFill="1" applyBorder="1" applyAlignment="1">
      <alignment horizontal="left" wrapText="1"/>
    </xf>
    <xf numFmtId="43" fontId="95" fillId="42" borderId="5" xfId="38" applyFont="1" applyFill="1" applyBorder="1" applyAlignment="1">
      <alignment horizontal="left" wrapText="1"/>
    </xf>
    <xf numFmtId="0" fontId="94" fillId="0" borderId="5" xfId="0" applyFont="1" applyBorder="1" applyAlignment="1">
      <alignment horizontal="justify" vertical="center" wrapText="1"/>
    </xf>
    <xf numFmtId="0" fontId="95" fillId="0" borderId="5" xfId="0" applyFont="1" applyBorder="1" applyAlignment="1">
      <alignment vertical="top" wrapText="1"/>
    </xf>
    <xf numFmtId="165" fontId="93" fillId="32" borderId="5" xfId="67" applyNumberFormat="1" applyFont="1" applyFill="1" applyBorder="1" applyAlignment="1">
      <alignment horizontal="right" wrapText="1"/>
    </xf>
    <xf numFmtId="0" fontId="9" fillId="45" borderId="5" xfId="0" applyFont="1" applyFill="1" applyBorder="1" applyAlignment="1">
      <alignment horizontal="center"/>
    </xf>
    <xf numFmtId="0" fontId="74" fillId="45" borderId="5" xfId="0" applyFont="1" applyFill="1" applyBorder="1" applyAlignment="1">
      <alignment wrapText="1"/>
    </xf>
    <xf numFmtId="0" fontId="46" fillId="45" borderId="5" xfId="0" applyFont="1" applyFill="1" applyBorder="1" applyAlignment="1">
      <alignment wrapText="1"/>
    </xf>
    <xf numFmtId="165" fontId="15" fillId="45" borderId="5" xfId="67" applyNumberFormat="1" applyFont="1" applyFill="1" applyBorder="1" applyAlignment="1">
      <alignment horizontal="right" wrapText="1"/>
    </xf>
    <xf numFmtId="0" fontId="81" fillId="45" borderId="5" xfId="0" applyNumberFormat="1" applyFont="1" applyFill="1" applyBorder="1" applyAlignment="1">
      <alignment horizontal="center" vertical="top"/>
    </xf>
    <xf numFmtId="0" fontId="81" fillId="45" borderId="5" xfId="0" applyNumberFormat="1" applyFont="1" applyFill="1" applyBorder="1" applyAlignment="1">
      <alignment horizontal="center"/>
    </xf>
    <xf numFmtId="0" fontId="81" fillId="45" borderId="5" xfId="0" applyNumberFormat="1" applyFont="1" applyFill="1" applyBorder="1" applyAlignment="1"/>
    <xf numFmtId="0" fontId="80" fillId="45" borderId="0" xfId="0" applyFont="1" applyFill="1"/>
    <xf numFmtId="0" fontId="72" fillId="45" borderId="4" xfId="0" applyFont="1" applyFill="1" applyBorder="1" applyAlignment="1">
      <alignment horizontal="center"/>
    </xf>
    <xf numFmtId="0" fontId="70" fillId="45" borderId="0" xfId="0" applyFont="1" applyFill="1"/>
    <xf numFmtId="0" fontId="70" fillId="45" borderId="0" xfId="0" applyFont="1" applyFill="1" applyAlignment="1">
      <alignment vertical="top" wrapText="1"/>
    </xf>
    <xf numFmtId="0" fontId="70" fillId="45" borderId="5" xfId="0" applyFont="1" applyFill="1" applyBorder="1" applyAlignment="1">
      <alignment horizontal="center"/>
    </xf>
    <xf numFmtId="7" fontId="71" fillId="48" borderId="5" xfId="0" applyNumberFormat="1" applyFont="1" applyFill="1" applyBorder="1" applyAlignment="1">
      <alignment horizontal="right"/>
    </xf>
    <xf numFmtId="164" fontId="73" fillId="47" borderId="5" xfId="40" applyNumberFormat="1" applyFont="1" applyFill="1" applyBorder="1" applyAlignment="1">
      <alignment horizontal="right" wrapText="1"/>
    </xf>
    <xf numFmtId="9" fontId="73" fillId="47" borderId="5" xfId="0" applyNumberFormat="1" applyFont="1" applyFill="1" applyBorder="1" applyAlignment="1">
      <alignment horizontal="center" wrapText="1"/>
    </xf>
    <xf numFmtId="9" fontId="73" fillId="47" borderId="5" xfId="0" applyNumberFormat="1" applyFont="1" applyFill="1" applyBorder="1" applyAlignment="1">
      <alignment horizontal="right" wrapText="1"/>
    </xf>
    <xf numFmtId="43" fontId="73" fillId="47" borderId="9" xfId="38" applyFont="1" applyFill="1" applyBorder="1" applyAlignment="1">
      <alignment horizontal="left" wrapText="1"/>
    </xf>
    <xf numFmtId="0" fontId="115" fillId="32" borderId="5" xfId="0" applyFont="1" applyFill="1" applyBorder="1" applyAlignment="1">
      <alignment vertical="center"/>
    </xf>
    <xf numFmtId="0" fontId="115" fillId="32" borderId="5" xfId="0" applyFont="1" applyFill="1" applyBorder="1" applyAlignment="1">
      <alignment vertical="top" wrapText="1"/>
    </xf>
    <xf numFmtId="165" fontId="95" fillId="32" borderId="5" xfId="67" applyNumberFormat="1" applyFont="1" applyFill="1" applyBorder="1" applyAlignment="1">
      <alignment horizontal="right" wrapText="1"/>
    </xf>
    <xf numFmtId="0" fontId="0" fillId="35" borderId="0" xfId="0" applyFill="1"/>
    <xf numFmtId="43" fontId="41" fillId="0" borderId="0" xfId="38" applyFont="1"/>
    <xf numFmtId="0" fontId="66" fillId="32" borderId="5" xfId="0" applyFont="1" applyFill="1" applyBorder="1" applyAlignment="1">
      <alignment horizontal="left" vertical="center" wrapText="1"/>
    </xf>
    <xf numFmtId="0" fontId="66" fillId="0" borderId="5" xfId="0" applyFont="1" applyBorder="1" applyAlignment="1">
      <alignment horizontal="left" wrapText="1"/>
    </xf>
    <xf numFmtId="164" fontId="69" fillId="15" borderId="5" xfId="38" applyNumberFormat="1" applyFont="1" applyFill="1" applyBorder="1" applyAlignment="1">
      <alignment horizontal="left" wrapText="1"/>
    </xf>
    <xf numFmtId="0" fontId="90" fillId="32" borderId="5" xfId="0" applyFont="1" applyFill="1" applyBorder="1" applyAlignment="1">
      <alignment horizontal="justify" vertical="center" wrapText="1"/>
    </xf>
    <xf numFmtId="0" fontId="69" fillId="32" borderId="5" xfId="0" applyNumberFormat="1" applyFont="1" applyFill="1" applyBorder="1" applyAlignment="1">
      <alignment horizontal="center" vertical="center"/>
    </xf>
    <xf numFmtId="44" fontId="90" fillId="32" borderId="5" xfId="81" applyFont="1" applyFill="1" applyBorder="1" applyAlignment="1">
      <alignment horizontal="center" vertical="center" wrapText="1"/>
    </xf>
    <xf numFmtId="164" fontId="69" fillId="32" borderId="5" xfId="40" applyNumberFormat="1" applyFont="1" applyFill="1" applyBorder="1" applyAlignment="1">
      <alignment horizontal="right" wrapText="1"/>
    </xf>
    <xf numFmtId="9" fontId="69" fillId="32" borderId="5" xfId="0" applyNumberFormat="1" applyFont="1" applyFill="1" applyBorder="1" applyAlignment="1">
      <alignment horizontal="center" wrapText="1"/>
    </xf>
    <xf numFmtId="9" fontId="69" fillId="32" borderId="5" xfId="0" applyNumberFormat="1" applyFont="1" applyFill="1" applyBorder="1" applyAlignment="1">
      <alignment horizontal="right" wrapText="1"/>
    </xf>
    <xf numFmtId="43" fontId="69" fillId="32" borderId="9" xfId="38" applyFont="1" applyFill="1" applyBorder="1" applyAlignment="1">
      <alignment horizontal="left" wrapText="1"/>
    </xf>
    <xf numFmtId="0" fontId="53" fillId="43" borderId="5" xfId="0" applyFont="1" applyFill="1" applyBorder="1" applyAlignment="1">
      <alignment horizontal="left"/>
    </xf>
    <xf numFmtId="0" fontId="69" fillId="0" borderId="44" xfId="0" applyFont="1" applyBorder="1" applyAlignment="1">
      <alignment horizontal="center" vertical="center"/>
    </xf>
    <xf numFmtId="0" fontId="69" fillId="32" borderId="44" xfId="0" applyFont="1" applyFill="1" applyBorder="1" applyAlignment="1">
      <alignment horizontal="center" vertical="center"/>
    </xf>
    <xf numFmtId="0" fontId="89" fillId="43" borderId="40" xfId="0" applyFont="1" applyFill="1" applyBorder="1" applyAlignment="1">
      <alignment horizontal="center" wrapText="1"/>
    </xf>
    <xf numFmtId="0" fontId="89" fillId="43" borderId="41" xfId="0" applyFont="1" applyFill="1" applyBorder="1" applyAlignment="1">
      <alignment horizontal="center" wrapText="1"/>
    </xf>
    <xf numFmtId="0" fontId="79" fillId="43" borderId="17" xfId="0" applyFont="1" applyFill="1" applyBorder="1" applyAlignment="1">
      <alignment horizontal="center"/>
    </xf>
    <xf numFmtId="0" fontId="79" fillId="43" borderId="18" xfId="0" applyFont="1" applyFill="1" applyBorder="1" applyAlignment="1">
      <alignment horizontal="center"/>
    </xf>
    <xf numFmtId="0" fontId="79" fillId="43" borderId="19" xfId="0" applyFont="1" applyFill="1" applyBorder="1" applyAlignment="1">
      <alignment horizontal="center"/>
    </xf>
    <xf numFmtId="0" fontId="81" fillId="45" borderId="5" xfId="0" applyNumberFormat="1" applyFont="1" applyFill="1" applyBorder="1" applyAlignment="1">
      <alignment horizontal="left"/>
    </xf>
    <xf numFmtId="0" fontId="79" fillId="43" borderId="5" xfId="0" applyNumberFormat="1" applyFont="1" applyFill="1" applyBorder="1" applyAlignment="1">
      <alignment horizontal="center"/>
    </xf>
    <xf numFmtId="0" fontId="81" fillId="43" borderId="5" xfId="0" applyNumberFormat="1" applyFont="1" applyFill="1" applyBorder="1" applyAlignment="1">
      <alignment horizontal="left"/>
    </xf>
    <xf numFmtId="0" fontId="53" fillId="43" borderId="5" xfId="0" applyNumberFormat="1" applyFont="1" applyFill="1" applyBorder="1" applyAlignment="1">
      <alignment horizontal="left" wrapText="1"/>
    </xf>
    <xf numFmtId="0" fontId="53" fillId="45" borderId="5" xfId="0" applyNumberFormat="1" applyFont="1" applyFill="1" applyBorder="1" applyAlignment="1">
      <alignment horizontal="left" wrapText="1"/>
    </xf>
    <xf numFmtId="0" fontId="53" fillId="43" borderId="5" xfId="0" applyFont="1" applyFill="1" applyBorder="1" applyAlignment="1">
      <alignment horizontal="left"/>
    </xf>
    <xf numFmtId="0" fontId="79" fillId="43" borderId="5" xfId="0" applyFont="1" applyFill="1" applyBorder="1" applyAlignment="1">
      <alignment horizontal="center"/>
    </xf>
    <xf numFmtId="0" fontId="53" fillId="43" borderId="43" xfId="0" applyFont="1" applyFill="1" applyBorder="1" applyAlignment="1">
      <alignment horizontal="left" vertical="center"/>
    </xf>
    <xf numFmtId="0" fontId="53" fillId="43" borderId="44" xfId="0" applyFont="1" applyFill="1" applyBorder="1" applyAlignment="1">
      <alignment horizontal="left" vertical="center"/>
    </xf>
    <xf numFmtId="0" fontId="53" fillId="43" borderId="5" xfId="0" applyFont="1" applyFill="1" applyBorder="1" applyAlignment="1">
      <alignment horizontal="left" vertical="center"/>
    </xf>
    <xf numFmtId="0" fontId="65" fillId="43" borderId="5" xfId="0" applyFont="1" applyFill="1" applyBorder="1" applyAlignment="1">
      <alignment horizontal="left"/>
    </xf>
    <xf numFmtId="0" fontId="86" fillId="43" borderId="5" xfId="0" applyFont="1" applyFill="1" applyBorder="1" applyAlignment="1">
      <alignment horizontal="center"/>
    </xf>
    <xf numFmtId="0" fontId="69" fillId="0" borderId="42" xfId="0" applyFont="1" applyBorder="1" applyAlignment="1">
      <alignment horizontal="center" vertical="center"/>
    </xf>
    <xf numFmtId="0" fontId="69" fillId="0" borderId="44" xfId="0" applyFont="1" applyBorder="1" applyAlignment="1">
      <alignment horizontal="center" vertical="center"/>
    </xf>
    <xf numFmtId="0" fontId="69" fillId="32" borderId="42" xfId="0" applyFont="1" applyFill="1" applyBorder="1" applyAlignment="1">
      <alignment horizontal="center" vertical="center"/>
    </xf>
    <xf numFmtId="0" fontId="69" fillId="32" borderId="44" xfId="0" applyFont="1" applyFill="1" applyBorder="1" applyAlignment="1">
      <alignment horizontal="center" vertical="center"/>
    </xf>
    <xf numFmtId="0" fontId="81" fillId="43" borderId="43" xfId="0" applyFont="1" applyFill="1" applyBorder="1" applyAlignment="1">
      <alignment horizontal="left" vertical="center"/>
    </xf>
    <xf numFmtId="0" fontId="81" fillId="43" borderId="45" xfId="0" applyFont="1" applyFill="1" applyBorder="1" applyAlignment="1">
      <alignment horizontal="left" vertical="center"/>
    </xf>
    <xf numFmtId="0" fontId="81" fillId="43" borderId="11" xfId="0" applyFont="1" applyFill="1" applyBorder="1" applyAlignment="1">
      <alignment horizontal="left" vertical="center"/>
    </xf>
    <xf numFmtId="0" fontId="81" fillId="43" borderId="43" xfId="0" applyFont="1" applyFill="1" applyBorder="1" applyAlignment="1">
      <alignment horizontal="left" vertical="center" wrapText="1"/>
    </xf>
    <xf numFmtId="0" fontId="81" fillId="43" borderId="45" xfId="0" applyFont="1" applyFill="1" applyBorder="1" applyAlignment="1">
      <alignment horizontal="left" vertical="center" wrapText="1"/>
    </xf>
    <xf numFmtId="0" fontId="81" fillId="43" borderId="11" xfId="0" applyFont="1" applyFill="1" applyBorder="1" applyAlignment="1">
      <alignment horizontal="left" vertical="center" wrapText="1"/>
    </xf>
    <xf numFmtId="0" fontId="51" fillId="0" borderId="5" xfId="0" applyFont="1" applyFill="1" applyBorder="1" applyAlignment="1">
      <alignment horizontal="left" wrapText="1"/>
    </xf>
    <xf numFmtId="0" fontId="63" fillId="40" borderId="33" xfId="80" applyFont="1" applyFill="1" applyBorder="1" applyAlignment="1">
      <alignment horizontal="center"/>
    </xf>
    <xf numFmtId="4" fontId="78" fillId="44" borderId="5" xfId="0" applyNumberFormat="1" applyFont="1" applyFill="1" applyBorder="1" applyAlignment="1">
      <alignment horizontal="right"/>
    </xf>
    <xf numFmtId="0" fontId="78" fillId="44" borderId="5" xfId="0" applyFont="1" applyFill="1" applyBorder="1" applyAlignment="1">
      <alignment horizontal="right" vertical="center"/>
    </xf>
    <xf numFmtId="0" fontId="78" fillId="44" borderId="12" xfId="0" applyFont="1" applyFill="1" applyBorder="1" applyAlignment="1">
      <alignment horizontal="right" vertical="center"/>
    </xf>
    <xf numFmtId="0" fontId="86" fillId="44" borderId="29" xfId="67" applyNumberFormat="1" applyFont="1" applyFill="1" applyBorder="1" applyAlignment="1">
      <alignment horizontal="center" vertical="center" wrapText="1"/>
    </xf>
    <xf numFmtId="0" fontId="86" fillId="44" borderId="30" xfId="67" applyNumberFormat="1" applyFont="1" applyFill="1" applyBorder="1" applyAlignment="1">
      <alignment horizontal="center" vertical="center" wrapText="1"/>
    </xf>
    <xf numFmtId="0" fontId="51" fillId="39" borderId="5" xfId="0" applyFont="1" applyFill="1" applyBorder="1" applyAlignment="1">
      <alignment horizontal="left" wrapText="1"/>
    </xf>
    <xf numFmtId="0" fontId="51" fillId="39" borderId="5" xfId="0" applyFont="1" applyFill="1" applyBorder="1" applyAlignment="1">
      <alignment horizontal="left"/>
    </xf>
    <xf numFmtId="0" fontId="88" fillId="43" borderId="5" xfId="0" applyNumberFormat="1" applyFont="1" applyFill="1" applyBorder="1" applyAlignment="1">
      <alignment horizontal="right" vertical="center" wrapText="1"/>
    </xf>
    <xf numFmtId="0" fontId="2" fillId="0" borderId="45" xfId="90" applyFont="1" applyBorder="1" applyAlignment="1">
      <alignment horizontal="center" vertical="center"/>
    </xf>
    <xf numFmtId="0" fontId="2" fillId="0" borderId="45" xfId="91" applyFont="1" applyBorder="1" applyAlignment="1">
      <alignment horizontal="center" vertical="center" wrapText="1"/>
    </xf>
    <xf numFmtId="0" fontId="53" fillId="43" borderId="45" xfId="0" applyFont="1" applyFill="1" applyBorder="1" applyAlignment="1">
      <alignment horizontal="left" vertical="center"/>
    </xf>
    <xf numFmtId="0" fontId="42" fillId="32" borderId="5" xfId="0" applyNumberFormat="1" applyFont="1" applyFill="1" applyBorder="1" applyAlignment="1">
      <alignment horizontal="left" vertical="center" wrapText="1"/>
    </xf>
    <xf numFmtId="0" fontId="0" fillId="32" borderId="5" xfId="0" applyNumberFormat="1" applyFont="1" applyFill="1" applyBorder="1" applyAlignment="1">
      <alignment wrapText="1"/>
    </xf>
    <xf numFmtId="164" fontId="43" fillId="32" borderId="5" xfId="0" applyNumberFormat="1" applyFont="1" applyFill="1" applyBorder="1" applyAlignment="1">
      <alignment horizontal="right" vertical="center"/>
    </xf>
    <xf numFmtId="164" fontId="97" fillId="42" borderId="5" xfId="40" applyNumberFormat="1" applyFont="1" applyFill="1" applyBorder="1" applyAlignment="1">
      <alignment horizontal="right" wrapText="1"/>
    </xf>
    <xf numFmtId="9" fontId="97" fillId="42" borderId="5" xfId="0" applyNumberFormat="1" applyFont="1" applyFill="1" applyBorder="1" applyAlignment="1">
      <alignment horizontal="center" wrapText="1"/>
    </xf>
    <xf numFmtId="9" fontId="97" fillId="42" borderId="5" xfId="0" applyNumberFormat="1" applyFont="1" applyFill="1" applyBorder="1" applyAlignment="1">
      <alignment horizontal="right" wrapText="1"/>
    </xf>
    <xf numFmtId="164" fontId="97" fillId="42" borderId="5" xfId="38" applyNumberFormat="1" applyFont="1" applyFill="1" applyBorder="1" applyAlignment="1">
      <alignment horizontal="left" wrapText="1"/>
    </xf>
    <xf numFmtId="43" fontId="97" fillId="42" borderId="9" xfId="38" applyFont="1" applyFill="1" applyBorder="1" applyAlignment="1">
      <alignment horizontal="left" wrapText="1"/>
    </xf>
  </cellXfs>
  <cellStyles count="97">
    <cellStyle name="0,0_x000a__x000a_NA_x000a__x000a_" xfId="1"/>
    <cellStyle name="20% - Accent1 2" xfId="2"/>
    <cellStyle name="20% - Accent2 2" xfId="3"/>
    <cellStyle name="20% - Accent3 2" xfId="4"/>
    <cellStyle name="20% - Accent4 2" xfId="5"/>
    <cellStyle name="20% - Accent5 2" xfId="6"/>
    <cellStyle name="20% - Accent6" xfId="7" builtinId="50" customBuiltin="1"/>
    <cellStyle name="40% - Accent1" xfId="8" builtinId="31" customBuiltin="1"/>
    <cellStyle name="40% - Accent1 2" xfId="9"/>
    <cellStyle name="40% - Accent2 2" xfId="10"/>
    <cellStyle name="40% - Accent3 2" xfId="11"/>
    <cellStyle name="40% - Accent4" xfId="12" builtinId="43" customBuiltin="1"/>
    <cellStyle name="40% - Accent4 2" xfId="13"/>
    <cellStyle name="40% - Accent5" xfId="14" builtinId="47" customBuiltin="1"/>
    <cellStyle name="40% - Accent6" xfId="15" builtinId="51" customBuiltin="1"/>
    <cellStyle name="40% - Accent6 2" xfId="16"/>
    <cellStyle name="60% - Accent1" xfId="17" builtinId="32" customBuiltin="1"/>
    <cellStyle name="60% - Accent1 2" xfId="18"/>
    <cellStyle name="60% - Accent2" xfId="19" builtinId="36" customBuiltin="1"/>
    <cellStyle name="60% - Accent3 2" xfId="20"/>
    <cellStyle name="60% - Accent4 2" xfId="21"/>
    <cellStyle name="60% - Accent5" xfId="22" builtinId="48" customBuiltin="1"/>
    <cellStyle name="60% - Accent6 2" xfId="23"/>
    <cellStyle name="Accent1" xfId="24" builtinId="29" customBuiltin="1"/>
    <cellStyle name="Accent1 2" xfId="25"/>
    <cellStyle name="Accent2 2" xfId="26"/>
    <cellStyle name="Accent3 2" xfId="27"/>
    <cellStyle name="Accent4" xfId="28" builtinId="41" customBuiltin="1"/>
    <cellStyle name="Accent4 2" xfId="29"/>
    <cellStyle name="Accent5" xfId="30" builtinId="45" customBuiltin="1"/>
    <cellStyle name="Accent6 2" xfId="31"/>
    <cellStyle name="Bad 2" xfId="32"/>
    <cellStyle name="Calculation" xfId="33" builtinId="22" customBuiltin="1"/>
    <cellStyle name="Calculation 2" xfId="34"/>
    <cellStyle name="Check Cell" xfId="35" builtinId="23" customBuiltin="1"/>
    <cellStyle name="ColLevel_2" xfId="36"/>
    <cellStyle name="Comma" xfId="37" builtinId="3"/>
    <cellStyle name="Comma 2" xfId="38"/>
    <cellStyle name="Comma 3" xfId="39"/>
    <cellStyle name="Currency" xfId="81" builtinId="4"/>
    <cellStyle name="Currency 2" xfId="40"/>
    <cellStyle name="Currency 2 2" xfId="41"/>
    <cellStyle name="Currency 3" xfId="42"/>
    <cellStyle name="Currency 3 2" xfId="43"/>
    <cellStyle name="Currency 4" xfId="44"/>
    <cellStyle name="Currency 5" xfId="45"/>
    <cellStyle name="Explanatory Text" xfId="46" builtinId="53" customBuiltin="1"/>
    <cellStyle name="Good" xfId="47" builtinId="26" customBuiltin="1"/>
    <cellStyle name="Heading 1" xfId="48" builtinId="16" customBuiltin="1"/>
    <cellStyle name="Heading 1 2" xfId="49"/>
    <cellStyle name="Heading 2" xfId="50" builtinId="17" customBuiltin="1"/>
    <cellStyle name="Heading 2 2" xfId="51"/>
    <cellStyle name="Heading 3" xfId="52" builtinId="18" customBuiltin="1"/>
    <cellStyle name="Heading 3 2" xfId="53"/>
    <cellStyle name="Heading 4" xfId="54" builtinId="19" customBuiltin="1"/>
    <cellStyle name="Heading 4 2" xfId="55"/>
    <cellStyle name="Input" xfId="56" builtinId="20" customBuiltin="1"/>
    <cellStyle name="Jun" xfId="57"/>
    <cellStyle name="Linked Cell" xfId="58" builtinId="24" customBuiltin="1"/>
    <cellStyle name="Neutral 2" xfId="59"/>
    <cellStyle name="Normal" xfId="0" builtinId="0"/>
    <cellStyle name="Normal 11" xfId="80"/>
    <cellStyle name="Normal 2" xfId="60"/>
    <cellStyle name="Normal 2 2" xfId="61"/>
    <cellStyle name="Normal 2 5" xfId="79"/>
    <cellStyle name="Normal 3" xfId="62"/>
    <cellStyle name="Normal 3 2" xfId="63"/>
    <cellStyle name="Normal 3 2 2" xfId="64"/>
    <cellStyle name="Normal 3 2 3" xfId="82"/>
    <cellStyle name="Normal 4" xfId="65"/>
    <cellStyle name="Normal 4 2" xfId="66"/>
    <cellStyle name="Normal 5" xfId="84"/>
    <cellStyle name="Normal 5 3" xfId="67"/>
    <cellStyle name="Note 2" xfId="68"/>
    <cellStyle name="Output" xfId="69" builtinId="21" customBuiltin="1"/>
    <cellStyle name="Output 2" xfId="70"/>
    <cellStyle name="Percent 2" xfId="71"/>
    <cellStyle name="Percent 3" xfId="72"/>
    <cellStyle name="Style 108" xfId="73"/>
    <cellStyle name="Title" xfId="74" builtinId="15" customBuiltin="1"/>
    <cellStyle name="Title 2" xfId="75"/>
    <cellStyle name="Total" xfId="76" builtinId="25" customBuiltin="1"/>
    <cellStyle name="Total 2" xfId="77"/>
    <cellStyle name="Warning Text" xfId="78" builtinId="11" customBuiltin="1"/>
    <cellStyle name="常规 10" xfId="89"/>
    <cellStyle name="常规 10 2" xfId="91"/>
    <cellStyle name="常规 2" xfId="83"/>
    <cellStyle name="常规 2 18" xfId="92"/>
    <cellStyle name="常规 2 2" xfId="94"/>
    <cellStyle name="常规 2 2 2" xfId="87"/>
    <cellStyle name="常规 2 3 2" xfId="90"/>
    <cellStyle name="常规 2 3 2 2" xfId="96"/>
    <cellStyle name="常规 2 3 3" xfId="85"/>
    <cellStyle name="常规 2 7" xfId="95"/>
    <cellStyle name="常规 53" xfId="88"/>
    <cellStyle name="常规 7" xfId="93"/>
    <cellStyle name="常规_Sheet1 2" xfId="86"/>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view="pageBreakPreview" zoomScaleNormal="100" zoomScaleSheetLayoutView="100" workbookViewId="0">
      <selection activeCell="D6" sqref="D6"/>
    </sheetView>
  </sheetViews>
  <sheetFormatPr defaultColWidth="8.81640625" defaultRowHeight="14.5"/>
  <cols>
    <col min="1" max="1" width="8.81640625" style="176"/>
    <col min="2" max="2" width="4.453125" style="1" customWidth="1"/>
    <col min="3" max="3" width="49.7265625" customWidth="1"/>
    <col min="4" max="4" width="21.1796875" style="6" customWidth="1"/>
    <col min="5" max="5" width="19" customWidth="1"/>
    <col min="6" max="6" width="17.26953125" customWidth="1"/>
  </cols>
  <sheetData>
    <row r="1" spans="2:5" s="176" customFormat="1">
      <c r="B1" s="1"/>
      <c r="D1" s="6"/>
    </row>
    <row r="2" spans="2:5" ht="48.75" customHeight="1" thickBot="1">
      <c r="B2" s="506" t="s">
        <v>271</v>
      </c>
      <c r="C2" s="507"/>
      <c r="D2" s="507"/>
    </row>
    <row r="3" spans="2:5" ht="15.5">
      <c r="B3" s="4" t="s">
        <v>1</v>
      </c>
      <c r="C3" s="5" t="s">
        <v>15</v>
      </c>
      <c r="D3" s="7" t="s">
        <v>16</v>
      </c>
    </row>
    <row r="4" spans="2:5" ht="15.5">
      <c r="B4" s="2">
        <v>1</v>
      </c>
      <c r="C4" s="3" t="s">
        <v>44</v>
      </c>
      <c r="D4" s="8">
        <f>'Network-BE'!S17</f>
        <v>12628195.631999999</v>
      </c>
    </row>
    <row r="5" spans="2:5" ht="18" customHeight="1">
      <c r="B5" s="2">
        <v>2</v>
      </c>
      <c r="C5" s="3" t="s">
        <v>45</v>
      </c>
      <c r="D5" s="8">
        <f>'Wireless-BE'!S19</f>
        <v>28198184</v>
      </c>
      <c r="E5" s="6"/>
    </row>
    <row r="6" spans="2:5" ht="18" customHeight="1">
      <c r="B6" s="2">
        <v>3</v>
      </c>
      <c r="C6" s="3" t="s">
        <v>49</v>
      </c>
      <c r="D6" s="8">
        <f>'DCF-BE'!S8</f>
        <v>5203519.9999999991</v>
      </c>
      <c r="E6" s="6"/>
    </row>
    <row r="7" spans="2:5" ht="15.5">
      <c r="B7" s="2">
        <v>4</v>
      </c>
      <c r="C7" s="3" t="s">
        <v>292</v>
      </c>
      <c r="D7" s="8">
        <f>'Campus Chech point-BE '!S35</f>
        <v>13432859.590500003</v>
      </c>
    </row>
    <row r="8" spans="2:5" s="313" customFormat="1" ht="15.5">
      <c r="B8" s="2">
        <v>5</v>
      </c>
      <c r="C8" s="3" t="s">
        <v>407</v>
      </c>
      <c r="D8" s="8">
        <f>'ILMS '!S20</f>
        <v>6365893.3100000005</v>
      </c>
    </row>
    <row r="9" spans="2:5" s="313" customFormat="1" ht="15.5">
      <c r="B9" s="2">
        <v>6</v>
      </c>
      <c r="C9" s="3" t="s">
        <v>411</v>
      </c>
      <c r="D9" s="8">
        <f>'smart class '!S23</f>
        <v>5323991.2848499995</v>
      </c>
    </row>
    <row r="10" spans="2:5" ht="15.5">
      <c r="B10" s="2">
        <v>7</v>
      </c>
      <c r="C10" s="3" t="s">
        <v>30</v>
      </c>
      <c r="D10" s="8">
        <f>'One Card -BE'!S17</f>
        <v>4626461.3849999998</v>
      </c>
    </row>
    <row r="11" spans="2:5" ht="18" customHeight="1">
      <c r="B11" s="2">
        <v>8</v>
      </c>
      <c r="C11" s="3" t="s">
        <v>89</v>
      </c>
      <c r="D11" s="8">
        <f>'Time Attendance'!S8</f>
        <v>405681.36</v>
      </c>
      <c r="E11" s="6"/>
    </row>
    <row r="12" spans="2:5" s="176" customFormat="1" ht="15.5">
      <c r="B12" s="2">
        <v>9</v>
      </c>
      <c r="C12" s="3" t="s">
        <v>192</v>
      </c>
      <c r="D12" s="8">
        <f>'CCTV-Camer-BE'!T57</f>
        <v>14304889.123</v>
      </c>
    </row>
    <row r="13" spans="2:5" ht="18" customHeight="1">
      <c r="B13" s="2">
        <v>10</v>
      </c>
      <c r="C13" s="3" t="s">
        <v>141</v>
      </c>
      <c r="D13" s="8">
        <f>'SCS-BE'!S56</f>
        <v>4700479</v>
      </c>
      <c r="E13" s="6"/>
    </row>
    <row r="14" spans="2:5" s="313" customFormat="1" ht="18" customHeight="1">
      <c r="B14" s="2">
        <v>11</v>
      </c>
      <c r="C14" s="3" t="s">
        <v>381</v>
      </c>
      <c r="D14" s="8">
        <f>UTM!S6</f>
        <v>2608200.0000000005</v>
      </c>
      <c r="E14" s="6"/>
    </row>
    <row r="15" spans="2:5" s="313" customFormat="1" ht="18" customHeight="1">
      <c r="B15" s="2">
        <v>12</v>
      </c>
      <c r="C15" s="3" t="s">
        <v>406</v>
      </c>
      <c r="D15" s="8">
        <f>'VC-Solution'!S25</f>
        <v>13780905.616800001</v>
      </c>
      <c r="E15" s="6"/>
    </row>
    <row r="16" spans="2:5" ht="18" customHeight="1">
      <c r="B16" s="2">
        <v>13</v>
      </c>
      <c r="C16" s="3" t="s">
        <v>82</v>
      </c>
      <c r="D16" s="8">
        <f>DU_Training!P10</f>
        <v>4512527.5</v>
      </c>
      <c r="E16" s="6"/>
    </row>
    <row r="17" spans="2:4" ht="15.5">
      <c r="B17" s="2">
        <v>14</v>
      </c>
      <c r="C17" s="3" t="s">
        <v>25</v>
      </c>
      <c r="D17" s="8">
        <f>'proffesional Service'!G17</f>
        <v>11597131.651730003</v>
      </c>
    </row>
    <row r="18" spans="2:4" ht="18.5">
      <c r="B18" s="295"/>
      <c r="C18" s="298" t="s">
        <v>23</v>
      </c>
      <c r="D18" s="299">
        <f>SUM(D4:D17)</f>
        <v>127688919.45388</v>
      </c>
    </row>
  </sheetData>
  <mergeCells count="1">
    <mergeCell ref="B2:D2"/>
  </mergeCells>
  <phoneticPr fontId="12" type="noConversion"/>
  <printOptions horizontalCentered="1" verticalCentered="1"/>
  <pageMargins left="0.75" right="0.75" top="1" bottom="1" header="0.3" footer="0.3"/>
  <pageSetup paperSize="9" fitToWidth="0" orientation="landscape"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54"/>
  <sheetViews>
    <sheetView view="pageBreakPreview" topLeftCell="I1" zoomScale="80" zoomScaleNormal="70" zoomScaleSheetLayoutView="80" workbookViewId="0">
      <selection activeCell="S6" sqref="S6"/>
    </sheetView>
  </sheetViews>
  <sheetFormatPr defaultColWidth="8.81640625" defaultRowHeight="14.5"/>
  <cols>
    <col min="1" max="1" width="7.81640625" style="313" customWidth="1"/>
    <col min="2" max="2" width="4.1796875" style="313" bestFit="1" customWidth="1"/>
    <col min="3" max="3" width="18.453125" style="313" bestFit="1" customWidth="1"/>
    <col min="4" max="4" width="60.1796875" style="313" customWidth="1"/>
    <col min="5" max="5" width="8.81640625" style="18" customWidth="1"/>
    <col min="6" max="6" width="8.26953125" style="18" customWidth="1"/>
    <col min="7" max="7" width="14.81640625" style="313" customWidth="1"/>
    <col min="8" max="8" width="15.1796875" style="313" customWidth="1"/>
    <col min="9" max="9" width="12.453125" style="18" customWidth="1"/>
    <col min="10" max="10" width="16" style="313" customWidth="1"/>
    <col min="11" max="11" width="17.81640625" style="313" customWidth="1"/>
    <col min="12" max="12" width="10.453125" style="313" customWidth="1"/>
    <col min="13" max="13" width="9.1796875" style="313" customWidth="1"/>
    <col min="14" max="14" width="11.453125" style="313" customWidth="1"/>
    <col min="15" max="15" width="10.81640625" style="313" customWidth="1"/>
    <col min="16" max="16" width="11.1796875" style="313" customWidth="1"/>
    <col min="17" max="17" width="15.7265625" style="313" customWidth="1"/>
    <col min="18" max="18" width="14.26953125" style="313" customWidth="1"/>
    <col min="19" max="19" width="19.26953125" style="313" customWidth="1"/>
    <col min="20" max="47" width="9.1796875" style="324" customWidth="1"/>
    <col min="48" max="16384" width="8.81640625" style="313"/>
  </cols>
  <sheetData>
    <row r="1" spans="1:47" ht="15" thickBot="1"/>
    <row r="2" spans="1:47" ht="26.5" thickBot="1">
      <c r="B2" s="508" t="s">
        <v>382</v>
      </c>
      <c r="C2" s="509"/>
      <c r="D2" s="509"/>
      <c r="E2" s="509"/>
      <c r="F2" s="509"/>
      <c r="G2" s="509"/>
      <c r="H2" s="509"/>
      <c r="I2" s="509"/>
      <c r="J2" s="509"/>
      <c r="K2" s="509"/>
      <c r="L2" s="509"/>
      <c r="M2" s="509"/>
      <c r="N2" s="509"/>
      <c r="O2" s="509"/>
      <c r="P2" s="509"/>
      <c r="Q2" s="509"/>
      <c r="R2" s="509"/>
      <c r="S2" s="510"/>
    </row>
    <row r="3" spans="1:47" ht="48.75" customHeight="1">
      <c r="B3" s="22" t="s">
        <v>1</v>
      </c>
      <c r="C3" s="23" t="s">
        <v>21</v>
      </c>
      <c r="D3" s="24" t="s">
        <v>15</v>
      </c>
      <c r="E3" s="25" t="s">
        <v>10</v>
      </c>
      <c r="F3" s="45" t="s">
        <v>28</v>
      </c>
      <c r="G3" s="26" t="s">
        <v>0</v>
      </c>
      <c r="H3" s="26" t="s">
        <v>11</v>
      </c>
      <c r="I3" s="27" t="s">
        <v>3</v>
      </c>
      <c r="J3" s="26" t="s">
        <v>12</v>
      </c>
      <c r="K3" s="26" t="s">
        <v>13</v>
      </c>
      <c r="L3" s="26" t="s">
        <v>4</v>
      </c>
      <c r="M3" s="28" t="s">
        <v>5</v>
      </c>
      <c r="N3" s="26" t="s">
        <v>6</v>
      </c>
      <c r="O3" s="29" t="s">
        <v>14</v>
      </c>
      <c r="P3" s="26" t="s">
        <v>22</v>
      </c>
      <c r="Q3" s="26" t="s">
        <v>9</v>
      </c>
      <c r="R3" s="26" t="s">
        <v>461</v>
      </c>
      <c r="S3" s="30" t="s">
        <v>8</v>
      </c>
    </row>
    <row r="4" spans="1:47" s="41" customFormat="1" ht="18.75" customHeight="1">
      <c r="A4" s="321"/>
      <c r="B4" s="282">
        <v>1</v>
      </c>
      <c r="C4" s="381" t="s">
        <v>381</v>
      </c>
      <c r="D4" s="250"/>
      <c r="E4" s="250"/>
      <c r="F4" s="250"/>
      <c r="G4" s="357"/>
      <c r="H4" s="357"/>
      <c r="I4" s="250"/>
      <c r="J4" s="357"/>
      <c r="K4" s="357"/>
      <c r="L4" s="357"/>
      <c r="M4" s="357"/>
      <c r="N4" s="357"/>
      <c r="O4" s="357"/>
      <c r="P4" s="357"/>
      <c r="Q4" s="357"/>
      <c r="R4" s="357"/>
      <c r="S4" s="283"/>
      <c r="T4" s="321"/>
      <c r="U4" s="321"/>
      <c r="V4" s="321"/>
      <c r="W4" s="321"/>
      <c r="X4" s="321"/>
      <c r="Y4" s="321"/>
      <c r="Z4" s="321"/>
      <c r="AA4" s="321"/>
      <c r="AB4" s="321"/>
      <c r="AC4" s="321"/>
      <c r="AD4" s="321"/>
      <c r="AE4" s="321"/>
      <c r="AF4" s="321"/>
      <c r="AG4" s="321"/>
      <c r="AH4" s="321"/>
      <c r="AI4" s="321"/>
      <c r="AJ4" s="321"/>
      <c r="AK4" s="321"/>
      <c r="AL4" s="321"/>
      <c r="AM4" s="321"/>
      <c r="AN4" s="321"/>
      <c r="AO4" s="321"/>
      <c r="AP4" s="321"/>
      <c r="AQ4" s="321"/>
      <c r="AR4" s="321"/>
      <c r="AS4" s="321"/>
      <c r="AT4" s="321"/>
      <c r="AU4" s="321"/>
    </row>
    <row r="5" spans="1:47" s="212" customFormat="1" ht="32.25" customHeight="1">
      <c r="B5" s="206"/>
      <c r="C5" s="404" t="s">
        <v>383</v>
      </c>
      <c r="D5" s="104" t="s">
        <v>384</v>
      </c>
      <c r="E5" s="43">
        <v>2</v>
      </c>
      <c r="F5" s="44" t="s">
        <v>27</v>
      </c>
      <c r="G5" s="141">
        <v>11250</v>
      </c>
      <c r="H5" s="208">
        <f>E5*G5</f>
        <v>22500</v>
      </c>
      <c r="I5" s="209">
        <v>0</v>
      </c>
      <c r="J5" s="208">
        <f>(100%-I5)*G5</f>
        <v>11250</v>
      </c>
      <c r="K5" s="208">
        <f>J5*E5</f>
        <v>22500</v>
      </c>
      <c r="L5" s="210">
        <v>0.1</v>
      </c>
      <c r="M5" s="210">
        <v>0.1</v>
      </c>
      <c r="N5" s="210">
        <v>0.4</v>
      </c>
      <c r="O5" s="210">
        <v>0.4</v>
      </c>
      <c r="P5" s="208">
        <f>((100%+SUM(L5:N5))+O5*(100%+SUM(L5:N5)))*J5</f>
        <v>25200.000000000004</v>
      </c>
      <c r="Q5" s="208">
        <f>P5*E5</f>
        <v>50400.000000000007</v>
      </c>
      <c r="R5" s="402">
        <f>45*P5*1.15</f>
        <v>1304100.0000000002</v>
      </c>
      <c r="S5" s="211">
        <f>R5*E5</f>
        <v>2608200.0000000005</v>
      </c>
      <c r="T5" s="348"/>
      <c r="U5" s="348"/>
      <c r="V5" s="348"/>
      <c r="W5" s="348"/>
      <c r="X5" s="348"/>
      <c r="Y5" s="348"/>
      <c r="Z5" s="348"/>
      <c r="AA5" s="348"/>
      <c r="AB5" s="348"/>
      <c r="AC5" s="348"/>
      <c r="AD5" s="348"/>
      <c r="AE5" s="348"/>
      <c r="AF5" s="348"/>
      <c r="AG5" s="348"/>
      <c r="AH5" s="348"/>
      <c r="AI5" s="348"/>
      <c r="AJ5" s="348"/>
      <c r="AK5" s="348"/>
      <c r="AL5" s="348"/>
      <c r="AM5" s="348"/>
      <c r="AN5" s="348"/>
      <c r="AO5" s="348"/>
      <c r="AP5" s="348"/>
      <c r="AQ5" s="348"/>
      <c r="AR5" s="348"/>
      <c r="AS5" s="348"/>
      <c r="AT5" s="348"/>
      <c r="AU5" s="348"/>
    </row>
    <row r="6" spans="1:47" ht="22" customHeight="1">
      <c r="B6" s="259"/>
      <c r="C6" s="253" t="s">
        <v>23</v>
      </c>
      <c r="D6" s="253"/>
      <c r="E6" s="254"/>
      <c r="F6" s="254"/>
      <c r="G6" s="255"/>
      <c r="H6" s="255">
        <f>SUM(H5:H5)</f>
        <v>22500</v>
      </c>
      <c r="I6" s="254"/>
      <c r="J6" s="253"/>
      <c r="K6" s="255">
        <f>SUM(K5:K5)</f>
        <v>22500</v>
      </c>
      <c r="L6" s="256"/>
      <c r="M6" s="256"/>
      <c r="N6" s="256"/>
      <c r="O6" s="253"/>
      <c r="P6" s="253"/>
      <c r="Q6" s="257">
        <f>SUM(Q5:Q5)</f>
        <v>50400.000000000007</v>
      </c>
      <c r="R6" s="257"/>
      <c r="S6" s="260">
        <f>SUM(S5)</f>
        <v>2608200.0000000005</v>
      </c>
    </row>
    <row r="7" spans="1:47" s="324" customFormat="1" ht="15.5">
      <c r="A7" s="313"/>
      <c r="B7" s="15"/>
      <c r="C7" s="16"/>
      <c r="D7" s="16"/>
      <c r="E7" s="19"/>
      <c r="F7" s="19"/>
      <c r="G7" s="15"/>
      <c r="H7" s="15"/>
      <c r="I7" s="19"/>
      <c r="J7" s="15"/>
      <c r="K7" s="15"/>
      <c r="L7" s="15"/>
      <c r="M7" s="15"/>
      <c r="N7" s="15"/>
      <c r="O7" s="15"/>
      <c r="P7" s="15"/>
      <c r="Q7" s="15"/>
      <c r="R7" s="15"/>
      <c r="S7" s="15"/>
    </row>
    <row r="10" spans="1:47" s="324" customFormat="1">
      <c r="A10" s="313"/>
      <c r="B10" s="313"/>
      <c r="C10" s="313"/>
      <c r="D10" s="313"/>
      <c r="E10" s="18"/>
      <c r="F10" s="18"/>
      <c r="G10" s="313"/>
      <c r="H10" s="313"/>
      <c r="I10" s="18"/>
      <c r="J10" s="313"/>
      <c r="K10" s="313"/>
      <c r="L10" s="313"/>
      <c r="M10" s="313"/>
      <c r="N10" s="313"/>
      <c r="O10" s="313"/>
      <c r="P10" s="313"/>
      <c r="Q10" s="9"/>
      <c r="R10" s="313"/>
      <c r="S10" s="313"/>
    </row>
    <row r="39" spans="3:3">
      <c r="C39" s="17"/>
    </row>
    <row r="47" spans="3:3">
      <c r="C47" s="17"/>
    </row>
    <row r="54" spans="3:3">
      <c r="C54" s="17"/>
    </row>
  </sheetData>
  <mergeCells count="1">
    <mergeCell ref="B2:S2"/>
  </mergeCells>
  <pageMargins left="0.75" right="0.75" top="1" bottom="1" header="0.3" footer="0.3"/>
  <pageSetup paperSize="9" scale="46" fitToHeight="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3"/>
  <sheetViews>
    <sheetView view="pageBreakPreview" topLeftCell="E21" zoomScale="70" zoomScaleNormal="70" zoomScaleSheetLayoutView="70" workbookViewId="0">
      <selection activeCell="S25" sqref="S25"/>
    </sheetView>
  </sheetViews>
  <sheetFormatPr defaultColWidth="8.81640625" defaultRowHeight="14.5"/>
  <cols>
    <col min="1" max="1" width="7.81640625" style="313" customWidth="1"/>
    <col min="2" max="2" width="6.453125" style="313" customWidth="1"/>
    <col min="3" max="3" width="18.453125" style="313" bestFit="1" customWidth="1"/>
    <col min="4" max="4" width="60.1796875" style="313" customWidth="1"/>
    <col min="5" max="5" width="8.81640625" style="18" customWidth="1"/>
    <col min="6" max="6" width="8.26953125" style="18" customWidth="1"/>
    <col min="7" max="7" width="14.81640625" style="313" customWidth="1"/>
    <col min="8" max="8" width="15.1796875" style="313" customWidth="1"/>
    <col min="9" max="9" width="12.453125" style="18" customWidth="1"/>
    <col min="10" max="10" width="16" style="313" customWidth="1"/>
    <col min="11" max="11" width="17.81640625" style="313" customWidth="1"/>
    <col min="12" max="12" width="10.453125" style="313" customWidth="1"/>
    <col min="13" max="13" width="9.1796875" style="313" customWidth="1"/>
    <col min="14" max="14" width="11.453125" style="313" customWidth="1"/>
    <col min="15" max="15" width="10.81640625" style="313" customWidth="1"/>
    <col min="16" max="16" width="11.1796875" style="313" customWidth="1"/>
    <col min="17" max="17" width="15.7265625" style="313" customWidth="1"/>
    <col min="18" max="18" width="14.26953125" style="313" customWidth="1"/>
    <col min="19" max="19" width="19.26953125" style="313" customWidth="1"/>
    <col min="20" max="47" width="9.1796875" style="324" customWidth="1"/>
    <col min="48" max="16384" width="8.81640625" style="313"/>
  </cols>
  <sheetData>
    <row r="1" spans="1:47" ht="15" thickBot="1"/>
    <row r="2" spans="1:47" ht="26.5" thickBot="1">
      <c r="B2" s="508" t="s">
        <v>385</v>
      </c>
      <c r="C2" s="509"/>
      <c r="D2" s="509"/>
      <c r="E2" s="509"/>
      <c r="F2" s="509"/>
      <c r="G2" s="509"/>
      <c r="H2" s="509"/>
      <c r="I2" s="509"/>
      <c r="J2" s="509"/>
      <c r="K2" s="509"/>
      <c r="L2" s="509"/>
      <c r="M2" s="509"/>
      <c r="N2" s="509"/>
      <c r="O2" s="509"/>
      <c r="P2" s="509"/>
      <c r="Q2" s="509"/>
      <c r="R2" s="509"/>
      <c r="S2" s="510"/>
    </row>
    <row r="3" spans="1:47" ht="48.75" customHeight="1">
      <c r="B3" s="22" t="s">
        <v>1</v>
      </c>
      <c r="C3" s="23" t="s">
        <v>21</v>
      </c>
      <c r="D3" s="24" t="s">
        <v>15</v>
      </c>
      <c r="E3" s="25" t="s">
        <v>10</v>
      </c>
      <c r="F3" s="45" t="s">
        <v>28</v>
      </c>
      <c r="G3" s="26" t="s">
        <v>0</v>
      </c>
      <c r="H3" s="26" t="s">
        <v>11</v>
      </c>
      <c r="I3" s="27" t="s">
        <v>3</v>
      </c>
      <c r="J3" s="26" t="s">
        <v>12</v>
      </c>
      <c r="K3" s="26" t="s">
        <v>13</v>
      </c>
      <c r="L3" s="26" t="s">
        <v>4</v>
      </c>
      <c r="M3" s="28" t="s">
        <v>5</v>
      </c>
      <c r="N3" s="26" t="s">
        <v>6</v>
      </c>
      <c r="O3" s="29" t="s">
        <v>14</v>
      </c>
      <c r="P3" s="26" t="s">
        <v>22</v>
      </c>
      <c r="Q3" s="26" t="s">
        <v>9</v>
      </c>
      <c r="R3" s="26" t="s">
        <v>461</v>
      </c>
      <c r="S3" s="30" t="s">
        <v>8</v>
      </c>
    </row>
    <row r="4" spans="1:47" s="41" customFormat="1" ht="18.75" customHeight="1">
      <c r="A4" s="321"/>
      <c r="B4" s="282">
        <v>1</v>
      </c>
      <c r="C4" s="427" t="s">
        <v>432</v>
      </c>
      <c r="D4" s="250"/>
      <c r="E4" s="250"/>
      <c r="F4" s="250"/>
      <c r="G4" s="357"/>
      <c r="H4" s="357"/>
      <c r="I4" s="250"/>
      <c r="J4" s="357"/>
      <c r="K4" s="357"/>
      <c r="L4" s="357"/>
      <c r="M4" s="357"/>
      <c r="N4" s="357"/>
      <c r="O4" s="357"/>
      <c r="P4" s="357"/>
      <c r="Q4" s="357"/>
      <c r="R4" s="357"/>
      <c r="S4" s="283"/>
      <c r="T4" s="321"/>
      <c r="U4" s="321"/>
      <c r="V4" s="321"/>
      <c r="W4" s="321"/>
      <c r="X4" s="321"/>
      <c r="Y4" s="321"/>
      <c r="Z4" s="321"/>
      <c r="AA4" s="321"/>
      <c r="AB4" s="321"/>
      <c r="AC4" s="321"/>
      <c r="AD4" s="321"/>
      <c r="AE4" s="321"/>
      <c r="AF4" s="321"/>
      <c r="AG4" s="321"/>
      <c r="AH4" s="321"/>
      <c r="AI4" s="321"/>
      <c r="AJ4" s="321"/>
      <c r="AK4" s="321"/>
      <c r="AL4" s="321"/>
      <c r="AM4" s="321"/>
      <c r="AN4" s="321"/>
      <c r="AO4" s="321"/>
      <c r="AP4" s="321"/>
      <c r="AQ4" s="321"/>
      <c r="AR4" s="321"/>
      <c r="AS4" s="321"/>
      <c r="AT4" s="321"/>
      <c r="AU4" s="321"/>
    </row>
    <row r="5" spans="1:47" s="314" customFormat="1" ht="177" customHeight="1">
      <c r="B5" s="315"/>
      <c r="C5" s="443" t="s">
        <v>433</v>
      </c>
      <c r="D5" s="441" t="s">
        <v>434</v>
      </c>
      <c r="E5" s="431">
        <v>1</v>
      </c>
      <c r="F5" s="431" t="s">
        <v>43</v>
      </c>
      <c r="G5" s="411">
        <v>4329</v>
      </c>
      <c r="H5" s="320">
        <f>E5*G5</f>
        <v>4329</v>
      </c>
      <c r="I5" s="319">
        <v>0</v>
      </c>
      <c r="J5" s="320">
        <f>(100%-I5)*G5</f>
        <v>4329</v>
      </c>
      <c r="K5" s="320">
        <f>J5*E5</f>
        <v>4329</v>
      </c>
      <c r="L5" s="316">
        <v>0.1</v>
      </c>
      <c r="M5" s="316">
        <v>0.1</v>
      </c>
      <c r="N5" s="316">
        <v>0.4</v>
      </c>
      <c r="O5" s="316">
        <v>0.4</v>
      </c>
      <c r="P5" s="320">
        <f>((100%+SUM(L5:N5))+O5*(100%+SUM(L5:N5)))*J5</f>
        <v>9696.9600000000009</v>
      </c>
      <c r="Q5" s="320">
        <f>P5*E5</f>
        <v>9696.9600000000009</v>
      </c>
      <c r="R5" s="317">
        <f>40*P5*1.15</f>
        <v>446060.16</v>
      </c>
      <c r="S5" s="318">
        <f>R5*E5</f>
        <v>446060.16</v>
      </c>
    </row>
    <row r="6" spans="1:47" s="314" customFormat="1" ht="26.25" customHeight="1" thickBot="1">
      <c r="B6" s="315"/>
      <c r="C6" s="444" t="s">
        <v>435</v>
      </c>
      <c r="D6" s="442" t="s">
        <v>436</v>
      </c>
      <c r="E6" s="431">
        <v>1</v>
      </c>
      <c r="F6" s="431" t="s">
        <v>43</v>
      </c>
      <c r="G6" s="411">
        <v>282</v>
      </c>
      <c r="H6" s="320">
        <f>E6*G6</f>
        <v>282</v>
      </c>
      <c r="I6" s="319">
        <v>0</v>
      </c>
      <c r="J6" s="320">
        <f>(100%-I6)*G6</f>
        <v>282</v>
      </c>
      <c r="K6" s="320">
        <f>J6*E6</f>
        <v>282</v>
      </c>
      <c r="L6" s="316">
        <v>0.1</v>
      </c>
      <c r="M6" s="316">
        <v>0.1</v>
      </c>
      <c r="N6" s="316">
        <v>0.4</v>
      </c>
      <c r="O6" s="316">
        <v>0.4</v>
      </c>
      <c r="P6" s="320">
        <f>((100%+SUM(L6:N6))+O6*(100%+SUM(L6:N6)))*J6</f>
        <v>631.68000000000006</v>
      </c>
      <c r="Q6" s="320">
        <f>P6*E6</f>
        <v>631.68000000000006</v>
      </c>
      <c r="R6" s="317">
        <f>40*P6*1.15</f>
        <v>29057.280000000002</v>
      </c>
      <c r="S6" s="318">
        <f>R6*E6</f>
        <v>29057.280000000002</v>
      </c>
    </row>
    <row r="7" spans="1:47" s="41" customFormat="1" ht="18.75" customHeight="1">
      <c r="A7" s="321"/>
      <c r="B7" s="282">
        <v>2</v>
      </c>
      <c r="C7" s="381" t="s">
        <v>386</v>
      </c>
      <c r="D7" s="250"/>
      <c r="E7" s="250"/>
      <c r="F7" s="250"/>
      <c r="G7" s="357"/>
      <c r="H7" s="357"/>
      <c r="I7" s="250"/>
      <c r="J7" s="357"/>
      <c r="K7" s="357"/>
      <c r="L7" s="357"/>
      <c r="M7" s="357"/>
      <c r="N7" s="357"/>
      <c r="O7" s="357"/>
      <c r="P7" s="357"/>
      <c r="Q7" s="357"/>
      <c r="R7" s="357"/>
      <c r="S7" s="283"/>
      <c r="T7" s="321"/>
      <c r="U7" s="321"/>
      <c r="V7" s="321"/>
      <c r="W7" s="321"/>
      <c r="X7" s="321"/>
      <c r="Y7" s="321"/>
      <c r="Z7" s="321"/>
      <c r="AA7" s="321"/>
      <c r="AB7" s="321"/>
      <c r="AC7" s="321"/>
      <c r="AD7" s="321"/>
      <c r="AE7" s="321"/>
      <c r="AF7" s="321"/>
      <c r="AG7" s="321"/>
      <c r="AH7" s="321"/>
      <c r="AI7" s="321"/>
      <c r="AJ7" s="321"/>
      <c r="AK7" s="321"/>
      <c r="AL7" s="321"/>
      <c r="AM7" s="321"/>
      <c r="AN7" s="321"/>
      <c r="AO7" s="321"/>
      <c r="AP7" s="321"/>
      <c r="AQ7" s="321"/>
      <c r="AR7" s="321"/>
      <c r="AS7" s="321"/>
      <c r="AT7" s="321"/>
      <c r="AU7" s="321"/>
    </row>
    <row r="8" spans="1:47" s="361" customFormat="1" ht="18">
      <c r="B8" s="372"/>
      <c r="C8" s="358" t="s">
        <v>386</v>
      </c>
      <c r="D8" s="359" t="s">
        <v>389</v>
      </c>
      <c r="E8" s="365">
        <v>1</v>
      </c>
      <c r="F8" s="360" t="s">
        <v>27</v>
      </c>
      <c r="G8" s="401">
        <v>50</v>
      </c>
      <c r="H8" s="375">
        <f>E8*G8</f>
        <v>50</v>
      </c>
      <c r="I8" s="376">
        <v>0</v>
      </c>
      <c r="J8" s="375">
        <f>(100%-I8)*G8</f>
        <v>50</v>
      </c>
      <c r="K8" s="375">
        <f>J8*E8</f>
        <v>50</v>
      </c>
      <c r="L8" s="377">
        <v>0.1</v>
      </c>
      <c r="M8" s="377">
        <v>0.1</v>
      </c>
      <c r="N8" s="377">
        <v>0.4</v>
      </c>
      <c r="O8" s="377">
        <v>0.4</v>
      </c>
      <c r="P8" s="375">
        <f>((100%+SUM(L8:N8))+O8*(100%+SUM(L8:N8)))*J8</f>
        <v>112.00000000000001</v>
      </c>
      <c r="Q8" s="375">
        <f>P8*E8</f>
        <v>112.00000000000001</v>
      </c>
      <c r="R8" s="403">
        <f>P8*45*1.15</f>
        <v>5796.0000000000009</v>
      </c>
      <c r="S8" s="379">
        <f>R8*E8</f>
        <v>5796.0000000000009</v>
      </c>
      <c r="T8" s="371"/>
      <c r="U8" s="371"/>
      <c r="V8" s="371"/>
      <c r="W8" s="371"/>
      <c r="X8" s="371"/>
      <c r="Y8" s="371"/>
      <c r="Z8" s="371"/>
      <c r="AA8" s="371"/>
      <c r="AB8" s="371"/>
      <c r="AC8" s="371"/>
      <c r="AD8" s="371"/>
      <c r="AE8" s="371"/>
      <c r="AF8" s="371"/>
      <c r="AG8" s="371"/>
      <c r="AH8" s="371"/>
      <c r="AI8" s="371"/>
      <c r="AJ8" s="371"/>
      <c r="AK8" s="371"/>
      <c r="AL8" s="371"/>
      <c r="AM8" s="371"/>
      <c r="AN8" s="371"/>
      <c r="AO8" s="371"/>
      <c r="AP8" s="371"/>
      <c r="AQ8" s="371"/>
      <c r="AR8" s="371"/>
      <c r="AS8" s="371"/>
      <c r="AT8" s="371"/>
      <c r="AU8" s="371"/>
    </row>
    <row r="9" spans="1:47" s="41" customFormat="1" ht="18.75" customHeight="1">
      <c r="A9" s="321"/>
      <c r="B9" s="282">
        <v>3</v>
      </c>
      <c r="C9" s="381" t="s">
        <v>387</v>
      </c>
      <c r="D9" s="250"/>
      <c r="E9" s="250"/>
      <c r="F9" s="250"/>
      <c r="G9" s="357"/>
      <c r="H9" s="357"/>
      <c r="I9" s="250"/>
      <c r="J9" s="357"/>
      <c r="K9" s="357"/>
      <c r="L9" s="357"/>
      <c r="M9" s="357"/>
      <c r="N9" s="357"/>
      <c r="O9" s="357"/>
      <c r="P9" s="357"/>
      <c r="Q9" s="357"/>
      <c r="R9" s="357"/>
      <c r="S9" s="283"/>
      <c r="T9" s="321"/>
      <c r="U9" s="321"/>
      <c r="V9" s="321"/>
      <c r="W9" s="321"/>
      <c r="X9" s="321"/>
      <c r="Y9" s="321"/>
      <c r="Z9" s="321"/>
      <c r="AA9" s="321"/>
      <c r="AB9" s="321"/>
      <c r="AC9" s="321"/>
      <c r="AD9" s="321"/>
      <c r="AE9" s="321"/>
      <c r="AF9" s="321"/>
      <c r="AG9" s="321"/>
      <c r="AH9" s="321"/>
      <c r="AI9" s="321"/>
      <c r="AJ9" s="321"/>
      <c r="AK9" s="321"/>
      <c r="AL9" s="321"/>
      <c r="AM9" s="321"/>
      <c r="AN9" s="321"/>
      <c r="AO9" s="321"/>
      <c r="AP9" s="321"/>
      <c r="AQ9" s="321"/>
      <c r="AR9" s="321"/>
      <c r="AS9" s="321"/>
      <c r="AT9" s="321"/>
      <c r="AU9" s="321"/>
    </row>
    <row r="10" spans="1:47" s="361" customFormat="1" ht="58">
      <c r="B10" s="372"/>
      <c r="C10" s="407" t="s">
        <v>399</v>
      </c>
      <c r="D10" s="409" t="s">
        <v>400</v>
      </c>
      <c r="E10" s="365">
        <v>1</v>
      </c>
      <c r="F10" s="365" t="s">
        <v>54</v>
      </c>
      <c r="G10" s="410">
        <v>29366.11</v>
      </c>
      <c r="H10" s="375">
        <f>E10*G10</f>
        <v>29366.11</v>
      </c>
      <c r="I10" s="376">
        <v>0</v>
      </c>
      <c r="J10" s="375">
        <f>(100%-I10)*G10</f>
        <v>29366.11</v>
      </c>
      <c r="K10" s="375">
        <f>J10*E10</f>
        <v>29366.11</v>
      </c>
      <c r="L10" s="377">
        <v>0.1</v>
      </c>
      <c r="M10" s="377">
        <v>0.1</v>
      </c>
      <c r="N10" s="377">
        <v>0.4</v>
      </c>
      <c r="O10" s="377">
        <v>0.4</v>
      </c>
      <c r="P10" s="375">
        <f>((100%+SUM(L10:N10))+O10*(100%+SUM(L10:N10)))*J10</f>
        <v>65780.086400000015</v>
      </c>
      <c r="Q10" s="375">
        <f>P10*E10</f>
        <v>65780.086400000015</v>
      </c>
      <c r="R10" s="403">
        <f>P10*45*1.15</f>
        <v>3404119.4712000005</v>
      </c>
      <c r="S10" s="379">
        <f>R10*E10</f>
        <v>3404119.4712000005</v>
      </c>
      <c r="T10" s="371"/>
      <c r="U10" s="371"/>
      <c r="V10" s="371"/>
      <c r="W10" s="371"/>
      <c r="X10" s="371"/>
      <c r="Y10" s="371"/>
      <c r="Z10" s="371"/>
      <c r="AA10" s="371"/>
      <c r="AB10" s="371"/>
      <c r="AC10" s="371"/>
      <c r="AD10" s="371"/>
      <c r="AE10" s="371"/>
      <c r="AF10" s="371"/>
      <c r="AG10" s="371"/>
      <c r="AH10" s="371"/>
      <c r="AI10" s="371"/>
      <c r="AJ10" s="371"/>
      <c r="AK10" s="371"/>
      <c r="AL10" s="371"/>
      <c r="AM10" s="371"/>
      <c r="AN10" s="371"/>
      <c r="AO10" s="371"/>
      <c r="AP10" s="371"/>
      <c r="AQ10" s="371"/>
      <c r="AR10" s="371"/>
      <c r="AS10" s="371"/>
      <c r="AT10" s="371"/>
      <c r="AU10" s="371"/>
    </row>
    <row r="11" spans="1:47" s="361" customFormat="1" ht="43.5">
      <c r="B11" s="372"/>
      <c r="C11" s="407" t="s">
        <v>401</v>
      </c>
      <c r="D11" s="408" t="s">
        <v>402</v>
      </c>
      <c r="E11" s="365">
        <v>1</v>
      </c>
      <c r="F11" s="365" t="s">
        <v>54</v>
      </c>
      <c r="G11" s="410">
        <v>3681.45</v>
      </c>
      <c r="H11" s="375">
        <f>E11*G11</f>
        <v>3681.45</v>
      </c>
      <c r="I11" s="376">
        <v>0</v>
      </c>
      <c r="J11" s="375">
        <f>(100%-I11)*G11</f>
        <v>3681.45</v>
      </c>
      <c r="K11" s="375">
        <f>J11*E11</f>
        <v>3681.45</v>
      </c>
      <c r="L11" s="377">
        <v>0.1</v>
      </c>
      <c r="M11" s="377">
        <v>0.1</v>
      </c>
      <c r="N11" s="377">
        <v>0.4</v>
      </c>
      <c r="O11" s="377">
        <v>0.4</v>
      </c>
      <c r="P11" s="375">
        <f>((100%+SUM(L11:N11))+O11*(100%+SUM(L11:N11)))*J11</f>
        <v>8246.4480000000003</v>
      </c>
      <c r="Q11" s="375">
        <f>P11*E11</f>
        <v>8246.4480000000003</v>
      </c>
      <c r="R11" s="403">
        <f>P11*45*1.15</f>
        <v>426753.68400000001</v>
      </c>
      <c r="S11" s="379">
        <f>R11*E11</f>
        <v>426753.68400000001</v>
      </c>
      <c r="T11" s="371"/>
      <c r="U11" s="371"/>
      <c r="V11" s="371"/>
      <c r="W11" s="371"/>
      <c r="X11" s="371"/>
      <c r="Y11" s="371"/>
      <c r="Z11" s="371"/>
      <c r="AA11" s="371"/>
      <c r="AB11" s="371"/>
      <c r="AC11" s="371"/>
      <c r="AD11" s="371"/>
      <c r="AE11" s="371"/>
      <c r="AF11" s="371"/>
      <c r="AG11" s="371"/>
      <c r="AH11" s="371"/>
      <c r="AI11" s="371"/>
      <c r="AJ11" s="371"/>
      <c r="AK11" s="371"/>
      <c r="AL11" s="371"/>
      <c r="AM11" s="371"/>
      <c r="AN11" s="371"/>
      <c r="AO11" s="371"/>
      <c r="AP11" s="371"/>
      <c r="AQ11" s="371"/>
      <c r="AR11" s="371"/>
      <c r="AS11" s="371"/>
      <c r="AT11" s="371"/>
      <c r="AU11" s="371"/>
    </row>
    <row r="12" spans="1:47" s="41" customFormat="1" ht="18.75" customHeight="1">
      <c r="A12" s="321"/>
      <c r="B12" s="282">
        <v>4</v>
      </c>
      <c r="C12" s="381" t="s">
        <v>388</v>
      </c>
      <c r="D12" s="250"/>
      <c r="E12" s="250"/>
      <c r="F12" s="250"/>
      <c r="G12" s="357"/>
      <c r="H12" s="357"/>
      <c r="I12" s="250"/>
      <c r="J12" s="357"/>
      <c r="K12" s="357"/>
      <c r="L12" s="357"/>
      <c r="M12" s="357"/>
      <c r="N12" s="357"/>
      <c r="O12" s="357"/>
      <c r="P12" s="357"/>
      <c r="Q12" s="357"/>
      <c r="R12" s="357"/>
      <c r="S12" s="283"/>
      <c r="T12" s="321"/>
      <c r="U12" s="321"/>
      <c r="V12" s="321"/>
      <c r="W12" s="321"/>
      <c r="X12" s="321"/>
      <c r="Y12" s="321"/>
      <c r="Z12" s="321"/>
      <c r="AA12" s="321"/>
      <c r="AB12" s="321"/>
      <c r="AC12" s="321"/>
      <c r="AD12" s="321"/>
      <c r="AE12" s="321"/>
      <c r="AF12" s="321"/>
      <c r="AG12" s="321"/>
      <c r="AH12" s="321"/>
      <c r="AI12" s="321"/>
      <c r="AJ12" s="321"/>
      <c r="AK12" s="321"/>
      <c r="AL12" s="321"/>
      <c r="AM12" s="321"/>
      <c r="AN12" s="321"/>
      <c r="AO12" s="321"/>
      <c r="AP12" s="321"/>
      <c r="AQ12" s="321"/>
      <c r="AR12" s="321"/>
      <c r="AS12" s="321"/>
      <c r="AT12" s="321"/>
      <c r="AU12" s="321"/>
    </row>
    <row r="13" spans="1:47" s="361" customFormat="1" ht="58">
      <c r="B13" s="372"/>
      <c r="C13" s="407" t="s">
        <v>392</v>
      </c>
      <c r="D13" s="408" t="s">
        <v>393</v>
      </c>
      <c r="E13" s="365">
        <v>3</v>
      </c>
      <c r="F13" s="360" t="s">
        <v>27</v>
      </c>
      <c r="G13" s="410">
        <v>1286.7</v>
      </c>
      <c r="H13" s="375">
        <f>E13*G13</f>
        <v>3860.1000000000004</v>
      </c>
      <c r="I13" s="376">
        <v>0</v>
      </c>
      <c r="J13" s="375">
        <f>(100%-I13)*G13</f>
        <v>1286.7</v>
      </c>
      <c r="K13" s="375">
        <f>J13*E13</f>
        <v>3860.1000000000004</v>
      </c>
      <c r="L13" s="377">
        <v>0.1</v>
      </c>
      <c r="M13" s="377">
        <v>0.1</v>
      </c>
      <c r="N13" s="377">
        <v>0.4</v>
      </c>
      <c r="O13" s="377">
        <v>0.4</v>
      </c>
      <c r="P13" s="375">
        <f>((100%+SUM(L13:N13))+O13*(100%+SUM(L13:N13)))*J13</f>
        <v>2882.2080000000005</v>
      </c>
      <c r="Q13" s="375">
        <f>P13*E13</f>
        <v>8646.6240000000016</v>
      </c>
      <c r="R13" s="403">
        <f>P13*45*1.15</f>
        <v>149154.26400000002</v>
      </c>
      <c r="S13" s="379">
        <f>R13*E13</f>
        <v>447462.79200000007</v>
      </c>
      <c r="T13" s="371"/>
      <c r="U13" s="371"/>
      <c r="V13" s="371"/>
      <c r="W13" s="371"/>
      <c r="X13" s="371"/>
      <c r="Y13" s="371"/>
      <c r="Z13" s="371"/>
      <c r="AA13" s="371"/>
      <c r="AB13" s="371"/>
      <c r="AC13" s="371"/>
      <c r="AD13" s="371"/>
      <c r="AE13" s="371"/>
      <c r="AF13" s="371"/>
      <c r="AG13" s="371"/>
      <c r="AH13" s="371"/>
      <c r="AI13" s="371"/>
      <c r="AJ13" s="371"/>
      <c r="AK13" s="371"/>
      <c r="AL13" s="371"/>
      <c r="AM13" s="371"/>
      <c r="AN13" s="371"/>
      <c r="AO13" s="371"/>
      <c r="AP13" s="371"/>
      <c r="AQ13" s="371"/>
      <c r="AR13" s="371"/>
      <c r="AS13" s="371"/>
      <c r="AT13" s="371"/>
      <c r="AU13" s="371"/>
    </row>
    <row r="14" spans="1:47" s="41" customFormat="1" ht="18.75" customHeight="1">
      <c r="A14" s="321"/>
      <c r="B14" s="282">
        <v>5</v>
      </c>
      <c r="C14" s="440" t="s">
        <v>446</v>
      </c>
      <c r="D14" s="250"/>
      <c r="E14" s="250"/>
      <c r="F14" s="250"/>
      <c r="G14" s="357"/>
      <c r="H14" s="357"/>
      <c r="I14" s="250"/>
      <c r="J14" s="357"/>
      <c r="K14" s="357"/>
      <c r="L14" s="357"/>
      <c r="M14" s="357"/>
      <c r="N14" s="357"/>
      <c r="O14" s="357"/>
      <c r="P14" s="357"/>
      <c r="Q14" s="357"/>
      <c r="R14" s="357"/>
      <c r="S14" s="283"/>
      <c r="T14" s="321"/>
      <c r="U14" s="321"/>
      <c r="V14" s="321"/>
      <c r="W14" s="321"/>
      <c r="X14" s="321"/>
      <c r="Y14" s="321"/>
      <c r="Z14" s="321"/>
      <c r="AA14" s="321"/>
      <c r="AB14" s="321"/>
      <c r="AC14" s="321"/>
      <c r="AD14" s="321"/>
      <c r="AE14" s="321"/>
      <c r="AF14" s="321"/>
      <c r="AG14" s="321"/>
      <c r="AH14" s="321"/>
      <c r="AI14" s="321"/>
      <c r="AJ14" s="321"/>
      <c r="AK14" s="321"/>
      <c r="AL14" s="321"/>
      <c r="AM14" s="321"/>
      <c r="AN14" s="321"/>
      <c r="AO14" s="321"/>
      <c r="AP14" s="321"/>
      <c r="AQ14" s="321"/>
      <c r="AR14" s="321"/>
      <c r="AS14" s="321"/>
      <c r="AT14" s="321"/>
      <c r="AU14" s="321"/>
    </row>
    <row r="15" spans="1:47" s="371" customFormat="1" ht="15.5">
      <c r="B15" s="372"/>
      <c r="C15" s="546" t="s">
        <v>463</v>
      </c>
      <c r="D15" s="547"/>
      <c r="E15" s="365">
        <v>6</v>
      </c>
      <c r="F15" s="360" t="s">
        <v>139</v>
      </c>
      <c r="G15" s="548">
        <v>7000</v>
      </c>
      <c r="H15" s="549">
        <f>E15*G15</f>
        <v>42000</v>
      </c>
      <c r="I15" s="550">
        <v>0</v>
      </c>
      <c r="J15" s="549">
        <f>(100%-I15)*G15</f>
        <v>7000</v>
      </c>
      <c r="K15" s="549">
        <f>J15*E15</f>
        <v>42000</v>
      </c>
      <c r="L15" s="551">
        <v>0.1</v>
      </c>
      <c r="M15" s="551">
        <v>0.1</v>
      </c>
      <c r="N15" s="551">
        <v>0.4</v>
      </c>
      <c r="O15" s="551">
        <v>0.4</v>
      </c>
      <c r="P15" s="549">
        <f>((100%+SUM(L15:N15))+O15*(100%+SUM(L15:N15)))*J15</f>
        <v>15680.000000000002</v>
      </c>
      <c r="Q15" s="549">
        <f>P15*E15</f>
        <v>94080.000000000015</v>
      </c>
      <c r="R15" s="552">
        <f>P15*45</f>
        <v>705600.00000000012</v>
      </c>
      <c r="S15" s="553">
        <f>R15*E15</f>
        <v>4233600.0000000009</v>
      </c>
    </row>
    <row r="16" spans="1:47" s="41" customFormat="1" ht="18.75" customHeight="1">
      <c r="A16" s="321"/>
      <c r="B16" s="282">
        <v>5</v>
      </c>
      <c r="C16" s="381" t="s">
        <v>391</v>
      </c>
      <c r="D16" s="250"/>
      <c r="E16" s="250"/>
      <c r="F16" s="250"/>
      <c r="G16" s="357"/>
      <c r="H16" s="357"/>
      <c r="I16" s="250"/>
      <c r="J16" s="357"/>
      <c r="K16" s="357"/>
      <c r="L16" s="357"/>
      <c r="M16" s="357"/>
      <c r="N16" s="357"/>
      <c r="O16" s="357"/>
      <c r="P16" s="357"/>
      <c r="Q16" s="357"/>
      <c r="R16" s="357"/>
      <c r="S16" s="283"/>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1"/>
      <c r="AS16" s="321"/>
      <c r="AT16" s="321"/>
      <c r="AU16" s="321"/>
    </row>
    <row r="17" spans="1:47" s="361" customFormat="1" ht="58">
      <c r="B17" s="372"/>
      <c r="C17" s="407" t="s">
        <v>394</v>
      </c>
      <c r="D17" s="408" t="s">
        <v>395</v>
      </c>
      <c r="E17" s="365">
        <v>1</v>
      </c>
      <c r="F17" s="365" t="s">
        <v>54</v>
      </c>
      <c r="G17" s="410">
        <v>1502.31</v>
      </c>
      <c r="H17" s="375">
        <f>E17*G17</f>
        <v>1502.31</v>
      </c>
      <c r="I17" s="376">
        <v>0</v>
      </c>
      <c r="J17" s="375">
        <f>(100%-I17)*G17</f>
        <v>1502.31</v>
      </c>
      <c r="K17" s="375">
        <f>J17*E17</f>
        <v>1502.31</v>
      </c>
      <c r="L17" s="377">
        <v>0.1</v>
      </c>
      <c r="M17" s="377">
        <v>0.1</v>
      </c>
      <c r="N17" s="377">
        <v>0.4</v>
      </c>
      <c r="O17" s="377">
        <v>0.4</v>
      </c>
      <c r="P17" s="375">
        <f>((100%+SUM(L17:N17))+O17*(100%+SUM(L17:N17)))*J17</f>
        <v>3365.1744000000003</v>
      </c>
      <c r="Q17" s="375">
        <f>P17*E17</f>
        <v>3365.1744000000003</v>
      </c>
      <c r="R17" s="403">
        <f>P17*45*1.15</f>
        <v>174147.7752</v>
      </c>
      <c r="S17" s="379">
        <f>R17*E17</f>
        <v>174147.7752</v>
      </c>
      <c r="T17" s="371"/>
      <c r="U17" s="371"/>
      <c r="V17" s="371"/>
      <c r="W17" s="371"/>
      <c r="X17" s="371"/>
      <c r="Y17" s="371"/>
      <c r="Z17" s="371"/>
      <c r="AA17" s="371"/>
      <c r="AB17" s="371"/>
      <c r="AC17" s="371"/>
      <c r="AD17" s="371"/>
      <c r="AE17" s="371"/>
      <c r="AF17" s="371"/>
      <c r="AG17" s="371"/>
      <c r="AH17" s="371"/>
      <c r="AI17" s="371"/>
      <c r="AJ17" s="371"/>
      <c r="AK17" s="371"/>
      <c r="AL17" s="371"/>
      <c r="AM17" s="371"/>
      <c r="AN17" s="371"/>
      <c r="AO17" s="371"/>
      <c r="AP17" s="371"/>
      <c r="AQ17" s="371"/>
      <c r="AR17" s="371"/>
      <c r="AS17" s="371"/>
      <c r="AT17" s="371"/>
      <c r="AU17" s="371"/>
    </row>
    <row r="18" spans="1:47" s="361" customFormat="1" ht="15.5">
      <c r="B18" s="372"/>
      <c r="C18" s="407" t="s">
        <v>403</v>
      </c>
      <c r="D18" s="408" t="s">
        <v>404</v>
      </c>
      <c r="E18" s="365">
        <v>1</v>
      </c>
      <c r="F18" s="365" t="s">
        <v>54</v>
      </c>
      <c r="G18" s="410">
        <v>208.32</v>
      </c>
      <c r="H18" s="375">
        <f>E18*G18</f>
        <v>208.32</v>
      </c>
      <c r="I18" s="376">
        <v>0</v>
      </c>
      <c r="J18" s="375">
        <f>(100%-I18)*G18</f>
        <v>208.32</v>
      </c>
      <c r="K18" s="375">
        <f>J18*E18</f>
        <v>208.32</v>
      </c>
      <c r="L18" s="377">
        <v>0.1</v>
      </c>
      <c r="M18" s="377">
        <v>0.1</v>
      </c>
      <c r="N18" s="377">
        <v>0.4</v>
      </c>
      <c r="O18" s="377">
        <v>0.4</v>
      </c>
      <c r="P18" s="375">
        <f>((100%+SUM(L18:N18))+O18*(100%+SUM(L18:N18)))*J18</f>
        <v>466.63680000000005</v>
      </c>
      <c r="Q18" s="375">
        <f>P18*E18</f>
        <v>466.63680000000005</v>
      </c>
      <c r="R18" s="403">
        <f>P18*45*1.15</f>
        <v>24148.454400000002</v>
      </c>
      <c r="S18" s="379">
        <f>R18*E18</f>
        <v>24148.454400000002</v>
      </c>
      <c r="T18" s="371"/>
      <c r="U18" s="371"/>
      <c r="V18" s="371"/>
      <c r="W18" s="371"/>
      <c r="X18" s="371"/>
      <c r="Y18" s="371"/>
      <c r="Z18" s="371"/>
      <c r="AA18" s="371"/>
      <c r="AB18" s="371"/>
      <c r="AC18" s="371"/>
      <c r="AD18" s="371"/>
      <c r="AE18" s="371"/>
      <c r="AF18" s="371"/>
      <c r="AG18" s="371"/>
      <c r="AH18" s="371"/>
      <c r="AI18" s="371"/>
      <c r="AJ18" s="371"/>
      <c r="AK18" s="371"/>
      <c r="AL18" s="371"/>
      <c r="AM18" s="371"/>
      <c r="AN18" s="371"/>
      <c r="AO18" s="371"/>
      <c r="AP18" s="371"/>
      <c r="AQ18" s="371"/>
      <c r="AR18" s="371"/>
      <c r="AS18" s="371"/>
      <c r="AT18" s="371"/>
      <c r="AU18" s="371"/>
    </row>
    <row r="19" spans="1:47" s="41" customFormat="1" ht="18.75" customHeight="1">
      <c r="A19" s="321"/>
      <c r="B19" s="282">
        <v>6</v>
      </c>
      <c r="C19" s="381" t="s">
        <v>390</v>
      </c>
      <c r="D19" s="250"/>
      <c r="E19" s="250"/>
      <c r="F19" s="250"/>
      <c r="G19" s="357"/>
      <c r="H19" s="357"/>
      <c r="I19" s="250"/>
      <c r="J19" s="357"/>
      <c r="K19" s="357"/>
      <c r="L19" s="357"/>
      <c r="M19" s="357"/>
      <c r="N19" s="357"/>
      <c r="O19" s="357"/>
      <c r="P19" s="357"/>
      <c r="Q19" s="357"/>
      <c r="R19" s="357"/>
      <c r="S19" s="283"/>
      <c r="T19" s="321"/>
      <c r="U19" s="321"/>
      <c r="V19" s="321"/>
      <c r="W19" s="321"/>
      <c r="X19" s="321"/>
      <c r="Y19" s="321"/>
      <c r="Z19" s="321"/>
      <c r="AA19" s="321"/>
      <c r="AB19" s="321"/>
      <c r="AC19" s="321"/>
      <c r="AD19" s="321"/>
      <c r="AE19" s="321"/>
      <c r="AF19" s="321"/>
      <c r="AG19" s="321"/>
      <c r="AH19" s="321"/>
      <c r="AI19" s="321"/>
      <c r="AJ19" s="321"/>
      <c r="AK19" s="321"/>
      <c r="AL19" s="321"/>
      <c r="AM19" s="321"/>
      <c r="AN19" s="321"/>
      <c r="AO19" s="321"/>
      <c r="AP19" s="321"/>
      <c r="AQ19" s="321"/>
      <c r="AR19" s="321"/>
      <c r="AS19" s="321"/>
      <c r="AT19" s="321"/>
      <c r="AU19" s="321"/>
    </row>
    <row r="20" spans="1:47" s="361" customFormat="1" ht="116">
      <c r="B20" s="372"/>
      <c r="C20" s="405" t="s">
        <v>234</v>
      </c>
      <c r="D20" s="406" t="s">
        <v>235</v>
      </c>
      <c r="E20" s="365">
        <v>1</v>
      </c>
      <c r="F20" s="360" t="s">
        <v>27</v>
      </c>
      <c r="G20" s="411">
        <v>28000</v>
      </c>
      <c r="H20" s="375">
        <f>E20*G20</f>
        <v>28000</v>
      </c>
      <c r="I20" s="376">
        <v>0</v>
      </c>
      <c r="J20" s="375">
        <f>(100%-I20)*G20</f>
        <v>28000</v>
      </c>
      <c r="K20" s="375">
        <f>J20*E20</f>
        <v>28000</v>
      </c>
      <c r="L20" s="377">
        <v>0.1</v>
      </c>
      <c r="M20" s="377">
        <v>0.1</v>
      </c>
      <c r="N20" s="377">
        <v>0.4</v>
      </c>
      <c r="O20" s="377">
        <v>0.4</v>
      </c>
      <c r="P20" s="375">
        <f>((100%+SUM(L20:N20))+O20*(100%+SUM(L20:N20)))*J20</f>
        <v>62720.000000000007</v>
      </c>
      <c r="Q20" s="375">
        <f>P20*E20</f>
        <v>62720.000000000007</v>
      </c>
      <c r="R20" s="403">
        <f>P20*45*1.15</f>
        <v>3245760.0000000005</v>
      </c>
      <c r="S20" s="379">
        <f>R20*E20</f>
        <v>3245760.0000000005</v>
      </c>
      <c r="T20" s="371"/>
      <c r="U20" s="371"/>
      <c r="V20" s="371"/>
      <c r="W20" s="371"/>
      <c r="X20" s="371"/>
      <c r="Y20" s="371"/>
      <c r="Z20" s="371"/>
      <c r="AA20" s="371"/>
      <c r="AB20" s="371"/>
      <c r="AC20" s="371"/>
      <c r="AD20" s="371"/>
      <c r="AE20" s="371"/>
      <c r="AF20" s="371"/>
      <c r="AG20" s="371"/>
      <c r="AH20" s="371"/>
      <c r="AI20" s="371"/>
      <c r="AJ20" s="371"/>
      <c r="AK20" s="371"/>
      <c r="AL20" s="371"/>
      <c r="AM20" s="371"/>
      <c r="AN20" s="371"/>
      <c r="AO20" s="371"/>
      <c r="AP20" s="371"/>
      <c r="AQ20" s="371"/>
      <c r="AR20" s="371"/>
      <c r="AS20" s="371"/>
      <c r="AT20" s="371"/>
      <c r="AU20" s="371"/>
    </row>
    <row r="21" spans="1:47" s="41" customFormat="1" ht="18.75" customHeight="1">
      <c r="A21" s="321"/>
      <c r="B21" s="282">
        <v>7</v>
      </c>
      <c r="C21" s="381" t="s">
        <v>396</v>
      </c>
      <c r="D21" s="250"/>
      <c r="E21" s="250"/>
      <c r="F21" s="250"/>
      <c r="G21" s="357"/>
      <c r="H21" s="357"/>
      <c r="I21" s="250"/>
      <c r="J21" s="357"/>
      <c r="K21" s="357"/>
      <c r="L21" s="357"/>
      <c r="M21" s="357"/>
      <c r="N21" s="357"/>
      <c r="O21" s="357"/>
      <c r="P21" s="357"/>
      <c r="Q21" s="357"/>
      <c r="R21" s="357"/>
      <c r="S21" s="283"/>
      <c r="T21" s="321"/>
      <c r="U21" s="321"/>
      <c r="V21" s="321"/>
      <c r="W21" s="321"/>
      <c r="X21" s="321"/>
      <c r="Y21" s="321"/>
      <c r="Z21" s="321"/>
      <c r="AA21" s="321"/>
      <c r="AB21" s="321"/>
      <c r="AC21" s="321"/>
      <c r="AD21" s="321"/>
      <c r="AE21" s="321"/>
      <c r="AF21" s="321"/>
      <c r="AG21" s="321"/>
      <c r="AH21" s="321"/>
      <c r="AI21" s="321"/>
      <c r="AJ21" s="321"/>
      <c r="AK21" s="321"/>
      <c r="AL21" s="321"/>
      <c r="AM21" s="321"/>
      <c r="AN21" s="321"/>
      <c r="AO21" s="321"/>
      <c r="AP21" s="321"/>
      <c r="AQ21" s="321"/>
      <c r="AR21" s="321"/>
      <c r="AS21" s="321"/>
      <c r="AT21" s="321"/>
      <c r="AU21" s="321"/>
    </row>
    <row r="22" spans="1:47" s="412" customFormat="1" ht="18">
      <c r="B22" s="413"/>
      <c r="C22" s="423" t="s">
        <v>397</v>
      </c>
      <c r="D22" s="424" t="s">
        <v>396</v>
      </c>
      <c r="E22" s="416">
        <v>1</v>
      </c>
      <c r="F22" s="425" t="s">
        <v>27</v>
      </c>
      <c r="G22" s="426"/>
      <c r="H22" s="417">
        <f>E22*G22</f>
        <v>0</v>
      </c>
      <c r="I22" s="418">
        <v>0</v>
      </c>
      <c r="J22" s="417">
        <f>(100%-I22)*G22</f>
        <v>0</v>
      </c>
      <c r="K22" s="417">
        <f>J22*E22</f>
        <v>0</v>
      </c>
      <c r="L22" s="377">
        <v>0.1</v>
      </c>
      <c r="M22" s="377">
        <v>0.1</v>
      </c>
      <c r="N22" s="377">
        <v>0.4</v>
      </c>
      <c r="O22" s="419">
        <v>0.4</v>
      </c>
      <c r="P22" s="417">
        <f>((100%+SUM(L22:N22))+O22*(100%+SUM(L22:N22)))*J22</f>
        <v>0</v>
      </c>
      <c r="Q22" s="417">
        <f>P22*E22</f>
        <v>0</v>
      </c>
      <c r="R22" s="420">
        <f>P22</f>
        <v>0</v>
      </c>
      <c r="S22" s="421">
        <f>R22*E22</f>
        <v>0</v>
      </c>
      <c r="T22" s="422"/>
      <c r="U22" s="422"/>
      <c r="V22" s="422"/>
      <c r="W22" s="422"/>
      <c r="X22" s="422"/>
      <c r="Y22" s="422"/>
      <c r="Z22" s="422"/>
      <c r="AA22" s="422"/>
      <c r="AB22" s="422"/>
      <c r="AC22" s="422"/>
      <c r="AD22" s="422"/>
      <c r="AE22" s="422"/>
      <c r="AF22" s="422"/>
      <c r="AG22" s="422"/>
      <c r="AH22" s="422"/>
      <c r="AI22" s="422"/>
      <c r="AJ22" s="422"/>
      <c r="AK22" s="422"/>
      <c r="AL22" s="422"/>
      <c r="AM22" s="422"/>
      <c r="AN22" s="422"/>
      <c r="AO22" s="422"/>
      <c r="AP22" s="422"/>
      <c r="AQ22" s="422"/>
      <c r="AR22" s="422"/>
      <c r="AS22" s="422"/>
      <c r="AT22" s="422"/>
      <c r="AU22" s="422"/>
    </row>
    <row r="23" spans="1:47" s="41" customFormat="1" ht="18.75" customHeight="1">
      <c r="A23" s="321"/>
      <c r="B23" s="282">
        <v>8</v>
      </c>
      <c r="C23" s="381" t="s">
        <v>386</v>
      </c>
      <c r="D23" s="250"/>
      <c r="E23" s="250"/>
      <c r="F23" s="250"/>
      <c r="G23" s="357"/>
      <c r="H23" s="357"/>
      <c r="I23" s="250"/>
      <c r="J23" s="357"/>
      <c r="K23" s="357"/>
      <c r="L23" s="357"/>
      <c r="M23" s="357"/>
      <c r="N23" s="357"/>
      <c r="O23" s="357"/>
      <c r="P23" s="357"/>
      <c r="Q23" s="357"/>
      <c r="R23" s="357"/>
      <c r="S23" s="283"/>
      <c r="T23" s="321"/>
      <c r="U23" s="321"/>
      <c r="V23" s="321"/>
      <c r="W23" s="321"/>
      <c r="X23" s="321"/>
      <c r="Y23" s="321"/>
      <c r="Z23" s="321"/>
      <c r="AA23" s="321"/>
      <c r="AB23" s="321"/>
      <c r="AC23" s="321"/>
      <c r="AD23" s="321"/>
      <c r="AE23" s="321"/>
      <c r="AF23" s="321"/>
      <c r="AG23" s="321"/>
      <c r="AH23" s="321"/>
      <c r="AI23" s="321"/>
      <c r="AJ23" s="321"/>
      <c r="AK23" s="321"/>
      <c r="AL23" s="321"/>
      <c r="AM23" s="321"/>
      <c r="AN23" s="321"/>
      <c r="AO23" s="321"/>
      <c r="AP23" s="321"/>
      <c r="AQ23" s="321"/>
      <c r="AR23" s="321"/>
      <c r="AS23" s="321"/>
      <c r="AT23" s="321"/>
      <c r="AU23" s="321"/>
    </row>
    <row r="24" spans="1:47" s="412" customFormat="1" ht="104">
      <c r="B24" s="413"/>
      <c r="C24" s="414" t="s">
        <v>398</v>
      </c>
      <c r="D24" s="415" t="s">
        <v>405</v>
      </c>
      <c r="E24" s="416">
        <v>1</v>
      </c>
      <c r="F24" s="416" t="s">
        <v>54</v>
      </c>
      <c r="G24" s="439">
        <v>600000</v>
      </c>
      <c r="H24" s="417">
        <f>E24*G24</f>
        <v>600000</v>
      </c>
      <c r="I24" s="418">
        <v>0</v>
      </c>
      <c r="J24" s="417">
        <f>(100%-I24)*G24</f>
        <v>600000</v>
      </c>
      <c r="K24" s="417">
        <f>J24*E24</f>
        <v>600000</v>
      </c>
      <c r="L24" s="377">
        <v>0.1</v>
      </c>
      <c r="M24" s="377">
        <v>0.1</v>
      </c>
      <c r="N24" s="377">
        <v>0.4</v>
      </c>
      <c r="O24" s="419">
        <v>0.4</v>
      </c>
      <c r="P24" s="417">
        <f>((100%+SUM(L24:N24))+O24*(100%+SUM(L24:N24)))*J24</f>
        <v>1344000.0000000002</v>
      </c>
      <c r="Q24" s="417">
        <f>P24*E24</f>
        <v>1344000.0000000002</v>
      </c>
      <c r="R24" s="420">
        <f>P24</f>
        <v>1344000.0000000002</v>
      </c>
      <c r="S24" s="421">
        <f>R24*E24</f>
        <v>1344000.0000000002</v>
      </c>
      <c r="T24" s="422"/>
      <c r="U24" s="422"/>
      <c r="V24" s="422"/>
      <c r="W24" s="422"/>
      <c r="X24" s="422"/>
      <c r="Y24" s="422"/>
      <c r="Z24" s="422"/>
      <c r="AA24" s="422"/>
      <c r="AB24" s="422"/>
      <c r="AC24" s="422"/>
      <c r="AD24" s="422"/>
      <c r="AE24" s="422"/>
      <c r="AF24" s="422"/>
      <c r="AG24" s="422"/>
      <c r="AH24" s="422"/>
      <c r="AI24" s="422"/>
      <c r="AJ24" s="422"/>
      <c r="AK24" s="422"/>
      <c r="AL24" s="422"/>
      <c r="AM24" s="422"/>
      <c r="AN24" s="422"/>
      <c r="AO24" s="422"/>
      <c r="AP24" s="422"/>
      <c r="AQ24" s="422"/>
      <c r="AR24" s="422"/>
      <c r="AS24" s="422"/>
      <c r="AT24" s="422"/>
      <c r="AU24" s="422"/>
    </row>
    <row r="25" spans="1:47" ht="22" customHeight="1">
      <c r="B25" s="259"/>
      <c r="C25" s="253" t="s">
        <v>23</v>
      </c>
      <c r="D25" s="253"/>
      <c r="E25" s="254"/>
      <c r="F25" s="254"/>
      <c r="G25" s="255"/>
      <c r="H25" s="255">
        <f>SUM(H4:H6)</f>
        <v>4611</v>
      </c>
      <c r="I25" s="254"/>
      <c r="J25" s="253"/>
      <c r="K25" s="255">
        <f>SUM(K4:K6)</f>
        <v>4611</v>
      </c>
      <c r="L25" s="256"/>
      <c r="M25" s="256"/>
      <c r="N25" s="256"/>
      <c r="O25" s="253"/>
      <c r="P25" s="253"/>
      <c r="Q25" s="257">
        <f>SUM(Q4:Q6)</f>
        <v>10328.640000000001</v>
      </c>
      <c r="R25" s="257"/>
      <c r="S25" s="260">
        <f>SUM(S4:S24)</f>
        <v>13780905.616800001</v>
      </c>
    </row>
    <row r="26" spans="1:47" s="324" customFormat="1" ht="15.5">
      <c r="A26" s="313"/>
      <c r="B26" s="15"/>
      <c r="C26" s="16"/>
      <c r="D26" s="16"/>
      <c r="E26" s="19"/>
      <c r="F26" s="19"/>
      <c r="G26" s="15"/>
      <c r="H26" s="15"/>
      <c r="I26" s="19"/>
      <c r="J26" s="15"/>
      <c r="K26" s="15"/>
      <c r="L26" s="15"/>
      <c r="M26" s="15"/>
      <c r="N26" s="15"/>
      <c r="O26" s="15"/>
      <c r="P26" s="15"/>
      <c r="Q26" s="15"/>
      <c r="R26" s="15"/>
      <c r="S26" s="15"/>
    </row>
    <row r="29" spans="1:47" s="324" customFormat="1">
      <c r="A29" s="313"/>
      <c r="B29" s="313"/>
      <c r="C29" s="313"/>
      <c r="D29" s="313"/>
      <c r="E29" s="18"/>
      <c r="F29" s="18"/>
      <c r="G29" s="313"/>
      <c r="H29" s="313"/>
      <c r="I29" s="18"/>
      <c r="J29" s="313"/>
      <c r="K29" s="313"/>
      <c r="L29" s="313"/>
      <c r="M29" s="313"/>
      <c r="N29" s="313"/>
      <c r="O29" s="313"/>
      <c r="P29" s="313"/>
      <c r="Q29" s="9"/>
      <c r="R29" s="313"/>
      <c r="S29" s="313"/>
    </row>
    <row r="58" spans="3:3">
      <c r="C58" s="17"/>
    </row>
    <row r="66" spans="3:3">
      <c r="C66" s="17"/>
    </row>
    <row r="73" spans="3:3">
      <c r="C73" s="17"/>
    </row>
  </sheetData>
  <mergeCells count="1">
    <mergeCell ref="B2:S2"/>
  </mergeCells>
  <pageMargins left="0.75" right="0.75" top="1" bottom="1" header="0.3" footer="0.3"/>
  <pageSetup paperSize="9" scale="23" fitToHeight="2"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105"/>
  <sheetViews>
    <sheetView view="pageBreakPreview" topLeftCell="A42" zoomScale="54" zoomScaleNormal="55" zoomScaleSheetLayoutView="54" workbookViewId="0">
      <selection activeCell="A58" sqref="A58:XFD59"/>
    </sheetView>
  </sheetViews>
  <sheetFormatPr defaultColWidth="8.81640625" defaultRowHeight="14.5"/>
  <cols>
    <col min="1" max="1" width="8.81640625" style="324"/>
    <col min="2" max="2" width="4.1796875" style="313" bestFit="1" customWidth="1"/>
    <col min="3" max="4" width="24.26953125" style="313" customWidth="1"/>
    <col min="5" max="5" width="69.1796875" style="313" customWidth="1"/>
    <col min="6" max="6" width="8.81640625" style="18" customWidth="1"/>
    <col min="7" max="7" width="12" style="18" customWidth="1"/>
    <col min="8" max="8" width="10.7265625" style="313" customWidth="1"/>
    <col min="9" max="9" width="13.36328125" style="313" customWidth="1"/>
    <col min="10" max="10" width="11.26953125" style="18" customWidth="1"/>
    <col min="11" max="11" width="13.54296875" style="313" customWidth="1"/>
    <col min="12" max="12" width="10.1796875" style="313" customWidth="1"/>
    <col min="13" max="16" width="11.26953125" style="313" customWidth="1"/>
    <col min="17" max="17" width="14.7265625" style="313" customWidth="1"/>
    <col min="18" max="18" width="12.54296875" style="313" customWidth="1"/>
    <col min="19" max="19" width="10.36328125" style="313" customWidth="1"/>
    <col min="20" max="20" width="17.36328125" style="313" customWidth="1"/>
    <col min="21" max="48" width="9.1796875" style="324" customWidth="1"/>
    <col min="49" max="16384" width="8.81640625" style="313"/>
  </cols>
  <sheetData>
    <row r="1" spans="1:48" ht="15" thickBot="1"/>
    <row r="2" spans="1:48" ht="26.5" thickBot="1">
      <c r="B2" s="508" t="s">
        <v>266</v>
      </c>
      <c r="C2" s="509"/>
      <c r="D2" s="509"/>
      <c r="E2" s="509"/>
      <c r="F2" s="509"/>
      <c r="G2" s="509"/>
      <c r="H2" s="509"/>
      <c r="I2" s="509"/>
      <c r="J2" s="509"/>
      <c r="K2" s="509"/>
      <c r="L2" s="509"/>
      <c r="M2" s="509"/>
      <c r="N2" s="509"/>
      <c r="O2" s="509"/>
      <c r="P2" s="509"/>
      <c r="Q2" s="509"/>
      <c r="R2" s="509"/>
      <c r="S2" s="509"/>
      <c r="T2" s="510"/>
    </row>
    <row r="3" spans="1:48" ht="48.75" customHeight="1">
      <c r="B3" s="22" t="s">
        <v>1</v>
      </c>
      <c r="C3" s="23" t="s">
        <v>21</v>
      </c>
      <c r="D3" s="23" t="s">
        <v>464</v>
      </c>
      <c r="E3" s="24" t="s">
        <v>15</v>
      </c>
      <c r="F3" s="25" t="s">
        <v>10</v>
      </c>
      <c r="G3" s="45" t="s">
        <v>28</v>
      </c>
      <c r="H3" s="26" t="s">
        <v>0</v>
      </c>
      <c r="I3" s="26" t="s">
        <v>11</v>
      </c>
      <c r="J3" s="27" t="s">
        <v>3</v>
      </c>
      <c r="K3" s="26" t="s">
        <v>12</v>
      </c>
      <c r="L3" s="26" t="s">
        <v>13</v>
      </c>
      <c r="M3" s="26" t="s">
        <v>4</v>
      </c>
      <c r="N3" s="28" t="s">
        <v>5</v>
      </c>
      <c r="O3" s="26" t="s">
        <v>6</v>
      </c>
      <c r="P3" s="29" t="s">
        <v>14</v>
      </c>
      <c r="Q3" s="26" t="s">
        <v>22</v>
      </c>
      <c r="R3" s="26" t="s">
        <v>9</v>
      </c>
      <c r="S3" s="26" t="s">
        <v>465</v>
      </c>
      <c r="T3" s="30" t="s">
        <v>8</v>
      </c>
    </row>
    <row r="4" spans="1:48" s="349" customFormat="1" ht="23.15" customHeight="1">
      <c r="A4" s="354"/>
      <c r="B4" s="350">
        <v>1</v>
      </c>
      <c r="C4" s="527" t="s">
        <v>416</v>
      </c>
      <c r="D4" s="528"/>
      <c r="E4" s="528"/>
      <c r="F4" s="528"/>
      <c r="G4" s="528"/>
      <c r="H4" s="528"/>
      <c r="I4" s="528"/>
      <c r="J4" s="528"/>
      <c r="K4" s="528"/>
      <c r="L4" s="528"/>
      <c r="M4" s="528"/>
      <c r="N4" s="528"/>
      <c r="O4" s="528"/>
      <c r="P4" s="528"/>
      <c r="Q4" s="528"/>
      <c r="R4" s="528"/>
      <c r="S4" s="528"/>
      <c r="T4" s="529"/>
      <c r="U4" s="354"/>
      <c r="V4" s="354"/>
      <c r="W4" s="354"/>
      <c r="X4" s="354"/>
      <c r="Y4" s="354"/>
      <c r="Z4" s="354"/>
      <c r="AA4" s="354"/>
      <c r="AB4" s="354"/>
      <c r="AC4" s="354"/>
      <c r="AD4" s="354"/>
      <c r="AE4" s="354"/>
      <c r="AF4" s="354"/>
      <c r="AG4" s="354"/>
      <c r="AH4" s="354"/>
      <c r="AI4" s="354"/>
      <c r="AJ4" s="354"/>
      <c r="AK4" s="354"/>
      <c r="AL4" s="354"/>
      <c r="AM4" s="354"/>
      <c r="AN4" s="354"/>
      <c r="AO4" s="354"/>
      <c r="AP4" s="354"/>
      <c r="AQ4" s="354"/>
      <c r="AR4" s="354"/>
      <c r="AS4" s="354"/>
      <c r="AT4" s="354"/>
      <c r="AU4" s="354"/>
      <c r="AV4" s="354"/>
    </row>
    <row r="5" spans="1:48" s="314" customFormat="1" ht="79.5" customHeight="1">
      <c r="A5" s="321"/>
      <c r="B5" s="315"/>
      <c r="C5" s="144" t="s">
        <v>202</v>
      </c>
      <c r="D5" s="144">
        <v>85219000</v>
      </c>
      <c r="E5" s="145" t="s">
        <v>203</v>
      </c>
      <c r="F5" s="43">
        <v>1</v>
      </c>
      <c r="G5" s="44" t="s">
        <v>27</v>
      </c>
      <c r="H5" s="141">
        <v>669</v>
      </c>
      <c r="I5" s="320">
        <f>F5*H5</f>
        <v>669</v>
      </c>
      <c r="J5" s="319">
        <v>0</v>
      </c>
      <c r="K5" s="320">
        <f>(100%-J5)*H5</f>
        <v>669</v>
      </c>
      <c r="L5" s="320">
        <f>K5*F5</f>
        <v>669</v>
      </c>
      <c r="M5" s="316">
        <v>0.1</v>
      </c>
      <c r="N5" s="316">
        <v>0.1</v>
      </c>
      <c r="O5" s="316">
        <v>1.03</v>
      </c>
      <c r="P5" s="316">
        <v>0.4</v>
      </c>
      <c r="Q5" s="320">
        <f>((100%+SUM(M5:O5))+P5*(100%+SUM(M5:O5)))*K5</f>
        <v>2088.6179999999999</v>
      </c>
      <c r="R5" s="320">
        <f>Q5*F5</f>
        <v>2088.6179999999999</v>
      </c>
      <c r="S5" s="317">
        <f>45*Q5*1.15</f>
        <v>108085.98149999999</v>
      </c>
      <c r="T5" s="318">
        <f>S5*F5</f>
        <v>108085.98149999999</v>
      </c>
      <c r="U5" s="321"/>
      <c r="V5" s="321"/>
      <c r="W5" s="321"/>
      <c r="X5" s="321"/>
      <c r="Y5" s="321"/>
      <c r="Z5" s="321"/>
      <c r="AA5" s="321"/>
      <c r="AB5" s="321"/>
      <c r="AC5" s="321"/>
      <c r="AD5" s="321"/>
      <c r="AE5" s="321"/>
      <c r="AF5" s="321"/>
      <c r="AG5" s="321"/>
      <c r="AH5" s="321"/>
      <c r="AI5" s="321"/>
      <c r="AJ5" s="321"/>
      <c r="AK5" s="321"/>
      <c r="AL5" s="321"/>
      <c r="AM5" s="321"/>
      <c r="AN5" s="321"/>
      <c r="AO5" s="321"/>
      <c r="AP5" s="321"/>
      <c r="AQ5" s="321"/>
      <c r="AR5" s="321"/>
      <c r="AS5" s="321"/>
      <c r="AT5" s="321"/>
      <c r="AU5" s="321"/>
      <c r="AV5" s="321"/>
    </row>
    <row r="6" spans="1:48" s="314" customFormat="1" ht="32.25" customHeight="1">
      <c r="A6" s="321"/>
      <c r="B6" s="315"/>
      <c r="C6" s="144" t="s">
        <v>204</v>
      </c>
      <c r="D6" s="144"/>
      <c r="E6" s="145" t="s">
        <v>205</v>
      </c>
      <c r="F6" s="43">
        <v>10</v>
      </c>
      <c r="G6" s="44" t="s">
        <v>27</v>
      </c>
      <c r="H6" s="141">
        <v>103</v>
      </c>
      <c r="I6" s="320">
        <f>F6*H6</f>
        <v>1030</v>
      </c>
      <c r="J6" s="319">
        <v>0</v>
      </c>
      <c r="K6" s="320">
        <f>(100%-J6)*H6</f>
        <v>103</v>
      </c>
      <c r="L6" s="320">
        <f>K6*F6</f>
        <v>1030</v>
      </c>
      <c r="M6" s="316">
        <v>0.1</v>
      </c>
      <c r="N6" s="316">
        <v>0.1</v>
      </c>
      <c r="O6" s="316">
        <v>1.03</v>
      </c>
      <c r="P6" s="316">
        <v>0.4</v>
      </c>
      <c r="Q6" s="320">
        <f>((100%+SUM(M6:O6))+P6*(100%+SUM(M6:O6)))*K6</f>
        <v>321.56599999999997</v>
      </c>
      <c r="R6" s="320">
        <f>Q6*F6</f>
        <v>3215.66</v>
      </c>
      <c r="S6" s="317">
        <f>45*Q6*1.15</f>
        <v>16641.040499999999</v>
      </c>
      <c r="T6" s="318">
        <f>S6*F6</f>
        <v>166410.405</v>
      </c>
      <c r="U6" s="321"/>
      <c r="V6" s="321"/>
      <c r="W6" s="321"/>
      <c r="X6" s="321"/>
      <c r="Y6" s="321"/>
      <c r="Z6" s="321"/>
      <c r="AA6" s="321"/>
      <c r="AB6" s="321"/>
      <c r="AC6" s="321"/>
      <c r="AD6" s="321"/>
      <c r="AE6" s="321"/>
      <c r="AF6" s="321"/>
      <c r="AG6" s="321"/>
      <c r="AH6" s="321"/>
      <c r="AI6" s="321"/>
      <c r="AJ6" s="321"/>
      <c r="AK6" s="321"/>
      <c r="AL6" s="321"/>
      <c r="AM6" s="321"/>
      <c r="AN6" s="321"/>
      <c r="AO6" s="321"/>
      <c r="AP6" s="321"/>
      <c r="AQ6" s="321"/>
      <c r="AR6" s="321"/>
      <c r="AS6" s="321"/>
      <c r="AT6" s="321"/>
      <c r="AU6" s="321"/>
      <c r="AV6" s="321"/>
    </row>
    <row r="7" spans="1:48" s="349" customFormat="1" ht="23.15" customHeight="1">
      <c r="A7" s="354"/>
      <c r="B7" s="350">
        <v>2</v>
      </c>
      <c r="C7" s="530" t="s">
        <v>345</v>
      </c>
      <c r="D7" s="531"/>
      <c r="E7" s="531"/>
      <c r="F7" s="531"/>
      <c r="G7" s="531"/>
      <c r="H7" s="531"/>
      <c r="I7" s="531"/>
      <c r="J7" s="531"/>
      <c r="K7" s="531"/>
      <c r="L7" s="531"/>
      <c r="M7" s="531"/>
      <c r="N7" s="531"/>
      <c r="O7" s="531"/>
      <c r="P7" s="531"/>
      <c r="Q7" s="531"/>
      <c r="R7" s="531"/>
      <c r="S7" s="531"/>
      <c r="T7" s="532"/>
      <c r="U7" s="354"/>
      <c r="V7" s="354"/>
      <c r="W7" s="354"/>
      <c r="X7" s="354"/>
      <c r="Y7" s="354"/>
      <c r="Z7" s="354"/>
      <c r="AA7" s="354"/>
      <c r="AB7" s="354"/>
      <c r="AC7" s="354"/>
      <c r="AD7" s="354"/>
      <c r="AE7" s="354"/>
      <c r="AF7" s="354"/>
      <c r="AG7" s="354"/>
      <c r="AH7" s="354"/>
      <c r="AI7" s="354"/>
      <c r="AJ7" s="354"/>
      <c r="AK7" s="354"/>
      <c r="AL7" s="354"/>
      <c r="AM7" s="354"/>
      <c r="AN7" s="354"/>
      <c r="AO7" s="354"/>
      <c r="AP7" s="354"/>
      <c r="AQ7" s="354"/>
      <c r="AR7" s="354"/>
      <c r="AS7" s="354"/>
      <c r="AT7" s="354"/>
      <c r="AU7" s="354"/>
      <c r="AV7" s="354"/>
    </row>
    <row r="8" spans="1:48" s="314" customFormat="1" ht="182.5">
      <c r="A8" s="321"/>
      <c r="B8" s="315"/>
      <c r="C8" s="434" t="s">
        <v>417</v>
      </c>
      <c r="D8" s="434">
        <v>85254000</v>
      </c>
      <c r="E8" s="327" t="s">
        <v>191</v>
      </c>
      <c r="F8" s="44">
        <v>10</v>
      </c>
      <c r="G8" s="44" t="s">
        <v>27</v>
      </c>
      <c r="H8" s="143">
        <v>84</v>
      </c>
      <c r="I8" s="320">
        <f>F8*H8</f>
        <v>840</v>
      </c>
      <c r="J8" s="319">
        <v>0</v>
      </c>
      <c r="K8" s="320">
        <f>(100%-J8)*H8</f>
        <v>84</v>
      </c>
      <c r="L8" s="320">
        <f>K8*F8</f>
        <v>840</v>
      </c>
      <c r="M8" s="316">
        <v>0.1</v>
      </c>
      <c r="N8" s="316">
        <v>0.1</v>
      </c>
      <c r="O8" s="316">
        <v>0.98</v>
      </c>
      <c r="P8" s="316">
        <v>0.4</v>
      </c>
      <c r="Q8" s="320">
        <f>((100%+SUM(M8:O8))+P8*(100%+SUM(M8:O8)))*K8</f>
        <v>256.36799999999994</v>
      </c>
      <c r="R8" s="320">
        <f>Q8*F8</f>
        <v>2563.6799999999994</v>
      </c>
      <c r="S8" s="317">
        <f>45*Q8*1.15</f>
        <v>13267.043999999996</v>
      </c>
      <c r="T8" s="318">
        <f>S8*F8</f>
        <v>132670.43999999997</v>
      </c>
      <c r="U8" s="321"/>
      <c r="V8" s="321"/>
      <c r="W8" s="321"/>
      <c r="X8" s="321"/>
      <c r="Y8" s="321"/>
      <c r="Z8" s="321"/>
      <c r="AA8" s="321"/>
      <c r="AB8" s="321"/>
      <c r="AC8" s="321"/>
      <c r="AD8" s="321"/>
      <c r="AE8" s="321"/>
      <c r="AF8" s="321"/>
      <c r="AG8" s="321"/>
      <c r="AH8" s="321"/>
      <c r="AI8" s="321"/>
      <c r="AJ8" s="321"/>
      <c r="AK8" s="321"/>
      <c r="AL8" s="321"/>
      <c r="AM8" s="321"/>
      <c r="AN8" s="321"/>
      <c r="AO8" s="321"/>
      <c r="AP8" s="321"/>
      <c r="AQ8" s="321"/>
      <c r="AR8" s="321"/>
      <c r="AS8" s="321"/>
      <c r="AT8" s="321"/>
      <c r="AU8" s="321"/>
      <c r="AV8" s="321"/>
    </row>
    <row r="9" spans="1:48" s="314" customFormat="1" ht="15.5">
      <c r="A9" s="321"/>
      <c r="B9" s="315"/>
      <c r="C9" s="325" t="s">
        <v>190</v>
      </c>
      <c r="D9" s="325"/>
      <c r="E9" s="327" t="s">
        <v>189</v>
      </c>
      <c r="F9" s="322">
        <v>10</v>
      </c>
      <c r="G9" s="323" t="s">
        <v>27</v>
      </c>
      <c r="H9" s="326">
        <v>45</v>
      </c>
      <c r="I9" s="320">
        <f>F9*H9</f>
        <v>450</v>
      </c>
      <c r="J9" s="319">
        <v>0</v>
      </c>
      <c r="K9" s="320">
        <f>(100%-J9)*H9</f>
        <v>45</v>
      </c>
      <c r="L9" s="320">
        <f>K9*F9</f>
        <v>450</v>
      </c>
      <c r="M9" s="316">
        <v>0.1</v>
      </c>
      <c r="N9" s="316">
        <v>0.1</v>
      </c>
      <c r="O9" s="316">
        <v>0.98</v>
      </c>
      <c r="P9" s="316">
        <v>0.4</v>
      </c>
      <c r="Q9" s="320">
        <f>((100%+SUM(M9:O9))+P9*(100%+SUM(M9:O9)))*K9</f>
        <v>137.33999999999997</v>
      </c>
      <c r="R9" s="320">
        <f>Q9*F9</f>
        <v>1373.3999999999996</v>
      </c>
      <c r="S9" s="317">
        <f t="shared" ref="S9:S10" si="0">45*Q9*1.15</f>
        <v>7107.3449999999984</v>
      </c>
      <c r="T9" s="318">
        <f>S9*F9</f>
        <v>71073.449999999983</v>
      </c>
      <c r="U9" s="321"/>
      <c r="V9" s="321"/>
      <c r="W9" s="321"/>
      <c r="X9" s="321"/>
      <c r="Y9" s="321"/>
      <c r="Z9" s="321"/>
      <c r="AA9" s="321"/>
      <c r="AB9" s="321"/>
      <c r="AC9" s="321"/>
      <c r="AD9" s="321"/>
      <c r="AE9" s="321"/>
      <c r="AF9" s="321"/>
      <c r="AG9" s="321"/>
      <c r="AH9" s="321"/>
      <c r="AI9" s="321"/>
      <c r="AJ9" s="321"/>
      <c r="AK9" s="321"/>
      <c r="AL9" s="321"/>
      <c r="AM9" s="321"/>
      <c r="AN9" s="321"/>
      <c r="AO9" s="321"/>
      <c r="AP9" s="321"/>
      <c r="AQ9" s="321"/>
      <c r="AR9" s="321"/>
      <c r="AS9" s="321"/>
      <c r="AT9" s="321"/>
      <c r="AU9" s="321"/>
      <c r="AV9" s="321"/>
    </row>
    <row r="10" spans="1:48" s="314" customFormat="1" ht="15.5">
      <c r="A10" s="321"/>
      <c r="B10" s="315"/>
      <c r="C10" s="325" t="s">
        <v>294</v>
      </c>
      <c r="D10" s="325"/>
      <c r="E10" s="327" t="s">
        <v>295</v>
      </c>
      <c r="F10" s="322">
        <v>10</v>
      </c>
      <c r="G10" s="323" t="s">
        <v>27</v>
      </c>
      <c r="H10" s="326">
        <v>45</v>
      </c>
      <c r="I10" s="320">
        <f>F10*H10</f>
        <v>450</v>
      </c>
      <c r="J10" s="319">
        <v>0</v>
      </c>
      <c r="K10" s="320">
        <f>(100%-J10)*H10</f>
        <v>45</v>
      </c>
      <c r="L10" s="320">
        <f>K10*F10</f>
        <v>450</v>
      </c>
      <c r="M10" s="316">
        <v>0.1</v>
      </c>
      <c r="N10" s="316">
        <v>0.1</v>
      </c>
      <c r="O10" s="316">
        <v>0.98</v>
      </c>
      <c r="P10" s="316">
        <v>0.4</v>
      </c>
      <c r="Q10" s="320">
        <f>((100%+SUM(M10:O10))+P10*(100%+SUM(M10:O10)))*K10</f>
        <v>137.33999999999997</v>
      </c>
      <c r="R10" s="320">
        <f>Q10*F10</f>
        <v>1373.3999999999996</v>
      </c>
      <c r="S10" s="317">
        <f t="shared" si="0"/>
        <v>7107.3449999999984</v>
      </c>
      <c r="T10" s="318">
        <f>S10*F10</f>
        <v>71073.449999999983</v>
      </c>
      <c r="U10" s="321"/>
      <c r="V10" s="321"/>
      <c r="W10" s="321"/>
      <c r="X10" s="321"/>
      <c r="Y10" s="321"/>
      <c r="Z10" s="321"/>
      <c r="AA10" s="321"/>
      <c r="AB10" s="321"/>
      <c r="AC10" s="321"/>
      <c r="AD10" s="321"/>
      <c r="AE10" s="321"/>
      <c r="AF10" s="321"/>
      <c r="AG10" s="321"/>
      <c r="AH10" s="321"/>
      <c r="AI10" s="321"/>
      <c r="AJ10" s="321"/>
      <c r="AK10" s="321"/>
      <c r="AL10" s="321"/>
      <c r="AM10" s="321"/>
      <c r="AN10" s="321"/>
      <c r="AO10" s="321"/>
      <c r="AP10" s="321"/>
      <c r="AQ10" s="321"/>
      <c r="AR10" s="321"/>
      <c r="AS10" s="321"/>
      <c r="AT10" s="321"/>
      <c r="AU10" s="321"/>
      <c r="AV10" s="321"/>
    </row>
    <row r="11" spans="1:48" s="349" customFormat="1" ht="23.15" customHeight="1">
      <c r="A11" s="354"/>
      <c r="B11" s="350">
        <v>3</v>
      </c>
      <c r="C11" s="351" t="s">
        <v>418</v>
      </c>
      <c r="D11" s="351"/>
      <c r="E11" s="351"/>
      <c r="F11" s="352"/>
      <c r="G11" s="352"/>
      <c r="H11" s="351"/>
      <c r="I11" s="351"/>
      <c r="J11" s="352"/>
      <c r="K11" s="351"/>
      <c r="L11" s="351"/>
      <c r="M11" s="351"/>
      <c r="N11" s="351"/>
      <c r="O11" s="351"/>
      <c r="P11" s="351"/>
      <c r="Q11" s="351"/>
      <c r="R11" s="351"/>
      <c r="S11" s="351"/>
      <c r="T11" s="353"/>
      <c r="U11" s="354"/>
      <c r="V11" s="354"/>
      <c r="W11" s="354"/>
      <c r="X11" s="354"/>
      <c r="Y11" s="354"/>
      <c r="Z11" s="354"/>
      <c r="AA11" s="354"/>
      <c r="AB11" s="354"/>
      <c r="AC11" s="354"/>
      <c r="AD11" s="354"/>
      <c r="AE11" s="354"/>
      <c r="AF11" s="354"/>
      <c r="AG11" s="354"/>
      <c r="AH11" s="354"/>
      <c r="AI11" s="354"/>
      <c r="AJ11" s="354"/>
      <c r="AK11" s="354"/>
      <c r="AL11" s="354"/>
      <c r="AM11" s="354"/>
      <c r="AN11" s="354"/>
      <c r="AO11" s="354"/>
      <c r="AP11" s="354"/>
      <c r="AQ11" s="354"/>
      <c r="AR11" s="354"/>
      <c r="AS11" s="354"/>
      <c r="AT11" s="354"/>
      <c r="AU11" s="354"/>
      <c r="AV11" s="354"/>
    </row>
    <row r="12" spans="1:48" s="314" customFormat="1" ht="72.5">
      <c r="A12" s="321"/>
      <c r="B12" s="315"/>
      <c r="C12" s="325" t="s">
        <v>206</v>
      </c>
      <c r="D12" s="325"/>
      <c r="E12" s="329" t="s">
        <v>207</v>
      </c>
      <c r="F12" s="44">
        <v>10</v>
      </c>
      <c r="G12" s="44" t="s">
        <v>29</v>
      </c>
      <c r="H12" s="331">
        <v>329</v>
      </c>
      <c r="I12" s="320">
        <f>F12*H12</f>
        <v>3290</v>
      </c>
      <c r="J12" s="319">
        <v>0</v>
      </c>
      <c r="K12" s="320">
        <f>(100%-J12)*H12</f>
        <v>329</v>
      </c>
      <c r="L12" s="320">
        <f>K12*F12</f>
        <v>3290</v>
      </c>
      <c r="M12" s="316">
        <v>0.1</v>
      </c>
      <c r="N12" s="316">
        <v>0.1</v>
      </c>
      <c r="O12" s="316">
        <v>0.98</v>
      </c>
      <c r="P12" s="316">
        <v>0.4</v>
      </c>
      <c r="Q12" s="320">
        <f>((100%+SUM(M12:O12))+P12*(100%+SUM(M12:O12)))*K12</f>
        <v>1004.1079999999998</v>
      </c>
      <c r="R12" s="320">
        <f>Q12*F12</f>
        <v>10041.079999999998</v>
      </c>
      <c r="S12" s="317">
        <f>45*Q12*1.15</f>
        <v>51962.588999999985</v>
      </c>
      <c r="T12" s="318">
        <f>S12*F12</f>
        <v>519625.88999999984</v>
      </c>
      <c r="U12" s="321"/>
      <c r="V12" s="321"/>
      <c r="W12" s="321"/>
      <c r="X12" s="321"/>
      <c r="Y12" s="321"/>
      <c r="Z12" s="321"/>
      <c r="AA12" s="321"/>
      <c r="AB12" s="321"/>
      <c r="AC12" s="321"/>
      <c r="AD12" s="321"/>
      <c r="AE12" s="321"/>
      <c r="AF12" s="321"/>
      <c r="AG12" s="321"/>
      <c r="AH12" s="321"/>
      <c r="AI12" s="321"/>
      <c r="AJ12" s="321"/>
      <c r="AK12" s="321"/>
      <c r="AL12" s="321"/>
      <c r="AM12" s="321"/>
      <c r="AN12" s="321"/>
      <c r="AO12" s="321"/>
      <c r="AP12" s="321"/>
      <c r="AQ12" s="321"/>
      <c r="AR12" s="321"/>
      <c r="AS12" s="321"/>
      <c r="AT12" s="321"/>
      <c r="AU12" s="321"/>
      <c r="AV12" s="321"/>
    </row>
    <row r="13" spans="1:48" s="314" customFormat="1">
      <c r="A13" s="321"/>
      <c r="B13" s="315"/>
      <c r="C13" s="146" t="s">
        <v>208</v>
      </c>
      <c r="D13" s="146"/>
      <c r="E13" s="147" t="s">
        <v>209</v>
      </c>
      <c r="F13" s="44">
        <v>10</v>
      </c>
      <c r="G13" s="44" t="s">
        <v>29</v>
      </c>
      <c r="H13" s="141">
        <v>30</v>
      </c>
      <c r="I13" s="320">
        <f>F13*H13</f>
        <v>300</v>
      </c>
      <c r="J13" s="319">
        <v>0</v>
      </c>
      <c r="K13" s="320">
        <f>(100%-J13)*H13</f>
        <v>30</v>
      </c>
      <c r="L13" s="320">
        <f>K13*F13</f>
        <v>300</v>
      </c>
      <c r="M13" s="316">
        <v>0.1</v>
      </c>
      <c r="N13" s="316">
        <v>0.1</v>
      </c>
      <c r="O13" s="316">
        <v>0.98</v>
      </c>
      <c r="P13" s="316">
        <v>0.4</v>
      </c>
      <c r="Q13" s="320">
        <f>((100%+SUM(M13:O13))+P13*(100%+SUM(M13:O13)))*K13</f>
        <v>91.559999999999988</v>
      </c>
      <c r="R13" s="320">
        <f>Q13*F13</f>
        <v>915.59999999999991</v>
      </c>
      <c r="S13" s="317">
        <f>45*Q13*1.15</f>
        <v>4738.2299999999996</v>
      </c>
      <c r="T13" s="318">
        <f>S13*F13</f>
        <v>47382.299999999996</v>
      </c>
      <c r="U13" s="321"/>
      <c r="V13" s="321"/>
      <c r="W13" s="321"/>
      <c r="X13" s="321"/>
      <c r="Y13" s="321"/>
      <c r="Z13" s="321"/>
      <c r="AA13" s="321"/>
      <c r="AB13" s="321"/>
      <c r="AC13" s="321"/>
      <c r="AD13" s="321"/>
      <c r="AE13" s="321"/>
      <c r="AF13" s="321"/>
      <c r="AG13" s="321"/>
      <c r="AH13" s="321"/>
      <c r="AI13" s="321"/>
      <c r="AJ13" s="321"/>
      <c r="AK13" s="321"/>
      <c r="AL13" s="321"/>
      <c r="AM13" s="321"/>
      <c r="AN13" s="321"/>
      <c r="AO13" s="321"/>
      <c r="AP13" s="321"/>
      <c r="AQ13" s="321"/>
      <c r="AR13" s="321"/>
      <c r="AS13" s="321"/>
      <c r="AT13" s="321"/>
      <c r="AU13" s="321"/>
      <c r="AV13" s="321"/>
    </row>
    <row r="14" spans="1:48" s="349" customFormat="1" ht="23.15" customHeight="1">
      <c r="A14" s="354"/>
      <c r="B14" s="350">
        <v>4</v>
      </c>
      <c r="C14" s="351" t="s">
        <v>344</v>
      </c>
      <c r="D14" s="351"/>
      <c r="E14" s="351"/>
      <c r="F14" s="352"/>
      <c r="G14" s="352"/>
      <c r="H14" s="351"/>
      <c r="I14" s="351"/>
      <c r="J14" s="352"/>
      <c r="K14" s="351"/>
      <c r="L14" s="351"/>
      <c r="M14" s="351"/>
      <c r="N14" s="351"/>
      <c r="O14" s="351"/>
      <c r="P14" s="351"/>
      <c r="Q14" s="351"/>
      <c r="R14" s="351"/>
      <c r="S14" s="351"/>
      <c r="T14" s="353"/>
      <c r="U14" s="354"/>
      <c r="V14" s="354"/>
      <c r="W14" s="354"/>
      <c r="X14" s="354"/>
      <c r="Y14" s="354"/>
      <c r="Z14" s="354"/>
      <c r="AA14" s="354"/>
      <c r="AB14" s="354"/>
      <c r="AC14" s="354"/>
      <c r="AD14" s="354"/>
      <c r="AE14" s="354"/>
      <c r="AF14" s="354"/>
      <c r="AG14" s="354"/>
      <c r="AH14" s="354"/>
      <c r="AI14" s="354"/>
      <c r="AJ14" s="354"/>
      <c r="AK14" s="354"/>
      <c r="AL14" s="354"/>
      <c r="AM14" s="354"/>
      <c r="AN14" s="354"/>
      <c r="AO14" s="354"/>
      <c r="AP14" s="354"/>
      <c r="AQ14" s="354"/>
      <c r="AR14" s="354"/>
      <c r="AS14" s="354"/>
      <c r="AT14" s="354"/>
      <c r="AU14" s="354"/>
      <c r="AV14" s="354"/>
    </row>
    <row r="15" spans="1:48" s="314" customFormat="1" ht="93.75" customHeight="1">
      <c r="A15" s="321"/>
      <c r="B15" s="315"/>
      <c r="C15" s="356" t="s">
        <v>296</v>
      </c>
      <c r="D15" s="356"/>
      <c r="E15" s="329" t="s">
        <v>207</v>
      </c>
      <c r="F15" s="44">
        <v>130</v>
      </c>
      <c r="G15" s="44" t="s">
        <v>29</v>
      </c>
      <c r="H15" s="141">
        <v>73</v>
      </c>
      <c r="I15" s="320">
        <f>F15*H15</f>
        <v>9490</v>
      </c>
      <c r="J15" s="319">
        <v>0</v>
      </c>
      <c r="K15" s="320">
        <f>(100%-J15)*H15</f>
        <v>73</v>
      </c>
      <c r="L15" s="320">
        <f>K15*F15</f>
        <v>9490</v>
      </c>
      <c r="M15" s="316">
        <v>0.1</v>
      </c>
      <c r="N15" s="316">
        <v>0.1</v>
      </c>
      <c r="O15" s="316">
        <v>0.98</v>
      </c>
      <c r="P15" s="316">
        <v>0.4</v>
      </c>
      <c r="Q15" s="320">
        <f>((100%+SUM(M15:O15))+P15*(100%+SUM(M15:O15)))*K15</f>
        <v>222.79599999999996</v>
      </c>
      <c r="R15" s="320">
        <f>Q15*F15</f>
        <v>28963.479999999996</v>
      </c>
      <c r="S15" s="317">
        <f>45*Q15*1.15</f>
        <v>11529.692999999997</v>
      </c>
      <c r="T15" s="318">
        <f>S15*F15</f>
        <v>1498860.0899999996</v>
      </c>
      <c r="U15" s="321"/>
      <c r="V15" s="321"/>
      <c r="W15" s="321"/>
      <c r="X15" s="321"/>
      <c r="Y15" s="321"/>
      <c r="Z15" s="321"/>
      <c r="AA15" s="321"/>
      <c r="AB15" s="321"/>
      <c r="AC15" s="321"/>
      <c r="AD15" s="321"/>
      <c r="AE15" s="321"/>
      <c r="AF15" s="321"/>
      <c r="AG15" s="321"/>
      <c r="AH15" s="321"/>
      <c r="AI15" s="321"/>
      <c r="AJ15" s="321"/>
      <c r="AK15" s="321"/>
      <c r="AL15" s="321"/>
      <c r="AM15" s="321"/>
      <c r="AN15" s="321"/>
      <c r="AO15" s="321"/>
      <c r="AP15" s="321"/>
      <c r="AQ15" s="321"/>
      <c r="AR15" s="321"/>
      <c r="AS15" s="321"/>
      <c r="AT15" s="321"/>
      <c r="AU15" s="321"/>
      <c r="AV15" s="321"/>
    </row>
    <row r="16" spans="1:48" s="314" customFormat="1" ht="58">
      <c r="A16" s="321"/>
      <c r="B16" s="315"/>
      <c r="C16" s="330" t="s">
        <v>210</v>
      </c>
      <c r="D16" s="330"/>
      <c r="E16" s="148" t="s">
        <v>211</v>
      </c>
      <c r="F16" s="44">
        <v>130</v>
      </c>
      <c r="G16" s="44" t="s">
        <v>29</v>
      </c>
      <c r="H16" s="141">
        <v>19</v>
      </c>
      <c r="I16" s="320">
        <f>F16*H16</f>
        <v>2470</v>
      </c>
      <c r="J16" s="319">
        <v>0</v>
      </c>
      <c r="K16" s="320">
        <f>(100%-J16)*H16</f>
        <v>19</v>
      </c>
      <c r="L16" s="320">
        <f>K16*F16</f>
        <v>2470</v>
      </c>
      <c r="M16" s="316">
        <v>0.1</v>
      </c>
      <c r="N16" s="316">
        <v>0.1</v>
      </c>
      <c r="O16" s="316">
        <v>0.98</v>
      </c>
      <c r="P16" s="316">
        <v>0.4</v>
      </c>
      <c r="Q16" s="320">
        <f>((100%+SUM(M16:O16))+P16*(100%+SUM(M16:O16)))*K16</f>
        <v>57.987999999999992</v>
      </c>
      <c r="R16" s="320">
        <f>Q16*F16</f>
        <v>7538.4399999999987</v>
      </c>
      <c r="S16" s="317">
        <f>45*Q16*1.15</f>
        <v>3000.8789999999995</v>
      </c>
      <c r="T16" s="318">
        <f>S16*F16</f>
        <v>390114.2699999999</v>
      </c>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1"/>
      <c r="AS16" s="321"/>
      <c r="AT16" s="321"/>
      <c r="AU16" s="321"/>
      <c r="AV16" s="321"/>
    </row>
    <row r="17" spans="1:48" s="349" customFormat="1" ht="23.15" customHeight="1">
      <c r="A17" s="354"/>
      <c r="B17" s="350">
        <v>5</v>
      </c>
      <c r="C17" s="351" t="s">
        <v>348</v>
      </c>
      <c r="D17" s="351"/>
      <c r="E17" s="351"/>
      <c r="F17" s="352"/>
      <c r="G17" s="352"/>
      <c r="H17" s="351"/>
      <c r="I17" s="351"/>
      <c r="J17" s="352"/>
      <c r="K17" s="351"/>
      <c r="L17" s="351"/>
      <c r="M17" s="351"/>
      <c r="N17" s="351"/>
      <c r="O17" s="351"/>
      <c r="P17" s="351"/>
      <c r="Q17" s="351"/>
      <c r="R17" s="351"/>
      <c r="S17" s="351"/>
      <c r="T17" s="353"/>
      <c r="U17" s="354"/>
      <c r="V17" s="354"/>
      <c r="W17" s="354"/>
      <c r="X17" s="354"/>
      <c r="Y17" s="354"/>
      <c r="Z17" s="354"/>
      <c r="AA17" s="354"/>
      <c r="AB17" s="354"/>
      <c r="AC17" s="354"/>
      <c r="AD17" s="354"/>
      <c r="AE17" s="354"/>
      <c r="AF17" s="354"/>
      <c r="AG17" s="354"/>
      <c r="AH17" s="354"/>
      <c r="AI17" s="354"/>
      <c r="AJ17" s="354"/>
      <c r="AK17" s="354"/>
      <c r="AL17" s="354"/>
      <c r="AM17" s="354"/>
      <c r="AN17" s="354"/>
      <c r="AO17" s="354"/>
      <c r="AP17" s="354"/>
      <c r="AQ17" s="354"/>
      <c r="AR17" s="354"/>
      <c r="AS17" s="354"/>
      <c r="AT17" s="354"/>
      <c r="AU17" s="354"/>
      <c r="AV17" s="354"/>
    </row>
    <row r="18" spans="1:48" s="314" customFormat="1" ht="183.75" customHeight="1">
      <c r="A18" s="321"/>
      <c r="B18" s="315"/>
      <c r="C18" s="380" t="s">
        <v>349</v>
      </c>
      <c r="D18" s="380"/>
      <c r="E18" s="329" t="s">
        <v>350</v>
      </c>
      <c r="F18" s="44">
        <v>5</v>
      </c>
      <c r="G18" s="310" t="s">
        <v>27</v>
      </c>
      <c r="H18" s="331">
        <v>629</v>
      </c>
      <c r="I18" s="320">
        <f>F18*H18</f>
        <v>3145</v>
      </c>
      <c r="J18" s="319">
        <v>0</v>
      </c>
      <c r="K18" s="320">
        <f>(100%-J18)*H18</f>
        <v>629</v>
      </c>
      <c r="L18" s="320">
        <f>K18*F18</f>
        <v>3145</v>
      </c>
      <c r="M18" s="316">
        <v>0.1</v>
      </c>
      <c r="N18" s="316">
        <v>0.1</v>
      </c>
      <c r="O18" s="316">
        <v>0.98</v>
      </c>
      <c r="P18" s="316">
        <v>0.4</v>
      </c>
      <c r="Q18" s="320">
        <f>((100%+SUM(M18:O18))+P18*(100%+SUM(M18:O18)))*K18</f>
        <v>1919.7079999999999</v>
      </c>
      <c r="R18" s="320">
        <f>Q18*F18</f>
        <v>9598.5399999999991</v>
      </c>
      <c r="S18" s="317">
        <f>45*Q18*1.15</f>
        <v>99344.888999999996</v>
      </c>
      <c r="T18" s="318">
        <f>S18*F18</f>
        <v>496724.44499999995</v>
      </c>
      <c r="U18" s="321"/>
      <c r="V18" s="321"/>
      <c r="W18" s="321"/>
      <c r="X18" s="321"/>
      <c r="Y18" s="321"/>
      <c r="Z18" s="321"/>
      <c r="AA18" s="321"/>
      <c r="AB18" s="321"/>
      <c r="AC18" s="321"/>
      <c r="AD18" s="321"/>
      <c r="AE18" s="321"/>
      <c r="AF18" s="321"/>
      <c r="AG18" s="321"/>
      <c r="AH18" s="321"/>
      <c r="AI18" s="321"/>
      <c r="AJ18" s="321"/>
      <c r="AK18" s="321"/>
      <c r="AL18" s="321"/>
      <c r="AM18" s="321"/>
      <c r="AN18" s="321"/>
      <c r="AO18" s="321"/>
      <c r="AP18" s="321"/>
      <c r="AQ18" s="321"/>
      <c r="AR18" s="321"/>
      <c r="AS18" s="321"/>
      <c r="AT18" s="321"/>
      <c r="AU18" s="321"/>
      <c r="AV18" s="321"/>
    </row>
    <row r="19" spans="1:48" s="212" customFormat="1" ht="56.5">
      <c r="A19" s="348"/>
      <c r="B19" s="206"/>
      <c r="C19" s="330" t="s">
        <v>419</v>
      </c>
      <c r="D19" s="330"/>
      <c r="E19" s="148" t="s">
        <v>352</v>
      </c>
      <c r="F19" s="44">
        <v>5</v>
      </c>
      <c r="G19" s="44" t="s">
        <v>29</v>
      </c>
      <c r="H19" s="141">
        <v>19</v>
      </c>
      <c r="I19" s="208">
        <f>F19*H19</f>
        <v>95</v>
      </c>
      <c r="J19" s="209">
        <v>0</v>
      </c>
      <c r="K19" s="208">
        <f>(100%-J19)*H19</f>
        <v>19</v>
      </c>
      <c r="L19" s="208">
        <f>K19*F19</f>
        <v>95</v>
      </c>
      <c r="M19" s="210">
        <v>0.1</v>
      </c>
      <c r="N19" s="210">
        <v>0.1</v>
      </c>
      <c r="O19" s="210">
        <v>0.98</v>
      </c>
      <c r="P19" s="210">
        <v>0.4</v>
      </c>
      <c r="Q19" s="208">
        <f>((100%+SUM(M19:O19))+P19*(100%+SUM(M19:O19)))*K19</f>
        <v>57.987999999999992</v>
      </c>
      <c r="R19" s="208">
        <f>Q19*F19</f>
        <v>289.93999999999994</v>
      </c>
      <c r="S19" s="317">
        <f>45*Q19*1.15</f>
        <v>3000.8789999999995</v>
      </c>
      <c r="T19" s="211">
        <f>S19*F19</f>
        <v>15004.394999999997</v>
      </c>
      <c r="U19" s="348"/>
      <c r="V19" s="348"/>
      <c r="W19" s="348"/>
      <c r="X19" s="348"/>
      <c r="Y19" s="348"/>
      <c r="Z19" s="348"/>
      <c r="AA19" s="348"/>
      <c r="AB19" s="348"/>
      <c r="AC19" s="348"/>
      <c r="AD19" s="348"/>
      <c r="AE19" s="348"/>
      <c r="AF19" s="348"/>
      <c r="AG19" s="348"/>
      <c r="AH19" s="348"/>
      <c r="AI19" s="348"/>
      <c r="AJ19" s="348"/>
      <c r="AK19" s="348"/>
      <c r="AL19" s="348"/>
      <c r="AM19" s="348"/>
      <c r="AN19" s="348"/>
      <c r="AO19" s="348"/>
      <c r="AP19" s="348"/>
      <c r="AQ19" s="348"/>
      <c r="AR19" s="348"/>
      <c r="AS19" s="348"/>
      <c r="AT19" s="348"/>
      <c r="AU19" s="348"/>
      <c r="AV19" s="348"/>
    </row>
    <row r="20" spans="1:48" s="349" customFormat="1" ht="23.15" customHeight="1">
      <c r="A20" s="354"/>
      <c r="B20" s="350">
        <v>5</v>
      </c>
      <c r="C20" s="351" t="s">
        <v>346</v>
      </c>
      <c r="D20" s="351"/>
      <c r="E20" s="351"/>
      <c r="F20" s="352"/>
      <c r="G20" s="352"/>
      <c r="H20" s="351"/>
      <c r="I20" s="351"/>
      <c r="J20" s="352"/>
      <c r="K20" s="351"/>
      <c r="L20" s="351"/>
      <c r="M20" s="351"/>
      <c r="N20" s="351"/>
      <c r="O20" s="351"/>
      <c r="P20" s="351"/>
      <c r="Q20" s="351"/>
      <c r="R20" s="351"/>
      <c r="S20" s="351"/>
      <c r="T20" s="353"/>
      <c r="U20" s="354"/>
      <c r="V20" s="354"/>
      <c r="W20" s="354"/>
      <c r="X20" s="354"/>
      <c r="Y20" s="354"/>
      <c r="Z20" s="354"/>
      <c r="AA20" s="354"/>
      <c r="AB20" s="354"/>
      <c r="AC20" s="354"/>
      <c r="AD20" s="354"/>
      <c r="AE20" s="354"/>
      <c r="AF20" s="354"/>
      <c r="AG20" s="354"/>
      <c r="AH20" s="354"/>
      <c r="AI20" s="354"/>
      <c r="AJ20" s="354"/>
      <c r="AK20" s="354"/>
      <c r="AL20" s="354"/>
      <c r="AM20" s="354"/>
      <c r="AN20" s="354"/>
      <c r="AO20" s="354"/>
      <c r="AP20" s="354"/>
      <c r="AQ20" s="354"/>
      <c r="AR20" s="354"/>
      <c r="AS20" s="354"/>
      <c r="AT20" s="354"/>
      <c r="AU20" s="354"/>
      <c r="AV20" s="354"/>
    </row>
    <row r="21" spans="1:48" s="314" customFormat="1" ht="160.5" customHeight="1">
      <c r="A21" s="321"/>
      <c r="B21" s="315"/>
      <c r="C21" s="309" t="s">
        <v>212</v>
      </c>
      <c r="D21" s="309"/>
      <c r="E21" s="329" t="s">
        <v>213</v>
      </c>
      <c r="F21" s="44">
        <v>18</v>
      </c>
      <c r="G21" s="310" t="s">
        <v>27</v>
      </c>
      <c r="H21" s="331">
        <v>400</v>
      </c>
      <c r="I21" s="320">
        <f>F21*H21</f>
        <v>7200</v>
      </c>
      <c r="J21" s="319">
        <v>0</v>
      </c>
      <c r="K21" s="320">
        <f>(100%-J21)*H21</f>
        <v>400</v>
      </c>
      <c r="L21" s="320">
        <f>K21*F21</f>
        <v>7200</v>
      </c>
      <c r="M21" s="316">
        <v>0.1</v>
      </c>
      <c r="N21" s="316">
        <v>0.1</v>
      </c>
      <c r="O21" s="316">
        <v>0.98</v>
      </c>
      <c r="P21" s="316">
        <v>0.4</v>
      </c>
      <c r="Q21" s="320">
        <f>((100%+SUM(M21:O21))+P21*(100%+SUM(M21:O21)))*K21</f>
        <v>1220.7999999999997</v>
      </c>
      <c r="R21" s="320">
        <f>Q21*F21</f>
        <v>21974.399999999994</v>
      </c>
      <c r="S21" s="317">
        <f>45*Q21*1.15</f>
        <v>63176.39999999998</v>
      </c>
      <c r="T21" s="318">
        <f>S21*F21</f>
        <v>1137175.1999999997</v>
      </c>
      <c r="U21" s="321"/>
      <c r="V21" s="321"/>
      <c r="W21" s="321"/>
      <c r="X21" s="321"/>
      <c r="Y21" s="321"/>
      <c r="Z21" s="321"/>
      <c r="AA21" s="321"/>
      <c r="AB21" s="321"/>
      <c r="AC21" s="321"/>
      <c r="AD21" s="321"/>
      <c r="AE21" s="321"/>
      <c r="AF21" s="321"/>
      <c r="AG21" s="321"/>
      <c r="AH21" s="321"/>
      <c r="AI21" s="321"/>
      <c r="AJ21" s="321"/>
      <c r="AK21" s="321"/>
      <c r="AL21" s="321"/>
      <c r="AM21" s="321"/>
      <c r="AN21" s="321"/>
      <c r="AO21" s="321"/>
      <c r="AP21" s="321"/>
      <c r="AQ21" s="321"/>
      <c r="AR21" s="321"/>
      <c r="AS21" s="321"/>
      <c r="AT21" s="321"/>
      <c r="AU21" s="321"/>
      <c r="AV21" s="321"/>
    </row>
    <row r="22" spans="1:48" s="314" customFormat="1" ht="57" customHeight="1">
      <c r="A22" s="321"/>
      <c r="B22" s="315"/>
      <c r="C22" s="330" t="s">
        <v>214</v>
      </c>
      <c r="D22" s="330"/>
      <c r="E22" s="148" t="s">
        <v>215</v>
      </c>
      <c r="F22" s="44">
        <v>18</v>
      </c>
      <c r="G22" s="310" t="s">
        <v>27</v>
      </c>
      <c r="H22" s="331">
        <v>14</v>
      </c>
      <c r="I22" s="320">
        <f>F22*H22</f>
        <v>252</v>
      </c>
      <c r="J22" s="319">
        <v>0</v>
      </c>
      <c r="K22" s="320">
        <f>(100%-J22)*H22</f>
        <v>14</v>
      </c>
      <c r="L22" s="320">
        <f>K22*F22</f>
        <v>252</v>
      </c>
      <c r="M22" s="316">
        <v>0.1</v>
      </c>
      <c r="N22" s="316">
        <v>0.1</v>
      </c>
      <c r="O22" s="316">
        <v>0.98</v>
      </c>
      <c r="P22" s="316">
        <v>0.4</v>
      </c>
      <c r="Q22" s="320">
        <f>((100%+SUM(M22:O22))+P22*(100%+SUM(M22:O22)))*K22</f>
        <v>42.727999999999994</v>
      </c>
      <c r="R22" s="320">
        <f>Q22*F22</f>
        <v>769.10399999999993</v>
      </c>
      <c r="S22" s="317">
        <f>45*Q22*1.15</f>
        <v>2211.1739999999995</v>
      </c>
      <c r="T22" s="318">
        <f>S22*F22</f>
        <v>39801.131999999991</v>
      </c>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1"/>
      <c r="AS22" s="321"/>
      <c r="AT22" s="321"/>
      <c r="AU22" s="321"/>
      <c r="AV22" s="321"/>
    </row>
    <row r="23" spans="1:48" s="349" customFormat="1" ht="23.15" customHeight="1">
      <c r="A23" s="354"/>
      <c r="B23" s="350">
        <v>6</v>
      </c>
      <c r="C23" s="351" t="s">
        <v>347</v>
      </c>
      <c r="D23" s="351"/>
      <c r="E23" s="351"/>
      <c r="F23" s="352"/>
      <c r="G23" s="352"/>
      <c r="H23" s="351"/>
      <c r="I23" s="351"/>
      <c r="J23" s="352"/>
      <c r="K23" s="351"/>
      <c r="L23" s="351"/>
      <c r="M23" s="351"/>
      <c r="N23" s="351"/>
      <c r="O23" s="351"/>
      <c r="P23" s="351"/>
      <c r="Q23" s="351"/>
      <c r="R23" s="351"/>
      <c r="S23" s="351"/>
      <c r="T23" s="353"/>
      <c r="U23" s="354"/>
      <c r="V23" s="354"/>
      <c r="W23" s="354"/>
      <c r="X23" s="354"/>
      <c r="Y23" s="354"/>
      <c r="Z23" s="354"/>
      <c r="AA23" s="354"/>
      <c r="AB23" s="354"/>
      <c r="AC23" s="354"/>
      <c r="AD23" s="354"/>
      <c r="AE23" s="354"/>
      <c r="AF23" s="354"/>
      <c r="AG23" s="354"/>
      <c r="AH23" s="354"/>
      <c r="AI23" s="354"/>
      <c r="AJ23" s="354"/>
      <c r="AK23" s="354"/>
      <c r="AL23" s="354"/>
      <c r="AM23" s="354"/>
      <c r="AN23" s="354"/>
      <c r="AO23" s="354"/>
      <c r="AP23" s="354"/>
      <c r="AQ23" s="354"/>
      <c r="AR23" s="354"/>
      <c r="AS23" s="354"/>
      <c r="AT23" s="354"/>
      <c r="AU23" s="354"/>
      <c r="AV23" s="354"/>
    </row>
    <row r="24" spans="1:48" s="314" customFormat="1" ht="82.5" customHeight="1">
      <c r="A24" s="321"/>
      <c r="B24" s="315"/>
      <c r="C24" s="380" t="s">
        <v>441</v>
      </c>
      <c r="D24" s="380"/>
      <c r="E24" s="329" t="s">
        <v>443</v>
      </c>
      <c r="F24" s="44">
        <v>2</v>
      </c>
      <c r="G24" s="310" t="s">
        <v>27</v>
      </c>
      <c r="H24" s="331">
        <v>2749</v>
      </c>
      <c r="I24" s="320">
        <f>F24*H24</f>
        <v>5498</v>
      </c>
      <c r="J24" s="319">
        <v>0</v>
      </c>
      <c r="K24" s="320">
        <f>(100%-J24)*H24</f>
        <v>2749</v>
      </c>
      <c r="L24" s="320">
        <f>K24*F24</f>
        <v>5498</v>
      </c>
      <c r="M24" s="316">
        <v>0.1</v>
      </c>
      <c r="N24" s="316">
        <v>0.1</v>
      </c>
      <c r="O24" s="316">
        <v>0.98</v>
      </c>
      <c r="P24" s="316">
        <v>0.4</v>
      </c>
      <c r="Q24" s="320">
        <f>((100%+SUM(M24:O24))+P24*(100%+SUM(M24:O24)))*K24</f>
        <v>8389.9479999999985</v>
      </c>
      <c r="R24" s="320">
        <f>Q24*F24</f>
        <v>16779.895999999997</v>
      </c>
      <c r="S24" s="317">
        <f>45*Q24*1.15</f>
        <v>434179.80899999989</v>
      </c>
      <c r="T24" s="318">
        <f>S24*F24</f>
        <v>868359.61799999978</v>
      </c>
      <c r="U24" s="321"/>
      <c r="V24" s="321"/>
      <c r="W24" s="321"/>
      <c r="X24" s="321"/>
      <c r="Y24" s="321"/>
      <c r="Z24" s="321"/>
      <c r="AA24" s="321"/>
      <c r="AB24" s="321"/>
      <c r="AC24" s="321"/>
      <c r="AD24" s="321"/>
      <c r="AE24" s="321"/>
      <c r="AF24" s="321"/>
      <c r="AG24" s="321"/>
      <c r="AH24" s="321"/>
      <c r="AI24" s="321"/>
      <c r="AJ24" s="321"/>
      <c r="AK24" s="321"/>
      <c r="AL24" s="321"/>
      <c r="AM24" s="321"/>
      <c r="AN24" s="321"/>
      <c r="AO24" s="321"/>
      <c r="AP24" s="321"/>
      <c r="AQ24" s="321"/>
      <c r="AR24" s="321"/>
      <c r="AS24" s="321"/>
      <c r="AT24" s="321"/>
      <c r="AU24" s="321"/>
      <c r="AV24" s="321"/>
    </row>
    <row r="25" spans="1:48" s="212" customFormat="1" ht="43.5" customHeight="1">
      <c r="A25" s="348"/>
      <c r="B25" s="206"/>
      <c r="C25" s="435" t="s">
        <v>442</v>
      </c>
      <c r="D25" s="435"/>
      <c r="E25" s="329" t="s">
        <v>351</v>
      </c>
      <c r="F25" s="44">
        <v>2</v>
      </c>
      <c r="G25" s="436" t="s">
        <v>27</v>
      </c>
      <c r="H25" s="331">
        <v>20</v>
      </c>
      <c r="I25" s="208">
        <f>F25*H25</f>
        <v>40</v>
      </c>
      <c r="J25" s="209">
        <v>0</v>
      </c>
      <c r="K25" s="208">
        <f>(100%-J25)*H25</f>
        <v>20</v>
      </c>
      <c r="L25" s="208">
        <f>K25*F25</f>
        <v>40</v>
      </c>
      <c r="M25" s="210">
        <v>0.1</v>
      </c>
      <c r="N25" s="210">
        <v>0.1</v>
      </c>
      <c r="O25" s="210">
        <v>0.4</v>
      </c>
      <c r="P25" s="210">
        <v>0.4</v>
      </c>
      <c r="Q25" s="208">
        <f>((100%+SUM(M25:O25))+P25*(100%+SUM(M25:O25)))*K25</f>
        <v>44.800000000000004</v>
      </c>
      <c r="R25" s="208">
        <f>Q25*F25</f>
        <v>89.600000000000009</v>
      </c>
      <c r="S25" s="317">
        <f>45*Q25*1.15</f>
        <v>2318.4</v>
      </c>
      <c r="T25" s="211">
        <f>S25*F25</f>
        <v>4636.8</v>
      </c>
      <c r="U25" s="348"/>
      <c r="V25" s="348"/>
      <c r="W25" s="348"/>
      <c r="X25" s="348"/>
      <c r="Y25" s="348"/>
      <c r="Z25" s="348"/>
      <c r="AA25" s="348"/>
      <c r="AB25" s="348"/>
      <c r="AC25" s="348"/>
      <c r="AD25" s="348"/>
      <c r="AE25" s="348"/>
      <c r="AF25" s="348"/>
      <c r="AG25" s="348"/>
      <c r="AH25" s="348"/>
      <c r="AI25" s="348"/>
      <c r="AJ25" s="348"/>
      <c r="AK25" s="348"/>
      <c r="AL25" s="348"/>
      <c r="AM25" s="348"/>
      <c r="AN25" s="348"/>
      <c r="AO25" s="348"/>
      <c r="AP25" s="348"/>
      <c r="AQ25" s="348"/>
      <c r="AR25" s="348"/>
      <c r="AS25" s="348"/>
      <c r="AT25" s="348"/>
      <c r="AU25" s="348"/>
      <c r="AV25" s="348"/>
    </row>
    <row r="26" spans="1:48" s="349" customFormat="1" ht="23.15" customHeight="1">
      <c r="A26" s="354"/>
      <c r="B26" s="350">
        <v>7</v>
      </c>
      <c r="C26" s="351" t="s">
        <v>444</v>
      </c>
      <c r="D26" s="351"/>
      <c r="E26" s="351"/>
      <c r="F26" s="352"/>
      <c r="G26" s="352"/>
      <c r="H26" s="351"/>
      <c r="I26" s="351"/>
      <c r="J26" s="352"/>
      <c r="K26" s="351"/>
      <c r="L26" s="351"/>
      <c r="M26" s="351"/>
      <c r="N26" s="351"/>
      <c r="O26" s="351"/>
      <c r="P26" s="351"/>
      <c r="Q26" s="351"/>
      <c r="R26" s="351"/>
      <c r="S26" s="351"/>
      <c r="T26" s="353"/>
      <c r="U26" s="354"/>
      <c r="V26" s="354"/>
      <c r="W26" s="354"/>
      <c r="X26" s="354"/>
      <c r="Y26" s="354"/>
      <c r="Z26" s="354"/>
      <c r="AA26" s="354"/>
      <c r="AB26" s="354"/>
      <c r="AC26" s="354"/>
      <c r="AD26" s="354"/>
      <c r="AE26" s="354"/>
      <c r="AF26" s="354"/>
      <c r="AG26" s="354"/>
      <c r="AH26" s="354"/>
      <c r="AI26" s="354"/>
      <c r="AJ26" s="354"/>
      <c r="AK26" s="354"/>
      <c r="AL26" s="354"/>
      <c r="AM26" s="354"/>
      <c r="AN26" s="354"/>
      <c r="AO26" s="354"/>
      <c r="AP26" s="354"/>
      <c r="AQ26" s="354"/>
      <c r="AR26" s="354"/>
      <c r="AS26" s="354"/>
      <c r="AT26" s="354"/>
      <c r="AU26" s="354"/>
      <c r="AV26" s="354"/>
    </row>
    <row r="27" spans="1:48" s="349" customFormat="1" ht="23.15" customHeight="1">
      <c r="A27" s="354"/>
      <c r="B27" s="350">
        <v>8</v>
      </c>
      <c r="C27" s="351" t="s">
        <v>262</v>
      </c>
      <c r="D27" s="351"/>
      <c r="E27" s="351"/>
      <c r="F27" s="352"/>
      <c r="G27" s="352"/>
      <c r="H27" s="351"/>
      <c r="I27" s="351"/>
      <c r="J27" s="352"/>
      <c r="K27" s="351"/>
      <c r="L27" s="351"/>
      <c r="M27" s="351"/>
      <c r="N27" s="351"/>
      <c r="O27" s="351"/>
      <c r="P27" s="351"/>
      <c r="Q27" s="351"/>
      <c r="R27" s="351"/>
      <c r="S27" s="351"/>
      <c r="T27" s="353"/>
      <c r="U27" s="354"/>
      <c r="V27" s="354"/>
      <c r="W27" s="354"/>
      <c r="X27" s="354"/>
      <c r="Y27" s="354"/>
      <c r="Z27" s="354"/>
      <c r="AA27" s="354"/>
      <c r="AB27" s="354"/>
      <c r="AC27" s="354"/>
      <c r="AD27" s="354"/>
      <c r="AE27" s="354"/>
      <c r="AF27" s="354"/>
      <c r="AG27" s="354"/>
      <c r="AH27" s="354"/>
      <c r="AI27" s="354"/>
      <c r="AJ27" s="354"/>
      <c r="AK27" s="354"/>
      <c r="AL27" s="354"/>
      <c r="AM27" s="354"/>
      <c r="AN27" s="354"/>
      <c r="AO27" s="354"/>
      <c r="AP27" s="354"/>
      <c r="AQ27" s="354"/>
      <c r="AR27" s="354"/>
      <c r="AS27" s="354"/>
      <c r="AT27" s="354"/>
      <c r="AU27" s="354"/>
      <c r="AV27" s="354"/>
    </row>
    <row r="28" spans="1:48" ht="131.15" customHeight="1">
      <c r="A28" s="313"/>
      <c r="B28" s="334"/>
      <c r="C28" s="333" t="s">
        <v>263</v>
      </c>
      <c r="D28" s="333"/>
      <c r="E28" s="347" t="s">
        <v>264</v>
      </c>
      <c r="F28" s="328">
        <v>2</v>
      </c>
      <c r="G28" s="332" t="s">
        <v>27</v>
      </c>
      <c r="H28" s="342">
        <v>1071</v>
      </c>
      <c r="I28" s="336">
        <f t="shared" ref="I28" si="1">F28*H28</f>
        <v>2142</v>
      </c>
      <c r="J28" s="337">
        <v>0</v>
      </c>
      <c r="K28" s="336">
        <f t="shared" ref="K28" si="2">(100%-J28)*H28</f>
        <v>1071</v>
      </c>
      <c r="L28" s="336">
        <f t="shared" ref="L28" si="3">K28*F28</f>
        <v>2142</v>
      </c>
      <c r="M28" s="338">
        <v>0.1</v>
      </c>
      <c r="N28" s="338">
        <v>0.1</v>
      </c>
      <c r="O28" s="338">
        <v>0.4</v>
      </c>
      <c r="P28" s="338">
        <v>0.4</v>
      </c>
      <c r="Q28" s="336">
        <f t="shared" ref="Q28" si="4">((100%+SUM(M28:O28))+P28*(100%+SUM(M28:O28)))*K28</f>
        <v>2399.0400000000004</v>
      </c>
      <c r="R28" s="336">
        <f t="shared" ref="R28" si="5">Q28*F28</f>
        <v>4798.0800000000008</v>
      </c>
      <c r="S28" s="339">
        <f>45*Q28*1.15</f>
        <v>124150.32</v>
      </c>
      <c r="T28" s="340">
        <f t="shared" ref="T28" si="6">S28*F28</f>
        <v>248300.64</v>
      </c>
      <c r="U28" s="313"/>
      <c r="V28" s="313"/>
      <c r="W28" s="313"/>
      <c r="X28" s="313"/>
      <c r="Y28" s="313"/>
      <c r="Z28" s="313"/>
      <c r="AA28" s="313"/>
      <c r="AB28" s="313"/>
      <c r="AC28" s="313"/>
      <c r="AD28" s="313"/>
      <c r="AE28" s="313"/>
      <c r="AF28" s="313"/>
      <c r="AG28" s="313"/>
      <c r="AH28" s="313"/>
      <c r="AI28" s="313"/>
      <c r="AJ28" s="313"/>
      <c r="AK28" s="313"/>
      <c r="AL28" s="313"/>
      <c r="AM28" s="313"/>
      <c r="AN28" s="313"/>
      <c r="AO28" s="313"/>
      <c r="AP28" s="313"/>
      <c r="AQ28" s="313"/>
      <c r="AR28" s="313"/>
      <c r="AS28" s="313"/>
      <c r="AT28" s="313"/>
      <c r="AU28" s="313"/>
      <c r="AV28" s="313"/>
    </row>
    <row r="29" spans="1:48" s="349" customFormat="1" ht="23.15" customHeight="1">
      <c r="A29" s="354"/>
      <c r="B29" s="350">
        <v>7</v>
      </c>
      <c r="C29" s="351" t="s">
        <v>260</v>
      </c>
      <c r="D29" s="351"/>
      <c r="E29" s="351"/>
      <c r="F29" s="352"/>
      <c r="G29" s="352"/>
      <c r="H29" s="351"/>
      <c r="I29" s="351"/>
      <c r="J29" s="352"/>
      <c r="K29" s="351"/>
      <c r="L29" s="351"/>
      <c r="M29" s="351"/>
      <c r="N29" s="351"/>
      <c r="O29" s="351"/>
      <c r="P29" s="351"/>
      <c r="Q29" s="351"/>
      <c r="R29" s="351"/>
      <c r="S29" s="351"/>
      <c r="T29" s="353"/>
      <c r="U29" s="354"/>
      <c r="V29" s="354"/>
      <c r="W29" s="354"/>
      <c r="X29" s="354"/>
      <c r="Y29" s="354"/>
      <c r="Z29" s="354"/>
      <c r="AA29" s="354"/>
      <c r="AB29" s="354"/>
      <c r="AC29" s="354"/>
      <c r="AD29" s="354"/>
      <c r="AE29" s="354"/>
      <c r="AF29" s="354"/>
      <c r="AG29" s="354"/>
      <c r="AH29" s="354"/>
      <c r="AI29" s="354"/>
      <c r="AJ29" s="354"/>
      <c r="AK29" s="354"/>
      <c r="AL29" s="354"/>
      <c r="AM29" s="354"/>
      <c r="AN29" s="354"/>
      <c r="AO29" s="354"/>
      <c r="AP29" s="354"/>
      <c r="AQ29" s="354"/>
      <c r="AR29" s="354"/>
      <c r="AS29" s="354"/>
      <c r="AT29" s="354"/>
      <c r="AU29" s="354"/>
      <c r="AV29" s="354"/>
    </row>
    <row r="30" spans="1:48" ht="58" customHeight="1">
      <c r="A30" s="313"/>
      <c r="B30" s="523" t="s">
        <v>297</v>
      </c>
      <c r="C30" s="524"/>
      <c r="D30" s="504">
        <v>85287100</v>
      </c>
      <c r="E30" s="308" t="s">
        <v>420</v>
      </c>
      <c r="F30" s="341">
        <v>1</v>
      </c>
      <c r="G30" s="341" t="s">
        <v>29</v>
      </c>
      <c r="H30" s="437">
        <v>1693</v>
      </c>
      <c r="I30" s="343">
        <f t="shared" ref="I30:I34" si="7">F30*H30</f>
        <v>1693</v>
      </c>
      <c r="J30" s="344">
        <v>0</v>
      </c>
      <c r="K30" s="343">
        <f t="shared" ref="K30:K34" si="8">(100%-J30)*H30</f>
        <v>1693</v>
      </c>
      <c r="L30" s="343">
        <f t="shared" ref="L30:L34" si="9">K30*F30</f>
        <v>1693</v>
      </c>
      <c r="M30" s="345">
        <v>0.1</v>
      </c>
      <c r="N30" s="345">
        <v>0.1</v>
      </c>
      <c r="O30" s="345">
        <v>0.53</v>
      </c>
      <c r="P30" s="345">
        <v>0.4</v>
      </c>
      <c r="Q30" s="343">
        <f t="shared" ref="Q30:Q34" si="10">((100%+SUM(M30:O30))+P30*(100%+SUM(M30:O30)))*K30</f>
        <v>4100.4459999999999</v>
      </c>
      <c r="R30" s="343">
        <f t="shared" ref="R30:R34" si="11">Q30*F30</f>
        <v>4100.4459999999999</v>
      </c>
      <c r="S30" s="339">
        <f>Q30*45*1.15</f>
        <v>212198.08049999998</v>
      </c>
      <c r="T30" s="346">
        <f t="shared" ref="T30:T34" si="12">S30*F30</f>
        <v>212198.08049999998</v>
      </c>
      <c r="U30" s="313"/>
      <c r="V30" s="313"/>
      <c r="W30" s="313"/>
      <c r="X30" s="313"/>
      <c r="Y30" s="313"/>
      <c r="Z30" s="313"/>
      <c r="AA30" s="313"/>
      <c r="AB30" s="313"/>
      <c r="AC30" s="313"/>
      <c r="AD30" s="313"/>
      <c r="AE30" s="313"/>
      <c r="AF30" s="313"/>
      <c r="AG30" s="313"/>
      <c r="AH30" s="313"/>
      <c r="AI30" s="313"/>
      <c r="AJ30" s="313"/>
      <c r="AK30" s="313"/>
      <c r="AL30" s="313"/>
      <c r="AM30" s="313"/>
      <c r="AN30" s="313"/>
      <c r="AO30" s="313"/>
      <c r="AP30" s="313"/>
      <c r="AQ30" s="313"/>
      <c r="AR30" s="313"/>
      <c r="AS30" s="313"/>
      <c r="AT30" s="313"/>
      <c r="AU30" s="313"/>
      <c r="AV30" s="313"/>
    </row>
    <row r="31" spans="1:48" ht="53.15" customHeight="1">
      <c r="A31" s="313"/>
      <c r="B31" s="523" t="s">
        <v>421</v>
      </c>
      <c r="C31" s="524"/>
      <c r="D31" s="504"/>
      <c r="E31" s="308" t="s">
        <v>422</v>
      </c>
      <c r="F31" s="307">
        <v>2</v>
      </c>
      <c r="G31" s="341" t="s">
        <v>29</v>
      </c>
      <c r="H31" s="437">
        <v>353</v>
      </c>
      <c r="I31" s="343">
        <f t="shared" si="7"/>
        <v>706</v>
      </c>
      <c r="J31" s="344">
        <v>0</v>
      </c>
      <c r="K31" s="343">
        <f t="shared" si="8"/>
        <v>353</v>
      </c>
      <c r="L31" s="343">
        <f t="shared" si="9"/>
        <v>706</v>
      </c>
      <c r="M31" s="345">
        <v>0.1</v>
      </c>
      <c r="N31" s="345">
        <v>0.1</v>
      </c>
      <c r="O31" s="345">
        <v>0.53</v>
      </c>
      <c r="P31" s="345">
        <v>0.4</v>
      </c>
      <c r="Q31" s="343">
        <f t="shared" si="10"/>
        <v>854.96600000000001</v>
      </c>
      <c r="R31" s="343">
        <f t="shared" si="11"/>
        <v>1709.932</v>
      </c>
      <c r="S31" s="339">
        <f t="shared" ref="S31:S34" si="13">Q31*45*1.15</f>
        <v>44244.4905</v>
      </c>
      <c r="T31" s="346">
        <f t="shared" si="12"/>
        <v>88488.981</v>
      </c>
      <c r="U31" s="313"/>
      <c r="V31" s="313"/>
      <c r="W31" s="313"/>
      <c r="X31" s="313"/>
      <c r="Y31" s="313"/>
      <c r="Z31" s="313"/>
      <c r="AA31" s="313"/>
      <c r="AB31" s="313"/>
      <c r="AC31" s="313"/>
      <c r="AD31" s="313"/>
      <c r="AE31" s="313"/>
      <c r="AF31" s="313"/>
      <c r="AG31" s="313"/>
      <c r="AH31" s="313"/>
      <c r="AI31" s="313"/>
      <c r="AJ31" s="313"/>
      <c r="AK31" s="313"/>
      <c r="AL31" s="313"/>
      <c r="AM31" s="313"/>
      <c r="AN31" s="313"/>
      <c r="AO31" s="313"/>
      <c r="AP31" s="313"/>
      <c r="AQ31" s="313"/>
      <c r="AR31" s="313"/>
      <c r="AS31" s="313"/>
      <c r="AT31" s="313"/>
      <c r="AU31" s="313"/>
      <c r="AV31" s="313"/>
    </row>
    <row r="32" spans="1:48" s="324" customFormat="1" ht="34" customHeight="1">
      <c r="B32" s="525" t="s">
        <v>423</v>
      </c>
      <c r="C32" s="526"/>
      <c r="D32" s="505"/>
      <c r="E32" s="496" t="s">
        <v>424</v>
      </c>
      <c r="F32" s="497">
        <v>2</v>
      </c>
      <c r="G32" s="44" t="s">
        <v>29</v>
      </c>
      <c r="H32" s="498">
        <v>147</v>
      </c>
      <c r="I32" s="499">
        <f t="shared" si="7"/>
        <v>294</v>
      </c>
      <c r="J32" s="500">
        <v>0</v>
      </c>
      <c r="K32" s="499">
        <f t="shared" si="8"/>
        <v>147</v>
      </c>
      <c r="L32" s="499">
        <f t="shared" si="9"/>
        <v>294</v>
      </c>
      <c r="M32" s="501">
        <v>0.1</v>
      </c>
      <c r="N32" s="501">
        <v>0.1</v>
      </c>
      <c r="O32" s="345">
        <v>0.53</v>
      </c>
      <c r="P32" s="501">
        <v>0.4</v>
      </c>
      <c r="Q32" s="499">
        <f t="shared" si="10"/>
        <v>356.03400000000005</v>
      </c>
      <c r="R32" s="499">
        <f t="shared" si="11"/>
        <v>712.0680000000001</v>
      </c>
      <c r="S32" s="339">
        <f t="shared" si="13"/>
        <v>18424.7595</v>
      </c>
      <c r="T32" s="502">
        <f t="shared" si="12"/>
        <v>36849.519</v>
      </c>
    </row>
    <row r="33" spans="1:48" ht="44.15" customHeight="1">
      <c r="A33" s="313"/>
      <c r="B33" s="523" t="s">
        <v>298</v>
      </c>
      <c r="C33" s="524"/>
      <c r="D33" s="504"/>
      <c r="E33" s="306" t="s">
        <v>299</v>
      </c>
      <c r="F33" s="307">
        <v>9</v>
      </c>
      <c r="G33" s="341" t="s">
        <v>29</v>
      </c>
      <c r="H33" s="437">
        <v>1689</v>
      </c>
      <c r="I33" s="343">
        <f t="shared" si="7"/>
        <v>15201</v>
      </c>
      <c r="J33" s="344">
        <v>0</v>
      </c>
      <c r="K33" s="343">
        <f t="shared" si="8"/>
        <v>1689</v>
      </c>
      <c r="L33" s="343">
        <f t="shared" si="9"/>
        <v>15201</v>
      </c>
      <c r="M33" s="345">
        <v>0.1</v>
      </c>
      <c r="N33" s="345">
        <v>0.1</v>
      </c>
      <c r="O33" s="345">
        <v>0.53</v>
      </c>
      <c r="P33" s="345">
        <v>0.4</v>
      </c>
      <c r="Q33" s="343">
        <f t="shared" si="10"/>
        <v>4090.7580000000003</v>
      </c>
      <c r="R33" s="343">
        <f t="shared" si="11"/>
        <v>36816.822</v>
      </c>
      <c r="S33" s="339">
        <f t="shared" si="13"/>
        <v>211696.72649999999</v>
      </c>
      <c r="T33" s="346">
        <f t="shared" si="12"/>
        <v>1905270.5384999998</v>
      </c>
      <c r="U33" s="313"/>
      <c r="V33" s="313"/>
      <c r="W33" s="313"/>
      <c r="X33" s="313"/>
      <c r="Y33" s="313"/>
      <c r="Z33" s="313"/>
      <c r="AA33" s="313"/>
      <c r="AB33" s="313"/>
      <c r="AC33" s="313"/>
      <c r="AD33" s="313"/>
      <c r="AE33" s="313"/>
      <c r="AF33" s="313"/>
      <c r="AG33" s="313"/>
      <c r="AH33" s="313"/>
      <c r="AI33" s="313"/>
      <c r="AJ33" s="313"/>
      <c r="AK33" s="313"/>
      <c r="AL33" s="313"/>
      <c r="AM33" s="313"/>
      <c r="AN33" s="313"/>
      <c r="AO33" s="313"/>
      <c r="AP33" s="313"/>
      <c r="AQ33" s="313"/>
      <c r="AR33" s="313"/>
      <c r="AS33" s="313"/>
      <c r="AT33" s="313"/>
      <c r="AU33" s="313"/>
      <c r="AV33" s="313"/>
    </row>
    <row r="34" spans="1:48" s="324" customFormat="1" ht="27" customHeight="1">
      <c r="B34" s="525" t="s">
        <v>425</v>
      </c>
      <c r="C34" s="526"/>
      <c r="D34" s="505"/>
      <c r="E34" s="496" t="s">
        <v>426</v>
      </c>
      <c r="F34" s="497">
        <v>9</v>
      </c>
      <c r="G34" s="44" t="s">
        <v>29</v>
      </c>
      <c r="H34" s="498">
        <v>35</v>
      </c>
      <c r="I34" s="499">
        <f t="shared" si="7"/>
        <v>315</v>
      </c>
      <c r="J34" s="500">
        <v>0</v>
      </c>
      <c r="K34" s="499">
        <f t="shared" si="8"/>
        <v>35</v>
      </c>
      <c r="L34" s="499">
        <f t="shared" si="9"/>
        <v>315</v>
      </c>
      <c r="M34" s="501">
        <v>0.1</v>
      </c>
      <c r="N34" s="501">
        <v>0.1</v>
      </c>
      <c r="O34" s="345">
        <v>0.53</v>
      </c>
      <c r="P34" s="501">
        <v>0.4</v>
      </c>
      <c r="Q34" s="499">
        <f t="shared" si="10"/>
        <v>84.77000000000001</v>
      </c>
      <c r="R34" s="499">
        <f t="shared" si="11"/>
        <v>762.93000000000006</v>
      </c>
      <c r="S34" s="339">
        <f t="shared" si="13"/>
        <v>4386.8474999999999</v>
      </c>
      <c r="T34" s="502">
        <f t="shared" si="12"/>
        <v>39481.627500000002</v>
      </c>
    </row>
    <row r="35" spans="1:48" s="349" customFormat="1" ht="23.15" customHeight="1">
      <c r="A35" s="354"/>
      <c r="B35" s="350">
        <v>8</v>
      </c>
      <c r="C35" s="351" t="s">
        <v>261</v>
      </c>
      <c r="D35" s="351"/>
      <c r="E35" s="351"/>
      <c r="F35" s="352"/>
      <c r="G35" s="352"/>
      <c r="H35" s="351"/>
      <c r="I35" s="351"/>
      <c r="J35" s="352"/>
      <c r="K35" s="351"/>
      <c r="L35" s="351"/>
      <c r="M35" s="351"/>
      <c r="N35" s="351"/>
      <c r="O35" s="351"/>
      <c r="P35" s="351"/>
      <c r="Q35" s="351"/>
      <c r="R35" s="351"/>
      <c r="S35" s="351"/>
      <c r="T35" s="353"/>
      <c r="U35" s="354"/>
      <c r="V35" s="354"/>
      <c r="W35" s="354"/>
      <c r="X35" s="354"/>
      <c r="Y35" s="354"/>
      <c r="Z35" s="354"/>
      <c r="AA35" s="354"/>
      <c r="AB35" s="354"/>
      <c r="AC35" s="354"/>
      <c r="AD35" s="354"/>
      <c r="AE35" s="354"/>
      <c r="AF35" s="354"/>
      <c r="AG35" s="354"/>
      <c r="AH35" s="354"/>
      <c r="AI35" s="354"/>
      <c r="AJ35" s="354"/>
      <c r="AK35" s="354"/>
      <c r="AL35" s="354"/>
      <c r="AM35" s="354"/>
      <c r="AN35" s="354"/>
      <c r="AO35" s="354"/>
      <c r="AP35" s="354"/>
      <c r="AQ35" s="354"/>
      <c r="AR35" s="354"/>
      <c r="AS35" s="354"/>
      <c r="AT35" s="354"/>
      <c r="AU35" s="354"/>
      <c r="AV35" s="354"/>
    </row>
    <row r="36" spans="1:48" ht="115" customHeight="1">
      <c r="A36" s="313"/>
      <c r="B36" s="305"/>
      <c r="C36" s="438" t="s">
        <v>300</v>
      </c>
      <c r="D36" s="438"/>
      <c r="E36" s="308" t="s">
        <v>301</v>
      </c>
      <c r="F36" s="307">
        <v>1</v>
      </c>
      <c r="G36" s="304" t="s">
        <v>27</v>
      </c>
      <c r="H36" s="303">
        <v>4459</v>
      </c>
      <c r="I36" s="311">
        <f t="shared" ref="I36:I37" si="14">F36*H36</f>
        <v>4459</v>
      </c>
      <c r="J36" s="302">
        <v>0</v>
      </c>
      <c r="K36" s="311">
        <f t="shared" ref="K36:K37" si="15">(100%-J36)*H36</f>
        <v>4459</v>
      </c>
      <c r="L36" s="311">
        <f t="shared" ref="L36:L37" si="16">K36*F36</f>
        <v>4459</v>
      </c>
      <c r="M36" s="301">
        <v>0</v>
      </c>
      <c r="N36" s="301">
        <v>0.1</v>
      </c>
      <c r="O36" s="301">
        <v>0</v>
      </c>
      <c r="P36" s="301">
        <v>0.4</v>
      </c>
      <c r="Q36" s="311">
        <f t="shared" ref="Q36:Q37" si="17">((100%+SUM(M36:O36))+P36*(100%+SUM(M36:O36)))*K36</f>
        <v>6866.8600000000006</v>
      </c>
      <c r="R36" s="311">
        <f t="shared" ref="R36:R37" si="18">Q36*F36</f>
        <v>6866.8600000000006</v>
      </c>
      <c r="S36" s="312">
        <f>45*Q36*1.15</f>
        <v>355360.005</v>
      </c>
      <c r="T36" s="300">
        <f t="shared" ref="T36:T37" si="19">S36*F36</f>
        <v>355360.005</v>
      </c>
      <c r="U36" s="313"/>
      <c r="V36" s="313"/>
      <c r="W36" s="313"/>
      <c r="X36" s="313"/>
      <c r="Y36" s="313"/>
      <c r="Z36" s="313"/>
      <c r="AA36" s="313"/>
      <c r="AB36" s="313"/>
      <c r="AC36" s="313"/>
      <c r="AD36" s="313"/>
      <c r="AE36" s="313"/>
      <c r="AF36" s="313"/>
      <c r="AG36" s="313"/>
      <c r="AH36" s="313"/>
      <c r="AI36" s="313"/>
      <c r="AJ36" s="313"/>
      <c r="AK36" s="313"/>
      <c r="AL36" s="313"/>
      <c r="AM36" s="313"/>
      <c r="AN36" s="313"/>
      <c r="AO36" s="313"/>
      <c r="AP36" s="313"/>
      <c r="AQ36" s="313"/>
      <c r="AR36" s="313"/>
      <c r="AS36" s="313"/>
      <c r="AT36" s="313"/>
      <c r="AU36" s="313"/>
      <c r="AV36" s="313"/>
    </row>
    <row r="37" spans="1:48" ht="120" customHeight="1">
      <c r="A37" s="313"/>
      <c r="B37" s="305"/>
      <c r="C37" s="438" t="s">
        <v>302</v>
      </c>
      <c r="D37" s="438"/>
      <c r="E37" s="308" t="s">
        <v>303</v>
      </c>
      <c r="F37" s="307">
        <v>1</v>
      </c>
      <c r="G37" s="304" t="s">
        <v>27</v>
      </c>
      <c r="H37" s="303">
        <v>1199</v>
      </c>
      <c r="I37" s="311">
        <f t="shared" si="14"/>
        <v>1199</v>
      </c>
      <c r="J37" s="302">
        <v>0</v>
      </c>
      <c r="K37" s="311">
        <f t="shared" si="15"/>
        <v>1199</v>
      </c>
      <c r="L37" s="311">
        <f t="shared" si="16"/>
        <v>1199</v>
      </c>
      <c r="M37" s="301">
        <v>0</v>
      </c>
      <c r="N37" s="301">
        <v>0.1</v>
      </c>
      <c r="O37" s="301">
        <v>0</v>
      </c>
      <c r="P37" s="301">
        <v>0.4</v>
      </c>
      <c r="Q37" s="311">
        <f t="shared" si="17"/>
        <v>1846.46</v>
      </c>
      <c r="R37" s="311">
        <f t="shared" si="18"/>
        <v>1846.46</v>
      </c>
      <c r="S37" s="312">
        <f>45*Q37*1.15</f>
        <v>95554.304999999993</v>
      </c>
      <c r="T37" s="300">
        <f t="shared" si="19"/>
        <v>95554.304999999993</v>
      </c>
      <c r="U37" s="313"/>
      <c r="V37" s="313"/>
      <c r="W37" s="313"/>
      <c r="X37" s="313"/>
      <c r="Y37" s="313"/>
      <c r="Z37" s="313"/>
      <c r="AA37" s="313"/>
      <c r="AB37" s="313"/>
      <c r="AC37" s="313"/>
      <c r="AD37" s="313"/>
      <c r="AE37" s="313"/>
      <c r="AF37" s="313"/>
      <c r="AG37" s="313"/>
      <c r="AH37" s="313"/>
      <c r="AI37" s="313"/>
      <c r="AJ37" s="313"/>
      <c r="AK37" s="313"/>
      <c r="AL37" s="313"/>
      <c r="AM37" s="313"/>
      <c r="AN37" s="313"/>
      <c r="AO37" s="313"/>
      <c r="AP37" s="313"/>
      <c r="AQ37" s="313"/>
      <c r="AR37" s="313"/>
      <c r="AS37" s="313"/>
      <c r="AT37" s="313"/>
      <c r="AU37" s="313"/>
      <c r="AV37" s="313"/>
    </row>
    <row r="38" spans="1:48" s="349" customFormat="1" ht="23.15" customHeight="1">
      <c r="A38" s="354"/>
      <c r="B38" s="350">
        <v>5</v>
      </c>
      <c r="C38" s="351" t="s">
        <v>188</v>
      </c>
      <c r="D38" s="351"/>
      <c r="E38" s="351"/>
      <c r="F38" s="352"/>
      <c r="G38" s="352"/>
      <c r="H38" s="351"/>
      <c r="I38" s="351"/>
      <c r="J38" s="352"/>
      <c r="K38" s="351"/>
      <c r="L38" s="351"/>
      <c r="M38" s="351"/>
      <c r="N38" s="351"/>
      <c r="O38" s="351"/>
      <c r="P38" s="351"/>
      <c r="Q38" s="351"/>
      <c r="R38" s="351"/>
      <c r="S38" s="351"/>
      <c r="T38" s="353"/>
      <c r="U38" s="354"/>
      <c r="V38" s="354"/>
      <c r="W38" s="354"/>
      <c r="X38" s="354"/>
      <c r="Y38" s="354"/>
      <c r="Z38" s="354"/>
      <c r="AA38" s="354"/>
      <c r="AB38" s="354"/>
      <c r="AC38" s="354"/>
      <c r="AD38" s="354"/>
      <c r="AE38" s="354"/>
      <c r="AF38" s="354"/>
      <c r="AG38" s="354"/>
      <c r="AH38" s="354"/>
      <c r="AI38" s="354"/>
      <c r="AJ38" s="354"/>
      <c r="AK38" s="354"/>
      <c r="AL38" s="354"/>
      <c r="AM38" s="354"/>
      <c r="AN38" s="354"/>
      <c r="AO38" s="354"/>
      <c r="AP38" s="354"/>
      <c r="AQ38" s="354"/>
      <c r="AR38" s="354"/>
      <c r="AS38" s="354"/>
      <c r="AT38" s="354"/>
      <c r="AU38" s="354"/>
      <c r="AV38" s="354"/>
    </row>
    <row r="39" spans="1:48" s="314" customFormat="1" ht="45.75" customHeight="1">
      <c r="A39" s="321"/>
      <c r="B39" s="315"/>
      <c r="C39" s="55" t="s">
        <v>187</v>
      </c>
      <c r="D39" s="55"/>
      <c r="E39" s="332" t="s">
        <v>186</v>
      </c>
      <c r="F39" s="44">
        <v>4</v>
      </c>
      <c r="G39" s="56" t="s">
        <v>27</v>
      </c>
      <c r="H39" s="331">
        <v>1699</v>
      </c>
      <c r="I39" s="320">
        <f>F39*H39</f>
        <v>6796</v>
      </c>
      <c r="J39" s="319">
        <v>0</v>
      </c>
      <c r="K39" s="320">
        <f>(100%-J39)*H39</f>
        <v>1699</v>
      </c>
      <c r="L39" s="320">
        <f>K39*F39</f>
        <v>6796</v>
      </c>
      <c r="M39" s="316">
        <v>0.1</v>
      </c>
      <c r="N39" s="316">
        <v>0.1</v>
      </c>
      <c r="O39" s="316">
        <v>0.4</v>
      </c>
      <c r="P39" s="316">
        <v>0.4</v>
      </c>
      <c r="Q39" s="320">
        <f>((100%+SUM(M39:O39))+P39*(100%+SUM(M39:O39)))*K39</f>
        <v>3805.76</v>
      </c>
      <c r="R39" s="320">
        <f>Q39*F39</f>
        <v>15223.04</v>
      </c>
      <c r="S39" s="317">
        <f>45*Q39*1.15</f>
        <v>196948.08</v>
      </c>
      <c r="T39" s="318">
        <f>S39*F39</f>
        <v>787792.32</v>
      </c>
      <c r="U39" s="321"/>
      <c r="V39" s="321"/>
      <c r="W39" s="321"/>
      <c r="X39" s="321"/>
      <c r="Y39" s="321"/>
      <c r="Z39" s="321"/>
      <c r="AA39" s="321"/>
      <c r="AB39" s="321"/>
      <c r="AC39" s="321"/>
      <c r="AD39" s="321"/>
      <c r="AE39" s="321"/>
      <c r="AF39" s="321"/>
      <c r="AG39" s="321"/>
      <c r="AH39" s="321"/>
      <c r="AI39" s="321"/>
      <c r="AJ39" s="321"/>
      <c r="AK39" s="321"/>
      <c r="AL39" s="321"/>
      <c r="AM39" s="321"/>
      <c r="AN39" s="321"/>
      <c r="AO39" s="321"/>
      <c r="AP39" s="321"/>
      <c r="AQ39" s="321"/>
      <c r="AR39" s="321"/>
      <c r="AS39" s="321"/>
      <c r="AT39" s="321"/>
      <c r="AU39" s="321"/>
      <c r="AV39" s="321"/>
    </row>
    <row r="40" spans="1:48" s="349" customFormat="1" ht="23.15" customHeight="1">
      <c r="A40" s="354"/>
      <c r="B40" s="350">
        <v>9</v>
      </c>
      <c r="C40" s="351" t="s">
        <v>185</v>
      </c>
      <c r="D40" s="351"/>
      <c r="E40" s="351"/>
      <c r="F40" s="352"/>
      <c r="G40" s="352"/>
      <c r="H40" s="351"/>
      <c r="I40" s="351"/>
      <c r="J40" s="352"/>
      <c r="K40" s="351"/>
      <c r="L40" s="351"/>
      <c r="M40" s="351"/>
      <c r="N40" s="351"/>
      <c r="O40" s="351"/>
      <c r="P40" s="351"/>
      <c r="Q40" s="351"/>
      <c r="R40" s="351"/>
      <c r="S40" s="351"/>
      <c r="T40" s="353"/>
      <c r="U40" s="354"/>
      <c r="V40" s="354"/>
      <c r="W40" s="354"/>
      <c r="X40" s="354"/>
      <c r="Y40" s="354"/>
      <c r="Z40" s="354"/>
      <c r="AA40" s="354"/>
      <c r="AB40" s="354"/>
      <c r="AC40" s="354"/>
      <c r="AD40" s="354"/>
      <c r="AE40" s="354"/>
      <c r="AF40" s="354"/>
      <c r="AG40" s="354"/>
      <c r="AH40" s="354"/>
      <c r="AI40" s="354"/>
      <c r="AJ40" s="354"/>
      <c r="AK40" s="354"/>
      <c r="AL40" s="354"/>
      <c r="AM40" s="354"/>
      <c r="AN40" s="354"/>
      <c r="AO40" s="354"/>
      <c r="AP40" s="354"/>
      <c r="AQ40" s="354"/>
      <c r="AR40" s="354"/>
      <c r="AS40" s="354"/>
      <c r="AT40" s="354"/>
      <c r="AU40" s="354"/>
      <c r="AV40" s="354"/>
    </row>
    <row r="41" spans="1:48" s="314" customFormat="1" ht="30" customHeight="1">
      <c r="A41" s="321"/>
      <c r="B41" s="315"/>
      <c r="C41" s="207" t="s">
        <v>184</v>
      </c>
      <c r="D41" s="207"/>
      <c r="E41" s="142" t="s">
        <v>183</v>
      </c>
      <c r="F41" s="44">
        <v>1</v>
      </c>
      <c r="G41" s="56" t="s">
        <v>27</v>
      </c>
      <c r="H41" s="141">
        <v>1292</v>
      </c>
      <c r="I41" s="320">
        <f>F41*H41</f>
        <v>1292</v>
      </c>
      <c r="J41" s="319">
        <v>0</v>
      </c>
      <c r="K41" s="320">
        <f>(100%-J41)*H41</f>
        <v>1292</v>
      </c>
      <c r="L41" s="320">
        <f>K41*F41</f>
        <v>1292</v>
      </c>
      <c r="M41" s="316">
        <v>0.1</v>
      </c>
      <c r="N41" s="316">
        <v>0.1</v>
      </c>
      <c r="O41" s="316">
        <v>0.4</v>
      </c>
      <c r="P41" s="316">
        <v>0.4</v>
      </c>
      <c r="Q41" s="320">
        <f>((100%+SUM(M41:O41))+P41*(100%+SUM(M41:O41)))*K41</f>
        <v>2894.0800000000004</v>
      </c>
      <c r="R41" s="320">
        <f>Q41*F41</f>
        <v>2894.0800000000004</v>
      </c>
      <c r="S41" s="317">
        <f>45*Q41*1.15</f>
        <v>149768.64000000001</v>
      </c>
      <c r="T41" s="318">
        <f>S41*F41</f>
        <v>149768.64000000001</v>
      </c>
      <c r="U41" s="321"/>
      <c r="V41" s="321"/>
      <c r="W41" s="321"/>
      <c r="X41" s="321"/>
      <c r="Y41" s="321"/>
      <c r="Z41" s="321"/>
      <c r="AA41" s="321"/>
      <c r="AB41" s="321"/>
      <c r="AC41" s="321"/>
      <c r="AD41" s="321"/>
      <c r="AE41" s="321"/>
      <c r="AF41" s="321"/>
      <c r="AG41" s="321"/>
      <c r="AH41" s="321"/>
      <c r="AI41" s="321"/>
      <c r="AJ41" s="321"/>
      <c r="AK41" s="321"/>
      <c r="AL41" s="321"/>
      <c r="AM41" s="321"/>
      <c r="AN41" s="321"/>
      <c r="AO41" s="321"/>
      <c r="AP41" s="321"/>
      <c r="AQ41" s="321"/>
      <c r="AR41" s="321"/>
      <c r="AS41" s="321"/>
      <c r="AT41" s="321"/>
      <c r="AU41" s="321"/>
      <c r="AV41" s="321"/>
    </row>
    <row r="42" spans="1:48" s="349" customFormat="1" ht="23.15" customHeight="1">
      <c r="A42" s="354"/>
      <c r="B42" s="350">
        <v>12</v>
      </c>
      <c r="C42" s="351" t="s">
        <v>265</v>
      </c>
      <c r="D42" s="351"/>
      <c r="E42" s="351"/>
      <c r="F42" s="352"/>
      <c r="G42" s="352"/>
      <c r="H42" s="351"/>
      <c r="I42" s="351"/>
      <c r="J42" s="352"/>
      <c r="K42" s="351"/>
      <c r="L42" s="351"/>
      <c r="M42" s="351"/>
      <c r="N42" s="351"/>
      <c r="O42" s="351"/>
      <c r="P42" s="351"/>
      <c r="Q42" s="351"/>
      <c r="R42" s="351"/>
      <c r="S42" s="351"/>
      <c r="T42" s="353"/>
      <c r="U42" s="354"/>
      <c r="V42" s="354"/>
      <c r="W42" s="354"/>
      <c r="X42" s="354"/>
      <c r="Y42" s="354"/>
      <c r="Z42" s="354"/>
      <c r="AA42" s="354"/>
      <c r="AB42" s="354"/>
      <c r="AC42" s="354"/>
      <c r="AD42" s="354"/>
      <c r="AE42" s="354"/>
      <c r="AF42" s="354"/>
      <c r="AG42" s="354"/>
      <c r="AH42" s="354"/>
      <c r="AI42" s="354"/>
      <c r="AJ42" s="354"/>
      <c r="AK42" s="354"/>
      <c r="AL42" s="354"/>
      <c r="AM42" s="354"/>
      <c r="AN42" s="354"/>
      <c r="AO42" s="354"/>
      <c r="AP42" s="354"/>
      <c r="AQ42" s="354"/>
      <c r="AR42" s="354"/>
      <c r="AS42" s="354"/>
      <c r="AT42" s="354"/>
      <c r="AU42" s="354"/>
      <c r="AV42" s="354"/>
    </row>
    <row r="43" spans="1:48" s="314" customFormat="1" ht="86.15" customHeight="1">
      <c r="A43" s="321"/>
      <c r="B43" s="334"/>
      <c r="C43" s="325" t="s">
        <v>253</v>
      </c>
      <c r="D43" s="325"/>
      <c r="E43" s="335" t="s">
        <v>254</v>
      </c>
      <c r="F43" s="328">
        <v>1</v>
      </c>
      <c r="G43" s="332" t="s">
        <v>27</v>
      </c>
      <c r="H43" s="331">
        <v>10000</v>
      </c>
      <c r="I43" s="336">
        <f t="shared" ref="I43" si="20">F43*H43</f>
        <v>10000</v>
      </c>
      <c r="J43" s="337">
        <v>0</v>
      </c>
      <c r="K43" s="336">
        <f t="shared" ref="K43" si="21">(100%-J43)*H43</f>
        <v>10000</v>
      </c>
      <c r="L43" s="336">
        <f t="shared" ref="L43" si="22">K43*F43</f>
        <v>10000</v>
      </c>
      <c r="M43" s="338">
        <v>0.1</v>
      </c>
      <c r="N43" s="338">
        <v>0.15</v>
      </c>
      <c r="O43" s="338">
        <v>0.4</v>
      </c>
      <c r="P43" s="338">
        <v>0.4</v>
      </c>
      <c r="Q43" s="336">
        <f t="shared" ref="Q43" si="23">((100%+SUM(M43:O43))+P43*(100%+SUM(M43:O43)))*K43</f>
        <v>23100</v>
      </c>
      <c r="R43" s="336">
        <f t="shared" ref="R43" si="24">Q43*F43</f>
        <v>23100</v>
      </c>
      <c r="S43" s="339">
        <f>Q43*45*1.15</f>
        <v>1195425</v>
      </c>
      <c r="T43" s="340">
        <f t="shared" ref="T43" si="25">S43*F43</f>
        <v>1195425</v>
      </c>
      <c r="U43" s="197"/>
      <c r="V43" s="197"/>
      <c r="W43" s="197"/>
      <c r="X43" s="197"/>
      <c r="Y43" s="197"/>
      <c r="Z43" s="197"/>
      <c r="AA43" s="197"/>
      <c r="AB43" s="197"/>
      <c r="AC43" s="197"/>
      <c r="AD43" s="197"/>
      <c r="AE43" s="197"/>
      <c r="AF43" s="197"/>
      <c r="AG43" s="197"/>
      <c r="AH43" s="197"/>
      <c r="AI43" s="197"/>
      <c r="AJ43" s="197"/>
      <c r="AK43" s="197"/>
      <c r="AL43" s="197"/>
      <c r="AM43" s="197"/>
      <c r="AN43" s="197"/>
      <c r="AO43" s="197"/>
      <c r="AP43" s="197"/>
      <c r="AQ43" s="197"/>
      <c r="AR43" s="197"/>
      <c r="AS43" s="197"/>
      <c r="AT43" s="197"/>
      <c r="AU43" s="197"/>
      <c r="AV43" s="197"/>
    </row>
    <row r="44" spans="1:48" s="349" customFormat="1" ht="23.15" customHeight="1">
      <c r="A44" s="354"/>
      <c r="B44" s="350">
        <v>12</v>
      </c>
      <c r="C44" s="351" t="s">
        <v>255</v>
      </c>
      <c r="D44" s="351"/>
      <c r="E44" s="351"/>
      <c r="F44" s="352"/>
      <c r="G44" s="352"/>
      <c r="H44" s="351"/>
      <c r="I44" s="351"/>
      <c r="J44" s="352"/>
      <c r="K44" s="351"/>
      <c r="L44" s="351"/>
      <c r="M44" s="351"/>
      <c r="N44" s="351"/>
      <c r="O44" s="351"/>
      <c r="P44" s="351"/>
      <c r="Q44" s="351"/>
      <c r="R44" s="351"/>
      <c r="S44" s="351"/>
      <c r="T44" s="353"/>
      <c r="U44" s="354"/>
      <c r="V44" s="354"/>
      <c r="W44" s="354"/>
      <c r="X44" s="354"/>
      <c r="Y44" s="354"/>
      <c r="Z44" s="354"/>
      <c r="AA44" s="354"/>
      <c r="AB44" s="354"/>
      <c r="AC44" s="354"/>
      <c r="AD44" s="354"/>
      <c r="AE44" s="354"/>
      <c r="AF44" s="354"/>
      <c r="AG44" s="354"/>
      <c r="AH44" s="354"/>
      <c r="AI44" s="354"/>
      <c r="AJ44" s="354"/>
      <c r="AK44" s="354"/>
      <c r="AL44" s="354"/>
      <c r="AM44" s="354"/>
      <c r="AN44" s="354"/>
      <c r="AO44" s="354"/>
      <c r="AP44" s="354"/>
      <c r="AQ44" s="354"/>
      <c r="AR44" s="354"/>
      <c r="AS44" s="354"/>
      <c r="AT44" s="354"/>
      <c r="AU44" s="354"/>
      <c r="AV44" s="354"/>
    </row>
    <row r="45" spans="1:48" s="314" customFormat="1" ht="58.5" customHeight="1">
      <c r="A45" s="321"/>
      <c r="B45" s="334"/>
      <c r="C45" s="325" t="s">
        <v>256</v>
      </c>
      <c r="D45" s="325"/>
      <c r="E45" s="335" t="s">
        <v>328</v>
      </c>
      <c r="F45" s="328">
        <v>120</v>
      </c>
      <c r="G45" s="332" t="s">
        <v>27</v>
      </c>
      <c r="H45" s="331">
        <v>50</v>
      </c>
      <c r="I45" s="336">
        <f t="shared" ref="I45" si="26">F45*H45</f>
        <v>6000</v>
      </c>
      <c r="J45" s="337">
        <v>0</v>
      </c>
      <c r="K45" s="336">
        <f t="shared" ref="K45" si="27">(100%-J45)*H45</f>
        <v>50</v>
      </c>
      <c r="L45" s="336">
        <f t="shared" ref="L45" si="28">K45*F45</f>
        <v>6000</v>
      </c>
      <c r="M45" s="338">
        <v>0.1</v>
      </c>
      <c r="N45" s="338">
        <v>0.1</v>
      </c>
      <c r="O45" s="338">
        <v>0.4</v>
      </c>
      <c r="P45" s="338">
        <v>0.4</v>
      </c>
      <c r="Q45" s="336">
        <f t="shared" ref="Q45" si="29">((100%+SUM(M45:O45))+P45*(100%+SUM(M45:O45)))*K45</f>
        <v>112.00000000000001</v>
      </c>
      <c r="R45" s="336">
        <f t="shared" ref="R45" si="30">Q45*F45</f>
        <v>13440.000000000002</v>
      </c>
      <c r="S45" s="339">
        <f>Q45*45*1.15</f>
        <v>5796.0000000000009</v>
      </c>
      <c r="T45" s="340">
        <f t="shared" ref="T45" si="31">S45*F45</f>
        <v>695520.00000000012</v>
      </c>
      <c r="U45" s="197"/>
      <c r="V45" s="197"/>
      <c r="W45" s="197"/>
      <c r="X45" s="197"/>
      <c r="Y45" s="197"/>
      <c r="Z45" s="197"/>
      <c r="AA45" s="197"/>
      <c r="AB45" s="197"/>
      <c r="AC45" s="197"/>
      <c r="AD45" s="197"/>
      <c r="AE45" s="197"/>
      <c r="AF45" s="197"/>
      <c r="AG45" s="197"/>
      <c r="AH45" s="197"/>
      <c r="AI45" s="197"/>
      <c r="AJ45" s="197"/>
      <c r="AK45" s="197"/>
      <c r="AL45" s="197"/>
      <c r="AM45" s="197"/>
      <c r="AN45" s="197"/>
      <c r="AO45" s="197"/>
      <c r="AP45" s="197"/>
      <c r="AQ45" s="197"/>
      <c r="AR45" s="197"/>
      <c r="AS45" s="197"/>
      <c r="AT45" s="197"/>
      <c r="AU45" s="197"/>
      <c r="AV45" s="197"/>
    </row>
    <row r="46" spans="1:48" s="314" customFormat="1" ht="58.5" customHeight="1">
      <c r="A46" s="321"/>
      <c r="B46" s="334"/>
      <c r="C46" s="325" t="s">
        <v>428</v>
      </c>
      <c r="D46" s="325"/>
      <c r="E46" s="335" t="s">
        <v>429</v>
      </c>
      <c r="F46" s="328">
        <v>120</v>
      </c>
      <c r="G46" s="332" t="s">
        <v>27</v>
      </c>
      <c r="H46" s="331">
        <v>200</v>
      </c>
      <c r="I46" s="336">
        <f t="shared" ref="I46" si="32">F46*H46</f>
        <v>24000</v>
      </c>
      <c r="J46" s="337">
        <v>0</v>
      </c>
      <c r="K46" s="336">
        <f t="shared" ref="K46" si="33">(100%-J46)*H46</f>
        <v>200</v>
      </c>
      <c r="L46" s="336">
        <f t="shared" ref="L46" si="34">K46*F46</f>
        <v>24000</v>
      </c>
      <c r="M46" s="338">
        <v>0.1</v>
      </c>
      <c r="N46" s="338">
        <v>0.1</v>
      </c>
      <c r="O46" s="338">
        <v>0.4</v>
      </c>
      <c r="P46" s="338">
        <v>0.4</v>
      </c>
      <c r="Q46" s="336">
        <f t="shared" ref="Q46" si="35">((100%+SUM(M46:O46))+P46*(100%+SUM(M46:O46)))*K46</f>
        <v>448.00000000000006</v>
      </c>
      <c r="R46" s="336">
        <f t="shared" ref="R46" si="36">Q46*F46</f>
        <v>53760.000000000007</v>
      </c>
      <c r="S46" s="339">
        <f>Q46*1.15</f>
        <v>515.20000000000005</v>
      </c>
      <c r="T46" s="340">
        <f t="shared" ref="T46" si="37">S46*F46</f>
        <v>61824.000000000007</v>
      </c>
      <c r="U46" s="197"/>
      <c r="V46" s="197"/>
      <c r="W46" s="197"/>
      <c r="X46" s="197"/>
      <c r="Y46" s="197"/>
      <c r="Z46" s="197"/>
      <c r="AA46" s="197"/>
      <c r="AB46" s="197"/>
      <c r="AC46" s="197"/>
      <c r="AD46" s="197"/>
      <c r="AE46" s="197"/>
      <c r="AF46" s="197"/>
      <c r="AG46" s="197"/>
      <c r="AH46" s="197"/>
      <c r="AI46" s="197"/>
      <c r="AJ46" s="197"/>
      <c r="AK46" s="197"/>
      <c r="AL46" s="197"/>
      <c r="AM46" s="197"/>
      <c r="AN46" s="197"/>
      <c r="AO46" s="197"/>
      <c r="AP46" s="197"/>
      <c r="AQ46" s="197"/>
      <c r="AR46" s="197"/>
      <c r="AS46" s="197"/>
      <c r="AT46" s="197"/>
      <c r="AU46" s="197"/>
      <c r="AV46" s="197"/>
    </row>
    <row r="47" spans="1:48" s="349" customFormat="1" ht="23.15" customHeight="1">
      <c r="A47" s="354"/>
      <c r="B47" s="350">
        <v>12</v>
      </c>
      <c r="C47" s="351" t="s">
        <v>257</v>
      </c>
      <c r="D47" s="351"/>
      <c r="E47" s="351"/>
      <c r="F47" s="352"/>
      <c r="G47" s="352"/>
      <c r="H47" s="351"/>
      <c r="I47" s="351"/>
      <c r="J47" s="352"/>
      <c r="K47" s="351"/>
      <c r="L47" s="351"/>
      <c r="M47" s="351"/>
      <c r="N47" s="351"/>
      <c r="O47" s="351"/>
      <c r="P47" s="351"/>
      <c r="Q47" s="351"/>
      <c r="R47" s="351"/>
      <c r="S47" s="351"/>
      <c r="T47" s="353"/>
      <c r="U47" s="354"/>
      <c r="V47" s="354"/>
      <c r="W47" s="354"/>
      <c r="X47" s="354"/>
      <c r="Y47" s="354"/>
      <c r="Z47" s="354"/>
      <c r="AA47" s="354"/>
      <c r="AB47" s="354"/>
      <c r="AC47" s="354"/>
      <c r="AD47" s="354"/>
      <c r="AE47" s="354"/>
      <c r="AF47" s="354"/>
      <c r="AG47" s="354"/>
      <c r="AH47" s="354"/>
      <c r="AI47" s="354"/>
      <c r="AJ47" s="354"/>
      <c r="AK47" s="354"/>
      <c r="AL47" s="354"/>
      <c r="AM47" s="354"/>
      <c r="AN47" s="354"/>
      <c r="AO47" s="354"/>
      <c r="AP47" s="354"/>
      <c r="AQ47" s="354"/>
      <c r="AR47" s="354"/>
      <c r="AS47" s="354"/>
      <c r="AT47" s="354"/>
      <c r="AU47" s="354"/>
      <c r="AV47" s="354"/>
    </row>
    <row r="48" spans="1:48" s="314" customFormat="1" ht="104.25" customHeight="1">
      <c r="A48" s="321"/>
      <c r="B48" s="334"/>
      <c r="C48" s="325" t="s">
        <v>258</v>
      </c>
      <c r="D48" s="325"/>
      <c r="E48" s="198" t="s">
        <v>259</v>
      </c>
      <c r="F48" s="328">
        <v>20</v>
      </c>
      <c r="G48" s="332" t="s">
        <v>27</v>
      </c>
      <c r="H48" s="331">
        <v>479</v>
      </c>
      <c r="I48" s="336">
        <f t="shared" ref="I48" si="38">F48*H48</f>
        <v>9580</v>
      </c>
      <c r="J48" s="337">
        <v>0</v>
      </c>
      <c r="K48" s="336">
        <f t="shared" ref="K48" si="39">(100%-J48)*H48</f>
        <v>479</v>
      </c>
      <c r="L48" s="336">
        <f t="shared" ref="L48" si="40">K48*F48</f>
        <v>9580</v>
      </c>
      <c r="M48" s="338">
        <v>0.1</v>
      </c>
      <c r="N48" s="338">
        <v>0.1</v>
      </c>
      <c r="O48" s="338">
        <v>0.4</v>
      </c>
      <c r="P48" s="338">
        <v>0.4</v>
      </c>
      <c r="Q48" s="336">
        <f t="shared" ref="Q48" si="41">((100%+SUM(M48:O48))+P48*(100%+SUM(M48:O48)))*K48</f>
        <v>1072.96</v>
      </c>
      <c r="R48" s="336">
        <f t="shared" ref="R48" si="42">Q48*F48</f>
        <v>21459.200000000001</v>
      </c>
      <c r="S48" s="339">
        <f>Q48*45*1.15</f>
        <v>55525.68</v>
      </c>
      <c r="T48" s="340">
        <f t="shared" ref="T48" si="43">S48*F48</f>
        <v>1110513.6000000001</v>
      </c>
      <c r="U48" s="197"/>
      <c r="V48" s="197"/>
      <c r="W48" s="197"/>
      <c r="X48" s="197"/>
      <c r="Y48" s="197"/>
      <c r="Z48" s="197"/>
      <c r="AA48" s="197"/>
      <c r="AB48" s="197"/>
      <c r="AC48" s="197"/>
      <c r="AD48" s="197"/>
      <c r="AE48" s="197"/>
      <c r="AF48" s="197"/>
      <c r="AG48" s="197"/>
      <c r="AH48" s="197"/>
      <c r="AI48" s="197"/>
      <c r="AJ48" s="197"/>
      <c r="AK48" s="197"/>
      <c r="AL48" s="197"/>
      <c r="AM48" s="197"/>
      <c r="AN48" s="197"/>
      <c r="AO48" s="197"/>
      <c r="AP48" s="197"/>
      <c r="AQ48" s="197"/>
      <c r="AR48" s="197"/>
      <c r="AS48" s="197"/>
      <c r="AT48" s="197"/>
      <c r="AU48" s="197"/>
      <c r="AV48" s="197"/>
    </row>
    <row r="49" spans="1:48" s="349" customFormat="1" ht="23.15" customHeight="1">
      <c r="A49" s="354"/>
      <c r="B49" s="350">
        <v>16</v>
      </c>
      <c r="C49" s="351" t="s">
        <v>304</v>
      </c>
      <c r="D49" s="351"/>
      <c r="E49" s="351"/>
      <c r="F49" s="352"/>
      <c r="G49" s="352"/>
      <c r="H49" s="351"/>
      <c r="I49" s="351"/>
      <c r="J49" s="352"/>
      <c r="K49" s="351"/>
      <c r="L49" s="351"/>
      <c r="M49" s="351"/>
      <c r="N49" s="351"/>
      <c r="O49" s="351"/>
      <c r="P49" s="351"/>
      <c r="Q49" s="351"/>
      <c r="R49" s="351"/>
      <c r="S49" s="351"/>
      <c r="T49" s="353"/>
      <c r="U49" s="354"/>
      <c r="V49" s="354"/>
      <c r="W49" s="354"/>
      <c r="X49" s="354"/>
      <c r="Y49" s="354"/>
      <c r="Z49" s="354"/>
      <c r="AA49" s="354"/>
      <c r="AB49" s="354"/>
      <c r="AC49" s="354"/>
      <c r="AD49" s="354"/>
      <c r="AE49" s="354"/>
      <c r="AF49" s="354"/>
      <c r="AG49" s="354"/>
      <c r="AH49" s="354"/>
      <c r="AI49" s="354"/>
      <c r="AJ49" s="354"/>
      <c r="AK49" s="354"/>
      <c r="AL49" s="354"/>
      <c r="AM49" s="354"/>
      <c r="AN49" s="354"/>
      <c r="AO49" s="354"/>
      <c r="AP49" s="354"/>
      <c r="AQ49" s="354"/>
      <c r="AR49" s="354"/>
      <c r="AS49" s="354"/>
      <c r="AT49" s="354"/>
      <c r="AU49" s="354"/>
      <c r="AV49" s="354"/>
    </row>
    <row r="50" spans="1:48" ht="51" customHeight="1">
      <c r="A50" s="313"/>
      <c r="B50" s="334"/>
      <c r="C50" s="325">
        <v>101700361</v>
      </c>
      <c r="D50" s="325"/>
      <c r="E50" s="335" t="s">
        <v>305</v>
      </c>
      <c r="F50" s="328">
        <v>40</v>
      </c>
      <c r="G50" s="332" t="s">
        <v>27</v>
      </c>
      <c r="H50" s="331">
        <v>55</v>
      </c>
      <c r="I50" s="336">
        <f t="shared" ref="I50:I51" si="44">F50*H50</f>
        <v>2200</v>
      </c>
      <c r="J50" s="337">
        <v>0</v>
      </c>
      <c r="K50" s="336">
        <f t="shared" ref="K50:K51" si="45">(100%-J50)*H50</f>
        <v>55</v>
      </c>
      <c r="L50" s="336">
        <f t="shared" ref="L50:L51" si="46">K50*F50</f>
        <v>2200</v>
      </c>
      <c r="M50" s="338">
        <v>0.1</v>
      </c>
      <c r="N50" s="338">
        <v>0.1</v>
      </c>
      <c r="O50" s="338">
        <v>0.4</v>
      </c>
      <c r="P50" s="338">
        <v>0.4</v>
      </c>
      <c r="Q50" s="336">
        <f t="shared" ref="Q50:Q51" si="47">((100%+SUM(M50:O50))+P50*(100%+SUM(M50:O50)))*K50</f>
        <v>123.20000000000002</v>
      </c>
      <c r="R50" s="336">
        <f t="shared" ref="R50:R51" si="48">Q50*F50</f>
        <v>4928.0000000000009</v>
      </c>
      <c r="S50" s="339">
        <f>Q50*45*1.15</f>
        <v>6375.6</v>
      </c>
      <c r="T50" s="340">
        <f t="shared" ref="T50:T51" si="49">S50*F50</f>
        <v>255024</v>
      </c>
      <c r="U50" s="313"/>
      <c r="V50" s="313"/>
      <c r="W50" s="313"/>
      <c r="X50" s="313"/>
      <c r="Y50" s="313"/>
      <c r="Z50" s="313"/>
      <c r="AA50" s="313"/>
      <c r="AB50" s="313"/>
      <c r="AC50" s="313"/>
      <c r="AD50" s="313"/>
      <c r="AE50" s="313"/>
      <c r="AF50" s="313"/>
      <c r="AG50" s="313"/>
      <c r="AH50" s="313"/>
      <c r="AI50" s="313"/>
      <c r="AJ50" s="313"/>
      <c r="AK50" s="313"/>
      <c r="AL50" s="313"/>
      <c r="AM50" s="313"/>
      <c r="AN50" s="313"/>
      <c r="AO50" s="313"/>
      <c r="AP50" s="313"/>
      <c r="AQ50" s="313"/>
      <c r="AR50" s="313"/>
      <c r="AS50" s="313"/>
      <c r="AT50" s="313"/>
      <c r="AU50" s="313"/>
      <c r="AV50" s="313"/>
    </row>
    <row r="51" spans="1:48" ht="38.15" customHeight="1">
      <c r="A51" s="313"/>
      <c r="B51" s="334"/>
      <c r="C51" s="325">
        <v>101700365</v>
      </c>
      <c r="D51" s="325"/>
      <c r="E51" s="335" t="s">
        <v>306</v>
      </c>
      <c r="F51" s="328">
        <v>100</v>
      </c>
      <c r="G51" s="332" t="s">
        <v>27</v>
      </c>
      <c r="H51" s="331">
        <v>35</v>
      </c>
      <c r="I51" s="336">
        <f t="shared" si="44"/>
        <v>3500</v>
      </c>
      <c r="J51" s="337">
        <v>0</v>
      </c>
      <c r="K51" s="336">
        <f t="shared" si="45"/>
        <v>35</v>
      </c>
      <c r="L51" s="336">
        <f t="shared" si="46"/>
        <v>3500</v>
      </c>
      <c r="M51" s="338">
        <v>0.1</v>
      </c>
      <c r="N51" s="338">
        <v>0.1</v>
      </c>
      <c r="O51" s="338">
        <v>0.4</v>
      </c>
      <c r="P51" s="338">
        <v>0.4</v>
      </c>
      <c r="Q51" s="336">
        <f t="shared" si="47"/>
        <v>78.400000000000006</v>
      </c>
      <c r="R51" s="336">
        <f t="shared" si="48"/>
        <v>7840.0000000000009</v>
      </c>
      <c r="S51" s="339">
        <f>Q51*45*1.15</f>
        <v>4057.2000000000003</v>
      </c>
      <c r="T51" s="340">
        <f t="shared" si="49"/>
        <v>405720</v>
      </c>
      <c r="U51" s="313"/>
      <c r="V51" s="313"/>
      <c r="W51" s="313"/>
      <c r="X51" s="313"/>
      <c r="Y51" s="313"/>
      <c r="Z51" s="313"/>
      <c r="AA51" s="313"/>
      <c r="AB51" s="313"/>
      <c r="AC51" s="313"/>
      <c r="AD51" s="313"/>
      <c r="AE51" s="313"/>
      <c r="AF51" s="313"/>
      <c r="AG51" s="313"/>
      <c r="AH51" s="313"/>
      <c r="AI51" s="313"/>
      <c r="AJ51" s="313"/>
      <c r="AK51" s="313"/>
      <c r="AL51" s="313"/>
      <c r="AM51" s="313"/>
      <c r="AN51" s="313"/>
      <c r="AO51" s="313"/>
      <c r="AP51" s="313"/>
      <c r="AQ51" s="313"/>
      <c r="AR51" s="313"/>
      <c r="AS51" s="313"/>
      <c r="AT51" s="313"/>
      <c r="AU51" s="313"/>
      <c r="AV51" s="313"/>
    </row>
    <row r="52" spans="1:48" s="349" customFormat="1" ht="23.15" customHeight="1">
      <c r="A52" s="354"/>
      <c r="B52" s="350">
        <v>13</v>
      </c>
      <c r="C52" s="351" t="s">
        <v>182</v>
      </c>
      <c r="D52" s="351"/>
      <c r="E52" s="351"/>
      <c r="F52" s="352"/>
      <c r="G52" s="352"/>
      <c r="H52" s="351"/>
      <c r="I52" s="351"/>
      <c r="J52" s="352"/>
      <c r="K52" s="351"/>
      <c r="L52" s="351"/>
      <c r="M52" s="351"/>
      <c r="N52" s="351"/>
      <c r="O52" s="351"/>
      <c r="P52" s="351"/>
      <c r="Q52" s="351"/>
      <c r="R52" s="351"/>
      <c r="S52" s="351"/>
      <c r="T52" s="353"/>
      <c r="U52" s="354"/>
      <c r="V52" s="354"/>
      <c r="W52" s="354"/>
      <c r="X52" s="354"/>
      <c r="Y52" s="354"/>
      <c r="Z52" s="354"/>
      <c r="AA52" s="354"/>
      <c r="AB52" s="354"/>
      <c r="AC52" s="354"/>
      <c r="AD52" s="354"/>
      <c r="AE52" s="354"/>
      <c r="AF52" s="354"/>
      <c r="AG52" s="354"/>
      <c r="AH52" s="354"/>
      <c r="AI52" s="354"/>
      <c r="AJ52" s="354"/>
      <c r="AK52" s="354"/>
      <c r="AL52" s="354"/>
      <c r="AM52" s="354"/>
      <c r="AN52" s="354"/>
      <c r="AO52" s="354"/>
      <c r="AP52" s="354"/>
      <c r="AQ52" s="354"/>
      <c r="AR52" s="354"/>
      <c r="AS52" s="354"/>
      <c r="AT52" s="354"/>
      <c r="AU52" s="354"/>
      <c r="AV52" s="354"/>
    </row>
    <row r="53" spans="1:48" s="314" customFormat="1" ht="67.5" customHeight="1">
      <c r="A53" s="321"/>
      <c r="B53" s="315"/>
      <c r="C53" s="333" t="s">
        <v>181</v>
      </c>
      <c r="D53" s="333"/>
      <c r="E53" s="332" t="s">
        <v>180</v>
      </c>
      <c r="F53" s="44">
        <v>1</v>
      </c>
      <c r="G53" s="56" t="s">
        <v>27</v>
      </c>
      <c r="H53" s="331">
        <v>500000</v>
      </c>
      <c r="I53" s="320">
        <f>F53*H53</f>
        <v>500000</v>
      </c>
      <c r="J53" s="319">
        <v>0</v>
      </c>
      <c r="K53" s="320">
        <f>(100%-J53)*H53</f>
        <v>500000</v>
      </c>
      <c r="L53" s="320">
        <f>K53*F53</f>
        <v>500000</v>
      </c>
      <c r="M53" s="316">
        <v>0</v>
      </c>
      <c r="N53" s="316">
        <v>0</v>
      </c>
      <c r="O53" s="316">
        <v>0</v>
      </c>
      <c r="P53" s="316">
        <v>0.4</v>
      </c>
      <c r="Q53" s="320">
        <f>((100%+SUM(M53:O53))+P53*(100%+SUM(M53:O53)))*K53</f>
        <v>700000</v>
      </c>
      <c r="R53" s="320">
        <f>Q53*F53</f>
        <v>700000</v>
      </c>
      <c r="S53" s="53">
        <f>Q53*1.15</f>
        <v>804999.99999999988</v>
      </c>
      <c r="T53" s="318">
        <f>S53*F53</f>
        <v>804999.99999999988</v>
      </c>
      <c r="U53" s="321"/>
      <c r="V53" s="321"/>
      <c r="W53" s="321"/>
      <c r="X53" s="321"/>
      <c r="Y53" s="321"/>
      <c r="Z53" s="321"/>
      <c r="AA53" s="321"/>
      <c r="AB53" s="321"/>
      <c r="AC53" s="321"/>
      <c r="AD53" s="321"/>
      <c r="AE53" s="321"/>
      <c r="AF53" s="321"/>
      <c r="AG53" s="321"/>
      <c r="AH53" s="321"/>
      <c r="AI53" s="321"/>
      <c r="AJ53" s="321"/>
      <c r="AK53" s="321"/>
      <c r="AL53" s="321"/>
      <c r="AM53" s="321"/>
      <c r="AN53" s="321"/>
      <c r="AO53" s="321"/>
      <c r="AP53" s="321"/>
      <c r="AQ53" s="321"/>
      <c r="AR53" s="321"/>
      <c r="AS53" s="321"/>
      <c r="AT53" s="321"/>
      <c r="AU53" s="321"/>
      <c r="AV53" s="321"/>
    </row>
    <row r="54" spans="1:48" s="349" customFormat="1" ht="23.15" customHeight="1">
      <c r="A54" s="354"/>
      <c r="B54" s="350">
        <v>11</v>
      </c>
      <c r="C54" s="351" t="s">
        <v>57</v>
      </c>
      <c r="D54" s="351"/>
      <c r="E54" s="351"/>
      <c r="F54" s="352"/>
      <c r="G54" s="352"/>
      <c r="H54" s="351"/>
      <c r="I54" s="351"/>
      <c r="J54" s="352"/>
      <c r="K54" s="351"/>
      <c r="L54" s="351"/>
      <c r="M54" s="351"/>
      <c r="N54" s="351"/>
      <c r="O54" s="351"/>
      <c r="P54" s="351"/>
      <c r="Q54" s="351"/>
      <c r="R54" s="351"/>
      <c r="S54" s="351"/>
      <c r="T54" s="353"/>
      <c r="U54" s="354"/>
      <c r="V54" s="354"/>
      <c r="W54" s="354"/>
      <c r="X54" s="354"/>
      <c r="Y54" s="354"/>
      <c r="Z54" s="354"/>
      <c r="AA54" s="354"/>
      <c r="AB54" s="354"/>
      <c r="AC54" s="354"/>
      <c r="AD54" s="354"/>
      <c r="AE54" s="354"/>
      <c r="AF54" s="354"/>
      <c r="AG54" s="354"/>
      <c r="AH54" s="354"/>
      <c r="AI54" s="354"/>
      <c r="AJ54" s="354"/>
      <c r="AK54" s="354"/>
      <c r="AL54" s="354"/>
      <c r="AM54" s="354"/>
      <c r="AN54" s="354"/>
      <c r="AO54" s="354"/>
      <c r="AP54" s="354"/>
      <c r="AQ54" s="354"/>
      <c r="AR54" s="354"/>
      <c r="AS54" s="354"/>
      <c r="AT54" s="354"/>
      <c r="AU54" s="354"/>
      <c r="AV54" s="354"/>
    </row>
    <row r="55" spans="1:48" s="361" customFormat="1" ht="30" customHeight="1">
      <c r="A55" s="371"/>
      <c r="B55" s="372"/>
      <c r="C55" s="358" t="s">
        <v>179</v>
      </c>
      <c r="D55" s="358"/>
      <c r="E55" s="359" t="s">
        <v>178</v>
      </c>
      <c r="F55" s="360">
        <v>15</v>
      </c>
      <c r="G55" s="359" t="s">
        <v>27</v>
      </c>
      <c r="H55" s="470">
        <v>8000</v>
      </c>
      <c r="I55" s="375">
        <f>F55*H55</f>
        <v>120000</v>
      </c>
      <c r="J55" s="376">
        <v>0</v>
      </c>
      <c r="K55" s="375">
        <f>(100%-J55)*H55</f>
        <v>8000</v>
      </c>
      <c r="L55" s="375">
        <f>K55*F55</f>
        <v>120000</v>
      </c>
      <c r="M55" s="377">
        <v>0</v>
      </c>
      <c r="N55" s="377">
        <v>0</v>
      </c>
      <c r="O55" s="377">
        <v>0</v>
      </c>
      <c r="P55" s="377">
        <v>0.4</v>
      </c>
      <c r="Q55" s="375">
        <f>((100%+SUM(M55:O55))+P55*(100%+SUM(M55:O55)))*K55</f>
        <v>11200</v>
      </c>
      <c r="R55" s="375">
        <f>Q55*F55</f>
        <v>168000</v>
      </c>
      <c r="S55" s="403">
        <f>Q55*1.15</f>
        <v>12879.999999999998</v>
      </c>
      <c r="T55" s="379">
        <f>S55*F55</f>
        <v>193199.99999999997</v>
      </c>
      <c r="U55" s="371"/>
      <c r="V55" s="371"/>
      <c r="W55" s="371"/>
      <c r="X55" s="371"/>
      <c r="Y55" s="371"/>
      <c r="Z55" s="371"/>
      <c r="AA55" s="371"/>
      <c r="AB55" s="371"/>
      <c r="AC55" s="371"/>
      <c r="AD55" s="371"/>
      <c r="AE55" s="371"/>
      <c r="AF55" s="371"/>
      <c r="AG55" s="371"/>
      <c r="AH55" s="371"/>
      <c r="AI55" s="371"/>
      <c r="AJ55" s="371"/>
      <c r="AK55" s="371"/>
      <c r="AL55" s="371"/>
      <c r="AM55" s="371"/>
      <c r="AN55" s="371"/>
      <c r="AO55" s="371"/>
      <c r="AP55" s="371"/>
      <c r="AQ55" s="371"/>
      <c r="AR55" s="371"/>
      <c r="AS55" s="371"/>
      <c r="AT55" s="371"/>
      <c r="AU55" s="371"/>
      <c r="AV55" s="371"/>
    </row>
    <row r="56" spans="1:48" s="361" customFormat="1" ht="30" customHeight="1">
      <c r="A56" s="371"/>
      <c r="B56" s="372"/>
      <c r="C56" s="358" t="s">
        <v>58</v>
      </c>
      <c r="D56" s="358"/>
      <c r="E56" s="359" t="s">
        <v>177</v>
      </c>
      <c r="F56" s="360">
        <v>15</v>
      </c>
      <c r="G56" s="359" t="s">
        <v>27</v>
      </c>
      <c r="H56" s="470">
        <v>4000</v>
      </c>
      <c r="I56" s="375">
        <f>F56*H56</f>
        <v>60000</v>
      </c>
      <c r="J56" s="376">
        <v>0</v>
      </c>
      <c r="K56" s="375">
        <f>(100%-J56)*H56</f>
        <v>4000</v>
      </c>
      <c r="L56" s="375">
        <f>K56*F56</f>
        <v>60000</v>
      </c>
      <c r="M56" s="377">
        <v>0</v>
      </c>
      <c r="N56" s="377">
        <v>0</v>
      </c>
      <c r="O56" s="377">
        <v>0</v>
      </c>
      <c r="P56" s="377">
        <v>0.4</v>
      </c>
      <c r="Q56" s="375">
        <f>((100%+SUM(M56:O56))+P56*(100%+SUM(M56:O56)))*K56</f>
        <v>5600</v>
      </c>
      <c r="R56" s="375">
        <f>Q56*F56</f>
        <v>84000</v>
      </c>
      <c r="S56" s="403">
        <f>Q56*1.15</f>
        <v>6439.9999999999991</v>
      </c>
      <c r="T56" s="379">
        <f>S56*F56</f>
        <v>96599.999999999985</v>
      </c>
      <c r="U56" s="371"/>
      <c r="V56" s="371"/>
      <c r="W56" s="371"/>
      <c r="X56" s="371"/>
      <c r="Y56" s="371"/>
      <c r="Z56" s="371"/>
      <c r="AA56" s="371"/>
      <c r="AB56" s="371"/>
      <c r="AC56" s="371"/>
      <c r="AD56" s="371"/>
      <c r="AE56" s="371"/>
      <c r="AF56" s="371"/>
      <c r="AG56" s="371"/>
      <c r="AH56" s="371"/>
      <c r="AI56" s="371"/>
      <c r="AJ56" s="371"/>
      <c r="AK56" s="371"/>
      <c r="AL56" s="371"/>
      <c r="AM56" s="371"/>
      <c r="AN56" s="371"/>
      <c r="AO56" s="371"/>
      <c r="AP56" s="371"/>
      <c r="AQ56" s="371"/>
      <c r="AR56" s="371"/>
      <c r="AS56" s="371"/>
      <c r="AT56" s="371"/>
      <c r="AU56" s="371"/>
      <c r="AV56" s="371"/>
    </row>
    <row r="57" spans="1:48" s="261" customFormat="1" ht="19" customHeight="1">
      <c r="A57" s="355"/>
      <c r="B57" s="284"/>
      <c r="C57" s="285" t="s">
        <v>23</v>
      </c>
      <c r="D57" s="285"/>
      <c r="E57" s="285"/>
      <c r="F57" s="286"/>
      <c r="G57" s="286"/>
      <c r="H57" s="287"/>
      <c r="I57" s="287">
        <f>SUM(I5:I8)</f>
        <v>2539</v>
      </c>
      <c r="J57" s="286"/>
      <c r="K57" s="285"/>
      <c r="L57" s="287">
        <f>SUM(L5:L8)</f>
        <v>2539</v>
      </c>
      <c r="M57" s="288"/>
      <c r="N57" s="288"/>
      <c r="O57" s="288"/>
      <c r="P57" s="285"/>
      <c r="Q57" s="285"/>
      <c r="R57" s="289">
        <f>SUM(R5:R8)</f>
        <v>7867.9579999999996</v>
      </c>
      <c r="S57" s="289"/>
      <c r="T57" s="290">
        <f>SUM(T5:T56)</f>
        <v>14304889.123</v>
      </c>
      <c r="U57" s="355"/>
      <c r="V57" s="355"/>
      <c r="W57" s="355"/>
      <c r="X57" s="355"/>
      <c r="Y57" s="355"/>
      <c r="Z57" s="355"/>
      <c r="AA57" s="355"/>
      <c r="AB57" s="355"/>
      <c r="AC57" s="355"/>
      <c r="AD57" s="355"/>
      <c r="AE57" s="355"/>
      <c r="AF57" s="355"/>
      <c r="AG57" s="355"/>
      <c r="AH57" s="355"/>
      <c r="AI57" s="355"/>
      <c r="AJ57" s="355"/>
      <c r="AK57" s="355"/>
      <c r="AL57" s="355"/>
      <c r="AM57" s="355"/>
      <c r="AN57" s="355"/>
      <c r="AO57" s="355"/>
      <c r="AP57" s="355"/>
      <c r="AQ57" s="355"/>
      <c r="AR57" s="355"/>
      <c r="AS57" s="355"/>
      <c r="AT57" s="355"/>
      <c r="AU57" s="355"/>
      <c r="AV57" s="355"/>
    </row>
    <row r="58" spans="1:48" ht="15.5">
      <c r="B58" s="15"/>
      <c r="C58" s="16"/>
      <c r="D58" s="16"/>
      <c r="E58" s="16"/>
      <c r="F58" s="19"/>
      <c r="G58" s="19"/>
      <c r="H58" s="15"/>
      <c r="I58" s="15"/>
      <c r="J58" s="19"/>
      <c r="K58" s="15"/>
      <c r="L58" s="15"/>
      <c r="M58" s="15"/>
      <c r="N58" s="15"/>
      <c r="O58" s="15"/>
      <c r="P58" s="15"/>
      <c r="Q58" s="15"/>
      <c r="R58" s="15"/>
      <c r="S58" s="15"/>
      <c r="T58" s="15"/>
    </row>
    <row r="61" spans="1:48">
      <c r="R61" s="9"/>
    </row>
    <row r="90" spans="3:4">
      <c r="C90" s="17"/>
      <c r="D90" s="17"/>
    </row>
    <row r="98" spans="3:4">
      <c r="C98" s="17"/>
      <c r="D98" s="17"/>
    </row>
    <row r="105" spans="3:4">
      <c r="C105" s="17"/>
      <c r="D105" s="17"/>
    </row>
  </sheetData>
  <mergeCells count="8">
    <mergeCell ref="B33:C33"/>
    <mergeCell ref="B34:C34"/>
    <mergeCell ref="B2:T2"/>
    <mergeCell ref="C4:T4"/>
    <mergeCell ref="C7:T7"/>
    <mergeCell ref="B30:C30"/>
    <mergeCell ref="B31:C31"/>
    <mergeCell ref="B32:C32"/>
  </mergeCells>
  <pageMargins left="0.75" right="0.75" top="1" bottom="1" header="0.3" footer="0.3"/>
  <pageSetup paperSize="9" scale="31" fitToHeight="2"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56"/>
  <sheetViews>
    <sheetView view="pageBreakPreview" topLeftCell="C1" zoomScale="120" zoomScaleNormal="55" zoomScaleSheetLayoutView="120" workbookViewId="0">
      <selection activeCell="S7" sqref="S7"/>
    </sheetView>
  </sheetViews>
  <sheetFormatPr defaultColWidth="8.81640625" defaultRowHeight="14.5"/>
  <cols>
    <col min="1" max="1" width="7.81640625" customWidth="1"/>
    <col min="2" max="2" width="4.1796875" bestFit="1" customWidth="1"/>
    <col min="3" max="3" width="18.453125" bestFit="1" customWidth="1"/>
    <col min="4" max="4" width="60.1796875" customWidth="1"/>
    <col min="5" max="5" width="8.81640625" style="18" customWidth="1"/>
    <col min="6" max="6" width="8.26953125" style="18" hidden="1" customWidth="1"/>
    <col min="7" max="7" width="14.81640625" hidden="1" customWidth="1"/>
    <col min="8" max="8" width="15.1796875" hidden="1" customWidth="1"/>
    <col min="9" max="9" width="12.453125" style="18" hidden="1" customWidth="1"/>
    <col min="10" max="10" width="16" hidden="1" customWidth="1"/>
    <col min="11" max="11" width="17.81640625" hidden="1" customWidth="1"/>
    <col min="12" max="12" width="10.453125" hidden="1" customWidth="1"/>
    <col min="13" max="13" width="9.1796875" hidden="1" customWidth="1"/>
    <col min="14" max="14" width="11.453125" hidden="1" customWidth="1"/>
    <col min="15" max="15" width="10.81640625" hidden="1" customWidth="1"/>
    <col min="16" max="16" width="14.453125" hidden="1" customWidth="1"/>
    <col min="17" max="17" width="15.7265625" hidden="1" customWidth="1"/>
    <col min="18" max="18" width="18.1796875" customWidth="1"/>
    <col min="19" max="19" width="19.26953125" customWidth="1"/>
    <col min="20" max="47" width="9.1796875" style="54" customWidth="1"/>
  </cols>
  <sheetData>
    <row r="1" spans="1:47" s="176" customFormat="1" ht="15" thickBot="1">
      <c r="E1" s="18"/>
      <c r="F1" s="18"/>
      <c r="I1" s="18"/>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row>
    <row r="2" spans="1:47" ht="26.5" thickBot="1">
      <c r="B2" s="508" t="s">
        <v>270</v>
      </c>
      <c r="C2" s="509"/>
      <c r="D2" s="509"/>
      <c r="E2" s="509"/>
      <c r="F2" s="509"/>
      <c r="G2" s="509"/>
      <c r="H2" s="509"/>
      <c r="I2" s="509"/>
      <c r="J2" s="509"/>
      <c r="K2" s="509"/>
      <c r="L2" s="509"/>
      <c r="M2" s="509"/>
      <c r="N2" s="509"/>
      <c r="O2" s="509"/>
      <c r="P2" s="509"/>
      <c r="Q2" s="509"/>
      <c r="R2" s="509"/>
      <c r="S2" s="510"/>
    </row>
    <row r="3" spans="1:47" ht="48.75" customHeight="1">
      <c r="B3" s="22" t="s">
        <v>1</v>
      </c>
      <c r="C3" s="23" t="s">
        <v>21</v>
      </c>
      <c r="D3" s="24" t="s">
        <v>15</v>
      </c>
      <c r="E3" s="25" t="s">
        <v>10</v>
      </c>
      <c r="F3" s="45" t="s">
        <v>28</v>
      </c>
      <c r="G3" s="26" t="s">
        <v>0</v>
      </c>
      <c r="H3" s="26" t="s">
        <v>11</v>
      </c>
      <c r="I3" s="27" t="s">
        <v>3</v>
      </c>
      <c r="J3" s="26" t="s">
        <v>12</v>
      </c>
      <c r="K3" s="26" t="s">
        <v>13</v>
      </c>
      <c r="L3" s="26" t="s">
        <v>4</v>
      </c>
      <c r="M3" s="28" t="s">
        <v>5</v>
      </c>
      <c r="N3" s="26" t="s">
        <v>6</v>
      </c>
      <c r="O3" s="29" t="s">
        <v>14</v>
      </c>
      <c r="P3" s="26" t="s">
        <v>22</v>
      </c>
      <c r="Q3" s="26" t="s">
        <v>9</v>
      </c>
      <c r="R3" s="26" t="s">
        <v>461</v>
      </c>
      <c r="S3" s="30" t="s">
        <v>8</v>
      </c>
    </row>
    <row r="4" spans="1:47" s="41" customFormat="1" ht="15.5">
      <c r="A4" s="42"/>
      <c r="B4" s="238">
        <v>1</v>
      </c>
      <c r="C4" s="240" t="s">
        <v>48</v>
      </c>
      <c r="D4" s="240"/>
      <c r="E4" s="239"/>
      <c r="F4" s="239"/>
      <c r="G4" s="240"/>
      <c r="H4" s="240"/>
      <c r="I4" s="239"/>
      <c r="J4" s="240"/>
      <c r="K4" s="240"/>
      <c r="L4" s="240"/>
      <c r="M4" s="240"/>
      <c r="N4" s="240"/>
      <c r="O4" s="240"/>
      <c r="P4" s="240"/>
      <c r="Q4" s="240"/>
      <c r="R4" s="240"/>
      <c r="S4" s="241"/>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row>
    <row r="5" spans="1:47" s="10" customFormat="1" ht="130.5" customHeight="1">
      <c r="B5" s="11"/>
      <c r="C5" s="64" t="s">
        <v>46</v>
      </c>
      <c r="D5" s="140" t="s">
        <v>47</v>
      </c>
      <c r="E5" s="43">
        <v>1</v>
      </c>
      <c r="F5" s="44" t="s">
        <v>27</v>
      </c>
      <c r="G5" s="44">
        <v>31000</v>
      </c>
      <c r="H5" s="44">
        <f>E5*G5</f>
        <v>31000</v>
      </c>
      <c r="I5" s="20">
        <v>0</v>
      </c>
      <c r="J5" s="21">
        <f>(100%-I5)*G5</f>
        <v>31000</v>
      </c>
      <c r="K5" s="21">
        <f>J5*E5</f>
        <v>31000</v>
      </c>
      <c r="L5" s="12">
        <v>0.1</v>
      </c>
      <c r="M5" s="12">
        <v>0.1</v>
      </c>
      <c r="N5" s="12">
        <v>0.4</v>
      </c>
      <c r="O5" s="12">
        <v>0.4</v>
      </c>
      <c r="P5" s="21">
        <f>((100%+SUM(L5:N5))+O5*(100%+SUM(L5:N5)))*J5</f>
        <v>69440</v>
      </c>
      <c r="Q5" s="21">
        <f>P5*E5</f>
        <v>69440</v>
      </c>
      <c r="R5" s="13">
        <f>45*P5*1.15</f>
        <v>3593519.9999999995</v>
      </c>
      <c r="S5" s="14">
        <f>R5*E5</f>
        <v>3593519.9999999995</v>
      </c>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row>
    <row r="6" spans="1:47" s="41" customFormat="1" ht="15.5">
      <c r="A6" s="42"/>
      <c r="B6" s="238">
        <v>2</v>
      </c>
      <c r="C6" s="240" t="s">
        <v>62</v>
      </c>
      <c r="D6" s="240"/>
      <c r="E6" s="239"/>
      <c r="F6" s="239"/>
      <c r="G6" s="240"/>
      <c r="H6" s="240"/>
      <c r="I6" s="239"/>
      <c r="J6" s="240"/>
      <c r="K6" s="240"/>
      <c r="L6" s="240"/>
      <c r="M6" s="240"/>
      <c r="N6" s="240"/>
      <c r="O6" s="240"/>
      <c r="P6" s="240"/>
      <c r="Q6" s="240"/>
      <c r="R6" s="240"/>
      <c r="S6" s="241"/>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row>
    <row r="7" spans="1:47" s="10" customFormat="1" ht="169.5" customHeight="1">
      <c r="B7" s="11"/>
      <c r="C7" s="64" t="s">
        <v>57</v>
      </c>
      <c r="D7" s="140" t="s">
        <v>176</v>
      </c>
      <c r="E7" s="43">
        <v>1</v>
      </c>
      <c r="F7" s="44" t="s">
        <v>27</v>
      </c>
      <c r="G7" s="44">
        <v>1000000</v>
      </c>
      <c r="H7" s="44">
        <f>E7*G7</f>
        <v>1000000</v>
      </c>
      <c r="I7" s="20">
        <v>0</v>
      </c>
      <c r="J7" s="21">
        <f>(100%-I7)*G7</f>
        <v>1000000</v>
      </c>
      <c r="K7" s="21">
        <f>J7*E7</f>
        <v>1000000</v>
      </c>
      <c r="L7" s="12">
        <v>0</v>
      </c>
      <c r="M7" s="12">
        <v>0</v>
      </c>
      <c r="N7" s="12">
        <v>0</v>
      </c>
      <c r="O7" s="12">
        <v>0.4</v>
      </c>
      <c r="P7" s="21">
        <f>((100%+SUM(L7:N7))+O7*(100%+SUM(L7:N7)))*J7</f>
        <v>1400000</v>
      </c>
      <c r="Q7" s="21">
        <f>P7*E7</f>
        <v>1400000</v>
      </c>
      <c r="R7" s="53">
        <f>P7*1.15</f>
        <v>1609999.9999999998</v>
      </c>
      <c r="S7" s="14">
        <f>R7*E7</f>
        <v>1609999.9999999998</v>
      </c>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row>
    <row r="8" spans="1:47" ht="21" customHeight="1">
      <c r="B8" s="259"/>
      <c r="C8" s="253" t="s">
        <v>23</v>
      </c>
      <c r="D8" s="253"/>
      <c r="E8" s="254"/>
      <c r="F8" s="254"/>
      <c r="G8" s="255"/>
      <c r="H8" s="255">
        <f>SUM(H5:H5)</f>
        <v>31000</v>
      </c>
      <c r="I8" s="254"/>
      <c r="J8" s="253"/>
      <c r="K8" s="255">
        <f>SUM(K5:K5)</f>
        <v>31000</v>
      </c>
      <c r="L8" s="256"/>
      <c r="M8" s="256"/>
      <c r="N8" s="256"/>
      <c r="O8" s="253"/>
      <c r="P8" s="253"/>
      <c r="Q8" s="257">
        <f>SUM(Q5:Q5)</f>
        <v>69440</v>
      </c>
      <c r="R8" s="257"/>
      <c r="S8" s="260">
        <f>SUM(S5:S7)</f>
        <v>5203519.9999999991</v>
      </c>
    </row>
    <row r="9" spans="1:47" s="54" customFormat="1" ht="15.5">
      <c r="A9"/>
      <c r="B9" s="15"/>
      <c r="C9" s="16"/>
      <c r="D9" s="16"/>
      <c r="E9" s="19"/>
      <c r="F9" s="19"/>
      <c r="G9" s="15"/>
      <c r="H9" s="15"/>
      <c r="I9" s="19"/>
      <c r="J9" s="15"/>
      <c r="K9" s="15"/>
      <c r="L9" s="15"/>
      <c r="M9" s="15"/>
      <c r="N9" s="15"/>
      <c r="O9" s="15"/>
      <c r="P9" s="15"/>
      <c r="Q9" s="15"/>
      <c r="R9" s="15"/>
      <c r="S9" s="15"/>
    </row>
    <row r="12" spans="1:47" s="54" customFormat="1">
      <c r="A12"/>
      <c r="B12"/>
      <c r="C12"/>
      <c r="D12"/>
      <c r="E12" s="18"/>
      <c r="F12" s="18"/>
      <c r="G12"/>
      <c r="H12"/>
      <c r="I12" s="18"/>
      <c r="J12"/>
      <c r="K12"/>
      <c r="L12"/>
      <c r="M12"/>
      <c r="N12"/>
      <c r="O12"/>
      <c r="P12"/>
      <c r="Q12" s="9"/>
      <c r="R12"/>
      <c r="S12"/>
    </row>
    <row r="41" spans="3:3">
      <c r="C41" s="17"/>
    </row>
    <row r="49" spans="3:3">
      <c r="C49" s="17"/>
    </row>
    <row r="56" spans="3:3">
      <c r="C56" s="17"/>
    </row>
  </sheetData>
  <mergeCells count="1">
    <mergeCell ref="B2:S2"/>
  </mergeCells>
  <dataValidations count="1">
    <dataValidation type="decimal" allowBlank="1" showInputMessage="1" showErrorMessage="1" errorTitle="X-Author for Excel" error="Please enter a valid decimal value. Valid range for Unit List Price is -1E+16 to 1E+16." promptTitle="X-Author for Excel" sqref="G5 G7">
      <formula1>-10000000000000000</formula1>
      <formula2>10000000000000000</formula2>
    </dataValidation>
  </dataValidations>
  <pageMargins left="0.75" right="0.75" top="1" bottom="1" header="0.3" footer="0.3"/>
  <pageSetup paperSize="9" fitToHeight="2"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3"/>
  <sheetViews>
    <sheetView view="pageBreakPreview" zoomScale="90" zoomScaleNormal="100" zoomScaleSheetLayoutView="90" workbookViewId="0">
      <selection activeCell="O4" sqref="O4"/>
    </sheetView>
  </sheetViews>
  <sheetFormatPr defaultColWidth="8.81640625" defaultRowHeight="14.5"/>
  <cols>
    <col min="1" max="1" width="8.81640625" style="176"/>
    <col min="4" max="4" width="39.1796875" customWidth="1"/>
    <col min="5" max="5" width="17.453125" customWidth="1"/>
    <col min="6" max="9" width="17.453125" hidden="1" customWidth="1"/>
    <col min="10" max="10" width="17.453125" customWidth="1"/>
    <col min="11" max="14" width="17.453125" hidden="1" customWidth="1"/>
    <col min="15" max="15" width="17.453125" customWidth="1"/>
    <col min="16" max="16" width="22.1796875" customWidth="1"/>
    <col min="17" max="18" width="17.453125" customWidth="1"/>
  </cols>
  <sheetData>
    <row r="1" spans="2:27" s="176" customFormat="1" ht="15" thickBot="1"/>
    <row r="2" spans="2:27" ht="25">
      <c r="B2" s="538" t="s">
        <v>197</v>
      </c>
      <c r="C2" s="539"/>
      <c r="D2" s="539"/>
      <c r="E2" s="539"/>
      <c r="F2" s="539"/>
      <c r="G2" s="539"/>
      <c r="H2" s="539"/>
      <c r="I2" s="539"/>
      <c r="J2" s="539"/>
      <c r="K2" s="539"/>
      <c r="L2" s="539"/>
      <c r="M2" s="539"/>
      <c r="N2" s="539"/>
      <c r="O2" s="539"/>
      <c r="P2" s="539"/>
    </row>
    <row r="3" spans="2:27" ht="52.5">
      <c r="B3" s="80" t="s">
        <v>1</v>
      </c>
      <c r="C3" s="81" t="s">
        <v>63</v>
      </c>
      <c r="D3" s="81"/>
      <c r="E3" s="82" t="s">
        <v>64</v>
      </c>
      <c r="F3" s="82" t="s">
        <v>65</v>
      </c>
      <c r="G3" s="82" t="s">
        <v>66</v>
      </c>
      <c r="H3" s="82" t="s">
        <v>67</v>
      </c>
      <c r="I3" s="82" t="s">
        <v>68</v>
      </c>
      <c r="J3" s="82" t="s">
        <v>69</v>
      </c>
      <c r="K3" s="82" t="s">
        <v>70</v>
      </c>
      <c r="L3" s="82" t="s">
        <v>71</v>
      </c>
      <c r="M3" s="82" t="s">
        <v>72</v>
      </c>
      <c r="N3" s="82" t="s">
        <v>73</v>
      </c>
      <c r="O3" s="83" t="s">
        <v>74</v>
      </c>
      <c r="P3" s="84" t="s">
        <v>8</v>
      </c>
    </row>
    <row r="4" spans="2:27" ht="15.5">
      <c r="B4" s="85">
        <v>1</v>
      </c>
      <c r="C4" s="540" t="s">
        <v>78</v>
      </c>
      <c r="D4" s="540"/>
      <c r="E4" s="86">
        <v>5</v>
      </c>
      <c r="F4" s="87">
        <v>12500</v>
      </c>
      <c r="G4" s="87">
        <v>0</v>
      </c>
      <c r="H4" s="87">
        <f>I4*J4</f>
        <v>8000</v>
      </c>
      <c r="I4" s="87">
        <v>400</v>
      </c>
      <c r="J4" s="88">
        <v>20</v>
      </c>
      <c r="K4" s="87">
        <v>0</v>
      </c>
      <c r="L4" s="89">
        <v>0.3</v>
      </c>
      <c r="M4" s="87">
        <f>(F4+G4+H4+K4)*(100%+L4)</f>
        <v>26650</v>
      </c>
      <c r="N4" s="87">
        <f t="shared" ref="N4:N9" si="0">E4*M4</f>
        <v>133250</v>
      </c>
      <c r="O4" s="87">
        <f>M4*1.15</f>
        <v>30647.499999999996</v>
      </c>
      <c r="P4" s="90">
        <f>E4*O4</f>
        <v>153237.49999999997</v>
      </c>
    </row>
    <row r="5" spans="2:27" ht="15.5">
      <c r="B5" s="85">
        <v>2</v>
      </c>
      <c r="C5" s="541" t="s">
        <v>79</v>
      </c>
      <c r="D5" s="541"/>
      <c r="E5" s="86">
        <v>5</v>
      </c>
      <c r="F5" s="87">
        <v>0</v>
      </c>
      <c r="G5" s="87">
        <v>200</v>
      </c>
      <c r="H5" s="87">
        <f>I5*J5</f>
        <v>800</v>
      </c>
      <c r="I5" s="87">
        <v>400</v>
      </c>
      <c r="J5" s="88">
        <v>2</v>
      </c>
      <c r="K5" s="87">
        <v>0</v>
      </c>
      <c r="L5" s="89">
        <v>0.3</v>
      </c>
      <c r="M5" s="87">
        <f>(F5+G5+H5+K5)*(100%+L5)</f>
        <v>1300</v>
      </c>
      <c r="N5" s="87">
        <f t="shared" si="0"/>
        <v>6500</v>
      </c>
      <c r="O5" s="87">
        <f>M5*40</f>
        <v>52000</v>
      </c>
      <c r="P5" s="90">
        <f>E5*O5</f>
        <v>260000</v>
      </c>
    </row>
    <row r="6" spans="2:27" ht="15.5">
      <c r="B6" s="85">
        <v>3</v>
      </c>
      <c r="C6" s="540" t="s">
        <v>430</v>
      </c>
      <c r="D6" s="540"/>
      <c r="E6" s="86">
        <v>3</v>
      </c>
      <c r="F6" s="87">
        <v>11000</v>
      </c>
      <c r="G6" s="87">
        <v>0</v>
      </c>
      <c r="H6" s="87">
        <f t="shared" ref="H6:H8" si="1">I6*J6</f>
        <v>6000</v>
      </c>
      <c r="I6" s="87">
        <v>400</v>
      </c>
      <c r="J6" s="88">
        <v>15</v>
      </c>
      <c r="K6" s="87">
        <v>0</v>
      </c>
      <c r="L6" s="89">
        <v>0.3</v>
      </c>
      <c r="M6" s="87">
        <f>(F6+G6+H6+K6)*(100%+L6)</f>
        <v>22100</v>
      </c>
      <c r="N6" s="87">
        <f t="shared" si="0"/>
        <v>66300</v>
      </c>
      <c r="O6" s="87">
        <f>M6</f>
        <v>22100</v>
      </c>
      <c r="P6" s="90">
        <f>E6*O6</f>
        <v>66300</v>
      </c>
    </row>
    <row r="7" spans="2:27" ht="15.5">
      <c r="B7" s="85">
        <v>4</v>
      </c>
      <c r="C7" s="540" t="s">
        <v>431</v>
      </c>
      <c r="D7" s="540"/>
      <c r="E7" s="86">
        <v>4</v>
      </c>
      <c r="F7" s="87">
        <v>12000</v>
      </c>
      <c r="G7" s="87">
        <v>0</v>
      </c>
      <c r="H7" s="87">
        <f t="shared" si="1"/>
        <v>6000</v>
      </c>
      <c r="I7" s="87">
        <v>400</v>
      </c>
      <c r="J7" s="88">
        <v>15</v>
      </c>
      <c r="K7" s="87">
        <v>0</v>
      </c>
      <c r="L7" s="89">
        <v>0.3</v>
      </c>
      <c r="M7" s="87">
        <f>(F7+G7+H7+K7)*(100%+L7)</f>
        <v>23400</v>
      </c>
      <c r="N7" s="87">
        <f t="shared" si="0"/>
        <v>93600</v>
      </c>
      <c r="O7" s="87">
        <f>M7</f>
        <v>23400</v>
      </c>
      <c r="P7" s="90">
        <f>E7*O7</f>
        <v>93600</v>
      </c>
    </row>
    <row r="8" spans="2:27" ht="15.5">
      <c r="B8" s="85">
        <v>5</v>
      </c>
      <c r="C8" s="533" t="s">
        <v>80</v>
      </c>
      <c r="D8" s="533"/>
      <c r="E8" s="86">
        <v>5</v>
      </c>
      <c r="F8" s="87">
        <v>3100</v>
      </c>
      <c r="G8" s="87">
        <v>0</v>
      </c>
      <c r="H8" s="87">
        <f t="shared" si="1"/>
        <v>1400</v>
      </c>
      <c r="I8" s="87">
        <v>200</v>
      </c>
      <c r="J8" s="88">
        <v>7</v>
      </c>
      <c r="K8" s="87">
        <v>1000</v>
      </c>
      <c r="L8" s="89">
        <v>0.3</v>
      </c>
      <c r="M8" s="87">
        <f>(F8+G8+H8+(K8*(E8)))*(100%+L8)</f>
        <v>12350</v>
      </c>
      <c r="N8" s="87">
        <f t="shared" si="0"/>
        <v>61750</v>
      </c>
      <c r="O8" s="87">
        <f>M8*37</f>
        <v>456950</v>
      </c>
      <c r="P8" s="90">
        <f t="shared" ref="P8" si="2">E8*O8</f>
        <v>2284750</v>
      </c>
    </row>
    <row r="9" spans="2:27" ht="15.5">
      <c r="B9" s="85">
        <v>6</v>
      </c>
      <c r="C9" s="533" t="s">
        <v>169</v>
      </c>
      <c r="D9" s="533"/>
      <c r="E9" s="86">
        <v>4</v>
      </c>
      <c r="F9" s="87">
        <v>3200</v>
      </c>
      <c r="G9" s="87">
        <v>0</v>
      </c>
      <c r="H9" s="87">
        <f t="shared" ref="H9" si="3">I9*J9</f>
        <v>1400</v>
      </c>
      <c r="I9" s="87">
        <v>200</v>
      </c>
      <c r="J9" s="88">
        <v>7</v>
      </c>
      <c r="K9" s="87">
        <v>1000</v>
      </c>
      <c r="L9" s="89">
        <v>0.3</v>
      </c>
      <c r="M9" s="87">
        <f>(F9+G9+H9+(K9*(E9)))*(100%+L9)</f>
        <v>11180</v>
      </c>
      <c r="N9" s="87">
        <f t="shared" si="0"/>
        <v>44720</v>
      </c>
      <c r="O9" s="87">
        <f>M9*37</f>
        <v>413660</v>
      </c>
      <c r="P9" s="90">
        <f t="shared" ref="P9" si="4">E9*O9</f>
        <v>1654640</v>
      </c>
    </row>
    <row r="10" spans="2:27" ht="15.5">
      <c r="B10" s="291"/>
      <c r="C10" s="535" t="s">
        <v>23</v>
      </c>
      <c r="D10" s="535"/>
      <c r="E10" s="535"/>
      <c r="F10" s="535"/>
      <c r="G10" s="535"/>
      <c r="H10" s="535"/>
      <c r="I10" s="535"/>
      <c r="J10" s="535"/>
      <c r="K10" s="535"/>
      <c r="L10" s="535"/>
      <c r="M10" s="535"/>
      <c r="N10" s="535"/>
      <c r="O10" s="535"/>
      <c r="P10" s="292">
        <f>SUM(P4:P9)</f>
        <v>4512527.5</v>
      </c>
    </row>
    <row r="11" spans="2:27" ht="15.5">
      <c r="B11" s="291"/>
      <c r="C11" s="536" t="s">
        <v>2</v>
      </c>
      <c r="D11" s="536"/>
      <c r="E11" s="536"/>
      <c r="F11" s="536"/>
      <c r="G11" s="536"/>
      <c r="H11" s="536"/>
      <c r="I11" s="536"/>
      <c r="J11" s="536"/>
      <c r="K11" s="536"/>
      <c r="L11" s="536"/>
      <c r="M11" s="536"/>
      <c r="N11" s="536"/>
      <c r="O11" s="536"/>
      <c r="P11" s="292">
        <f>P10*0.15</f>
        <v>676879.125</v>
      </c>
    </row>
    <row r="12" spans="2:27" ht="16" thickBot="1">
      <c r="B12" s="293"/>
      <c r="C12" s="537" t="s">
        <v>24</v>
      </c>
      <c r="D12" s="537"/>
      <c r="E12" s="537"/>
      <c r="F12" s="537"/>
      <c r="G12" s="537"/>
      <c r="H12" s="537"/>
      <c r="I12" s="537"/>
      <c r="J12" s="537"/>
      <c r="K12" s="537"/>
      <c r="L12" s="537"/>
      <c r="M12" s="537"/>
      <c r="N12" s="537"/>
      <c r="O12" s="537"/>
      <c r="P12" s="294">
        <f>P10+P11</f>
        <v>5189406.625</v>
      </c>
    </row>
    <row r="13" spans="2:27" ht="15.5">
      <c r="B13" s="91"/>
      <c r="C13" s="91"/>
      <c r="D13" s="92"/>
      <c r="E13" s="92"/>
      <c r="F13" s="92"/>
      <c r="G13" s="92"/>
      <c r="H13" s="92"/>
      <c r="I13" s="92"/>
      <c r="J13" s="92"/>
      <c r="K13" s="92"/>
      <c r="L13" s="92"/>
      <c r="M13" s="92"/>
      <c r="N13" s="91"/>
      <c r="O13" s="91"/>
    </row>
    <row r="14" spans="2:27" ht="16" thickBot="1">
      <c r="B14" s="91"/>
      <c r="C14" s="91"/>
      <c r="D14" s="92"/>
      <c r="E14" s="92"/>
      <c r="F14" s="92"/>
      <c r="G14" s="92"/>
      <c r="H14" s="92"/>
      <c r="I14" s="92"/>
      <c r="J14" s="92"/>
      <c r="K14" s="92"/>
      <c r="L14" s="92"/>
      <c r="M14" s="92"/>
      <c r="N14" s="91"/>
      <c r="O14" s="91"/>
    </row>
    <row r="15" spans="2:27" ht="25.5" customHeight="1" thickTop="1">
      <c r="B15" s="120" t="s">
        <v>75</v>
      </c>
      <c r="C15" s="534" t="s">
        <v>76</v>
      </c>
      <c r="D15" s="534"/>
      <c r="E15" s="534"/>
      <c r="F15" s="534"/>
      <c r="G15" s="534"/>
      <c r="H15" s="534"/>
      <c r="I15" s="534"/>
      <c r="J15" s="534"/>
      <c r="K15" s="534"/>
      <c r="L15" s="534"/>
      <c r="M15" s="534"/>
      <c r="N15" s="534"/>
      <c r="O15" s="534"/>
      <c r="P15" s="534"/>
      <c r="Q15" s="534"/>
      <c r="R15" s="534"/>
      <c r="S15" s="534"/>
      <c r="T15" s="534"/>
      <c r="U15" s="534"/>
      <c r="V15" s="534"/>
      <c r="W15" s="534"/>
      <c r="X15" s="534"/>
      <c r="Y15" s="534"/>
      <c r="Z15" s="534"/>
      <c r="AA15" s="534"/>
    </row>
    <row r="16" spans="2:27" ht="23">
      <c r="B16" s="108" t="s">
        <v>170</v>
      </c>
      <c r="C16" s="95"/>
      <c r="D16" s="96"/>
      <c r="E16" s="96"/>
      <c r="F16" s="96"/>
      <c r="G16" s="93"/>
      <c r="H16" s="93"/>
      <c r="I16" s="93"/>
      <c r="J16" s="93"/>
      <c r="K16" s="93"/>
      <c r="L16" s="93"/>
      <c r="M16" s="98"/>
      <c r="N16" s="94"/>
      <c r="O16" s="94"/>
      <c r="P16" s="109"/>
      <c r="Q16" s="109"/>
      <c r="R16" s="109"/>
      <c r="S16" s="109"/>
      <c r="T16" s="109"/>
      <c r="U16" s="109"/>
      <c r="V16" s="109"/>
      <c r="W16" s="109"/>
      <c r="X16" s="109"/>
      <c r="Y16" s="109"/>
      <c r="Z16" s="109"/>
      <c r="AA16" s="110"/>
    </row>
    <row r="17" spans="2:27" ht="23">
      <c r="B17" s="108" t="s">
        <v>77</v>
      </c>
      <c r="C17" s="95"/>
      <c r="D17" s="96"/>
      <c r="E17" s="96"/>
      <c r="F17" s="96"/>
      <c r="G17" s="93"/>
      <c r="H17" s="93"/>
      <c r="I17" s="93"/>
      <c r="J17" s="93"/>
      <c r="K17" s="93"/>
      <c r="L17" s="93"/>
      <c r="M17" s="98"/>
      <c r="N17" s="94"/>
      <c r="O17" s="94"/>
      <c r="P17" s="109"/>
      <c r="Q17" s="109"/>
      <c r="R17" s="109"/>
      <c r="S17" s="109"/>
      <c r="T17" s="109"/>
      <c r="U17" s="109"/>
      <c r="V17" s="109"/>
      <c r="W17" s="109"/>
      <c r="X17" s="109"/>
      <c r="Y17" s="109"/>
      <c r="Z17" s="109"/>
      <c r="AA17" s="110"/>
    </row>
    <row r="18" spans="2:27" ht="23">
      <c r="B18" s="111" t="s">
        <v>81</v>
      </c>
      <c r="C18" s="97"/>
      <c r="D18" s="96"/>
      <c r="E18" s="96"/>
      <c r="F18" s="96"/>
      <c r="G18" s="93"/>
      <c r="H18" s="93"/>
      <c r="I18" s="93"/>
      <c r="J18" s="93"/>
      <c r="K18" s="93"/>
      <c r="L18" s="93"/>
      <c r="M18" s="98"/>
      <c r="N18" s="94"/>
      <c r="O18" s="94"/>
      <c r="P18" s="109"/>
      <c r="Q18" s="109"/>
      <c r="R18" s="109"/>
      <c r="S18" s="109"/>
      <c r="T18" s="109"/>
      <c r="U18" s="109"/>
      <c r="V18" s="109"/>
      <c r="W18" s="109"/>
      <c r="X18" s="109"/>
      <c r="Y18" s="109"/>
      <c r="Z18" s="109"/>
      <c r="AA18" s="110"/>
    </row>
    <row r="19" spans="2:27" ht="23">
      <c r="B19" s="111" t="s">
        <v>143</v>
      </c>
      <c r="C19" s="97"/>
      <c r="D19" s="96"/>
      <c r="E19" s="96"/>
      <c r="F19" s="96"/>
      <c r="G19" s="93"/>
      <c r="H19" s="93"/>
      <c r="I19" s="93"/>
      <c r="J19" s="93"/>
      <c r="K19" s="93"/>
      <c r="L19" s="93"/>
      <c r="M19" s="98"/>
      <c r="N19" s="94"/>
      <c r="O19" s="94"/>
      <c r="P19" s="109"/>
      <c r="Q19" s="109"/>
      <c r="R19" s="109"/>
      <c r="S19" s="109"/>
      <c r="T19" s="109"/>
      <c r="U19" s="109"/>
      <c r="V19" s="109"/>
      <c r="W19" s="109"/>
      <c r="X19" s="109"/>
      <c r="Y19" s="109"/>
      <c r="Z19" s="109"/>
      <c r="AA19" s="110"/>
    </row>
    <row r="20" spans="2:27" ht="23">
      <c r="B20" s="111" t="s">
        <v>144</v>
      </c>
      <c r="C20" s="97"/>
      <c r="D20" s="96"/>
      <c r="E20" s="96"/>
      <c r="F20" s="96"/>
      <c r="G20" s="93"/>
      <c r="H20" s="93"/>
      <c r="I20" s="93"/>
      <c r="J20" s="93"/>
      <c r="K20" s="93"/>
      <c r="L20" s="93"/>
      <c r="M20" s="98"/>
      <c r="N20" s="94"/>
      <c r="O20" s="94"/>
      <c r="P20" s="109"/>
      <c r="Q20" s="109"/>
      <c r="R20" s="109"/>
      <c r="S20" s="109"/>
      <c r="T20" s="109"/>
      <c r="U20" s="109"/>
      <c r="V20" s="109"/>
      <c r="W20" s="109"/>
      <c r="X20" s="109"/>
      <c r="Y20" s="109"/>
      <c r="Z20" s="109"/>
      <c r="AA20" s="110"/>
    </row>
    <row r="21" spans="2:27" ht="23">
      <c r="B21" s="108" t="s">
        <v>145</v>
      </c>
      <c r="C21" s="95"/>
      <c r="D21" s="96"/>
      <c r="E21" s="96"/>
      <c r="F21" s="96"/>
      <c r="G21" s="93"/>
      <c r="H21" s="93"/>
      <c r="I21" s="93"/>
      <c r="J21" s="93"/>
      <c r="K21" s="93"/>
      <c r="L21" s="93"/>
      <c r="M21" s="98"/>
      <c r="N21" s="94"/>
      <c r="O21" s="94"/>
      <c r="P21" s="109"/>
      <c r="Q21" s="109"/>
      <c r="R21" s="109"/>
      <c r="S21" s="109"/>
      <c r="T21" s="109"/>
      <c r="U21" s="109"/>
      <c r="V21" s="109"/>
      <c r="W21" s="109"/>
      <c r="X21" s="109"/>
      <c r="Y21" s="109"/>
      <c r="Z21" s="109"/>
      <c r="AA21" s="110"/>
    </row>
    <row r="22" spans="2:27" ht="23.5" thickBot="1">
      <c r="B22" s="112" t="s">
        <v>146</v>
      </c>
      <c r="C22" s="113"/>
      <c r="D22" s="114"/>
      <c r="E22" s="114"/>
      <c r="F22" s="114"/>
      <c r="G22" s="115"/>
      <c r="H22" s="115"/>
      <c r="I22" s="115"/>
      <c r="J22" s="115"/>
      <c r="K22" s="115"/>
      <c r="L22" s="115"/>
      <c r="M22" s="116"/>
      <c r="N22" s="117"/>
      <c r="O22" s="117"/>
      <c r="P22" s="118"/>
      <c r="Q22" s="118"/>
      <c r="R22" s="118"/>
      <c r="S22" s="118"/>
      <c r="T22" s="118"/>
      <c r="U22" s="118"/>
      <c r="V22" s="118"/>
      <c r="W22" s="118"/>
      <c r="X22" s="118"/>
      <c r="Y22" s="118"/>
      <c r="Z22" s="118"/>
      <c r="AA22" s="119"/>
    </row>
    <row r="23" spans="2:27" ht="15" thickTop="1"/>
  </sheetData>
  <mergeCells count="12">
    <mergeCell ref="C8:D8"/>
    <mergeCell ref="B2:P2"/>
    <mergeCell ref="C4:D4"/>
    <mergeCell ref="C5:D5"/>
    <mergeCell ref="C6:D6"/>
    <mergeCell ref="C7:D7"/>
    <mergeCell ref="C9:D9"/>
    <mergeCell ref="C15:P15"/>
    <mergeCell ref="Q15:AA15"/>
    <mergeCell ref="C10:O10"/>
    <mergeCell ref="C11:O11"/>
    <mergeCell ref="C12:O12"/>
  </mergeCells>
  <pageMargins left="0.7" right="0.7" top="0.75" bottom="0.75" header="0.3" footer="0.3"/>
  <pageSetup scale="48"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17"/>
  <sheetViews>
    <sheetView view="pageBreakPreview" zoomScale="90" zoomScaleNormal="100" zoomScaleSheetLayoutView="90" workbookViewId="0">
      <selection activeCell="A18" sqref="A18:XFD19"/>
    </sheetView>
  </sheetViews>
  <sheetFormatPr defaultColWidth="8.81640625" defaultRowHeight="14.5"/>
  <cols>
    <col min="1" max="1" width="7.1796875" customWidth="1"/>
    <col min="2" max="2" width="6.26953125" customWidth="1"/>
    <col min="3" max="3" width="37.26953125" customWidth="1"/>
    <col min="4" max="4" width="79.26953125" customWidth="1"/>
    <col min="5" max="5" width="8.81640625" customWidth="1"/>
    <col min="6" max="6" width="16.7265625" style="6" customWidth="1"/>
    <col min="7" max="7" width="19.453125" style="6" customWidth="1"/>
    <col min="8" max="8" width="12.7265625" bestFit="1" customWidth="1"/>
  </cols>
  <sheetData>
    <row r="1" spans="2:8" ht="15" thickBot="1"/>
    <row r="2" spans="2:8" ht="26.5" thickBot="1">
      <c r="B2" s="508" t="s">
        <v>198</v>
      </c>
      <c r="C2" s="509"/>
      <c r="D2" s="509"/>
      <c r="E2" s="509"/>
      <c r="F2" s="509"/>
      <c r="G2" s="510"/>
    </row>
    <row r="3" spans="2:8">
      <c r="B3" s="32" t="s">
        <v>1</v>
      </c>
      <c r="C3" s="33" t="s">
        <v>17</v>
      </c>
      <c r="D3" s="33" t="s">
        <v>18</v>
      </c>
      <c r="E3" s="34" t="s">
        <v>19</v>
      </c>
      <c r="F3" s="35" t="s">
        <v>7</v>
      </c>
      <c r="G3" s="36" t="s">
        <v>8</v>
      </c>
    </row>
    <row r="4" spans="2:8" ht="17.25" customHeight="1">
      <c r="B4" s="31">
        <v>1</v>
      </c>
      <c r="C4" s="3" t="s">
        <v>44</v>
      </c>
      <c r="D4" s="37" t="s">
        <v>20</v>
      </c>
      <c r="E4" s="38">
        <v>1</v>
      </c>
      <c r="F4" s="39">
        <f>'Network-BE'!S17*10%</f>
        <v>1262819.5632</v>
      </c>
      <c r="G4" s="40">
        <f t="shared" ref="G4:G12" si="0">F4*E4</f>
        <v>1262819.5632</v>
      </c>
      <c r="H4" s="9"/>
    </row>
    <row r="5" spans="2:8" ht="18.75" customHeight="1">
      <c r="B5" s="31">
        <v>2</v>
      </c>
      <c r="C5" s="3" t="s">
        <v>427</v>
      </c>
      <c r="D5" s="37" t="s">
        <v>20</v>
      </c>
      <c r="E5" s="38">
        <v>1</v>
      </c>
      <c r="F5" s="39">
        <f>'Wireless-BE'!S19*10%</f>
        <v>2819818.4000000004</v>
      </c>
      <c r="G5" s="40">
        <f t="shared" ref="G5:G6" si="1">F5*E5</f>
        <v>2819818.4000000004</v>
      </c>
      <c r="H5" s="9"/>
    </row>
    <row r="6" spans="2:8" s="176" customFormat="1" ht="17.25" customHeight="1">
      <c r="B6" s="31">
        <v>5</v>
      </c>
      <c r="C6" s="3" t="s">
        <v>49</v>
      </c>
      <c r="D6" s="37" t="s">
        <v>20</v>
      </c>
      <c r="E6" s="38">
        <v>1</v>
      </c>
      <c r="F6" s="39">
        <f>'DCF-BE'!S8*10%</f>
        <v>520351.99999999994</v>
      </c>
      <c r="G6" s="40">
        <f t="shared" si="1"/>
        <v>520351.99999999994</v>
      </c>
      <c r="H6" s="9"/>
    </row>
    <row r="7" spans="2:8" ht="17.25" customHeight="1">
      <c r="B7" s="31">
        <v>5</v>
      </c>
      <c r="C7" s="3" t="s">
        <v>292</v>
      </c>
      <c r="D7" s="37" t="s">
        <v>20</v>
      </c>
      <c r="E7" s="38">
        <v>1</v>
      </c>
      <c r="F7" s="39">
        <f>'Campus Chech point-BE '!S35*10%</f>
        <v>1343285.9590500004</v>
      </c>
      <c r="G7" s="40">
        <f t="shared" si="0"/>
        <v>1343285.9590500004</v>
      </c>
      <c r="H7" s="9"/>
    </row>
    <row r="8" spans="2:8" ht="18.75" customHeight="1">
      <c r="B8" s="31">
        <v>6</v>
      </c>
      <c r="C8" s="3" t="s">
        <v>407</v>
      </c>
      <c r="D8" s="37" t="s">
        <v>20</v>
      </c>
      <c r="E8" s="38">
        <v>1</v>
      </c>
      <c r="F8" s="39">
        <f>'ILMS '!S20*10%</f>
        <v>636589.33100000012</v>
      </c>
      <c r="G8" s="40">
        <f t="shared" si="0"/>
        <v>636589.33100000012</v>
      </c>
      <c r="H8" s="9"/>
    </row>
    <row r="9" spans="2:8" ht="18.75" customHeight="1">
      <c r="B9" s="31">
        <v>7</v>
      </c>
      <c r="C9" s="3" t="s">
        <v>411</v>
      </c>
      <c r="D9" s="37" t="s">
        <v>20</v>
      </c>
      <c r="E9" s="38">
        <v>1</v>
      </c>
      <c r="F9" s="39">
        <f>'DCF-BE'!S8*10%</f>
        <v>520351.99999999994</v>
      </c>
      <c r="G9" s="40">
        <f t="shared" si="0"/>
        <v>520351.99999999994</v>
      </c>
      <c r="H9" s="9"/>
    </row>
    <row r="10" spans="2:8" ht="18.75" customHeight="1">
      <c r="B10" s="31">
        <v>8</v>
      </c>
      <c r="C10" s="3" t="s">
        <v>30</v>
      </c>
      <c r="D10" s="37" t="s">
        <v>20</v>
      </c>
      <c r="E10" s="38">
        <v>1</v>
      </c>
      <c r="F10" s="39">
        <f>'One Card -BE'!S17*10%</f>
        <v>462646.1385</v>
      </c>
      <c r="G10" s="40">
        <f t="shared" si="0"/>
        <v>462646.1385</v>
      </c>
      <c r="H10" s="9"/>
    </row>
    <row r="11" spans="2:8" s="313" customFormat="1" ht="18.75" customHeight="1">
      <c r="B11" s="31">
        <v>2</v>
      </c>
      <c r="C11" s="3" t="s">
        <v>89</v>
      </c>
      <c r="D11" s="37" t="s">
        <v>20</v>
      </c>
      <c r="E11" s="38">
        <v>1</v>
      </c>
      <c r="F11" s="39">
        <f>'Time Attendance'!S8*10%</f>
        <v>40568.135999999999</v>
      </c>
      <c r="G11" s="40">
        <f t="shared" si="0"/>
        <v>40568.135999999999</v>
      </c>
      <c r="H11" s="9"/>
    </row>
    <row r="12" spans="2:8" s="313" customFormat="1" ht="17.25" customHeight="1">
      <c r="B12" s="31">
        <v>5</v>
      </c>
      <c r="C12" s="3" t="s">
        <v>192</v>
      </c>
      <c r="D12" s="37" t="s">
        <v>20</v>
      </c>
      <c r="E12" s="38">
        <v>1</v>
      </c>
      <c r="F12" s="39">
        <f>'CCTV-Camer-BE'!T57*10%</f>
        <v>1430488.9123</v>
      </c>
      <c r="G12" s="40">
        <f t="shared" si="0"/>
        <v>1430488.9123</v>
      </c>
      <c r="H12" s="9"/>
    </row>
    <row r="13" spans="2:8" s="313" customFormat="1" ht="17.25" customHeight="1">
      <c r="B13" s="31">
        <v>5</v>
      </c>
      <c r="C13" s="3" t="s">
        <v>141</v>
      </c>
      <c r="D13" s="37" t="s">
        <v>20</v>
      </c>
      <c r="E13" s="38">
        <v>1</v>
      </c>
      <c r="F13" s="39">
        <f>'SCS-BE'!S56*10%</f>
        <v>470047.9</v>
      </c>
      <c r="G13" s="40">
        <f t="shared" ref="G13:G16" si="2">F13*E13</f>
        <v>470047.9</v>
      </c>
      <c r="H13" s="9"/>
    </row>
    <row r="14" spans="2:8" s="313" customFormat="1" ht="18.75" customHeight="1">
      <c r="B14" s="31">
        <v>6</v>
      </c>
      <c r="C14" s="3" t="s">
        <v>381</v>
      </c>
      <c r="D14" s="37" t="s">
        <v>20</v>
      </c>
      <c r="E14" s="38">
        <v>1</v>
      </c>
      <c r="F14" s="39">
        <f>UTM!S6*10%</f>
        <v>260820.00000000006</v>
      </c>
      <c r="G14" s="40">
        <f t="shared" si="2"/>
        <v>260820.00000000006</v>
      </c>
      <c r="H14" s="9"/>
    </row>
    <row r="15" spans="2:8" s="313" customFormat="1" ht="18.75" customHeight="1">
      <c r="B15" s="31">
        <v>7</v>
      </c>
      <c r="C15" s="3" t="s">
        <v>406</v>
      </c>
      <c r="D15" s="37" t="s">
        <v>20</v>
      </c>
      <c r="E15" s="38">
        <v>1</v>
      </c>
      <c r="F15" s="39">
        <f>'VC-Solution'!S25*10%</f>
        <v>1378090.5616800003</v>
      </c>
      <c r="G15" s="40">
        <f t="shared" si="2"/>
        <v>1378090.5616800003</v>
      </c>
      <c r="H15" s="9"/>
    </row>
    <row r="16" spans="2:8" s="313" customFormat="1" ht="18.75" customHeight="1">
      <c r="B16" s="31">
        <v>8</v>
      </c>
      <c r="C16" s="3" t="s">
        <v>82</v>
      </c>
      <c r="D16" s="37" t="s">
        <v>20</v>
      </c>
      <c r="E16" s="38">
        <v>1</v>
      </c>
      <c r="F16" s="39">
        <f>DU_Training!P10*10%</f>
        <v>451252.75</v>
      </c>
      <c r="G16" s="40">
        <f t="shared" si="2"/>
        <v>451252.75</v>
      </c>
      <c r="H16" s="9"/>
    </row>
    <row r="17" spans="2:7" ht="18.5">
      <c r="B17" s="295"/>
      <c r="C17" s="542" t="s">
        <v>23</v>
      </c>
      <c r="D17" s="542"/>
      <c r="E17" s="296"/>
      <c r="F17" s="296"/>
      <c r="G17" s="297">
        <f>SUM(G4:G16)</f>
        <v>11597131.651730003</v>
      </c>
    </row>
  </sheetData>
  <mergeCells count="2">
    <mergeCell ref="B2:G2"/>
    <mergeCell ref="C17:D17"/>
  </mergeCells>
  <phoneticPr fontId="12" type="noConversion"/>
  <printOptions horizontalCentered="1"/>
  <pageMargins left="0.75" right="0.75" top="1" bottom="1" header="0.3" footer="0.3"/>
  <pageSetup paperSize="9" scale="7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45" zoomScaleNormal="45" workbookViewId="0">
      <selection activeCell="C9" sqref="C9"/>
    </sheetView>
  </sheetViews>
  <sheetFormatPr defaultColWidth="8.81640625" defaultRowHeight="14.5"/>
  <cols>
    <col min="1" max="1" width="3.453125" style="313" customWidth="1"/>
    <col min="2" max="3" width="18.81640625" style="313" customWidth="1"/>
    <col min="4" max="4" width="60.36328125" style="313" customWidth="1"/>
    <col min="5" max="5" width="6.1796875" style="313" customWidth="1"/>
    <col min="6" max="6" width="8" style="313" customWidth="1"/>
    <col min="7" max="7" width="13" style="313" customWidth="1"/>
    <col min="8" max="8" width="13.7265625" style="313" customWidth="1"/>
    <col min="9" max="9" width="9.26953125" style="313" bestFit="1" customWidth="1"/>
    <col min="10" max="10" width="13.1796875" style="313" customWidth="1"/>
    <col min="11" max="11" width="12.26953125" style="313" customWidth="1"/>
    <col min="12" max="12" width="14.26953125" style="313" customWidth="1"/>
    <col min="13" max="14" width="9.26953125" style="313" bestFit="1" customWidth="1"/>
    <col min="15" max="15" width="12" style="313" customWidth="1"/>
    <col min="16" max="16" width="12.26953125" style="313" customWidth="1"/>
    <col min="17" max="17" width="15.453125" style="313" customWidth="1"/>
    <col min="18" max="18" width="15.7265625" style="313" customWidth="1"/>
    <col min="19" max="19" width="20.81640625" style="313" customWidth="1"/>
    <col min="20" max="16384" width="8.81640625" style="313"/>
  </cols>
  <sheetData>
    <row r="1" spans="1:19" ht="15" thickBot="1"/>
    <row r="2" spans="1:19" ht="26.5" thickBot="1">
      <c r="A2" s="508" t="s">
        <v>290</v>
      </c>
      <c r="B2" s="509"/>
      <c r="C2" s="509"/>
      <c r="D2" s="509"/>
      <c r="E2" s="509"/>
      <c r="F2" s="509"/>
      <c r="G2" s="509"/>
      <c r="H2" s="509"/>
      <c r="I2" s="509"/>
      <c r="J2" s="509"/>
      <c r="K2" s="509"/>
      <c r="L2" s="509"/>
      <c r="M2" s="509"/>
      <c r="N2" s="509"/>
      <c r="O2" s="509"/>
      <c r="P2" s="509"/>
      <c r="Q2" s="509"/>
      <c r="R2" s="509"/>
      <c r="S2" s="510"/>
    </row>
    <row r="3" spans="1:19" ht="49" customHeight="1">
      <c r="A3" s="214" t="s">
        <v>1</v>
      </c>
      <c r="B3" s="215" t="s">
        <v>21</v>
      </c>
      <c r="C3" s="215" t="s">
        <v>458</v>
      </c>
      <c r="D3" s="216" t="s">
        <v>15</v>
      </c>
      <c r="E3" s="217" t="s">
        <v>10</v>
      </c>
      <c r="F3" s="57" t="s">
        <v>28</v>
      </c>
      <c r="G3" s="218" t="s">
        <v>0</v>
      </c>
      <c r="H3" s="218" t="s">
        <v>11</v>
      </c>
      <c r="I3" s="219" t="s">
        <v>3</v>
      </c>
      <c r="J3" s="218" t="s">
        <v>12</v>
      </c>
      <c r="K3" s="218" t="s">
        <v>13</v>
      </c>
      <c r="L3" s="218" t="s">
        <v>4</v>
      </c>
      <c r="M3" s="220" t="s">
        <v>5</v>
      </c>
      <c r="N3" s="218" t="s">
        <v>6</v>
      </c>
      <c r="O3" s="221" t="s">
        <v>14</v>
      </c>
      <c r="P3" s="218" t="s">
        <v>22</v>
      </c>
      <c r="Q3" s="218" t="s">
        <v>9</v>
      </c>
      <c r="R3" s="218" t="s">
        <v>459</v>
      </c>
      <c r="S3" s="222" t="s">
        <v>8</v>
      </c>
    </row>
    <row r="4" spans="1:19" s="391" customFormat="1" ht="15" customHeight="1">
      <c r="A4" s="446">
        <v>1</v>
      </c>
      <c r="B4" s="447" t="s">
        <v>364</v>
      </c>
      <c r="C4" s="447"/>
      <c r="D4" s="448"/>
      <c r="E4" s="448"/>
      <c r="F4" s="448"/>
      <c r="G4" s="449"/>
      <c r="H4" s="449"/>
      <c r="I4" s="448"/>
      <c r="J4" s="449"/>
      <c r="K4" s="449"/>
      <c r="L4" s="449"/>
      <c r="M4" s="449"/>
      <c r="N4" s="449"/>
      <c r="O4" s="449"/>
      <c r="P4" s="449"/>
      <c r="Q4" s="449"/>
      <c r="R4" s="449"/>
      <c r="S4" s="450"/>
    </row>
    <row r="5" spans="1:19" s="391" customFormat="1" ht="66.75" customHeight="1">
      <c r="A5" s="451"/>
      <c r="B5" s="452" t="s">
        <v>365</v>
      </c>
      <c r="C5" s="452"/>
      <c r="D5" s="453" t="s">
        <v>366</v>
      </c>
      <c r="E5" s="454">
        <v>1</v>
      </c>
      <c r="F5" s="454" t="s">
        <v>27</v>
      </c>
      <c r="G5" s="455">
        <v>699</v>
      </c>
      <c r="H5" s="456">
        <f>E5*G5</f>
        <v>699</v>
      </c>
      <c r="I5" s="457">
        <v>0</v>
      </c>
      <c r="J5" s="456">
        <f>(100%-I5)*G5</f>
        <v>699</v>
      </c>
      <c r="K5" s="456">
        <f>J5*E5</f>
        <v>699</v>
      </c>
      <c r="L5" s="458">
        <v>0</v>
      </c>
      <c r="M5" s="458">
        <v>0.1</v>
      </c>
      <c r="N5" s="458">
        <v>0</v>
      </c>
      <c r="O5" s="458">
        <v>0.4</v>
      </c>
      <c r="P5" s="456">
        <f>((100%+SUM(L5:N5))+O5*(100%+SUM(L5:N5)))*J5</f>
        <v>1076.46</v>
      </c>
      <c r="Q5" s="456">
        <f>P5*E5</f>
        <v>1076.46</v>
      </c>
      <c r="R5" s="432">
        <f>45*P5*1.15</f>
        <v>55706.805</v>
      </c>
      <c r="S5" s="459">
        <f>R5*E5</f>
        <v>55706.805</v>
      </c>
    </row>
    <row r="6" spans="1:19" s="391" customFormat="1" ht="15" customHeight="1">
      <c r="A6" s="446">
        <v>2</v>
      </c>
      <c r="B6" s="447" t="s">
        <v>367</v>
      </c>
      <c r="C6" s="447"/>
      <c r="D6" s="448"/>
      <c r="E6" s="448"/>
      <c r="F6" s="448"/>
      <c r="G6" s="449"/>
      <c r="H6" s="449"/>
      <c r="I6" s="448"/>
      <c r="J6" s="449"/>
      <c r="K6" s="449"/>
      <c r="L6" s="449"/>
      <c r="M6" s="449"/>
      <c r="N6" s="449"/>
      <c r="O6" s="449"/>
      <c r="P6" s="449"/>
      <c r="Q6" s="449"/>
      <c r="R6" s="432">
        <f t="shared" ref="R6:R7" si="0">45*P6*1.15</f>
        <v>0</v>
      </c>
      <c r="S6" s="450"/>
    </row>
    <row r="7" spans="1:19" s="391" customFormat="1" ht="82.5" customHeight="1">
      <c r="A7" s="451"/>
      <c r="B7" s="452" t="s">
        <v>368</v>
      </c>
      <c r="C7" s="452">
        <v>84719000</v>
      </c>
      <c r="D7" s="453" t="s">
        <v>369</v>
      </c>
      <c r="E7" s="454">
        <v>1</v>
      </c>
      <c r="F7" s="454" t="s">
        <v>27</v>
      </c>
      <c r="G7" s="455">
        <v>65</v>
      </c>
      <c r="H7" s="456">
        <f>E7*G7</f>
        <v>65</v>
      </c>
      <c r="I7" s="457">
        <v>0</v>
      </c>
      <c r="J7" s="456">
        <f>(100%-I7)*G7</f>
        <v>65</v>
      </c>
      <c r="K7" s="456">
        <f>J7*E7</f>
        <v>65</v>
      </c>
      <c r="L7" s="458">
        <v>0.1</v>
      </c>
      <c r="M7" s="458">
        <v>0.1</v>
      </c>
      <c r="N7" s="458">
        <v>0.18</v>
      </c>
      <c r="O7" s="458">
        <v>0.4</v>
      </c>
      <c r="P7" s="456">
        <f>((100%+SUM(L7:N7))+O7*(100%+SUM(L7:N7)))*J7</f>
        <v>125.58</v>
      </c>
      <c r="Q7" s="456">
        <f>P7*E7</f>
        <v>125.58</v>
      </c>
      <c r="R7" s="432">
        <f t="shared" si="0"/>
        <v>6498.7650000000003</v>
      </c>
      <c r="S7" s="459">
        <f>R7*E7</f>
        <v>6498.7650000000003</v>
      </c>
    </row>
    <row r="8" spans="1:19" ht="15.5">
      <c r="A8" s="238">
        <v>3</v>
      </c>
      <c r="B8" s="393" t="s">
        <v>315</v>
      </c>
      <c r="C8" s="503"/>
      <c r="D8" s="239"/>
      <c r="E8" s="239"/>
      <c r="F8" s="239"/>
      <c r="G8" s="240"/>
      <c r="H8" s="240"/>
      <c r="I8" s="239"/>
      <c r="J8" s="240"/>
      <c r="K8" s="240"/>
      <c r="L8" s="240"/>
      <c r="M8" s="240"/>
      <c r="N8" s="240"/>
      <c r="O8" s="240"/>
      <c r="P8" s="240"/>
      <c r="Q8" s="240"/>
      <c r="R8" s="240"/>
      <c r="S8" s="241"/>
    </row>
    <row r="9" spans="1:19" ht="266.25" customHeight="1">
      <c r="A9" s="223"/>
      <c r="B9" s="388" t="s">
        <v>360</v>
      </c>
      <c r="C9" s="543">
        <v>85308000</v>
      </c>
      <c r="D9" s="390" t="s">
        <v>361</v>
      </c>
      <c r="E9" s="59">
        <v>8</v>
      </c>
      <c r="F9" s="59" t="s">
        <v>54</v>
      </c>
      <c r="G9" s="65">
        <v>4260</v>
      </c>
      <c r="H9" s="60">
        <f>E9*G9</f>
        <v>34080</v>
      </c>
      <c r="I9" s="187">
        <v>0</v>
      </c>
      <c r="J9" s="60">
        <f>(100%-I9)*G9</f>
        <v>4260</v>
      </c>
      <c r="K9" s="60">
        <f>J9*E9</f>
        <v>34080</v>
      </c>
      <c r="L9" s="188">
        <v>0.1</v>
      </c>
      <c r="M9" s="188">
        <v>0.1</v>
      </c>
      <c r="N9" s="188">
        <v>0.63</v>
      </c>
      <c r="O9" s="188">
        <v>0.4</v>
      </c>
      <c r="P9" s="60">
        <f>((100%+SUM(L9:N9))+O9*(100%+SUM(L9:N9)))*J9</f>
        <v>10914.12</v>
      </c>
      <c r="Q9" s="60">
        <f>P9*E9</f>
        <v>87312.960000000006</v>
      </c>
      <c r="R9" s="66">
        <f>P9*45*1.15</f>
        <v>564805.71</v>
      </c>
      <c r="S9" s="225">
        <f>R9*E9</f>
        <v>4518445.68</v>
      </c>
    </row>
    <row r="10" spans="1:19" ht="162" customHeight="1">
      <c r="A10" s="223"/>
      <c r="B10" s="389" t="s">
        <v>362</v>
      </c>
      <c r="C10" s="544">
        <v>85308000</v>
      </c>
      <c r="D10" s="390" t="s">
        <v>363</v>
      </c>
      <c r="E10" s="59">
        <v>11</v>
      </c>
      <c r="F10" s="59" t="s">
        <v>54</v>
      </c>
      <c r="G10" s="65">
        <v>3400</v>
      </c>
      <c r="H10" s="60">
        <f>E10*G10</f>
        <v>37400</v>
      </c>
      <c r="I10" s="187">
        <v>0</v>
      </c>
      <c r="J10" s="60">
        <f>(100%-I10)*G10</f>
        <v>3400</v>
      </c>
      <c r="K10" s="60">
        <f>J10*E10</f>
        <v>37400</v>
      </c>
      <c r="L10" s="188">
        <v>0.1</v>
      </c>
      <c r="M10" s="188">
        <v>0.1</v>
      </c>
      <c r="N10" s="188">
        <v>0.63</v>
      </c>
      <c r="O10" s="188">
        <v>0.4</v>
      </c>
      <c r="P10" s="60">
        <f>((100%+SUM(L10:N10))+O10*(100%+SUM(L10:N10)))*J10</f>
        <v>8710.8000000000011</v>
      </c>
      <c r="Q10" s="60">
        <f>P10*E10</f>
        <v>95818.800000000017</v>
      </c>
      <c r="R10" s="66">
        <f t="shared" ref="R10:R34" si="1">P10*45*1.15</f>
        <v>450783.9</v>
      </c>
      <c r="S10" s="225">
        <f>R10*E10</f>
        <v>4958622.9000000004</v>
      </c>
    </row>
    <row r="11" spans="1:19" ht="15.75" customHeight="1">
      <c r="A11" s="238">
        <v>1</v>
      </c>
      <c r="B11" s="393" t="s">
        <v>353</v>
      </c>
      <c r="C11" s="503"/>
      <c r="D11" s="239"/>
      <c r="E11" s="239"/>
      <c r="F11" s="239"/>
      <c r="G11" s="240"/>
      <c r="H11" s="240"/>
      <c r="I11" s="239"/>
      <c r="J11" s="240"/>
      <c r="K11" s="240"/>
      <c r="L11" s="240"/>
      <c r="M11" s="240"/>
      <c r="N11" s="240"/>
      <c r="O11" s="240"/>
      <c r="P11" s="240"/>
      <c r="Q11" s="240"/>
      <c r="R11" s="240"/>
      <c r="S11" s="241"/>
    </row>
    <row r="12" spans="1:19" ht="66.75" customHeight="1">
      <c r="A12" s="223"/>
      <c r="B12" s="47" t="s">
        <v>272</v>
      </c>
      <c r="C12" s="47">
        <v>85437000</v>
      </c>
      <c r="D12" s="384" t="s">
        <v>356</v>
      </c>
      <c r="E12" s="59">
        <v>3</v>
      </c>
      <c r="F12" s="59" t="s">
        <v>27</v>
      </c>
      <c r="G12" s="224">
        <v>42</v>
      </c>
      <c r="H12" s="60">
        <f>E12*G12</f>
        <v>126</v>
      </c>
      <c r="I12" s="187">
        <v>0</v>
      </c>
      <c r="J12" s="60">
        <f>(100%-I12)*G12</f>
        <v>42</v>
      </c>
      <c r="K12" s="60">
        <f>J12*E12</f>
        <v>126</v>
      </c>
      <c r="L12" s="188">
        <v>0.1</v>
      </c>
      <c r="M12" s="188">
        <v>0.1</v>
      </c>
      <c r="N12" s="188">
        <v>0.57999999999999996</v>
      </c>
      <c r="O12" s="188">
        <v>0.4</v>
      </c>
      <c r="P12" s="60">
        <f>((100%+SUM(L12:N12))+O12*(100%+SUM(L12:N12)))*J12</f>
        <v>104.664</v>
      </c>
      <c r="Q12" s="60">
        <f>P12*E12</f>
        <v>313.99200000000002</v>
      </c>
      <c r="R12" s="66">
        <f t="shared" si="1"/>
        <v>5416.3620000000001</v>
      </c>
      <c r="S12" s="225">
        <f>R12*E12</f>
        <v>16249.085999999999</v>
      </c>
    </row>
    <row r="13" spans="1:19" ht="15.75" customHeight="1">
      <c r="A13" s="238">
        <v>2</v>
      </c>
      <c r="B13" s="393" t="s">
        <v>354</v>
      </c>
      <c r="C13" s="503"/>
      <c r="D13" s="239"/>
      <c r="E13" s="239"/>
      <c r="F13" s="239"/>
      <c r="G13" s="240"/>
      <c r="H13" s="240"/>
      <c r="I13" s="239"/>
      <c r="J13" s="240"/>
      <c r="K13" s="240"/>
      <c r="L13" s="240"/>
      <c r="M13" s="240"/>
      <c r="N13" s="240"/>
      <c r="O13" s="240"/>
      <c r="P13" s="240"/>
      <c r="Q13" s="240"/>
      <c r="R13" s="240"/>
      <c r="S13" s="241"/>
    </row>
    <row r="14" spans="1:19" ht="136.5" customHeight="1">
      <c r="A14" s="223"/>
      <c r="B14" s="47" t="s">
        <v>273</v>
      </c>
      <c r="C14" s="47">
        <v>85437000</v>
      </c>
      <c r="D14" s="385" t="s">
        <v>357</v>
      </c>
      <c r="E14" s="59">
        <v>2</v>
      </c>
      <c r="F14" s="59" t="s">
        <v>27</v>
      </c>
      <c r="G14" s="65">
        <v>1756</v>
      </c>
      <c r="H14" s="60">
        <f>E14*G14</f>
        <v>3512</v>
      </c>
      <c r="I14" s="187">
        <v>0</v>
      </c>
      <c r="J14" s="60">
        <f>(100%-I14)*G14</f>
        <v>1756</v>
      </c>
      <c r="K14" s="60">
        <f>J14*E14</f>
        <v>3512</v>
      </c>
      <c r="L14" s="188">
        <v>0.1</v>
      </c>
      <c r="M14" s="188">
        <v>0.1</v>
      </c>
      <c r="N14" s="188">
        <v>0.57999999999999996</v>
      </c>
      <c r="O14" s="188">
        <v>0.4</v>
      </c>
      <c r="P14" s="60">
        <f>((100%+SUM(L14:N14))+O14*(100%+SUM(L14:N14)))*J14</f>
        <v>4375.9520000000002</v>
      </c>
      <c r="Q14" s="60">
        <f>P14*E14</f>
        <v>8751.9040000000005</v>
      </c>
      <c r="R14" s="66">
        <f t="shared" si="1"/>
        <v>226455.51599999997</v>
      </c>
      <c r="S14" s="225">
        <f>R14*E14</f>
        <v>452911.03199999995</v>
      </c>
    </row>
    <row r="15" spans="1:19" ht="15.5">
      <c r="A15" s="238">
        <v>3</v>
      </c>
      <c r="B15" s="393" t="s">
        <v>355</v>
      </c>
      <c r="C15" s="503"/>
      <c r="D15" s="239"/>
      <c r="E15" s="239"/>
      <c r="F15" s="239"/>
      <c r="G15" s="240"/>
      <c r="H15" s="240"/>
      <c r="I15" s="239"/>
      <c r="J15" s="240"/>
      <c r="K15" s="240"/>
      <c r="L15" s="240"/>
      <c r="M15" s="240"/>
      <c r="N15" s="240"/>
      <c r="O15" s="240"/>
      <c r="P15" s="240"/>
      <c r="Q15" s="240"/>
      <c r="R15" s="240"/>
      <c r="S15" s="241"/>
    </row>
    <row r="16" spans="1:19" ht="156" customHeight="1">
      <c r="A16" s="223"/>
      <c r="B16" s="383" t="s">
        <v>277</v>
      </c>
      <c r="C16" s="47">
        <v>85439000</v>
      </c>
      <c r="D16" s="386" t="s">
        <v>358</v>
      </c>
      <c r="E16" s="59">
        <v>2</v>
      </c>
      <c r="F16" s="59" t="s">
        <v>54</v>
      </c>
      <c r="G16" s="65">
        <v>50</v>
      </c>
      <c r="H16" s="60">
        <f>E16*G16</f>
        <v>100</v>
      </c>
      <c r="I16" s="187">
        <v>0</v>
      </c>
      <c r="J16" s="60">
        <f>(100%-I16)*G16</f>
        <v>50</v>
      </c>
      <c r="K16" s="60">
        <f>J16*E16</f>
        <v>100</v>
      </c>
      <c r="L16" s="188">
        <v>0.1</v>
      </c>
      <c r="M16" s="188">
        <v>0.1</v>
      </c>
      <c r="N16" s="188">
        <v>0.63</v>
      </c>
      <c r="O16" s="188">
        <v>0.4</v>
      </c>
      <c r="P16" s="60">
        <f>((100%+SUM(L16:N16))+O16*(100%+SUM(L16:N16)))*J16</f>
        <v>128.10000000000002</v>
      </c>
      <c r="Q16" s="60">
        <f>P16*E16</f>
        <v>256.20000000000005</v>
      </c>
      <c r="R16" s="66">
        <f t="shared" si="1"/>
        <v>6629.1750000000002</v>
      </c>
      <c r="S16" s="225">
        <f>R16*E16</f>
        <v>13258.35</v>
      </c>
    </row>
    <row r="17" spans="1:19" ht="15.75" customHeight="1">
      <c r="A17" s="238">
        <v>4</v>
      </c>
      <c r="B17" s="393" t="s">
        <v>291</v>
      </c>
      <c r="C17" s="503"/>
      <c r="D17" s="239"/>
      <c r="E17" s="239"/>
      <c r="F17" s="239"/>
      <c r="G17" s="240"/>
      <c r="H17" s="240"/>
      <c r="I17" s="239"/>
      <c r="J17" s="240"/>
      <c r="K17" s="240"/>
      <c r="L17" s="240"/>
      <c r="M17" s="240"/>
      <c r="N17" s="240"/>
      <c r="O17" s="240"/>
      <c r="P17" s="240"/>
      <c r="Q17" s="240"/>
      <c r="R17" s="240"/>
      <c r="S17" s="241"/>
    </row>
    <row r="18" spans="1:19" ht="152" customHeight="1">
      <c r="A18" s="223"/>
      <c r="B18" s="226" t="s">
        <v>276</v>
      </c>
      <c r="C18" s="226">
        <v>90222900</v>
      </c>
      <c r="D18" s="387" t="s">
        <v>359</v>
      </c>
      <c r="E18" s="59">
        <v>1</v>
      </c>
      <c r="F18" s="59" t="s">
        <v>27</v>
      </c>
      <c r="G18" s="65">
        <v>21700</v>
      </c>
      <c r="H18" s="60">
        <f>E18*G18</f>
        <v>21700</v>
      </c>
      <c r="I18" s="187">
        <v>0</v>
      </c>
      <c r="J18" s="60">
        <f>(100%-I18)*G18</f>
        <v>21700</v>
      </c>
      <c r="K18" s="60">
        <f>J18*E18</f>
        <v>21700</v>
      </c>
      <c r="L18" s="188">
        <v>0.1</v>
      </c>
      <c r="M18" s="188">
        <v>0.1</v>
      </c>
      <c r="N18" s="188">
        <v>0.33</v>
      </c>
      <c r="O18" s="188">
        <v>0.4</v>
      </c>
      <c r="P18" s="60">
        <f>((100%+SUM(L18:N18))+O18*(100%+SUM(L18:N18)))*J18</f>
        <v>46481.400000000009</v>
      </c>
      <c r="Q18" s="60">
        <f>P18*E18</f>
        <v>46481.400000000009</v>
      </c>
      <c r="R18" s="66">
        <f t="shared" si="1"/>
        <v>2405412.4500000002</v>
      </c>
      <c r="S18" s="225">
        <f>R18*E18</f>
        <v>2405412.4500000002</v>
      </c>
    </row>
    <row r="19" spans="1:19" ht="15.75" customHeight="1">
      <c r="A19" s="238">
        <v>5</v>
      </c>
      <c r="B19" s="393" t="s">
        <v>274</v>
      </c>
      <c r="C19" s="503"/>
      <c r="D19" s="239"/>
      <c r="E19" s="239"/>
      <c r="F19" s="239"/>
      <c r="G19" s="240"/>
      <c r="H19" s="240"/>
      <c r="I19" s="239"/>
      <c r="J19" s="240"/>
      <c r="K19" s="240"/>
      <c r="L19" s="240"/>
      <c r="M19" s="240"/>
      <c r="N19" s="240"/>
      <c r="O19" s="240"/>
      <c r="P19" s="240"/>
      <c r="Q19" s="240"/>
      <c r="R19" s="240"/>
      <c r="S19" s="241"/>
    </row>
    <row r="20" spans="1:19" ht="79.5" customHeight="1">
      <c r="A20" s="223"/>
      <c r="B20" s="226" t="s">
        <v>288</v>
      </c>
      <c r="C20" s="226">
        <v>85308000</v>
      </c>
      <c r="D20" s="213" t="s">
        <v>275</v>
      </c>
      <c r="E20" s="59">
        <v>1</v>
      </c>
      <c r="F20" s="59" t="s">
        <v>54</v>
      </c>
      <c r="G20" s="65">
        <v>855</v>
      </c>
      <c r="H20" s="60">
        <f>E20*G20</f>
        <v>855</v>
      </c>
      <c r="I20" s="187">
        <v>0</v>
      </c>
      <c r="J20" s="60">
        <f>(100%-I20)*G20</f>
        <v>855</v>
      </c>
      <c r="K20" s="60">
        <f>J20*E20</f>
        <v>855</v>
      </c>
      <c r="L20" s="188">
        <v>0.1</v>
      </c>
      <c r="M20" s="188">
        <v>0.1</v>
      </c>
      <c r="N20" s="188">
        <v>0.4</v>
      </c>
      <c r="O20" s="188">
        <v>0.4</v>
      </c>
      <c r="P20" s="60">
        <f>((100%+SUM(L20:N20))+O20*(100%+SUM(L20:N20)))*J20</f>
        <v>1915.2000000000003</v>
      </c>
      <c r="Q20" s="60">
        <f>P20*E20</f>
        <v>1915.2000000000003</v>
      </c>
      <c r="R20" s="66">
        <f t="shared" si="1"/>
        <v>99111.6</v>
      </c>
      <c r="S20" s="225">
        <f>R20*E20</f>
        <v>99111.6</v>
      </c>
    </row>
    <row r="21" spans="1:19" ht="15.5">
      <c r="A21" s="238">
        <v>7</v>
      </c>
      <c r="B21" s="393" t="s">
        <v>331</v>
      </c>
      <c r="C21" s="503"/>
      <c r="D21" s="239"/>
      <c r="E21" s="239"/>
      <c r="F21" s="239"/>
      <c r="G21" s="240"/>
      <c r="H21" s="240"/>
      <c r="I21" s="239"/>
      <c r="J21" s="240"/>
      <c r="K21" s="240"/>
      <c r="L21" s="240"/>
      <c r="M21" s="240"/>
      <c r="N21" s="240"/>
      <c r="O21" s="240"/>
      <c r="P21" s="240"/>
      <c r="Q21" s="240"/>
      <c r="R21" s="240"/>
      <c r="S21" s="241"/>
    </row>
    <row r="22" spans="1:19" ht="102.75" customHeight="1">
      <c r="A22" s="223"/>
      <c r="B22" s="226" t="s">
        <v>370</v>
      </c>
      <c r="C22" s="226">
        <v>85437000</v>
      </c>
      <c r="D22" s="382" t="s">
        <v>371</v>
      </c>
      <c r="E22" s="59">
        <v>2</v>
      </c>
      <c r="F22" s="59" t="s">
        <v>54</v>
      </c>
      <c r="G22" s="65">
        <v>208</v>
      </c>
      <c r="H22" s="60">
        <f>E22*G22</f>
        <v>416</v>
      </c>
      <c r="I22" s="187">
        <v>0</v>
      </c>
      <c r="J22" s="60">
        <f>(100%-I22)*G22</f>
        <v>208</v>
      </c>
      <c r="K22" s="60">
        <f>J22*E22</f>
        <v>416</v>
      </c>
      <c r="L22" s="188">
        <v>0.1</v>
      </c>
      <c r="M22" s="188">
        <v>0.1</v>
      </c>
      <c r="N22" s="188">
        <v>0.57999999999999996</v>
      </c>
      <c r="O22" s="188">
        <v>0.4</v>
      </c>
      <c r="P22" s="60">
        <f>((100%+SUM(L22:N22))+O22*(100%+SUM(L22:N22)))*J22</f>
        <v>518.33600000000001</v>
      </c>
      <c r="Q22" s="60">
        <f>P22*E22</f>
        <v>1036.672</v>
      </c>
      <c r="R22" s="66">
        <f t="shared" si="1"/>
        <v>26823.887999999995</v>
      </c>
      <c r="S22" s="225">
        <f>R22*E22</f>
        <v>53647.775999999991</v>
      </c>
    </row>
    <row r="23" spans="1:19" ht="105.75" customHeight="1">
      <c r="A23" s="223"/>
      <c r="B23" s="226" t="s">
        <v>332</v>
      </c>
      <c r="C23" s="226">
        <v>85437000</v>
      </c>
      <c r="D23" s="213" t="s">
        <v>333</v>
      </c>
      <c r="E23" s="59">
        <v>500</v>
      </c>
      <c r="F23" s="59" t="s">
        <v>54</v>
      </c>
      <c r="G23" s="65">
        <v>0.5</v>
      </c>
      <c r="H23" s="60">
        <f>E23*G23</f>
        <v>250</v>
      </c>
      <c r="I23" s="187">
        <v>0</v>
      </c>
      <c r="J23" s="60">
        <f>(100%-I23)*G23</f>
        <v>0.5</v>
      </c>
      <c r="K23" s="60">
        <f>J23*E23</f>
        <v>250</v>
      </c>
      <c r="L23" s="188">
        <v>0.1</v>
      </c>
      <c r="M23" s="188">
        <v>0.1</v>
      </c>
      <c r="N23" s="188">
        <v>0.57999999999999996</v>
      </c>
      <c r="O23" s="188">
        <v>0.4</v>
      </c>
      <c r="P23" s="60">
        <f>((100%+SUM(L23:N23))+O23*(100%+SUM(L23:N23)))*J23</f>
        <v>1.246</v>
      </c>
      <c r="Q23" s="60">
        <f>P23*E23</f>
        <v>623</v>
      </c>
      <c r="R23" s="66">
        <f t="shared" si="1"/>
        <v>64.480499999999992</v>
      </c>
      <c r="S23" s="225">
        <f>R23*E23</f>
        <v>32240.249999999996</v>
      </c>
    </row>
    <row r="24" spans="1:19" ht="15.5">
      <c r="A24" s="238">
        <v>15</v>
      </c>
      <c r="B24" s="393" t="s">
        <v>310</v>
      </c>
      <c r="C24" s="503"/>
      <c r="D24" s="239"/>
      <c r="E24" s="239"/>
      <c r="F24" s="239"/>
      <c r="G24" s="240"/>
      <c r="H24" s="240"/>
      <c r="I24" s="239"/>
      <c r="J24" s="240"/>
      <c r="K24" s="240"/>
      <c r="L24" s="240"/>
      <c r="M24" s="240"/>
      <c r="N24" s="240"/>
      <c r="O24" s="240"/>
      <c r="P24" s="240"/>
      <c r="Q24" s="240"/>
      <c r="R24" s="240"/>
      <c r="S24" s="241"/>
    </row>
    <row r="25" spans="1:19" ht="46.5">
      <c r="A25" s="223"/>
      <c r="B25" s="226" t="s">
        <v>311</v>
      </c>
      <c r="C25" s="226"/>
      <c r="D25" s="382" t="s">
        <v>313</v>
      </c>
      <c r="E25" s="59">
        <v>40</v>
      </c>
      <c r="F25" s="59" t="s">
        <v>54</v>
      </c>
      <c r="G25" s="65">
        <v>135</v>
      </c>
      <c r="H25" s="60">
        <f>E25*G25</f>
        <v>5400</v>
      </c>
      <c r="I25" s="187">
        <v>0</v>
      </c>
      <c r="J25" s="60">
        <f>(100%-I25)*G25</f>
        <v>135</v>
      </c>
      <c r="K25" s="60">
        <f>J25*E25</f>
        <v>5400</v>
      </c>
      <c r="L25" s="188">
        <v>0.1</v>
      </c>
      <c r="M25" s="188">
        <v>0.1</v>
      </c>
      <c r="N25" s="188">
        <v>0.53</v>
      </c>
      <c r="O25" s="188">
        <v>0.4</v>
      </c>
      <c r="P25" s="60">
        <f>((100%+SUM(L25:N25))+O25*(100%+SUM(L25:N25)))*J25</f>
        <v>326.97000000000003</v>
      </c>
      <c r="Q25" s="60">
        <f>P25*E25</f>
        <v>13078.800000000001</v>
      </c>
      <c r="R25" s="66">
        <f t="shared" si="1"/>
        <v>16920.697500000002</v>
      </c>
      <c r="S25" s="225">
        <f>R25*E25</f>
        <v>676827.90000000014</v>
      </c>
    </row>
    <row r="26" spans="1:19" ht="15.5">
      <c r="A26" s="238">
        <v>11</v>
      </c>
      <c r="B26" s="393" t="s">
        <v>314</v>
      </c>
      <c r="C26" s="503"/>
      <c r="D26" s="239"/>
      <c r="E26" s="239"/>
      <c r="F26" s="239"/>
      <c r="G26" s="240"/>
      <c r="H26" s="240"/>
      <c r="I26" s="239"/>
      <c r="J26" s="240"/>
      <c r="K26" s="240"/>
      <c r="L26" s="240"/>
      <c r="M26" s="240"/>
      <c r="N26" s="240"/>
      <c r="O26" s="240"/>
      <c r="P26" s="240"/>
      <c r="Q26" s="240"/>
      <c r="R26" s="240"/>
      <c r="S26" s="241"/>
    </row>
    <row r="27" spans="1:19" ht="16.5" customHeight="1">
      <c r="A27" s="223"/>
      <c r="B27" s="226" t="s">
        <v>279</v>
      </c>
      <c r="C27" s="226"/>
      <c r="D27" s="213" t="s">
        <v>278</v>
      </c>
      <c r="E27" s="59">
        <v>40</v>
      </c>
      <c r="F27" s="59" t="s">
        <v>54</v>
      </c>
      <c r="G27" s="65">
        <v>5</v>
      </c>
      <c r="H27" s="60">
        <f>E27*G27</f>
        <v>200</v>
      </c>
      <c r="I27" s="187">
        <v>0</v>
      </c>
      <c r="J27" s="60">
        <f>(100%-I27)*G27</f>
        <v>5</v>
      </c>
      <c r="K27" s="60">
        <f>J27*E27</f>
        <v>200</v>
      </c>
      <c r="L27" s="188">
        <v>0.1</v>
      </c>
      <c r="M27" s="188">
        <v>0.1</v>
      </c>
      <c r="N27" s="188">
        <v>0.53</v>
      </c>
      <c r="O27" s="188">
        <v>0.4</v>
      </c>
      <c r="P27" s="60">
        <f>((100%+SUM(L27:N27))+O27*(100%+SUM(L27:N27)))*J27</f>
        <v>12.110000000000001</v>
      </c>
      <c r="Q27" s="60">
        <f>P27*E27</f>
        <v>484.40000000000003</v>
      </c>
      <c r="R27" s="66">
        <f t="shared" si="1"/>
        <v>626.6925</v>
      </c>
      <c r="S27" s="225">
        <f>R27*E27</f>
        <v>25067.7</v>
      </c>
    </row>
    <row r="28" spans="1:19" ht="30.75" customHeight="1">
      <c r="A28" s="223"/>
      <c r="B28" s="226" t="s">
        <v>280</v>
      </c>
      <c r="C28" s="226"/>
      <c r="D28" s="213" t="s">
        <v>281</v>
      </c>
      <c r="E28" s="59">
        <v>40</v>
      </c>
      <c r="F28" s="59" t="s">
        <v>54</v>
      </c>
      <c r="G28" s="65">
        <v>25</v>
      </c>
      <c r="H28" s="60">
        <f>E28*G28</f>
        <v>1000</v>
      </c>
      <c r="I28" s="187">
        <v>0</v>
      </c>
      <c r="J28" s="60">
        <f>(100%-I28)*G28</f>
        <v>25</v>
      </c>
      <c r="K28" s="60">
        <f>J28*E28</f>
        <v>1000</v>
      </c>
      <c r="L28" s="188">
        <v>0.1</v>
      </c>
      <c r="M28" s="188">
        <v>0.1</v>
      </c>
      <c r="N28" s="188">
        <v>0.53</v>
      </c>
      <c r="O28" s="188">
        <v>0.4</v>
      </c>
      <c r="P28" s="60">
        <f>((100%+SUM(L28:N28))+O28*(100%+SUM(L28:N28)))*J28</f>
        <v>60.550000000000004</v>
      </c>
      <c r="Q28" s="60">
        <f>P28*E28</f>
        <v>2422</v>
      </c>
      <c r="R28" s="66">
        <f t="shared" si="1"/>
        <v>3133.4624999999996</v>
      </c>
      <c r="S28" s="225">
        <f>R28*E28</f>
        <v>125338.49999999999</v>
      </c>
    </row>
    <row r="29" spans="1:19" ht="69" customHeight="1">
      <c r="A29" s="223"/>
      <c r="B29" s="226" t="s">
        <v>282</v>
      </c>
      <c r="C29" s="226"/>
      <c r="D29" s="213" t="s">
        <v>283</v>
      </c>
      <c r="E29" s="59">
        <v>1</v>
      </c>
      <c r="F29" s="59" t="s">
        <v>54</v>
      </c>
      <c r="G29" s="65">
        <v>19</v>
      </c>
      <c r="H29" s="60">
        <f>E29*G29</f>
        <v>19</v>
      </c>
      <c r="I29" s="187">
        <v>0</v>
      </c>
      <c r="J29" s="60">
        <f>(100%-I29)*G29</f>
        <v>19</v>
      </c>
      <c r="K29" s="60">
        <f>J29*E29</f>
        <v>19</v>
      </c>
      <c r="L29" s="188">
        <v>0.1</v>
      </c>
      <c r="M29" s="188">
        <v>0.1</v>
      </c>
      <c r="N29" s="188">
        <v>0.53</v>
      </c>
      <c r="O29" s="188">
        <v>0.4</v>
      </c>
      <c r="P29" s="60">
        <f>((100%+SUM(L29:N29))+O29*(100%+SUM(L29:N29)))*J29</f>
        <v>46.018000000000001</v>
      </c>
      <c r="Q29" s="60">
        <f>P29*E29</f>
        <v>46.018000000000001</v>
      </c>
      <c r="R29" s="66">
        <f t="shared" si="1"/>
        <v>2381.4314999999997</v>
      </c>
      <c r="S29" s="225">
        <f>R29*E29</f>
        <v>2381.4314999999997</v>
      </c>
    </row>
    <row r="30" spans="1:19" ht="30.75" customHeight="1">
      <c r="A30" s="223"/>
      <c r="B30" s="226" t="s">
        <v>284</v>
      </c>
      <c r="C30" s="226"/>
      <c r="D30" s="213" t="s">
        <v>285</v>
      </c>
      <c r="E30" s="59">
        <v>7</v>
      </c>
      <c r="F30" s="59" t="s">
        <v>54</v>
      </c>
      <c r="G30" s="65">
        <v>20</v>
      </c>
      <c r="H30" s="60">
        <f>E30*G30</f>
        <v>140</v>
      </c>
      <c r="I30" s="187">
        <v>0</v>
      </c>
      <c r="J30" s="60">
        <f>(100%-I30)*G30</f>
        <v>20</v>
      </c>
      <c r="K30" s="60">
        <f>J30*E30</f>
        <v>140</v>
      </c>
      <c r="L30" s="188">
        <v>0.1</v>
      </c>
      <c r="M30" s="188">
        <v>0.1</v>
      </c>
      <c r="N30" s="188">
        <v>0.53</v>
      </c>
      <c r="O30" s="188">
        <v>0.4</v>
      </c>
      <c r="P30" s="60">
        <f>((100%+SUM(L30:N30))+O30*(100%+SUM(L30:N30)))*J30</f>
        <v>48.440000000000005</v>
      </c>
      <c r="Q30" s="60">
        <f>P30*E30</f>
        <v>339.08000000000004</v>
      </c>
      <c r="R30" s="66">
        <f t="shared" si="1"/>
        <v>2506.77</v>
      </c>
      <c r="S30" s="225">
        <f>R30*E30</f>
        <v>17547.39</v>
      </c>
    </row>
    <row r="31" spans="1:19" ht="15.5">
      <c r="A31" s="238">
        <v>15</v>
      </c>
      <c r="B31" s="393" t="s">
        <v>286</v>
      </c>
      <c r="C31" s="503"/>
      <c r="D31" s="239"/>
      <c r="E31" s="239"/>
      <c r="F31" s="239"/>
      <c r="G31" s="240"/>
      <c r="H31" s="240"/>
      <c r="I31" s="239"/>
      <c r="J31" s="240"/>
      <c r="K31" s="240"/>
      <c r="L31" s="240"/>
      <c r="M31" s="240"/>
      <c r="N31" s="240"/>
      <c r="O31" s="240"/>
      <c r="P31" s="240"/>
      <c r="Q31" s="240"/>
      <c r="R31" s="240"/>
      <c r="S31" s="241"/>
    </row>
    <row r="32" spans="1:19" ht="93">
      <c r="A32" s="223"/>
      <c r="B32" s="226" t="s">
        <v>307</v>
      </c>
      <c r="C32" s="226"/>
      <c r="D32" s="213" t="s">
        <v>287</v>
      </c>
      <c r="E32" s="59">
        <v>1</v>
      </c>
      <c r="F32" s="59" t="s">
        <v>54</v>
      </c>
      <c r="G32" s="65">
        <v>135</v>
      </c>
      <c r="H32" s="60">
        <f>E32*G32</f>
        <v>135</v>
      </c>
      <c r="I32" s="187">
        <v>0</v>
      </c>
      <c r="J32" s="60">
        <f>(100%-I32)*G32</f>
        <v>135</v>
      </c>
      <c r="K32" s="60">
        <f>J32*E32</f>
        <v>135</v>
      </c>
      <c r="L32" s="188">
        <v>0.1</v>
      </c>
      <c r="M32" s="188">
        <v>0.1</v>
      </c>
      <c r="N32" s="188">
        <v>0.63</v>
      </c>
      <c r="O32" s="188">
        <v>0.4</v>
      </c>
      <c r="P32" s="60">
        <f>((100%+SUM(L32:N32))+O32*(100%+SUM(L32:N32)))*J32</f>
        <v>345.87000000000006</v>
      </c>
      <c r="Q32" s="60">
        <f>P32*E32</f>
        <v>345.87000000000006</v>
      </c>
      <c r="R32" s="66">
        <f t="shared" si="1"/>
        <v>17898.772500000003</v>
      </c>
      <c r="S32" s="225">
        <f>R32*E32</f>
        <v>17898.772500000003</v>
      </c>
    </row>
    <row r="33" spans="1:19" ht="15.5">
      <c r="A33" s="238">
        <v>15</v>
      </c>
      <c r="B33" s="393" t="s">
        <v>309</v>
      </c>
      <c r="C33" s="503"/>
      <c r="D33" s="239"/>
      <c r="E33" s="239"/>
      <c r="F33" s="239"/>
      <c r="G33" s="240"/>
      <c r="H33" s="240"/>
      <c r="I33" s="239"/>
      <c r="J33" s="240"/>
      <c r="K33" s="240"/>
      <c r="L33" s="240"/>
      <c r="M33" s="240"/>
      <c r="N33" s="240"/>
      <c r="O33" s="240"/>
      <c r="P33" s="240"/>
      <c r="Q33" s="240"/>
      <c r="R33" s="240"/>
      <c r="S33" s="241"/>
    </row>
    <row r="34" spans="1:19" ht="46.5">
      <c r="A34" s="223"/>
      <c r="B34" s="226" t="s">
        <v>308</v>
      </c>
      <c r="C34" s="226"/>
      <c r="D34" s="213" t="s">
        <v>312</v>
      </c>
      <c r="E34" s="59">
        <v>1</v>
      </c>
      <c r="F34" s="59" t="s">
        <v>54</v>
      </c>
      <c r="G34" s="65">
        <v>135</v>
      </c>
      <c r="H34" s="60">
        <f>E34*G34</f>
        <v>135</v>
      </c>
      <c r="I34" s="187">
        <v>0</v>
      </c>
      <c r="J34" s="60">
        <f>(100%-I34)*G34</f>
        <v>135</v>
      </c>
      <c r="K34" s="60">
        <f>J34*E34</f>
        <v>135</v>
      </c>
      <c r="L34" s="188">
        <v>0.1</v>
      </c>
      <c r="M34" s="188">
        <v>0.1</v>
      </c>
      <c r="N34" s="188">
        <v>0.63</v>
      </c>
      <c r="O34" s="188">
        <v>0.4</v>
      </c>
      <c r="P34" s="60">
        <f>((100%+SUM(L34:N34))+O34*(100%+SUM(L34:N34)))*J34</f>
        <v>345.87000000000006</v>
      </c>
      <c r="Q34" s="60">
        <f>P34*E34</f>
        <v>345.87000000000006</v>
      </c>
      <c r="R34" s="66">
        <f t="shared" si="1"/>
        <v>17898.772500000003</v>
      </c>
      <c r="S34" s="225">
        <f>R34*E34</f>
        <v>17898.772500000003</v>
      </c>
    </row>
    <row r="35" spans="1:19" s="261" customFormat="1" ht="18">
      <c r="A35" s="262"/>
      <c r="B35" s="263" t="s">
        <v>23</v>
      </c>
      <c r="C35" s="263"/>
      <c r="D35" s="264"/>
      <c r="E35" s="264"/>
      <c r="F35" s="264"/>
      <c r="G35" s="265"/>
      <c r="H35" s="265"/>
      <c r="I35" s="264"/>
      <c r="J35" s="265"/>
      <c r="K35" s="265"/>
      <c r="L35" s="265"/>
      <c r="M35" s="265"/>
      <c r="N35" s="265"/>
      <c r="O35" s="265"/>
      <c r="P35" s="265"/>
      <c r="Q35" s="265"/>
      <c r="R35" s="265"/>
      <c r="S35" s="428">
        <f>SUM(S9:S34)</f>
        <v>13432859.590500003</v>
      </c>
    </row>
  </sheetData>
  <mergeCells count="1">
    <mergeCell ref="A2:S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0"/>
  <sheetViews>
    <sheetView topLeftCell="D13" zoomScale="68" zoomScaleNormal="68" workbookViewId="0">
      <selection activeCell="B15" sqref="B15"/>
    </sheetView>
  </sheetViews>
  <sheetFormatPr defaultColWidth="8.81640625" defaultRowHeight="14.5"/>
  <cols>
    <col min="1" max="1" width="4.453125" style="313" customWidth="1"/>
    <col min="2" max="3" width="25.26953125" style="313" customWidth="1"/>
    <col min="4" max="4" width="54.453125" style="313" customWidth="1"/>
    <col min="5" max="5" width="7.453125" style="313" customWidth="1"/>
    <col min="6" max="6" width="8.81640625" style="313"/>
    <col min="7" max="7" width="13.54296875" style="313" customWidth="1"/>
    <col min="8" max="8" width="14.54296875" style="313" customWidth="1"/>
    <col min="9" max="9" width="8.81640625" style="313" customWidth="1"/>
    <col min="10" max="10" width="17.7265625" style="313" customWidth="1"/>
    <col min="11" max="11" width="14.26953125" style="313" customWidth="1"/>
    <col min="12" max="15" width="8.81640625" style="313" customWidth="1"/>
    <col min="16" max="16" width="14.7265625" style="313" customWidth="1"/>
    <col min="17" max="17" width="17.1796875" style="313" customWidth="1"/>
    <col min="18" max="18" width="14.81640625" style="313" customWidth="1"/>
    <col min="19" max="19" width="19.453125" style="313" customWidth="1"/>
    <col min="20" max="16384" width="8.81640625" style="313"/>
  </cols>
  <sheetData>
    <row r="3" spans="1:19" ht="26">
      <c r="A3" s="512" t="s">
        <v>293</v>
      </c>
      <c r="B3" s="512"/>
      <c r="C3" s="512"/>
      <c r="D3" s="512"/>
      <c r="E3" s="512"/>
      <c r="F3" s="512"/>
      <c r="G3" s="512"/>
      <c r="H3" s="512"/>
      <c r="I3" s="512"/>
      <c r="J3" s="512"/>
      <c r="K3" s="512"/>
      <c r="L3" s="512"/>
      <c r="M3" s="512"/>
      <c r="N3" s="512"/>
      <c r="O3" s="512"/>
      <c r="P3" s="512"/>
      <c r="Q3" s="512"/>
      <c r="R3" s="512"/>
      <c r="S3" s="512"/>
    </row>
    <row r="4" spans="1:19" ht="58.5" customHeight="1">
      <c r="A4" s="177" t="s">
        <v>1</v>
      </c>
      <c r="B4" s="178" t="s">
        <v>21</v>
      </c>
      <c r="C4" s="178" t="s">
        <v>458</v>
      </c>
      <c r="D4" s="179" t="s">
        <v>15</v>
      </c>
      <c r="E4" s="177" t="s">
        <v>10</v>
      </c>
      <c r="F4" s="180" t="s">
        <v>28</v>
      </c>
      <c r="G4" s="181" t="s">
        <v>0</v>
      </c>
      <c r="H4" s="181" t="s">
        <v>11</v>
      </c>
      <c r="I4" s="177" t="s">
        <v>3</v>
      </c>
      <c r="J4" s="181" t="s">
        <v>12</v>
      </c>
      <c r="K4" s="181" t="s">
        <v>13</v>
      </c>
      <c r="L4" s="181" t="s">
        <v>4</v>
      </c>
      <c r="M4" s="182" t="s">
        <v>5</v>
      </c>
      <c r="N4" s="181" t="s">
        <v>6</v>
      </c>
      <c r="O4" s="183" t="s">
        <v>14</v>
      </c>
      <c r="P4" s="181" t="s">
        <v>22</v>
      </c>
      <c r="Q4" s="181" t="s">
        <v>9</v>
      </c>
      <c r="R4" s="181" t="s">
        <v>460</v>
      </c>
      <c r="S4" s="183" t="s">
        <v>8</v>
      </c>
    </row>
    <row r="5" spans="1:19" s="227" customFormat="1" ht="15.5">
      <c r="A5" s="228">
        <v>1</v>
      </c>
      <c r="B5" s="513" t="s">
        <v>372</v>
      </c>
      <c r="C5" s="513"/>
      <c r="D5" s="513"/>
      <c r="E5" s="229"/>
      <c r="F5" s="229"/>
      <c r="G5" s="230"/>
      <c r="H5" s="230"/>
      <c r="I5" s="229"/>
      <c r="J5" s="230"/>
      <c r="K5" s="230"/>
      <c r="L5" s="230"/>
      <c r="M5" s="230"/>
      <c r="N5" s="230"/>
      <c r="O5" s="230"/>
      <c r="P5" s="230"/>
      <c r="Q5" s="230"/>
      <c r="R5" s="230"/>
      <c r="S5" s="230"/>
    </row>
    <row r="6" spans="1:19" ht="139.5">
      <c r="A6" s="184"/>
      <c r="B6" s="152" t="s">
        <v>241</v>
      </c>
      <c r="C6" s="152"/>
      <c r="D6" s="185" t="s">
        <v>242</v>
      </c>
      <c r="E6" s="186">
        <v>1</v>
      </c>
      <c r="F6" s="186" t="s">
        <v>29</v>
      </c>
      <c r="G6" s="151">
        <v>6000</v>
      </c>
      <c r="H6" s="151">
        <f t="shared" ref="H6:H15" si="0">E6*G6</f>
        <v>6000</v>
      </c>
      <c r="I6" s="187">
        <v>0</v>
      </c>
      <c r="J6" s="151">
        <f t="shared" ref="J6:J15" si="1">(100%-I6)*G6</f>
        <v>6000</v>
      </c>
      <c r="K6" s="151">
        <f t="shared" ref="K6:K15" si="2">J6*E6</f>
        <v>6000</v>
      </c>
      <c r="L6" s="188">
        <v>0</v>
      </c>
      <c r="M6" s="188">
        <v>0.1</v>
      </c>
      <c r="N6" s="188">
        <v>0</v>
      </c>
      <c r="O6" s="188">
        <v>0.4</v>
      </c>
      <c r="P6" s="151">
        <f>((100%+SUM(L6:N6))+O6*(100%+SUM(L6:N6)))*J6</f>
        <v>9240</v>
      </c>
      <c r="Q6" s="151">
        <f>P6*E6</f>
        <v>9240</v>
      </c>
      <c r="R6" s="196">
        <f>45*P6*1.15</f>
        <v>478169.99999999994</v>
      </c>
      <c r="S6" s="196">
        <f>R6*E6</f>
        <v>478169.99999999994</v>
      </c>
    </row>
    <row r="7" spans="1:19" s="227" customFormat="1" ht="15.5">
      <c r="A7" s="228">
        <v>2</v>
      </c>
      <c r="B7" s="513" t="s">
        <v>373</v>
      </c>
      <c r="C7" s="513"/>
      <c r="D7" s="513"/>
      <c r="E7" s="229"/>
      <c r="F7" s="229"/>
      <c r="G7" s="230"/>
      <c r="H7" s="230"/>
      <c r="I7" s="229"/>
      <c r="J7" s="230"/>
      <c r="K7" s="230"/>
      <c r="L7" s="230"/>
      <c r="M7" s="230"/>
      <c r="N7" s="230"/>
      <c r="O7" s="230"/>
      <c r="P7" s="230"/>
      <c r="Q7" s="230"/>
      <c r="R7" s="230"/>
      <c r="S7" s="230"/>
    </row>
    <row r="8" spans="1:19" ht="131.25" customHeight="1">
      <c r="A8" s="184"/>
      <c r="B8" s="152" t="s">
        <v>243</v>
      </c>
      <c r="C8" s="152">
        <v>85437000</v>
      </c>
      <c r="D8" s="185" t="s">
        <v>244</v>
      </c>
      <c r="E8" s="186">
        <v>1</v>
      </c>
      <c r="F8" s="186" t="s">
        <v>29</v>
      </c>
      <c r="G8" s="151">
        <v>6000</v>
      </c>
      <c r="H8" s="190">
        <f t="shared" si="0"/>
        <v>6000</v>
      </c>
      <c r="I8" s="187">
        <v>0</v>
      </c>
      <c r="J8" s="190">
        <f t="shared" si="1"/>
        <v>6000</v>
      </c>
      <c r="K8" s="190">
        <f t="shared" si="2"/>
        <v>6000</v>
      </c>
      <c r="L8" s="188">
        <v>0.1</v>
      </c>
      <c r="M8" s="188">
        <v>0.1</v>
      </c>
      <c r="N8" s="188">
        <v>0.63</v>
      </c>
      <c r="O8" s="188">
        <v>0.4</v>
      </c>
      <c r="P8" s="151">
        <f t="shared" ref="P8:P15" si="3">((100%+SUM(L8:N8))+O8*(100%+SUM(L8:N8)))*J8</f>
        <v>15372.000000000002</v>
      </c>
      <c r="Q8" s="151">
        <f t="shared" ref="Q8:Q15" si="4">P8*E8</f>
        <v>15372.000000000002</v>
      </c>
      <c r="R8" s="196">
        <f t="shared" ref="R8:R18" si="5">45*P8*1.15</f>
        <v>795501.00000000012</v>
      </c>
      <c r="S8" s="196">
        <f t="shared" ref="S8:S15" si="6">R8*E8</f>
        <v>795501.00000000012</v>
      </c>
    </row>
    <row r="9" spans="1:19" ht="39.75" customHeight="1">
      <c r="A9" s="184"/>
      <c r="B9" s="392" t="s">
        <v>374</v>
      </c>
      <c r="C9" s="152">
        <v>85437000</v>
      </c>
      <c r="D9" s="185" t="s">
        <v>375</v>
      </c>
      <c r="E9" s="186">
        <v>1</v>
      </c>
      <c r="F9" s="186" t="s">
        <v>29</v>
      </c>
      <c r="G9" s="151">
        <v>450</v>
      </c>
      <c r="H9" s="190">
        <f t="shared" si="0"/>
        <v>450</v>
      </c>
      <c r="I9" s="187">
        <v>0</v>
      </c>
      <c r="J9" s="190">
        <f t="shared" si="1"/>
        <v>450</v>
      </c>
      <c r="K9" s="190">
        <f t="shared" si="2"/>
        <v>450</v>
      </c>
      <c r="L9" s="188">
        <v>0.1</v>
      </c>
      <c r="M9" s="188">
        <v>0.1</v>
      </c>
      <c r="N9" s="188">
        <v>0.63</v>
      </c>
      <c r="O9" s="188">
        <v>0.4</v>
      </c>
      <c r="P9" s="151">
        <f t="shared" si="3"/>
        <v>1152.9000000000001</v>
      </c>
      <c r="Q9" s="151">
        <f t="shared" si="4"/>
        <v>1152.9000000000001</v>
      </c>
      <c r="R9" s="196">
        <f t="shared" si="5"/>
        <v>59662.575000000004</v>
      </c>
      <c r="S9" s="196">
        <f t="shared" si="6"/>
        <v>59662.575000000004</v>
      </c>
    </row>
    <row r="10" spans="1:19" s="227" customFormat="1" ht="15.5">
      <c r="A10" s="228">
        <v>3</v>
      </c>
      <c r="B10" s="513" t="s">
        <v>376</v>
      </c>
      <c r="C10" s="513"/>
      <c r="D10" s="513"/>
      <c r="E10" s="229"/>
      <c r="F10" s="229"/>
      <c r="G10" s="230"/>
      <c r="H10" s="230"/>
      <c r="I10" s="229"/>
      <c r="J10" s="230"/>
      <c r="K10" s="230"/>
      <c r="L10" s="230"/>
      <c r="M10" s="230"/>
      <c r="N10" s="230"/>
      <c r="O10" s="230"/>
      <c r="P10" s="230"/>
      <c r="Q10" s="230"/>
      <c r="R10" s="230"/>
      <c r="S10" s="230"/>
    </row>
    <row r="11" spans="1:19" ht="124">
      <c r="A11" s="184"/>
      <c r="B11" s="191" t="s">
        <v>245</v>
      </c>
      <c r="C11" s="152">
        <v>85437000</v>
      </c>
      <c r="D11" s="192" t="s">
        <v>246</v>
      </c>
      <c r="E11" s="189">
        <v>60</v>
      </c>
      <c r="F11" s="186" t="s">
        <v>37</v>
      </c>
      <c r="G11" s="151">
        <v>300</v>
      </c>
      <c r="H11" s="190">
        <f t="shared" si="0"/>
        <v>18000</v>
      </c>
      <c r="I11" s="187">
        <v>0</v>
      </c>
      <c r="J11" s="190">
        <f t="shared" si="1"/>
        <v>300</v>
      </c>
      <c r="K11" s="190">
        <f t="shared" si="2"/>
        <v>18000</v>
      </c>
      <c r="L11" s="188">
        <v>0.1</v>
      </c>
      <c r="M11" s="188">
        <v>0.1</v>
      </c>
      <c r="N11" s="188">
        <v>0.63</v>
      </c>
      <c r="O11" s="188">
        <v>0.4</v>
      </c>
      <c r="P11" s="151">
        <f t="shared" si="3"/>
        <v>768.60000000000014</v>
      </c>
      <c r="Q11" s="151">
        <f t="shared" si="4"/>
        <v>46116.000000000007</v>
      </c>
      <c r="R11" s="196">
        <f t="shared" si="5"/>
        <v>39775.050000000003</v>
      </c>
      <c r="S11" s="196">
        <f t="shared" si="6"/>
        <v>2386503</v>
      </c>
    </row>
    <row r="12" spans="1:19" s="227" customFormat="1" ht="15.5">
      <c r="A12" s="228">
        <v>4</v>
      </c>
      <c r="B12" s="513" t="s">
        <v>377</v>
      </c>
      <c r="C12" s="513"/>
      <c r="D12" s="513"/>
      <c r="E12" s="229"/>
      <c r="F12" s="229"/>
      <c r="G12" s="230"/>
      <c r="H12" s="230"/>
      <c r="I12" s="229"/>
      <c r="J12" s="230"/>
      <c r="K12" s="230"/>
      <c r="L12" s="230"/>
      <c r="M12" s="230"/>
      <c r="N12" s="230"/>
      <c r="O12" s="230"/>
      <c r="P12" s="230"/>
      <c r="Q12" s="230"/>
      <c r="R12" s="230"/>
      <c r="S12" s="230"/>
    </row>
    <row r="13" spans="1:19" ht="170.5">
      <c r="A13" s="184"/>
      <c r="B13" s="191" t="s">
        <v>247</v>
      </c>
      <c r="C13" s="152">
        <v>85437000</v>
      </c>
      <c r="D13" s="193" t="s">
        <v>248</v>
      </c>
      <c r="E13" s="189">
        <v>2</v>
      </c>
      <c r="F13" s="186" t="s">
        <v>29</v>
      </c>
      <c r="G13" s="151">
        <v>1600</v>
      </c>
      <c r="H13" s="190">
        <f t="shared" si="0"/>
        <v>3200</v>
      </c>
      <c r="I13" s="187">
        <v>0</v>
      </c>
      <c r="J13" s="190">
        <f t="shared" si="1"/>
        <v>1600</v>
      </c>
      <c r="K13" s="190">
        <f t="shared" si="2"/>
        <v>3200</v>
      </c>
      <c r="L13" s="188">
        <v>0.1</v>
      </c>
      <c r="M13" s="188">
        <v>0.1</v>
      </c>
      <c r="N13" s="188">
        <v>0.63</v>
      </c>
      <c r="O13" s="188">
        <v>0.4</v>
      </c>
      <c r="P13" s="151">
        <f t="shared" si="3"/>
        <v>4099.2000000000007</v>
      </c>
      <c r="Q13" s="151">
        <f t="shared" si="4"/>
        <v>8198.4000000000015</v>
      </c>
      <c r="R13" s="196">
        <f t="shared" si="5"/>
        <v>212133.6</v>
      </c>
      <c r="S13" s="196">
        <f t="shared" si="6"/>
        <v>424267.2</v>
      </c>
    </row>
    <row r="14" spans="1:19" s="227" customFormat="1" ht="15.5">
      <c r="A14" s="228">
        <v>4</v>
      </c>
      <c r="B14" s="513" t="s">
        <v>378</v>
      </c>
      <c r="C14" s="513"/>
      <c r="D14" s="513"/>
      <c r="E14" s="229"/>
      <c r="F14" s="229"/>
      <c r="G14" s="230"/>
      <c r="H14" s="230"/>
      <c r="I14" s="229"/>
      <c r="J14" s="230"/>
      <c r="K14" s="230"/>
      <c r="L14" s="230"/>
      <c r="M14" s="230"/>
      <c r="N14" s="230"/>
      <c r="O14" s="230"/>
      <c r="P14" s="230"/>
      <c r="Q14" s="230"/>
      <c r="R14" s="230"/>
      <c r="S14" s="230"/>
    </row>
    <row r="15" spans="1:19" ht="62">
      <c r="A15" s="184"/>
      <c r="B15" s="194" t="s">
        <v>249</v>
      </c>
      <c r="C15" s="152">
        <v>85437000</v>
      </c>
      <c r="D15" s="193" t="s">
        <v>250</v>
      </c>
      <c r="E15" s="186">
        <v>3</v>
      </c>
      <c r="F15" s="186" t="s">
        <v>29</v>
      </c>
      <c r="G15" s="151">
        <v>5000</v>
      </c>
      <c r="H15" s="195">
        <f t="shared" si="0"/>
        <v>15000</v>
      </c>
      <c r="I15" s="187">
        <v>0</v>
      </c>
      <c r="J15" s="190">
        <f t="shared" si="1"/>
        <v>5000</v>
      </c>
      <c r="K15" s="190">
        <f t="shared" si="2"/>
        <v>15000</v>
      </c>
      <c r="L15" s="188">
        <v>0.1</v>
      </c>
      <c r="M15" s="188">
        <v>0.1</v>
      </c>
      <c r="N15" s="188">
        <v>0.63</v>
      </c>
      <c r="O15" s="188">
        <v>0.4</v>
      </c>
      <c r="P15" s="151">
        <f t="shared" si="3"/>
        <v>12810.000000000002</v>
      </c>
      <c r="Q15" s="151">
        <f t="shared" si="4"/>
        <v>38430.000000000007</v>
      </c>
      <c r="R15" s="196">
        <f t="shared" si="5"/>
        <v>662917.50000000012</v>
      </c>
      <c r="S15" s="196">
        <f t="shared" si="6"/>
        <v>1988752.5000000005</v>
      </c>
    </row>
    <row r="16" spans="1:19" s="478" customFormat="1" ht="15.5">
      <c r="A16" s="475">
        <v>5</v>
      </c>
      <c r="B16" s="511" t="s">
        <v>379</v>
      </c>
      <c r="C16" s="511"/>
      <c r="D16" s="511"/>
      <c r="E16" s="476"/>
      <c r="F16" s="476"/>
      <c r="G16" s="477"/>
      <c r="H16" s="477"/>
      <c r="I16" s="476"/>
      <c r="J16" s="477"/>
      <c r="K16" s="477"/>
      <c r="L16" s="477"/>
      <c r="M16" s="477"/>
      <c r="N16" s="477"/>
      <c r="O16" s="477"/>
      <c r="P16" s="477"/>
      <c r="Q16" s="477"/>
      <c r="R16" s="196">
        <f t="shared" si="5"/>
        <v>0</v>
      </c>
      <c r="S16" s="477"/>
    </row>
    <row r="17" spans="1:19" s="391" customFormat="1" ht="31">
      <c r="A17" s="471"/>
      <c r="B17" s="472" t="s">
        <v>156</v>
      </c>
      <c r="C17" s="472"/>
      <c r="D17" s="473" t="s">
        <v>157</v>
      </c>
      <c r="E17" s="454">
        <v>1</v>
      </c>
      <c r="F17" s="454" t="s">
        <v>153</v>
      </c>
      <c r="G17" s="474">
        <v>931</v>
      </c>
      <c r="H17" s="456">
        <f>E17*G17</f>
        <v>931</v>
      </c>
      <c r="I17" s="457">
        <v>0</v>
      </c>
      <c r="J17" s="456">
        <f>(100%-I17)*G17</f>
        <v>931</v>
      </c>
      <c r="K17" s="456">
        <f>J17*E17</f>
        <v>931</v>
      </c>
      <c r="L17" s="458">
        <v>0</v>
      </c>
      <c r="M17" s="458">
        <v>0.1</v>
      </c>
      <c r="N17" s="458">
        <v>0</v>
      </c>
      <c r="O17" s="458">
        <v>0.4</v>
      </c>
      <c r="P17" s="456">
        <f>((100%+SUM(L17:N17))+O17*(100%+SUM(L17:N17)))*J17</f>
        <v>1433.74</v>
      </c>
      <c r="Q17" s="456">
        <f>P17*E17</f>
        <v>1433.74</v>
      </c>
      <c r="R17" s="196">
        <f t="shared" si="5"/>
        <v>74196.044999999998</v>
      </c>
      <c r="S17" s="432">
        <f>R17*E17</f>
        <v>74196.044999999998</v>
      </c>
    </row>
    <row r="18" spans="1:19" s="391" customFormat="1" ht="46.5">
      <c r="A18" s="471"/>
      <c r="B18" s="472" t="s">
        <v>251</v>
      </c>
      <c r="C18" s="472"/>
      <c r="D18" s="473" t="s">
        <v>155</v>
      </c>
      <c r="E18" s="454">
        <v>1</v>
      </c>
      <c r="F18" s="454" t="s">
        <v>33</v>
      </c>
      <c r="G18" s="474">
        <v>882</v>
      </c>
      <c r="H18" s="456">
        <f>E18*G18</f>
        <v>882</v>
      </c>
      <c r="I18" s="457">
        <v>0</v>
      </c>
      <c r="J18" s="456">
        <f>(100%-I18)*G18</f>
        <v>882</v>
      </c>
      <c r="K18" s="456">
        <f>J18*E18</f>
        <v>882</v>
      </c>
      <c r="L18" s="458">
        <v>0</v>
      </c>
      <c r="M18" s="458">
        <v>0.1</v>
      </c>
      <c r="N18" s="458">
        <v>0</v>
      </c>
      <c r="O18" s="458">
        <v>0.4</v>
      </c>
      <c r="P18" s="456">
        <f>((100%+SUM(L18:N18))+O18*(100%+SUM(L18:N18)))*J18</f>
        <v>1358.28</v>
      </c>
      <c r="Q18" s="456">
        <f>P18*E18</f>
        <v>1358.28</v>
      </c>
      <c r="R18" s="196">
        <f t="shared" si="5"/>
        <v>70290.989999999991</v>
      </c>
      <c r="S18" s="432">
        <f>R18*E18</f>
        <v>70290.989999999991</v>
      </c>
    </row>
    <row r="19" spans="1:19" s="391" customFormat="1" ht="31">
      <c r="A19" s="471"/>
      <c r="B19" s="472" t="s">
        <v>316</v>
      </c>
      <c r="C19" s="472"/>
      <c r="D19" s="473" t="s">
        <v>317</v>
      </c>
      <c r="E19" s="454">
        <v>1</v>
      </c>
      <c r="F19" s="454" t="s">
        <v>33</v>
      </c>
      <c r="G19" s="474">
        <v>50000</v>
      </c>
      <c r="H19" s="456">
        <f>E19*G19</f>
        <v>50000</v>
      </c>
      <c r="I19" s="457">
        <v>0</v>
      </c>
      <c r="J19" s="456">
        <f>(100%-I19)*G19</f>
        <v>50000</v>
      </c>
      <c r="K19" s="456">
        <f>J19*E19</f>
        <v>50000</v>
      </c>
      <c r="L19" s="458">
        <v>0</v>
      </c>
      <c r="M19" s="458">
        <v>0.1</v>
      </c>
      <c r="N19" s="458">
        <v>0</v>
      </c>
      <c r="O19" s="458">
        <v>0.4</v>
      </c>
      <c r="P19" s="456">
        <f>((100%+SUM(L19:N19))+O19*(100%+SUM(L19:N19)))*J19</f>
        <v>77000</v>
      </c>
      <c r="Q19" s="456">
        <f>P19*E19</f>
        <v>77000</v>
      </c>
      <c r="R19" s="196">
        <f>P19*1.15</f>
        <v>88550</v>
      </c>
      <c r="S19" s="432">
        <f>R19*E19</f>
        <v>88550</v>
      </c>
    </row>
    <row r="20" spans="1:19" ht="18.5">
      <c r="A20" s="231"/>
      <c r="B20" s="232" t="s">
        <v>26</v>
      </c>
      <c r="C20" s="232"/>
      <c r="D20" s="232"/>
      <c r="E20" s="233"/>
      <c r="F20" s="233"/>
      <c r="G20" s="232"/>
      <c r="H20" s="234"/>
      <c r="I20" s="233"/>
      <c r="J20" s="232"/>
      <c r="K20" s="234"/>
      <c r="L20" s="232"/>
      <c r="M20" s="232"/>
      <c r="N20" s="232"/>
      <c r="O20" s="232"/>
      <c r="P20" s="232"/>
      <c r="Q20" s="235"/>
      <c r="R20" s="237"/>
      <c r="S20" s="236">
        <f>SUM(S6:S19)</f>
        <v>6365893.3100000005</v>
      </c>
    </row>
  </sheetData>
  <mergeCells count="7">
    <mergeCell ref="B16:D16"/>
    <mergeCell ref="A3:S3"/>
    <mergeCell ref="B5:D5"/>
    <mergeCell ref="B7:D7"/>
    <mergeCell ref="B10:D10"/>
    <mergeCell ref="B12:D12"/>
    <mergeCell ref="B14:D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opLeftCell="G21" workbookViewId="0">
      <selection activeCell="S23" sqref="S23"/>
    </sheetView>
  </sheetViews>
  <sheetFormatPr defaultColWidth="8.81640625" defaultRowHeight="14.5"/>
  <cols>
    <col min="1" max="1" width="3.26953125" style="313" customWidth="1"/>
    <col min="2" max="3" width="14.453125" style="313" customWidth="1"/>
    <col min="4" max="4" width="35" style="313" customWidth="1"/>
    <col min="5" max="5" width="9.26953125" style="313" bestFit="1" customWidth="1"/>
    <col min="6" max="6" width="8.81640625" style="313"/>
    <col min="7" max="7" width="13.453125" style="313" customWidth="1"/>
    <col min="8" max="8" width="17" style="313" customWidth="1"/>
    <col min="9" max="9" width="9.26953125" style="313" customWidth="1"/>
    <col min="10" max="10" width="10.81640625" style="313" customWidth="1"/>
    <col min="11" max="11" width="15.54296875" style="313" customWidth="1"/>
    <col min="12" max="15" width="9.26953125" style="313" customWidth="1"/>
    <col min="16" max="16" width="10.81640625" style="313" customWidth="1"/>
    <col min="17" max="17" width="15.54296875" style="313" customWidth="1"/>
    <col min="18" max="18" width="11.1796875" style="313" customWidth="1"/>
    <col min="19" max="19" width="20.453125" style="313" customWidth="1"/>
    <col min="20" max="16384" width="8.81640625" style="313"/>
  </cols>
  <sheetData>
    <row r="1" spans="1:19" ht="15" thickBot="1"/>
    <row r="2" spans="1:19" ht="26.5" thickBot="1">
      <c r="A2" s="508" t="s">
        <v>269</v>
      </c>
      <c r="B2" s="509"/>
      <c r="C2" s="509"/>
      <c r="D2" s="509"/>
      <c r="E2" s="509"/>
      <c r="F2" s="509"/>
      <c r="G2" s="509"/>
      <c r="H2" s="509"/>
      <c r="I2" s="509"/>
      <c r="J2" s="509"/>
      <c r="K2" s="509"/>
      <c r="L2" s="509"/>
      <c r="M2" s="509"/>
      <c r="N2" s="509"/>
      <c r="O2" s="509"/>
      <c r="P2" s="509"/>
      <c r="Q2" s="509"/>
      <c r="R2" s="509"/>
      <c r="S2" s="510"/>
    </row>
    <row r="3" spans="1:19" ht="39.5">
      <c r="A3" s="175" t="s">
        <v>216</v>
      </c>
      <c r="B3" s="174" t="s">
        <v>21</v>
      </c>
      <c r="C3" s="174" t="s">
        <v>458</v>
      </c>
      <c r="D3" s="173" t="s">
        <v>15</v>
      </c>
      <c r="E3" s="172" t="s">
        <v>10</v>
      </c>
      <c r="F3" s="172" t="s">
        <v>217</v>
      </c>
      <c r="G3" s="171" t="s">
        <v>0</v>
      </c>
      <c r="H3" s="171" t="s">
        <v>11</v>
      </c>
      <c r="I3" s="170" t="s">
        <v>3</v>
      </c>
      <c r="J3" s="171" t="s">
        <v>12</v>
      </c>
      <c r="K3" s="171" t="s">
        <v>13</v>
      </c>
      <c r="L3" s="171" t="s">
        <v>4</v>
      </c>
      <c r="M3" s="169" t="s">
        <v>5</v>
      </c>
      <c r="N3" s="171" t="s">
        <v>6</v>
      </c>
      <c r="O3" s="168" t="s">
        <v>14</v>
      </c>
      <c r="P3" s="171" t="s">
        <v>22</v>
      </c>
      <c r="Q3" s="171" t="s">
        <v>9</v>
      </c>
      <c r="R3" s="171" t="s">
        <v>461</v>
      </c>
      <c r="S3" s="167" t="s">
        <v>8</v>
      </c>
    </row>
    <row r="4" spans="1:19" ht="15.5">
      <c r="A4" s="238">
        <v>1</v>
      </c>
      <c r="B4" s="514" t="s">
        <v>380</v>
      </c>
      <c r="C4" s="514"/>
      <c r="D4" s="514"/>
      <c r="E4" s="239"/>
      <c r="F4" s="239"/>
      <c r="G4" s="240"/>
      <c r="H4" s="240"/>
      <c r="I4" s="239"/>
      <c r="J4" s="240"/>
      <c r="K4" s="240"/>
      <c r="L4" s="240"/>
      <c r="M4" s="240"/>
      <c r="N4" s="240"/>
      <c r="O4" s="240"/>
      <c r="P4" s="240"/>
      <c r="Q4" s="240"/>
      <c r="R4" s="240"/>
      <c r="S4" s="241"/>
    </row>
    <row r="5" spans="1:19" ht="102.75" customHeight="1">
      <c r="A5" s="166"/>
      <c r="B5" s="165" t="s">
        <v>218</v>
      </c>
      <c r="C5" s="165">
        <v>90072000</v>
      </c>
      <c r="D5" s="164" t="s">
        <v>252</v>
      </c>
      <c r="E5" s="150">
        <v>5</v>
      </c>
      <c r="F5" s="150" t="s">
        <v>43</v>
      </c>
      <c r="G5" s="163">
        <v>3342</v>
      </c>
      <c r="H5" s="149">
        <f t="shared" ref="H5:H10" si="0">E5*G5</f>
        <v>16710</v>
      </c>
      <c r="I5" s="162">
        <v>0</v>
      </c>
      <c r="J5" s="149">
        <f t="shared" ref="J5:J10" si="1">(100%-I5)*G5</f>
        <v>3342</v>
      </c>
      <c r="K5" s="149">
        <f t="shared" ref="K5:K10" si="2">J5*E5</f>
        <v>16710</v>
      </c>
      <c r="L5" s="161">
        <v>0.1</v>
      </c>
      <c r="M5" s="161">
        <v>0.1</v>
      </c>
      <c r="N5" s="161">
        <v>0.63</v>
      </c>
      <c r="O5" s="161">
        <v>0.4</v>
      </c>
      <c r="P5" s="149">
        <f t="shared" ref="P5:P10" si="3">((100%+SUM(L5:N5))+O5*(100%+SUM(L5:N5)))*J5</f>
        <v>8562.2040000000015</v>
      </c>
      <c r="Q5" s="149">
        <f t="shared" ref="Q5:Q10" si="4">P5*E5</f>
        <v>42811.020000000004</v>
      </c>
      <c r="R5" s="160">
        <f>45*P5*1.15</f>
        <v>443094.05700000003</v>
      </c>
      <c r="S5" s="159">
        <f t="shared" ref="S5:S10" si="5">R5*E5</f>
        <v>2215470.2850000001</v>
      </c>
    </row>
    <row r="6" spans="1:19" ht="52.5">
      <c r="A6" s="166"/>
      <c r="B6" s="158" t="s">
        <v>219</v>
      </c>
      <c r="C6" s="158"/>
      <c r="D6" s="157" t="s">
        <v>220</v>
      </c>
      <c r="E6" s="150">
        <v>5</v>
      </c>
      <c r="F6" s="150" t="s">
        <v>43</v>
      </c>
      <c r="G6" s="163">
        <v>68</v>
      </c>
      <c r="H6" s="149">
        <f t="shared" si="0"/>
        <v>340</v>
      </c>
      <c r="I6" s="162">
        <v>0</v>
      </c>
      <c r="J6" s="149">
        <f t="shared" si="1"/>
        <v>68</v>
      </c>
      <c r="K6" s="149">
        <f t="shared" si="2"/>
        <v>340</v>
      </c>
      <c r="L6" s="161">
        <v>0.1</v>
      </c>
      <c r="M6" s="161">
        <v>0.1</v>
      </c>
      <c r="N6" s="161">
        <v>0.63</v>
      </c>
      <c r="O6" s="161">
        <v>0.4</v>
      </c>
      <c r="P6" s="149">
        <f t="shared" si="3"/>
        <v>174.21600000000001</v>
      </c>
      <c r="Q6" s="149">
        <f t="shared" si="4"/>
        <v>871.08</v>
      </c>
      <c r="R6" s="160">
        <f t="shared" ref="R6:R15" si="6">45*P6*1.15</f>
        <v>9015.6779999999999</v>
      </c>
      <c r="S6" s="159">
        <f t="shared" si="5"/>
        <v>45078.39</v>
      </c>
    </row>
    <row r="7" spans="1:19" ht="52.5">
      <c r="A7" s="166"/>
      <c r="B7" s="158" t="s">
        <v>221</v>
      </c>
      <c r="C7" s="158"/>
      <c r="D7" s="157" t="s">
        <v>222</v>
      </c>
      <c r="E7" s="150">
        <v>5</v>
      </c>
      <c r="F7" s="150" t="s">
        <v>43</v>
      </c>
      <c r="G7" s="163">
        <v>158</v>
      </c>
      <c r="H7" s="149">
        <f t="shared" si="0"/>
        <v>790</v>
      </c>
      <c r="I7" s="162">
        <v>0</v>
      </c>
      <c r="J7" s="149">
        <f t="shared" si="1"/>
        <v>158</v>
      </c>
      <c r="K7" s="149">
        <f t="shared" si="2"/>
        <v>790</v>
      </c>
      <c r="L7" s="161">
        <v>0.1</v>
      </c>
      <c r="M7" s="161">
        <v>0.1</v>
      </c>
      <c r="N7" s="161">
        <v>0.63</v>
      </c>
      <c r="O7" s="161">
        <v>0.4</v>
      </c>
      <c r="P7" s="149">
        <f t="shared" si="3"/>
        <v>404.79600000000005</v>
      </c>
      <c r="Q7" s="149">
        <f t="shared" si="4"/>
        <v>2023.9800000000002</v>
      </c>
      <c r="R7" s="160">
        <f t="shared" si="6"/>
        <v>20948.193000000003</v>
      </c>
      <c r="S7" s="159">
        <f t="shared" si="5"/>
        <v>104740.96500000001</v>
      </c>
    </row>
    <row r="8" spans="1:19" ht="39.5">
      <c r="A8" s="166"/>
      <c r="B8" s="158" t="s">
        <v>223</v>
      </c>
      <c r="C8" s="158"/>
      <c r="D8" s="157" t="s">
        <v>224</v>
      </c>
      <c r="E8" s="150">
        <v>5</v>
      </c>
      <c r="F8" s="150" t="s">
        <v>43</v>
      </c>
      <c r="G8" s="163">
        <v>266</v>
      </c>
      <c r="H8" s="149">
        <f t="shared" si="0"/>
        <v>1330</v>
      </c>
      <c r="I8" s="162">
        <v>0</v>
      </c>
      <c r="J8" s="149">
        <f t="shared" si="1"/>
        <v>266</v>
      </c>
      <c r="K8" s="149">
        <f t="shared" si="2"/>
        <v>1330</v>
      </c>
      <c r="L8" s="161">
        <v>0.1</v>
      </c>
      <c r="M8" s="161">
        <v>0.1</v>
      </c>
      <c r="N8" s="161">
        <v>0.63</v>
      </c>
      <c r="O8" s="161">
        <v>0.4</v>
      </c>
      <c r="P8" s="149">
        <f t="shared" si="3"/>
        <v>681.49200000000008</v>
      </c>
      <c r="Q8" s="149">
        <f t="shared" si="4"/>
        <v>3407.4600000000005</v>
      </c>
      <c r="R8" s="160">
        <f t="shared" si="6"/>
        <v>35267.211000000003</v>
      </c>
      <c r="S8" s="159">
        <f t="shared" si="5"/>
        <v>176336.05500000002</v>
      </c>
    </row>
    <row r="9" spans="1:19">
      <c r="A9" s="166"/>
      <c r="B9" s="158" t="s">
        <v>225</v>
      </c>
      <c r="C9" s="158"/>
      <c r="D9" s="156" t="s">
        <v>226</v>
      </c>
      <c r="E9" s="150">
        <v>5</v>
      </c>
      <c r="F9" s="150" t="s">
        <v>43</v>
      </c>
      <c r="G9" s="163">
        <v>24.02</v>
      </c>
      <c r="H9" s="149">
        <f t="shared" si="0"/>
        <v>120.1</v>
      </c>
      <c r="I9" s="162">
        <v>0</v>
      </c>
      <c r="J9" s="149">
        <f t="shared" si="1"/>
        <v>24.02</v>
      </c>
      <c r="K9" s="149">
        <f t="shared" si="2"/>
        <v>120.1</v>
      </c>
      <c r="L9" s="161">
        <v>0.1</v>
      </c>
      <c r="M9" s="161">
        <v>0.1</v>
      </c>
      <c r="N9" s="161">
        <v>0.63</v>
      </c>
      <c r="O9" s="161">
        <v>0.4</v>
      </c>
      <c r="P9" s="149">
        <f t="shared" si="3"/>
        <v>61.539240000000007</v>
      </c>
      <c r="Q9" s="149">
        <f t="shared" si="4"/>
        <v>307.69620000000003</v>
      </c>
      <c r="R9" s="160">
        <f t="shared" si="6"/>
        <v>3184.6556700000001</v>
      </c>
      <c r="S9" s="159">
        <f t="shared" si="5"/>
        <v>15923.278350000001</v>
      </c>
    </row>
    <row r="10" spans="1:19" ht="75.75" customHeight="1">
      <c r="A10" s="166"/>
      <c r="B10" s="158" t="s">
        <v>225</v>
      </c>
      <c r="C10" s="158"/>
      <c r="D10" s="156" t="s">
        <v>227</v>
      </c>
      <c r="E10" s="150">
        <v>5</v>
      </c>
      <c r="F10" s="150" t="s">
        <v>43</v>
      </c>
      <c r="G10" s="163">
        <v>229</v>
      </c>
      <c r="H10" s="149">
        <f t="shared" si="0"/>
        <v>1145</v>
      </c>
      <c r="I10" s="162">
        <v>0</v>
      </c>
      <c r="J10" s="149">
        <f t="shared" si="1"/>
        <v>229</v>
      </c>
      <c r="K10" s="149">
        <f t="shared" si="2"/>
        <v>1145</v>
      </c>
      <c r="L10" s="161">
        <v>0.1</v>
      </c>
      <c r="M10" s="161">
        <v>0.1</v>
      </c>
      <c r="N10" s="161">
        <v>0.63</v>
      </c>
      <c r="O10" s="161">
        <v>0.4</v>
      </c>
      <c r="P10" s="149">
        <f t="shared" si="3"/>
        <v>586.69800000000009</v>
      </c>
      <c r="Q10" s="149">
        <f t="shared" si="4"/>
        <v>2933.4900000000007</v>
      </c>
      <c r="R10" s="160">
        <f t="shared" si="6"/>
        <v>30361.621500000001</v>
      </c>
      <c r="S10" s="159">
        <f t="shared" si="5"/>
        <v>151808.10750000001</v>
      </c>
    </row>
    <row r="11" spans="1:19" ht="15.5">
      <c r="A11" s="238">
        <v>2</v>
      </c>
      <c r="B11" s="514" t="s">
        <v>228</v>
      </c>
      <c r="C11" s="514"/>
      <c r="D11" s="514"/>
      <c r="E11" s="239"/>
      <c r="F11" s="239"/>
      <c r="G11" s="240"/>
      <c r="H11" s="240"/>
      <c r="I11" s="239"/>
      <c r="J11" s="240"/>
      <c r="K11" s="240"/>
      <c r="L11" s="240"/>
      <c r="M11" s="240"/>
      <c r="N11" s="240"/>
      <c r="O11" s="240"/>
      <c r="P11" s="240"/>
      <c r="Q11" s="240"/>
      <c r="R11" s="160">
        <f t="shared" si="6"/>
        <v>0</v>
      </c>
      <c r="S11" s="241"/>
    </row>
    <row r="12" spans="1:19" ht="26.5">
      <c r="A12" s="166"/>
      <c r="B12" s="429" t="s">
        <v>228</v>
      </c>
      <c r="C12" s="429"/>
      <c r="D12" s="155" t="s">
        <v>229</v>
      </c>
      <c r="E12" s="430">
        <v>5</v>
      </c>
      <c r="F12" s="150" t="s">
        <v>43</v>
      </c>
      <c r="G12" s="163">
        <v>499.99</v>
      </c>
      <c r="H12" s="149">
        <f>E12*G12</f>
        <v>2499.9499999999998</v>
      </c>
      <c r="I12" s="162">
        <v>0</v>
      </c>
      <c r="J12" s="149">
        <f>(100%-I12)*G12</f>
        <v>499.99</v>
      </c>
      <c r="K12" s="149">
        <f>J12*E12</f>
        <v>2499.9499999999998</v>
      </c>
      <c r="L12" s="161">
        <v>0.1</v>
      </c>
      <c r="M12" s="161">
        <v>0.1</v>
      </c>
      <c r="N12" s="161">
        <v>0.4</v>
      </c>
      <c r="O12" s="161">
        <v>0.4</v>
      </c>
      <c r="P12" s="149">
        <f>((100%+SUM(L12:N12))+O12*(100%+SUM(L12:N12)))*J12</f>
        <v>1119.9776000000002</v>
      </c>
      <c r="Q12" s="149">
        <f>P12*E12</f>
        <v>5599.8880000000008</v>
      </c>
      <c r="R12" s="160">
        <f t="shared" si="6"/>
        <v>57958.840800000005</v>
      </c>
      <c r="S12" s="159">
        <f>R12*E12</f>
        <v>289794.20400000003</v>
      </c>
    </row>
    <row r="13" spans="1:19" ht="15.5">
      <c r="A13" s="238">
        <v>3</v>
      </c>
      <c r="B13" s="514" t="s">
        <v>408</v>
      </c>
      <c r="C13" s="514"/>
      <c r="D13" s="514"/>
      <c r="E13" s="239"/>
      <c r="F13" s="239"/>
      <c r="G13" s="240"/>
      <c r="H13" s="240"/>
      <c r="I13" s="239"/>
      <c r="J13" s="240"/>
      <c r="K13" s="240"/>
      <c r="L13" s="240"/>
      <c r="M13" s="240"/>
      <c r="N13" s="240"/>
      <c r="O13" s="240"/>
      <c r="P13" s="240"/>
      <c r="Q13" s="240"/>
      <c r="R13" s="160">
        <f t="shared" si="6"/>
        <v>0</v>
      </c>
      <c r="S13" s="241"/>
    </row>
    <row r="14" spans="1:19" ht="62.25" customHeight="1">
      <c r="A14" s="166"/>
      <c r="B14" s="165" t="s">
        <v>230</v>
      </c>
      <c r="C14" s="165"/>
      <c r="D14" s="155" t="s">
        <v>231</v>
      </c>
      <c r="E14" s="150">
        <v>5</v>
      </c>
      <c r="F14" s="150" t="s">
        <v>43</v>
      </c>
      <c r="G14" s="163">
        <v>900</v>
      </c>
      <c r="H14" s="149">
        <f>E14*G14</f>
        <v>4500</v>
      </c>
      <c r="I14" s="162">
        <v>0</v>
      </c>
      <c r="J14" s="149">
        <f>(100%-I14)*G14</f>
        <v>900</v>
      </c>
      <c r="K14" s="149">
        <f>J14*E14</f>
        <v>4500</v>
      </c>
      <c r="L14" s="161">
        <v>0.1</v>
      </c>
      <c r="M14" s="161">
        <v>0.1</v>
      </c>
      <c r="N14" s="161">
        <v>0.4</v>
      </c>
      <c r="O14" s="161">
        <v>0.4</v>
      </c>
      <c r="P14" s="149">
        <f>((100%+SUM(L14:N14))+O14*(100%+SUM(L14:N14)))*J14</f>
        <v>2016.0000000000002</v>
      </c>
      <c r="Q14" s="149">
        <f>P14*E14</f>
        <v>10080.000000000002</v>
      </c>
      <c r="R14" s="160">
        <f t="shared" si="6"/>
        <v>104328.00000000001</v>
      </c>
      <c r="S14" s="159">
        <f>R14*E14</f>
        <v>521640.00000000006</v>
      </c>
    </row>
    <row r="15" spans="1:19" s="391" customFormat="1" ht="15.5">
      <c r="A15" s="446">
        <v>4</v>
      </c>
      <c r="B15" s="515" t="s">
        <v>240</v>
      </c>
      <c r="C15" s="515"/>
      <c r="D15" s="515"/>
      <c r="E15" s="448"/>
      <c r="F15" s="448"/>
      <c r="G15" s="449"/>
      <c r="H15" s="449"/>
      <c r="I15" s="448"/>
      <c r="J15" s="449"/>
      <c r="K15" s="449"/>
      <c r="L15" s="449"/>
      <c r="M15" s="449"/>
      <c r="N15" s="449"/>
      <c r="O15" s="449"/>
      <c r="P15" s="449"/>
      <c r="Q15" s="449"/>
      <c r="R15" s="160">
        <f t="shared" si="6"/>
        <v>0</v>
      </c>
      <c r="S15" s="450"/>
    </row>
    <row r="16" spans="1:19" s="391" customFormat="1" ht="27.75" customHeight="1">
      <c r="A16" s="479"/>
      <c r="B16" s="480" t="s">
        <v>232</v>
      </c>
      <c r="C16" s="480"/>
      <c r="D16" s="481" t="s">
        <v>233</v>
      </c>
      <c r="E16" s="482">
        <v>5</v>
      </c>
      <c r="F16" s="482" t="s">
        <v>43</v>
      </c>
      <c r="G16" s="483">
        <v>28000</v>
      </c>
      <c r="H16" s="484">
        <f>E16*G16</f>
        <v>140000</v>
      </c>
      <c r="I16" s="485">
        <v>0</v>
      </c>
      <c r="J16" s="484">
        <f>(100%-I16)*G16</f>
        <v>28000</v>
      </c>
      <c r="K16" s="484">
        <f>J16*E16</f>
        <v>140000</v>
      </c>
      <c r="L16" s="486">
        <v>0</v>
      </c>
      <c r="M16" s="486">
        <v>0</v>
      </c>
      <c r="N16" s="486">
        <v>0</v>
      </c>
      <c r="O16" s="486">
        <v>0.4</v>
      </c>
      <c r="P16" s="484">
        <f>((100%+SUM(L16:N16))+O16*(100%+SUM(L16:N16)))*J16</f>
        <v>39200</v>
      </c>
      <c r="Q16" s="484">
        <f>P16*E16</f>
        <v>196000</v>
      </c>
      <c r="R16" s="160">
        <f>P16*1.15</f>
        <v>45080</v>
      </c>
      <c r="S16" s="487">
        <f>R16*E16</f>
        <v>225400</v>
      </c>
    </row>
    <row r="17" spans="1:19" ht="15.5">
      <c r="A17" s="238">
        <v>5</v>
      </c>
      <c r="B17" s="514" t="s">
        <v>239</v>
      </c>
      <c r="C17" s="514"/>
      <c r="D17" s="514"/>
      <c r="E17" s="239"/>
      <c r="F17" s="239"/>
      <c r="G17" s="240"/>
      <c r="H17" s="240"/>
      <c r="I17" s="239"/>
      <c r="J17" s="240"/>
      <c r="K17" s="240"/>
      <c r="L17" s="240"/>
      <c r="M17" s="240"/>
      <c r="N17" s="240"/>
      <c r="O17" s="240"/>
      <c r="P17" s="240"/>
      <c r="Q17" s="240"/>
      <c r="R17" s="240"/>
      <c r="S17" s="241"/>
    </row>
    <row r="18" spans="1:19" ht="93" customHeight="1">
      <c r="A18" s="166"/>
      <c r="B18" s="153" t="s">
        <v>234</v>
      </c>
      <c r="C18" s="153"/>
      <c r="D18" s="154" t="s">
        <v>235</v>
      </c>
      <c r="E18" s="150">
        <v>5</v>
      </c>
      <c r="F18" s="150" t="s">
        <v>43</v>
      </c>
      <c r="G18" s="163">
        <v>28000</v>
      </c>
      <c r="H18" s="149">
        <f>E18*G18</f>
        <v>140000</v>
      </c>
      <c r="I18" s="162">
        <v>0</v>
      </c>
      <c r="J18" s="149">
        <f>(100%-I18)*G18</f>
        <v>28000</v>
      </c>
      <c r="K18" s="149">
        <f>J18*E18</f>
        <v>140000</v>
      </c>
      <c r="L18" s="161">
        <v>0</v>
      </c>
      <c r="M18" s="161">
        <v>0</v>
      </c>
      <c r="N18" s="161">
        <v>0</v>
      </c>
      <c r="O18" s="161">
        <v>0.4</v>
      </c>
      <c r="P18" s="149">
        <f>((100%+SUM(L18:N18))+O18*(100%+SUM(L18:N18)))*J18</f>
        <v>39200</v>
      </c>
      <c r="Q18" s="149">
        <f>P18*E18</f>
        <v>196000</v>
      </c>
      <c r="R18" s="160">
        <f>P18*1.15</f>
        <v>45080</v>
      </c>
      <c r="S18" s="159">
        <f>R18*E18</f>
        <v>225400</v>
      </c>
    </row>
    <row r="19" spans="1:19" ht="15.5">
      <c r="A19" s="238">
        <v>6</v>
      </c>
      <c r="B19" s="514" t="s">
        <v>236</v>
      </c>
      <c r="C19" s="514"/>
      <c r="D19" s="514"/>
      <c r="E19" s="239"/>
      <c r="F19" s="239"/>
      <c r="G19" s="240"/>
      <c r="H19" s="240"/>
      <c r="I19" s="239"/>
      <c r="J19" s="240"/>
      <c r="K19" s="240"/>
      <c r="L19" s="240"/>
      <c r="M19" s="240"/>
      <c r="N19" s="240"/>
      <c r="O19" s="240"/>
      <c r="P19" s="240"/>
      <c r="Q19" s="240"/>
      <c r="R19" s="240"/>
      <c r="S19" s="241"/>
    </row>
    <row r="20" spans="1:19" s="324" customFormat="1" ht="91.5" customHeight="1">
      <c r="A20" s="166"/>
      <c r="B20" s="199" t="s">
        <v>237</v>
      </c>
      <c r="C20" s="199"/>
      <c r="D20" s="200" t="s">
        <v>238</v>
      </c>
      <c r="E20" s="201">
        <v>5</v>
      </c>
      <c r="F20" s="201" t="s">
        <v>43</v>
      </c>
      <c r="G20" s="163">
        <v>100000</v>
      </c>
      <c r="H20" s="202">
        <f>E20*G20</f>
        <v>500000</v>
      </c>
      <c r="I20" s="203">
        <v>0</v>
      </c>
      <c r="J20" s="202">
        <f>(100%-I20)*G20</f>
        <v>100000</v>
      </c>
      <c r="K20" s="202">
        <f>J20*E20</f>
        <v>500000</v>
      </c>
      <c r="L20" s="204">
        <v>0</v>
      </c>
      <c r="M20" s="204">
        <v>0</v>
      </c>
      <c r="N20" s="204">
        <v>0</v>
      </c>
      <c r="O20" s="204">
        <v>0.4</v>
      </c>
      <c r="P20" s="202">
        <f>((100%+SUM(L20:N20))+O20*(100%+SUM(L20:N20)))*J20</f>
        <v>140000</v>
      </c>
      <c r="Q20" s="202">
        <f>P20*E20</f>
        <v>700000</v>
      </c>
      <c r="R20" s="160">
        <f>P20*1.15</f>
        <v>161000</v>
      </c>
      <c r="S20" s="205">
        <f>R20*E20</f>
        <v>805000</v>
      </c>
    </row>
    <row r="21" spans="1:19" ht="15.5">
      <c r="A21" s="238">
        <v>7</v>
      </c>
      <c r="B21" s="514" t="s">
        <v>445</v>
      </c>
      <c r="C21" s="514"/>
      <c r="D21" s="514"/>
      <c r="E21" s="239"/>
      <c r="F21" s="239"/>
      <c r="G21" s="240"/>
      <c r="H21" s="240"/>
      <c r="I21" s="239"/>
      <c r="J21" s="240"/>
      <c r="K21" s="240"/>
      <c r="L21" s="240"/>
      <c r="M21" s="240"/>
      <c r="N21" s="240"/>
      <c r="O21" s="240"/>
      <c r="P21" s="240"/>
      <c r="Q21" s="240"/>
      <c r="R21" s="240"/>
      <c r="S21" s="241"/>
    </row>
    <row r="22" spans="1:19" s="314" customFormat="1" ht="118.5" customHeight="1">
      <c r="A22" s="315"/>
      <c r="B22" s="405" t="s">
        <v>409</v>
      </c>
      <c r="C22" s="405"/>
      <c r="D22" s="406" t="s">
        <v>410</v>
      </c>
      <c r="E22" s="431">
        <v>1</v>
      </c>
      <c r="F22" s="431" t="s">
        <v>43</v>
      </c>
      <c r="G22" s="411">
        <v>340000</v>
      </c>
      <c r="H22" s="320">
        <f>E22*G22</f>
        <v>340000</v>
      </c>
      <c r="I22" s="319">
        <v>0</v>
      </c>
      <c r="J22" s="320">
        <f>(100%-I22)*G22</f>
        <v>340000</v>
      </c>
      <c r="K22" s="320">
        <f>J22*E22</f>
        <v>340000</v>
      </c>
      <c r="L22" s="316">
        <v>0</v>
      </c>
      <c r="M22" s="316">
        <v>0</v>
      </c>
      <c r="N22" s="316">
        <v>0</v>
      </c>
      <c r="O22" s="316">
        <v>0.4</v>
      </c>
      <c r="P22" s="320">
        <f>((100%+SUM(L22:N22))+O22*(100%+SUM(L22:N22)))*J22</f>
        <v>475999.99999999994</v>
      </c>
      <c r="Q22" s="320">
        <f>P22*E22</f>
        <v>475999.99999999994</v>
      </c>
      <c r="R22" s="160">
        <f>P22*1.15</f>
        <v>547399.99999999988</v>
      </c>
      <c r="S22" s="318">
        <f>R22*E22</f>
        <v>547399.99999999988</v>
      </c>
    </row>
    <row r="23" spans="1:19" ht="18.5">
      <c r="A23" s="242"/>
      <c r="B23" s="243" t="s">
        <v>23</v>
      </c>
      <c r="C23" s="243"/>
      <c r="D23" s="243"/>
      <c r="E23" s="244"/>
      <c r="F23" s="244"/>
      <c r="G23" s="245"/>
      <c r="H23" s="245">
        <f>SUM(H5:H18)</f>
        <v>307435.05</v>
      </c>
      <c r="I23" s="244"/>
      <c r="J23" s="243"/>
      <c r="K23" s="245">
        <f>SUM(K5:K18)</f>
        <v>307435.05</v>
      </c>
      <c r="L23" s="246"/>
      <c r="M23" s="246"/>
      <c r="N23" s="246"/>
      <c r="O23" s="243"/>
      <c r="P23" s="243"/>
      <c r="Q23" s="247">
        <f>SUM(Q5:Q18)</f>
        <v>460034.61420000001</v>
      </c>
      <c r="R23" s="247"/>
      <c r="S23" s="248">
        <f>SUM(S5:S22)</f>
        <v>5323991.2848499995</v>
      </c>
    </row>
  </sheetData>
  <mergeCells count="8">
    <mergeCell ref="B19:D19"/>
    <mergeCell ref="B21:D21"/>
    <mergeCell ref="A2:S2"/>
    <mergeCell ref="B4:D4"/>
    <mergeCell ref="B11:D11"/>
    <mergeCell ref="B13:D13"/>
    <mergeCell ref="B15:D15"/>
    <mergeCell ref="B17:D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65"/>
  <sheetViews>
    <sheetView view="pageBreakPreview" topLeftCell="D1" zoomScale="58" zoomScaleNormal="80" zoomScaleSheetLayoutView="58" workbookViewId="0">
      <selection activeCell="I7" sqref="I7"/>
    </sheetView>
  </sheetViews>
  <sheetFormatPr defaultColWidth="8.81640625" defaultRowHeight="14.5"/>
  <cols>
    <col min="1" max="1" width="4.1796875" style="313" bestFit="1" customWidth="1"/>
    <col min="2" max="2" width="26.1796875" style="313" customWidth="1"/>
    <col min="3" max="3" width="14.6328125" style="313" customWidth="1"/>
    <col min="4" max="4" width="82.453125" style="313" customWidth="1"/>
    <col min="5" max="5" width="12.81640625" style="18" customWidth="1"/>
    <col min="6" max="6" width="16.26953125" style="18" customWidth="1"/>
    <col min="7" max="7" width="10.54296875" style="313" customWidth="1"/>
    <col min="8" max="8" width="10.26953125" style="313" customWidth="1"/>
    <col min="9" max="9" width="12.26953125" style="18" customWidth="1"/>
    <col min="10" max="10" width="10.6328125" style="313" customWidth="1"/>
    <col min="11" max="11" width="12.08984375" style="313" customWidth="1"/>
    <col min="12" max="12" width="13.36328125" style="313" customWidth="1"/>
    <col min="13" max="13" width="13.81640625" style="313" customWidth="1"/>
    <col min="14" max="14" width="9.6328125" style="313" customWidth="1"/>
    <col min="15" max="15" width="11.81640625" style="313" customWidth="1"/>
    <col min="16" max="16" width="9.90625" style="313" customWidth="1"/>
    <col min="17" max="17" width="12.1796875" style="313" customWidth="1"/>
    <col min="18" max="18" width="16.26953125" style="313" customWidth="1"/>
    <col min="19" max="19" width="16.453125" style="313" customWidth="1"/>
    <col min="20" max="16384" width="8.81640625" style="313"/>
  </cols>
  <sheetData>
    <row r="2" spans="1:19" ht="26">
      <c r="A2" s="517" t="s">
        <v>193</v>
      </c>
      <c r="B2" s="517"/>
      <c r="C2" s="517"/>
      <c r="D2" s="517"/>
      <c r="E2" s="517"/>
      <c r="F2" s="517"/>
      <c r="G2" s="517"/>
      <c r="H2" s="517"/>
      <c r="I2" s="517"/>
      <c r="J2" s="517"/>
      <c r="K2" s="517"/>
      <c r="L2" s="517"/>
      <c r="M2" s="517"/>
      <c r="N2" s="517"/>
      <c r="O2" s="517"/>
      <c r="P2" s="517"/>
      <c r="Q2" s="517"/>
      <c r="R2" s="517"/>
      <c r="S2" s="517"/>
    </row>
    <row r="3" spans="1:19" ht="48.75" customHeight="1">
      <c r="A3" s="69" t="s">
        <v>1</v>
      </c>
      <c r="B3" s="70" t="s">
        <v>21</v>
      </c>
      <c r="C3" s="70" t="s">
        <v>458</v>
      </c>
      <c r="D3" s="71" t="s">
        <v>15</v>
      </c>
      <c r="E3" s="69" t="s">
        <v>10</v>
      </c>
      <c r="F3" s="57" t="s">
        <v>28</v>
      </c>
      <c r="G3" s="72" t="s">
        <v>0</v>
      </c>
      <c r="H3" s="72" t="s">
        <v>11</v>
      </c>
      <c r="I3" s="73" t="s">
        <v>3</v>
      </c>
      <c r="J3" s="72" t="s">
        <v>12</v>
      </c>
      <c r="K3" s="72" t="s">
        <v>13</v>
      </c>
      <c r="L3" s="72" t="s">
        <v>4</v>
      </c>
      <c r="M3" s="74" t="s">
        <v>5</v>
      </c>
      <c r="N3" s="72" t="s">
        <v>6</v>
      </c>
      <c r="O3" s="75" t="s">
        <v>14</v>
      </c>
      <c r="P3" s="72" t="s">
        <v>22</v>
      </c>
      <c r="Q3" s="72" t="s">
        <v>9</v>
      </c>
      <c r="R3" s="72" t="s">
        <v>460</v>
      </c>
      <c r="S3" s="75" t="s">
        <v>8</v>
      </c>
    </row>
    <row r="4" spans="1:19" s="251" customFormat="1" ht="24" customHeight="1">
      <c r="A4" s="250">
        <v>1</v>
      </c>
      <c r="B4" s="518" t="s">
        <v>31</v>
      </c>
      <c r="C4" s="545"/>
      <c r="D4" s="519"/>
      <c r="E4" s="250"/>
      <c r="F4" s="250"/>
      <c r="G4" s="357"/>
      <c r="H4" s="357"/>
      <c r="I4" s="250"/>
      <c r="J4" s="357"/>
      <c r="K4" s="357"/>
      <c r="L4" s="357"/>
      <c r="M4" s="357"/>
      <c r="N4" s="357"/>
      <c r="O4" s="357"/>
      <c r="P4" s="357"/>
      <c r="Q4" s="357"/>
      <c r="R4" s="357"/>
      <c r="S4" s="357"/>
    </row>
    <row r="5" spans="1:19" s="314" customFormat="1" ht="46.5">
      <c r="A5" s="76"/>
      <c r="B5" s="47" t="s">
        <v>412</v>
      </c>
      <c r="C5" s="47">
        <v>90099910</v>
      </c>
      <c r="D5" s="46" t="s">
        <v>32</v>
      </c>
      <c r="E5" s="322">
        <v>150</v>
      </c>
      <c r="F5" s="323" t="s">
        <v>29</v>
      </c>
      <c r="G5" s="48">
        <f>1.05*54</f>
        <v>56.7</v>
      </c>
      <c r="H5" s="60">
        <f>E5*G5</f>
        <v>8505</v>
      </c>
      <c r="I5" s="187">
        <v>0</v>
      </c>
      <c r="J5" s="60">
        <f>(100%-I5)*G5</f>
        <v>56.7</v>
      </c>
      <c r="K5" s="60">
        <f>J5*E5</f>
        <v>8505</v>
      </c>
      <c r="L5" s="188">
        <v>0.1</v>
      </c>
      <c r="M5" s="188">
        <v>0.1</v>
      </c>
      <c r="N5" s="188">
        <v>0.38</v>
      </c>
      <c r="O5" s="188">
        <v>0.4</v>
      </c>
      <c r="P5" s="60">
        <f>((100%+SUM(L5:N5))+O5*(100%+SUM(L5:N5)))*J5</f>
        <v>125.42040000000001</v>
      </c>
      <c r="Q5" s="60">
        <f>P5*E5</f>
        <v>18813.060000000001</v>
      </c>
      <c r="R5" s="63">
        <f>45*P5*1.15</f>
        <v>6490.5056999999997</v>
      </c>
      <c r="S5" s="63">
        <f>R5*E5</f>
        <v>973575.85499999998</v>
      </c>
    </row>
    <row r="6" spans="1:19" s="41" customFormat="1" ht="27" customHeight="1">
      <c r="A6" s="250">
        <v>2</v>
      </c>
      <c r="B6" s="520" t="s">
        <v>195</v>
      </c>
      <c r="C6" s="520"/>
      <c r="D6" s="520"/>
      <c r="E6" s="250"/>
      <c r="F6" s="250"/>
      <c r="G6" s="357"/>
      <c r="H6" s="357"/>
      <c r="I6" s="250"/>
      <c r="J6" s="357"/>
      <c r="K6" s="357"/>
      <c r="L6" s="357"/>
      <c r="M6" s="357"/>
      <c r="N6" s="357"/>
      <c r="O6" s="357"/>
      <c r="P6" s="357"/>
      <c r="Q6" s="357"/>
      <c r="R6" s="357"/>
      <c r="S6" s="357"/>
    </row>
    <row r="7" spans="1:19" s="361" customFormat="1" ht="409.5" customHeight="1">
      <c r="A7" s="394"/>
      <c r="B7" s="488" t="s">
        <v>34</v>
      </c>
      <c r="C7" s="488"/>
      <c r="D7" s="489" t="s">
        <v>194</v>
      </c>
      <c r="E7" s="365">
        <v>3</v>
      </c>
      <c r="F7" s="365" t="s">
        <v>29</v>
      </c>
      <c r="G7" s="490">
        <v>3109</v>
      </c>
      <c r="H7" s="397">
        <f>E7*G7</f>
        <v>9327</v>
      </c>
      <c r="I7" s="398">
        <v>0</v>
      </c>
      <c r="J7" s="397">
        <f>(100%-I7)*G7</f>
        <v>3109</v>
      </c>
      <c r="K7" s="397">
        <f>J7*E7</f>
        <v>9327</v>
      </c>
      <c r="L7" s="399">
        <v>0.1</v>
      </c>
      <c r="M7" s="399">
        <v>0.1</v>
      </c>
      <c r="N7" s="399">
        <v>0.4</v>
      </c>
      <c r="O7" s="399">
        <v>0.4</v>
      </c>
      <c r="P7" s="397">
        <f>((100%+SUM(L7:N7))+O7*(100%+SUM(L7:N7)))*J7</f>
        <v>6964.1600000000008</v>
      </c>
      <c r="Q7" s="397">
        <f>P7*E7</f>
        <v>20892.480000000003</v>
      </c>
      <c r="R7" s="63">
        <f t="shared" ref="R7:R16" si="0">45*P7*1.15</f>
        <v>360395.27999999997</v>
      </c>
      <c r="S7" s="400">
        <f>R7*E7</f>
        <v>1081185.8399999999</v>
      </c>
    </row>
    <row r="8" spans="1:19" s="41" customFormat="1" ht="27" customHeight="1">
      <c r="A8" s="393">
        <v>2</v>
      </c>
      <c r="B8" s="516" t="s">
        <v>35</v>
      </c>
      <c r="C8" s="516"/>
      <c r="D8" s="516"/>
      <c r="E8" s="239"/>
      <c r="F8" s="239"/>
      <c r="G8" s="240"/>
      <c r="H8" s="240"/>
      <c r="I8" s="239"/>
      <c r="J8" s="240"/>
      <c r="K8" s="240"/>
      <c r="L8" s="240"/>
      <c r="M8" s="240"/>
      <c r="N8" s="240"/>
      <c r="O8" s="240"/>
      <c r="P8" s="240"/>
      <c r="Q8" s="240"/>
      <c r="R8" s="240"/>
      <c r="S8" s="240"/>
    </row>
    <row r="9" spans="1:19" s="314" customFormat="1" ht="77.25" customHeight="1">
      <c r="A9" s="76"/>
      <c r="B9" s="49" t="s">
        <v>36</v>
      </c>
      <c r="C9" s="49"/>
      <c r="D9" s="49" t="s">
        <v>175</v>
      </c>
      <c r="E9" s="59">
        <v>6</v>
      </c>
      <c r="F9" s="59" t="s">
        <v>33</v>
      </c>
      <c r="G9" s="51">
        <v>30000</v>
      </c>
      <c r="H9" s="60">
        <f>E9*G9</f>
        <v>180000</v>
      </c>
      <c r="I9" s="187">
        <v>0</v>
      </c>
      <c r="J9" s="60">
        <f>(100%-I9)*G9</f>
        <v>30000</v>
      </c>
      <c r="K9" s="60">
        <f>J9*E9</f>
        <v>180000</v>
      </c>
      <c r="L9" s="188">
        <v>0</v>
      </c>
      <c r="M9" s="188">
        <v>0</v>
      </c>
      <c r="N9" s="188">
        <v>0</v>
      </c>
      <c r="O9" s="188">
        <v>0.4</v>
      </c>
      <c r="P9" s="60">
        <f>((100%+SUM(L9:N9))+O9*(100%+SUM(L9:N9)))*J9</f>
        <v>42000</v>
      </c>
      <c r="Q9" s="60">
        <f>P9*E9</f>
        <v>252000</v>
      </c>
      <c r="R9" s="63">
        <f>P9*1.15</f>
        <v>48299.999999999993</v>
      </c>
      <c r="S9" s="63">
        <f>R9*E9</f>
        <v>289799.99999999994</v>
      </c>
    </row>
    <row r="10" spans="1:19" s="41" customFormat="1" ht="24" customHeight="1">
      <c r="A10" s="239">
        <v>3</v>
      </c>
      <c r="B10" s="516" t="s">
        <v>38</v>
      </c>
      <c r="C10" s="516"/>
      <c r="D10" s="516"/>
      <c r="E10" s="239"/>
      <c r="F10" s="239"/>
      <c r="G10" s="240"/>
      <c r="H10" s="240"/>
      <c r="I10" s="239"/>
      <c r="J10" s="240"/>
      <c r="K10" s="240"/>
      <c r="L10" s="240"/>
      <c r="M10" s="240"/>
      <c r="N10" s="240"/>
      <c r="O10" s="240"/>
      <c r="P10" s="240"/>
      <c r="Q10" s="240"/>
      <c r="R10" s="240"/>
      <c r="S10" s="240"/>
    </row>
    <row r="11" spans="1:19" s="314" customFormat="1" ht="351" customHeight="1">
      <c r="A11" s="76"/>
      <c r="B11" s="100" t="s">
        <v>40</v>
      </c>
      <c r="C11" s="100"/>
      <c r="D11" s="46" t="s">
        <v>39</v>
      </c>
      <c r="E11" s="59">
        <v>6</v>
      </c>
      <c r="F11" s="59" t="s">
        <v>29</v>
      </c>
      <c r="G11" s="67">
        <v>280</v>
      </c>
      <c r="H11" s="60">
        <f>E11*G11</f>
        <v>1680</v>
      </c>
      <c r="I11" s="187">
        <v>0</v>
      </c>
      <c r="J11" s="60">
        <f>(100%-I11)*G11</f>
        <v>280</v>
      </c>
      <c r="K11" s="60">
        <f>J11*E11</f>
        <v>1680</v>
      </c>
      <c r="L11" s="188">
        <v>0.1</v>
      </c>
      <c r="M11" s="188">
        <v>0.1</v>
      </c>
      <c r="N11" s="188">
        <v>1.4</v>
      </c>
      <c r="O11" s="188">
        <v>0.4</v>
      </c>
      <c r="P11" s="60">
        <f>((100%+SUM(L11:N11))+O11*(100%+SUM(L11:N11)))*J11</f>
        <v>1019.1999999999999</v>
      </c>
      <c r="Q11" s="60">
        <f>P11*E11</f>
        <v>6115.2</v>
      </c>
      <c r="R11" s="63">
        <f t="shared" si="0"/>
        <v>52743.6</v>
      </c>
      <c r="S11" s="63">
        <f>R11*E11</f>
        <v>316461.59999999998</v>
      </c>
    </row>
    <row r="12" spans="1:19" s="41" customFormat="1" ht="27" customHeight="1">
      <c r="A12" s="393">
        <v>4</v>
      </c>
      <c r="B12" s="521" t="s">
        <v>334</v>
      </c>
      <c r="C12" s="521"/>
      <c r="D12" s="521"/>
      <c r="E12" s="239"/>
      <c r="F12" s="239"/>
      <c r="G12" s="240"/>
      <c r="H12" s="240"/>
      <c r="I12" s="239"/>
      <c r="J12" s="240"/>
      <c r="K12" s="240"/>
      <c r="L12" s="240"/>
      <c r="M12" s="240"/>
      <c r="N12" s="240"/>
      <c r="O12" s="240"/>
      <c r="P12" s="240"/>
      <c r="Q12" s="240"/>
      <c r="R12" s="240"/>
      <c r="S12" s="240"/>
    </row>
    <row r="13" spans="1:19" s="314" customFormat="1" ht="93" customHeight="1">
      <c r="A13" s="76"/>
      <c r="B13" s="52" t="s">
        <v>166</v>
      </c>
      <c r="C13" s="52"/>
      <c r="D13" s="50" t="s">
        <v>167</v>
      </c>
      <c r="E13" s="59">
        <v>3</v>
      </c>
      <c r="F13" s="59" t="s">
        <v>33</v>
      </c>
      <c r="G13" s="51">
        <v>4250</v>
      </c>
      <c r="H13" s="60">
        <f>E13*G13</f>
        <v>12750</v>
      </c>
      <c r="I13" s="187">
        <v>0</v>
      </c>
      <c r="J13" s="60">
        <f>(100%-I13)*G13</f>
        <v>4250</v>
      </c>
      <c r="K13" s="60">
        <f>J13*E13</f>
        <v>12750</v>
      </c>
      <c r="L13" s="188">
        <v>0.15</v>
      </c>
      <c r="M13" s="188">
        <v>0.1</v>
      </c>
      <c r="N13" s="188">
        <v>0.4</v>
      </c>
      <c r="O13" s="188">
        <v>0.4</v>
      </c>
      <c r="P13" s="60">
        <f>((100%+SUM(L13:N13))+O13*(100%+SUM(L13:N13)))*J13</f>
        <v>9817.5</v>
      </c>
      <c r="Q13" s="60">
        <f>P13*E13</f>
        <v>29452.5</v>
      </c>
      <c r="R13" s="63">
        <f t="shared" si="0"/>
        <v>508055.62499999994</v>
      </c>
      <c r="S13" s="63">
        <f>R13*E13</f>
        <v>1524166.8749999998</v>
      </c>
    </row>
    <row r="14" spans="1:19" s="41" customFormat="1" ht="27" customHeight="1">
      <c r="A14" s="393">
        <v>10</v>
      </c>
      <c r="B14" s="516" t="s">
        <v>165</v>
      </c>
      <c r="C14" s="516"/>
      <c r="D14" s="516"/>
      <c r="E14" s="239"/>
      <c r="F14" s="239"/>
      <c r="G14" s="240"/>
      <c r="H14" s="240"/>
      <c r="I14" s="239"/>
      <c r="J14" s="240"/>
      <c r="K14" s="240"/>
      <c r="L14" s="240"/>
      <c r="M14" s="240"/>
      <c r="N14" s="240"/>
      <c r="O14" s="240"/>
      <c r="P14" s="240"/>
      <c r="Q14" s="240"/>
      <c r="R14" s="240"/>
      <c r="S14" s="240"/>
    </row>
    <row r="15" spans="1:19" s="314" customFormat="1" ht="93" customHeight="1">
      <c r="A15" s="76"/>
      <c r="B15" s="78" t="s">
        <v>156</v>
      </c>
      <c r="C15" s="78"/>
      <c r="D15" s="78" t="s">
        <v>157</v>
      </c>
      <c r="E15" s="59">
        <v>5</v>
      </c>
      <c r="F15" s="59" t="s">
        <v>153</v>
      </c>
      <c r="G15" s="51">
        <v>931</v>
      </c>
      <c r="H15" s="60">
        <f>E15*G15</f>
        <v>4655</v>
      </c>
      <c r="I15" s="187">
        <v>0</v>
      </c>
      <c r="J15" s="60">
        <f>(100%-I15)*G15</f>
        <v>931</v>
      </c>
      <c r="K15" s="60">
        <f>J15*E15</f>
        <v>4655</v>
      </c>
      <c r="L15" s="188">
        <v>0</v>
      </c>
      <c r="M15" s="188">
        <v>0.1</v>
      </c>
      <c r="N15" s="188">
        <v>0</v>
      </c>
      <c r="O15" s="188">
        <v>0.4</v>
      </c>
      <c r="P15" s="60">
        <f>((100%+SUM(L15:N15))+O15*(100%+SUM(L15:N15)))*J15</f>
        <v>1433.74</v>
      </c>
      <c r="Q15" s="60">
        <f>P15*E15</f>
        <v>7168.7</v>
      </c>
      <c r="R15" s="63">
        <f t="shared" si="0"/>
        <v>74196.044999999998</v>
      </c>
      <c r="S15" s="63">
        <f>R15*E15</f>
        <v>370980.22499999998</v>
      </c>
    </row>
    <row r="16" spans="1:19" s="314" customFormat="1" ht="75.75" customHeight="1">
      <c r="A16" s="76"/>
      <c r="B16" s="78" t="s">
        <v>154</v>
      </c>
      <c r="C16" s="78"/>
      <c r="D16" s="78" t="s">
        <v>155</v>
      </c>
      <c r="E16" s="59">
        <v>1</v>
      </c>
      <c r="F16" s="59" t="s">
        <v>33</v>
      </c>
      <c r="G16" s="51">
        <v>882</v>
      </c>
      <c r="H16" s="60">
        <f>E16*G16</f>
        <v>882</v>
      </c>
      <c r="I16" s="187">
        <v>0</v>
      </c>
      <c r="J16" s="60">
        <f>(100%-I16)*G16</f>
        <v>882</v>
      </c>
      <c r="K16" s="60">
        <f>J16*E16</f>
        <v>882</v>
      </c>
      <c r="L16" s="188">
        <v>0</v>
      </c>
      <c r="M16" s="188">
        <v>0.1</v>
      </c>
      <c r="N16" s="188">
        <v>0</v>
      </c>
      <c r="O16" s="188">
        <v>0.4</v>
      </c>
      <c r="P16" s="60">
        <f>((100%+SUM(L16:N16))+O16*(100%+SUM(L16:N16)))*J16</f>
        <v>1358.28</v>
      </c>
      <c r="Q16" s="60">
        <f>P16*E16</f>
        <v>1358.28</v>
      </c>
      <c r="R16" s="63">
        <f t="shared" si="0"/>
        <v>70290.989999999991</v>
      </c>
      <c r="S16" s="63">
        <f>R16*E16</f>
        <v>70290.989999999991</v>
      </c>
    </row>
    <row r="17" spans="1:19" ht="18.5">
      <c r="A17" s="252"/>
      <c r="B17" s="253" t="s">
        <v>23</v>
      </c>
      <c r="C17" s="253"/>
      <c r="D17" s="253"/>
      <c r="E17" s="254"/>
      <c r="F17" s="254"/>
      <c r="G17" s="255"/>
      <c r="H17" s="255">
        <f>SUM(H4:H4)</f>
        <v>0</v>
      </c>
      <c r="I17" s="254"/>
      <c r="J17" s="253"/>
      <c r="K17" s="255">
        <f>SUM(K4:K4)</f>
        <v>0</v>
      </c>
      <c r="L17" s="256"/>
      <c r="M17" s="256"/>
      <c r="N17" s="256"/>
      <c r="O17" s="253"/>
      <c r="P17" s="253"/>
      <c r="Q17" s="257">
        <f>SUM(Q4:Q4)</f>
        <v>0</v>
      </c>
      <c r="R17" s="257"/>
      <c r="S17" s="258">
        <f>SUM(S4:S16)</f>
        <v>4626461.3849999998</v>
      </c>
    </row>
    <row r="18" spans="1:19" ht="15.5">
      <c r="A18" s="15"/>
      <c r="B18" s="16"/>
      <c r="C18" s="16"/>
      <c r="D18" s="16"/>
      <c r="E18" s="19"/>
      <c r="F18" s="19"/>
      <c r="G18" s="15"/>
      <c r="H18" s="15"/>
      <c r="I18" s="19"/>
      <c r="J18" s="15"/>
      <c r="K18" s="15"/>
      <c r="L18" s="15"/>
      <c r="M18" s="15"/>
      <c r="N18" s="15"/>
      <c r="O18" s="15"/>
      <c r="P18" s="15"/>
      <c r="Q18" s="15"/>
      <c r="R18" s="15"/>
      <c r="S18" s="15"/>
    </row>
    <row r="21" spans="1:19">
      <c r="Q21" s="9"/>
    </row>
    <row r="50" spans="2:3">
      <c r="B50" s="17"/>
      <c r="C50" s="17"/>
    </row>
    <row r="58" spans="2:3">
      <c r="B58" s="17"/>
      <c r="C58" s="17"/>
    </row>
    <row r="65" spans="2:3">
      <c r="B65" s="17"/>
      <c r="C65" s="17"/>
    </row>
  </sheetData>
  <mergeCells count="7">
    <mergeCell ref="B14:D14"/>
    <mergeCell ref="A2:S2"/>
    <mergeCell ref="B4:D4"/>
    <mergeCell ref="B6:D6"/>
    <mergeCell ref="B8:D8"/>
    <mergeCell ref="B10:D10"/>
    <mergeCell ref="B12:D12"/>
  </mergeCells>
  <pageMargins left="0.75" right="0.75" top="1" bottom="1" header="0.3" footer="0.3"/>
  <pageSetup paperSize="9" scale="41" fitToHeight="0" orientation="landscape" r:id="rId1"/>
  <rowBreaks count="1" manualBreakCount="1">
    <brk id="1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8"/>
  <sheetViews>
    <sheetView view="pageBreakPreview" topLeftCell="A4" zoomScale="70" zoomScaleNormal="77" zoomScaleSheetLayoutView="70" workbookViewId="0">
      <selection activeCell="R6" sqref="R6"/>
    </sheetView>
  </sheetViews>
  <sheetFormatPr defaultColWidth="8.81640625" defaultRowHeight="14.5"/>
  <cols>
    <col min="1" max="2" width="8.81640625" style="313"/>
    <col min="3" max="3" width="19.7265625" style="313" customWidth="1"/>
    <col min="4" max="4" width="92" style="313" customWidth="1"/>
    <col min="5" max="5" width="8.81640625" style="313"/>
    <col min="6" max="6" width="31.453125" style="313" customWidth="1"/>
    <col min="7" max="7" width="11.453125" style="313" customWidth="1"/>
    <col min="8" max="8" width="18.81640625" style="313" customWidth="1"/>
    <col min="9" max="9" width="0.26953125" style="313" customWidth="1"/>
    <col min="10" max="10" width="14.26953125" style="313" customWidth="1"/>
    <col min="11" max="11" width="21.453125" style="313" customWidth="1"/>
    <col min="12" max="12" width="10.26953125" style="313" customWidth="1"/>
    <col min="13" max="13" width="7" style="313" customWidth="1"/>
    <col min="14" max="14" width="9.1796875" style="313" customWidth="1"/>
    <col min="15" max="15" width="13.453125" style="313" customWidth="1"/>
    <col min="16" max="16" width="19.453125" style="313" customWidth="1"/>
    <col min="17" max="17" width="15.1796875" style="313" customWidth="1"/>
    <col min="18" max="18" width="14" style="313" customWidth="1"/>
    <col min="19" max="19" width="20.26953125" style="313" customWidth="1"/>
    <col min="20" max="16384" width="8.81640625" style="313"/>
  </cols>
  <sheetData>
    <row r="2" spans="2:19" ht="26">
      <c r="B2" s="517" t="s">
        <v>268</v>
      </c>
      <c r="C2" s="517"/>
      <c r="D2" s="517"/>
      <c r="E2" s="517"/>
      <c r="F2" s="517"/>
      <c r="G2" s="517"/>
      <c r="H2" s="517"/>
      <c r="I2" s="517"/>
      <c r="J2" s="517"/>
      <c r="K2" s="517"/>
      <c r="L2" s="517"/>
      <c r="M2" s="517"/>
      <c r="N2" s="517"/>
      <c r="O2" s="517"/>
      <c r="P2" s="517"/>
      <c r="Q2" s="517"/>
      <c r="R2" s="517"/>
      <c r="S2" s="517"/>
    </row>
    <row r="3" spans="2:19" ht="61" customHeight="1">
      <c r="B3" s="69" t="s">
        <v>1</v>
      </c>
      <c r="C3" s="70" t="s">
        <v>21</v>
      </c>
      <c r="D3" s="71" t="s">
        <v>15</v>
      </c>
      <c r="E3" s="69" t="s">
        <v>10</v>
      </c>
      <c r="F3" s="57" t="s">
        <v>28</v>
      </c>
      <c r="G3" s="72" t="s">
        <v>0</v>
      </c>
      <c r="H3" s="72" t="s">
        <v>11</v>
      </c>
      <c r="I3" s="73" t="s">
        <v>3</v>
      </c>
      <c r="J3" s="72" t="s">
        <v>12</v>
      </c>
      <c r="K3" s="72" t="s">
        <v>13</v>
      </c>
      <c r="L3" s="72" t="s">
        <v>4</v>
      </c>
      <c r="M3" s="74" t="s">
        <v>5</v>
      </c>
      <c r="N3" s="72" t="s">
        <v>6</v>
      </c>
      <c r="O3" s="75" t="s">
        <v>14</v>
      </c>
      <c r="P3" s="72" t="s">
        <v>22</v>
      </c>
      <c r="Q3" s="72" t="s">
        <v>9</v>
      </c>
      <c r="R3" s="72" t="s">
        <v>462</v>
      </c>
      <c r="S3" s="75" t="s">
        <v>8</v>
      </c>
    </row>
    <row r="4" spans="2:19" ht="15.5">
      <c r="B4" s="249">
        <v>1</v>
      </c>
      <c r="C4" s="516" t="s">
        <v>88</v>
      </c>
      <c r="D4" s="516"/>
      <c r="E4" s="239"/>
      <c r="F4" s="239"/>
      <c r="G4" s="240"/>
      <c r="H4" s="240"/>
      <c r="I4" s="239"/>
      <c r="J4" s="240"/>
      <c r="K4" s="240"/>
      <c r="L4" s="240"/>
      <c r="M4" s="240"/>
      <c r="N4" s="240"/>
      <c r="O4" s="240"/>
      <c r="P4" s="240"/>
      <c r="Q4" s="240"/>
      <c r="R4" s="240"/>
      <c r="S4" s="240"/>
    </row>
    <row r="5" spans="2:19" ht="211.5" customHeight="1">
      <c r="B5" s="76"/>
      <c r="C5" s="79" t="s">
        <v>142</v>
      </c>
      <c r="D5" s="68" t="s">
        <v>413</v>
      </c>
      <c r="E5" s="59">
        <v>7</v>
      </c>
      <c r="F5" s="59" t="s">
        <v>29</v>
      </c>
      <c r="G5" s="51">
        <v>298</v>
      </c>
      <c r="H5" s="60">
        <f>E5*G5</f>
        <v>2086</v>
      </c>
      <c r="I5" s="187">
        <v>0</v>
      </c>
      <c r="J5" s="60">
        <f>(100%-I5)*G5</f>
        <v>298</v>
      </c>
      <c r="K5" s="60">
        <f>J5*E5</f>
        <v>2086</v>
      </c>
      <c r="L5" s="188">
        <v>0.1</v>
      </c>
      <c r="M5" s="188">
        <v>0.1</v>
      </c>
      <c r="N5" s="188">
        <v>0.4</v>
      </c>
      <c r="O5" s="188">
        <v>0.4</v>
      </c>
      <c r="P5" s="60">
        <f>((100%+SUM(L5:N5))+O5*(100%+SUM(L5:N5)))*J5</f>
        <v>667.5200000000001</v>
      </c>
      <c r="Q5" s="60">
        <f>P5*E5</f>
        <v>4672.6400000000003</v>
      </c>
      <c r="R5" s="63">
        <f>45*P5*1.15</f>
        <v>34544.160000000003</v>
      </c>
      <c r="S5" s="63">
        <f>R5*E5</f>
        <v>241809.12000000002</v>
      </c>
    </row>
    <row r="6" spans="2:19" ht="82" customHeight="1">
      <c r="B6" s="76"/>
      <c r="C6" s="433" t="s">
        <v>414</v>
      </c>
      <c r="D6" s="68" t="s">
        <v>415</v>
      </c>
      <c r="E6" s="59">
        <v>1</v>
      </c>
      <c r="F6" s="59" t="s">
        <v>29</v>
      </c>
      <c r="G6" s="51">
        <v>997</v>
      </c>
      <c r="H6" s="60">
        <f>E6*G6</f>
        <v>997</v>
      </c>
      <c r="I6" s="187">
        <v>0</v>
      </c>
      <c r="J6" s="60">
        <f>(100%-I6)*G6</f>
        <v>997</v>
      </c>
      <c r="K6" s="60">
        <f>J6*E6</f>
        <v>997</v>
      </c>
      <c r="L6" s="188">
        <v>0.1</v>
      </c>
      <c r="M6" s="188">
        <v>0.1</v>
      </c>
      <c r="N6" s="188">
        <v>0.4</v>
      </c>
      <c r="O6" s="188">
        <v>0.4</v>
      </c>
      <c r="P6" s="60">
        <f>((100%+SUM(L6:N6))+O6*(100%+SUM(L6:N6)))*J6</f>
        <v>2233.2800000000002</v>
      </c>
      <c r="Q6" s="60">
        <f>P6*E6</f>
        <v>2233.2800000000002</v>
      </c>
      <c r="R6" s="63">
        <f t="shared" ref="R6:R7" si="0">45*P6*1.15</f>
        <v>115572.23999999999</v>
      </c>
      <c r="S6" s="63">
        <f>R6*E6</f>
        <v>115572.23999999999</v>
      </c>
    </row>
    <row r="7" spans="2:19" ht="87.75" customHeight="1">
      <c r="B7" s="76"/>
      <c r="C7" s="77" t="s">
        <v>41</v>
      </c>
      <c r="D7" s="121" t="s">
        <v>42</v>
      </c>
      <c r="E7" s="58">
        <v>1</v>
      </c>
      <c r="F7" s="59" t="s">
        <v>29</v>
      </c>
      <c r="G7" s="51">
        <v>30000</v>
      </c>
      <c r="H7" s="60">
        <f>E7*G7</f>
        <v>30000</v>
      </c>
      <c r="I7" s="187">
        <v>0</v>
      </c>
      <c r="J7" s="60">
        <f>(100%-I7)*G7</f>
        <v>30000</v>
      </c>
      <c r="K7" s="60">
        <f>J7*E7</f>
        <v>30000</v>
      </c>
      <c r="L7" s="188">
        <v>0</v>
      </c>
      <c r="M7" s="188">
        <v>0</v>
      </c>
      <c r="N7" s="188">
        <v>0</v>
      </c>
      <c r="O7" s="188">
        <v>0.4</v>
      </c>
      <c r="P7" s="60">
        <f>((100%+SUM(L7:N7))+O7*(100%+SUM(L7:N7)))*J7</f>
        <v>42000</v>
      </c>
      <c r="Q7" s="60">
        <f>P7*E7</f>
        <v>42000</v>
      </c>
      <c r="R7" s="63">
        <f>P7*1.15</f>
        <v>48299.999999999993</v>
      </c>
      <c r="S7" s="63">
        <f>R7*E7</f>
        <v>48299.999999999993</v>
      </c>
    </row>
    <row r="8" spans="2:19" ht="18.5">
      <c r="B8" s="259"/>
      <c r="C8" s="253" t="s">
        <v>23</v>
      </c>
      <c r="D8" s="253"/>
      <c r="E8" s="254"/>
      <c r="F8" s="254"/>
      <c r="G8" s="255"/>
      <c r="H8" s="255"/>
      <c r="I8" s="254"/>
      <c r="J8" s="253"/>
      <c r="K8" s="255"/>
      <c r="L8" s="256"/>
      <c r="M8" s="256"/>
      <c r="N8" s="256"/>
      <c r="O8" s="253"/>
      <c r="P8" s="253"/>
      <c r="Q8" s="257"/>
      <c r="R8" s="257"/>
      <c r="S8" s="260">
        <f>SUM(S5:S7)</f>
        <v>405681.36</v>
      </c>
    </row>
  </sheetData>
  <mergeCells count="2">
    <mergeCell ref="B2:S2"/>
    <mergeCell ref="C4:D4"/>
  </mergeCells>
  <pageMargins left="0.7" right="0.7" top="0.75" bottom="0.75" header="0.3" footer="0.3"/>
  <pageSetup paperSize="9" scale="4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65"/>
  <sheetViews>
    <sheetView view="pageBreakPreview" topLeftCell="E8" zoomScale="70" zoomScaleNormal="90" zoomScaleSheetLayoutView="70" workbookViewId="0">
      <selection activeCell="S17" sqref="S17"/>
    </sheetView>
  </sheetViews>
  <sheetFormatPr defaultColWidth="8.81640625" defaultRowHeight="14.5"/>
  <cols>
    <col min="1" max="1" width="7.81640625" customWidth="1"/>
    <col min="2" max="2" width="4.1796875" bestFit="1" customWidth="1"/>
    <col min="3" max="3" width="40.453125" customWidth="1"/>
    <col min="4" max="4" width="55" customWidth="1"/>
    <col min="5" max="5" width="8.81640625" style="18" customWidth="1"/>
    <col min="6" max="6" width="8.26953125" style="18" customWidth="1"/>
    <col min="7" max="7" width="14.81640625" customWidth="1"/>
    <col min="8" max="8" width="15.1796875" customWidth="1"/>
    <col min="9" max="9" width="12.453125" style="18" customWidth="1"/>
    <col min="10" max="10" width="16" customWidth="1"/>
    <col min="11" max="11" width="17.81640625" customWidth="1"/>
    <col min="12" max="12" width="10.453125" customWidth="1"/>
    <col min="13" max="13" width="9.1796875" customWidth="1"/>
    <col min="14" max="14" width="11.453125" customWidth="1"/>
    <col min="15" max="15" width="10.81640625" customWidth="1"/>
    <col min="16" max="16" width="11.1796875" customWidth="1"/>
    <col min="17" max="17" width="15.7265625" customWidth="1"/>
    <col min="18" max="18" width="14.26953125" customWidth="1"/>
    <col min="19" max="19" width="26" customWidth="1"/>
    <col min="20" max="47" width="9.1796875" style="54" customWidth="1"/>
  </cols>
  <sheetData>
    <row r="1" spans="1:47" s="176" customFormat="1">
      <c r="E1" s="18"/>
      <c r="F1" s="18"/>
      <c r="I1" s="18"/>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row>
    <row r="2" spans="1:47" ht="26">
      <c r="B2" s="517" t="s">
        <v>196</v>
      </c>
      <c r="C2" s="517"/>
      <c r="D2" s="517"/>
      <c r="E2" s="517"/>
      <c r="F2" s="517"/>
      <c r="G2" s="517"/>
      <c r="H2" s="517"/>
      <c r="I2" s="517"/>
      <c r="J2" s="517"/>
      <c r="K2" s="517"/>
      <c r="L2" s="517"/>
      <c r="M2" s="517"/>
      <c r="N2" s="517"/>
      <c r="O2" s="517"/>
      <c r="P2" s="517"/>
      <c r="Q2" s="517"/>
      <c r="R2" s="517"/>
      <c r="S2" s="517"/>
    </row>
    <row r="3" spans="1:47" ht="48.75" customHeight="1">
      <c r="B3" s="69" t="s">
        <v>1</v>
      </c>
      <c r="C3" s="70" t="s">
        <v>21</v>
      </c>
      <c r="D3" s="71" t="s">
        <v>15</v>
      </c>
      <c r="E3" s="69" t="s">
        <v>10</v>
      </c>
      <c r="F3" s="57" t="s">
        <v>28</v>
      </c>
      <c r="G3" s="72" t="s">
        <v>0</v>
      </c>
      <c r="H3" s="72" t="s">
        <v>11</v>
      </c>
      <c r="I3" s="73" t="s">
        <v>3</v>
      </c>
      <c r="J3" s="72" t="s">
        <v>12</v>
      </c>
      <c r="K3" s="72" t="s">
        <v>13</v>
      </c>
      <c r="L3" s="72" t="s">
        <v>4</v>
      </c>
      <c r="M3" s="74" t="s">
        <v>5</v>
      </c>
      <c r="N3" s="72" t="s">
        <v>6</v>
      </c>
      <c r="O3" s="75" t="s">
        <v>14</v>
      </c>
      <c r="P3" s="72" t="s">
        <v>22</v>
      </c>
      <c r="Q3" s="72" t="s">
        <v>9</v>
      </c>
      <c r="R3" s="72" t="s">
        <v>461</v>
      </c>
      <c r="S3" s="75" t="s">
        <v>8</v>
      </c>
    </row>
    <row r="4" spans="1:47" s="271" customFormat="1" ht="15" customHeight="1">
      <c r="A4" s="266"/>
      <c r="B4" s="267">
        <v>1</v>
      </c>
      <c r="C4" s="270" t="s">
        <v>326</v>
      </c>
      <c r="D4" s="268"/>
      <c r="E4" s="269"/>
      <c r="F4" s="269"/>
      <c r="G4" s="270"/>
      <c r="H4" s="270"/>
      <c r="I4" s="269"/>
      <c r="J4" s="270"/>
      <c r="K4" s="270"/>
      <c r="L4" s="270"/>
      <c r="M4" s="270"/>
      <c r="N4" s="270"/>
      <c r="O4" s="270"/>
      <c r="P4" s="270"/>
      <c r="Q4" s="270"/>
      <c r="R4" s="270"/>
      <c r="S4" s="270"/>
      <c r="T4" s="266"/>
      <c r="U4" s="266"/>
      <c r="V4" s="266"/>
      <c r="W4" s="266"/>
      <c r="X4" s="266"/>
      <c r="Y4" s="266"/>
      <c r="Z4" s="266"/>
      <c r="AA4" s="266"/>
      <c r="AB4" s="266"/>
      <c r="AC4" s="266"/>
      <c r="AD4" s="266"/>
      <c r="AE4" s="266"/>
      <c r="AF4" s="266"/>
      <c r="AG4" s="266"/>
      <c r="AH4" s="266"/>
      <c r="AI4" s="266"/>
      <c r="AJ4" s="266"/>
      <c r="AK4" s="266"/>
      <c r="AL4" s="266"/>
      <c r="AM4" s="266"/>
      <c r="AN4" s="266"/>
      <c r="AO4" s="266"/>
      <c r="AP4" s="266"/>
      <c r="AQ4" s="266"/>
      <c r="AR4" s="266"/>
      <c r="AS4" s="266"/>
      <c r="AT4" s="266"/>
      <c r="AU4" s="266"/>
    </row>
    <row r="5" spans="1:47" s="10" customFormat="1" ht="49.5" customHeight="1">
      <c r="B5" s="76"/>
      <c r="C5" s="103" t="s">
        <v>289</v>
      </c>
      <c r="D5" s="104" t="s">
        <v>323</v>
      </c>
      <c r="E5" s="58">
        <v>2</v>
      </c>
      <c r="F5" s="59" t="s">
        <v>43</v>
      </c>
      <c r="G5" s="102">
        <v>6760</v>
      </c>
      <c r="H5" s="60">
        <f>E5*G5</f>
        <v>13520</v>
      </c>
      <c r="I5" s="61">
        <v>0</v>
      </c>
      <c r="J5" s="60">
        <f>(100%-I5)*G5</f>
        <v>6760</v>
      </c>
      <c r="K5" s="60">
        <f>J5*E5</f>
        <v>13520</v>
      </c>
      <c r="L5" s="62">
        <v>0.1</v>
      </c>
      <c r="M5" s="62">
        <v>0.1</v>
      </c>
      <c r="N5" s="62">
        <v>0.4</v>
      </c>
      <c r="O5" s="62">
        <v>0.3</v>
      </c>
      <c r="P5" s="60">
        <f>((100%+SUM(L5:N5))+O5*(100%+SUM(L5:N5)))*J5</f>
        <v>14060.800000000001</v>
      </c>
      <c r="Q5" s="60">
        <f>P5*E5</f>
        <v>28121.600000000002</v>
      </c>
      <c r="R5" s="63">
        <f>45*P5*1.15</f>
        <v>727646.39999999991</v>
      </c>
      <c r="S5" s="63">
        <f>R5*E5</f>
        <v>1455292.7999999998</v>
      </c>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row>
    <row r="6" spans="1:47" s="314" customFormat="1" ht="49.5" customHeight="1">
      <c r="B6" s="76"/>
      <c r="C6" s="103" t="s">
        <v>324</v>
      </c>
      <c r="D6" s="104" t="s">
        <v>325</v>
      </c>
      <c r="E6" s="58">
        <v>2</v>
      </c>
      <c r="F6" s="59" t="s">
        <v>43</v>
      </c>
      <c r="G6" s="102">
        <v>2866</v>
      </c>
      <c r="H6" s="60">
        <f>E6*G6</f>
        <v>5732</v>
      </c>
      <c r="I6" s="187">
        <v>0</v>
      </c>
      <c r="J6" s="60">
        <f>(100%-I6)*G6</f>
        <v>2866</v>
      </c>
      <c r="K6" s="60">
        <f>J6*E6</f>
        <v>5732</v>
      </c>
      <c r="L6" s="188">
        <v>0.1</v>
      </c>
      <c r="M6" s="188">
        <v>0.1</v>
      </c>
      <c r="N6" s="188">
        <v>0.4</v>
      </c>
      <c r="O6" s="188">
        <v>0.3</v>
      </c>
      <c r="P6" s="60">
        <f>((100%+SUM(L6:N6))+O6*(100%+SUM(L6:N6)))*J6</f>
        <v>5961.2800000000007</v>
      </c>
      <c r="Q6" s="60">
        <f>P6*E6</f>
        <v>11922.560000000001</v>
      </c>
      <c r="R6" s="63">
        <f t="shared" ref="R6:R16" si="0">45*P6*1.15</f>
        <v>308496.24</v>
      </c>
      <c r="S6" s="63">
        <f>R6*E6</f>
        <v>616992.48</v>
      </c>
      <c r="T6" s="321"/>
      <c r="U6" s="321"/>
      <c r="V6" s="321"/>
      <c r="W6" s="321"/>
      <c r="X6" s="321"/>
      <c r="Y6" s="321"/>
      <c r="Z6" s="321"/>
      <c r="AA6" s="321"/>
      <c r="AB6" s="321"/>
      <c r="AC6" s="321"/>
      <c r="AD6" s="321"/>
      <c r="AE6" s="321"/>
      <c r="AF6" s="321"/>
      <c r="AG6" s="321"/>
      <c r="AH6" s="321"/>
      <c r="AI6" s="321"/>
      <c r="AJ6" s="321"/>
      <c r="AK6" s="321"/>
      <c r="AL6" s="321"/>
      <c r="AM6" s="321"/>
      <c r="AN6" s="321"/>
      <c r="AO6" s="321"/>
      <c r="AP6" s="321"/>
      <c r="AQ6" s="321"/>
      <c r="AR6" s="321"/>
      <c r="AS6" s="321"/>
      <c r="AT6" s="321"/>
      <c r="AU6" s="321"/>
    </row>
    <row r="7" spans="1:47" s="271" customFormat="1" ht="15" customHeight="1">
      <c r="A7" s="266"/>
      <c r="B7" s="267">
        <v>2</v>
      </c>
      <c r="C7" s="270" t="s">
        <v>327</v>
      </c>
      <c r="D7" s="268"/>
      <c r="E7" s="269"/>
      <c r="F7" s="269"/>
      <c r="G7" s="270"/>
      <c r="H7" s="270"/>
      <c r="I7" s="269"/>
      <c r="J7" s="270"/>
      <c r="K7" s="270"/>
      <c r="L7" s="270"/>
      <c r="M7" s="270"/>
      <c r="N7" s="270"/>
      <c r="O7" s="270"/>
      <c r="P7" s="270"/>
      <c r="Q7" s="270"/>
      <c r="R7" s="270"/>
      <c r="S7" s="270"/>
      <c r="T7" s="266"/>
      <c r="U7" s="266"/>
      <c r="V7" s="266"/>
      <c r="W7" s="266"/>
      <c r="X7" s="266"/>
      <c r="Y7" s="266"/>
      <c r="Z7" s="266"/>
      <c r="AA7" s="266"/>
      <c r="AB7" s="266"/>
      <c r="AC7" s="266"/>
      <c r="AD7" s="266"/>
      <c r="AE7" s="266"/>
      <c r="AF7" s="266"/>
      <c r="AG7" s="266"/>
      <c r="AH7" s="266"/>
      <c r="AI7" s="266"/>
      <c r="AJ7" s="266"/>
      <c r="AK7" s="266"/>
      <c r="AL7" s="266"/>
      <c r="AM7" s="266"/>
      <c r="AN7" s="266"/>
      <c r="AO7" s="266"/>
      <c r="AP7" s="266"/>
      <c r="AQ7" s="266"/>
      <c r="AR7" s="266"/>
      <c r="AS7" s="266"/>
      <c r="AT7" s="266"/>
      <c r="AU7" s="266"/>
    </row>
    <row r="8" spans="1:47" s="10" customFormat="1" ht="29">
      <c r="B8" s="76"/>
      <c r="C8" s="103" t="s">
        <v>171</v>
      </c>
      <c r="D8" s="104" t="s">
        <v>172</v>
      </c>
      <c r="E8" s="59">
        <v>10</v>
      </c>
      <c r="F8" s="59" t="s">
        <v>43</v>
      </c>
      <c r="G8" s="102">
        <v>1476</v>
      </c>
      <c r="H8" s="60">
        <f>E8*G8</f>
        <v>14760</v>
      </c>
      <c r="I8" s="61">
        <v>0</v>
      </c>
      <c r="J8" s="60">
        <f>(100%-I8)*G8</f>
        <v>1476</v>
      </c>
      <c r="K8" s="60">
        <f>J8*E8</f>
        <v>14760</v>
      </c>
      <c r="L8" s="62">
        <v>0.1</v>
      </c>
      <c r="M8" s="62">
        <v>0.1</v>
      </c>
      <c r="N8" s="62">
        <v>0.4</v>
      </c>
      <c r="O8" s="62">
        <v>0.3</v>
      </c>
      <c r="P8" s="60">
        <f>((100%+SUM(L8:N8))+O8*(100%+SUM(L8:N8)))*J8</f>
        <v>3070.08</v>
      </c>
      <c r="Q8" s="60">
        <f>P8*E8</f>
        <v>30700.799999999999</v>
      </c>
      <c r="R8" s="63">
        <f t="shared" si="0"/>
        <v>158876.63999999998</v>
      </c>
      <c r="S8" s="63">
        <f>R8*E8</f>
        <v>1588766.4</v>
      </c>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row>
    <row r="9" spans="1:47" s="10" customFormat="1" ht="15.5">
      <c r="B9" s="76"/>
      <c r="C9" s="103" t="s">
        <v>173</v>
      </c>
      <c r="D9" s="103" t="s">
        <v>174</v>
      </c>
      <c r="E9" s="59">
        <v>10</v>
      </c>
      <c r="F9" s="59" t="s">
        <v>43</v>
      </c>
      <c r="G9" s="102">
        <v>182</v>
      </c>
      <c r="H9" s="60">
        <f>E9*G9</f>
        <v>1820</v>
      </c>
      <c r="I9" s="61">
        <v>0</v>
      </c>
      <c r="J9" s="60">
        <f>(100%-I9)*G9</f>
        <v>182</v>
      </c>
      <c r="K9" s="60">
        <f>J9*E9</f>
        <v>1820</v>
      </c>
      <c r="L9" s="62">
        <v>0.1</v>
      </c>
      <c r="M9" s="62">
        <v>0.1</v>
      </c>
      <c r="N9" s="62">
        <v>0.4</v>
      </c>
      <c r="O9" s="62">
        <v>0.3</v>
      </c>
      <c r="P9" s="60">
        <f>((100%+SUM(L9:N9))+O9*(100%+SUM(L9:N9)))*J9</f>
        <v>378.56</v>
      </c>
      <c r="Q9" s="60">
        <f>P9*E9</f>
        <v>3785.6</v>
      </c>
      <c r="R9" s="63">
        <f t="shared" si="0"/>
        <v>19590.48</v>
      </c>
      <c r="S9" s="63">
        <f>R9*E9</f>
        <v>195904.8</v>
      </c>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row>
    <row r="10" spans="1:47" s="271" customFormat="1" ht="15" customHeight="1">
      <c r="A10" s="266"/>
      <c r="B10" s="267">
        <v>3</v>
      </c>
      <c r="C10" s="270" t="s">
        <v>168</v>
      </c>
      <c r="D10" s="268"/>
      <c r="E10" s="269"/>
      <c r="F10" s="269"/>
      <c r="G10" s="270"/>
      <c r="H10" s="270"/>
      <c r="I10" s="269"/>
      <c r="J10" s="270"/>
      <c r="K10" s="270"/>
      <c r="L10" s="270"/>
      <c r="M10" s="270"/>
      <c r="N10" s="270"/>
      <c r="O10" s="270"/>
      <c r="P10" s="270"/>
      <c r="Q10" s="270"/>
      <c r="R10" s="270"/>
      <c r="S10" s="270"/>
      <c r="T10" s="266"/>
      <c r="U10" s="266"/>
      <c r="V10" s="266"/>
      <c r="W10" s="266"/>
      <c r="X10" s="266"/>
      <c r="Y10" s="266"/>
      <c r="Z10" s="266"/>
      <c r="AA10" s="266"/>
      <c r="AB10" s="266"/>
      <c r="AC10" s="266"/>
      <c r="AD10" s="266"/>
      <c r="AE10" s="266"/>
      <c r="AF10" s="266"/>
      <c r="AG10" s="266"/>
      <c r="AH10" s="266"/>
      <c r="AI10" s="266"/>
      <c r="AJ10" s="266"/>
      <c r="AK10" s="266"/>
      <c r="AL10" s="266"/>
      <c r="AM10" s="266"/>
      <c r="AN10" s="266"/>
      <c r="AO10" s="266"/>
      <c r="AP10" s="266"/>
      <c r="AQ10" s="266"/>
      <c r="AR10" s="266"/>
      <c r="AS10" s="266"/>
      <c r="AT10" s="266"/>
      <c r="AU10" s="266"/>
    </row>
    <row r="11" spans="1:47" s="10" customFormat="1" ht="29">
      <c r="B11" s="76"/>
      <c r="C11" s="103" t="s">
        <v>50</v>
      </c>
      <c r="D11" s="104" t="s">
        <v>51</v>
      </c>
      <c r="E11" s="59">
        <v>5</v>
      </c>
      <c r="F11" s="59" t="s">
        <v>43</v>
      </c>
      <c r="G11" s="102">
        <v>1665</v>
      </c>
      <c r="H11" s="60">
        <f>E11*G11</f>
        <v>8325</v>
      </c>
      <c r="I11" s="61">
        <v>0</v>
      </c>
      <c r="J11" s="60">
        <f>(100%-I11)*G11</f>
        <v>1665</v>
      </c>
      <c r="K11" s="60">
        <f>J11*E11</f>
        <v>8325</v>
      </c>
      <c r="L11" s="62">
        <v>0.1</v>
      </c>
      <c r="M11" s="62">
        <v>0.1</v>
      </c>
      <c r="N11" s="62">
        <v>0.4</v>
      </c>
      <c r="O11" s="62">
        <v>0.3</v>
      </c>
      <c r="P11" s="60">
        <f>((100%+SUM(L11:N11))+O11*(100%+SUM(L11:N11)))*J11</f>
        <v>3463.2000000000003</v>
      </c>
      <c r="Q11" s="60">
        <f>P11*E11</f>
        <v>17316</v>
      </c>
      <c r="R11" s="63">
        <f t="shared" si="0"/>
        <v>179220.59999999998</v>
      </c>
      <c r="S11" s="63">
        <f>R11*E11</f>
        <v>896102.99999999988</v>
      </c>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row>
    <row r="12" spans="1:47" s="10" customFormat="1" ht="15.5">
      <c r="B12" s="76"/>
      <c r="C12" s="103" t="s">
        <v>55</v>
      </c>
      <c r="D12" s="103" t="s">
        <v>56</v>
      </c>
      <c r="E12" s="59">
        <v>5</v>
      </c>
      <c r="F12" s="59" t="s">
        <v>43</v>
      </c>
      <c r="G12" s="102">
        <v>334</v>
      </c>
      <c r="H12" s="60">
        <f>E12*G12</f>
        <v>1670</v>
      </c>
      <c r="I12" s="61">
        <v>0</v>
      </c>
      <c r="J12" s="60">
        <f>(100%-I12)*G12</f>
        <v>334</v>
      </c>
      <c r="K12" s="60">
        <f>J12*E12</f>
        <v>1670</v>
      </c>
      <c r="L12" s="62">
        <v>0.1</v>
      </c>
      <c r="M12" s="62">
        <v>0.1</v>
      </c>
      <c r="N12" s="62">
        <v>0.4</v>
      </c>
      <c r="O12" s="62">
        <v>0.3</v>
      </c>
      <c r="P12" s="60">
        <f>((100%+SUM(L12:N12))+O12*(100%+SUM(L12:N12)))*J12</f>
        <v>694.72</v>
      </c>
      <c r="Q12" s="60">
        <f>P12*E12</f>
        <v>3473.6000000000004</v>
      </c>
      <c r="R12" s="63">
        <f t="shared" si="0"/>
        <v>35951.760000000002</v>
      </c>
      <c r="S12" s="63">
        <f>R12*E12</f>
        <v>179758.80000000002</v>
      </c>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row>
    <row r="13" spans="1:47" s="271" customFormat="1" ht="15" customHeight="1">
      <c r="A13" s="266"/>
      <c r="B13" s="267">
        <v>5</v>
      </c>
      <c r="C13" s="268" t="s">
        <v>437</v>
      </c>
      <c r="D13" s="268"/>
      <c r="E13" s="269"/>
      <c r="F13" s="269"/>
      <c r="G13" s="270"/>
      <c r="H13" s="270"/>
      <c r="I13" s="269"/>
      <c r="J13" s="270"/>
      <c r="K13" s="270"/>
      <c r="L13" s="270"/>
      <c r="M13" s="270"/>
      <c r="N13" s="270"/>
      <c r="O13" s="270"/>
      <c r="P13" s="270"/>
      <c r="Q13" s="270"/>
      <c r="R13" s="270"/>
      <c r="S13" s="270"/>
      <c r="T13" s="266"/>
      <c r="U13" s="266"/>
      <c r="V13" s="266"/>
      <c r="W13" s="266"/>
      <c r="X13" s="266"/>
      <c r="Y13" s="266"/>
      <c r="Z13" s="266"/>
      <c r="AA13" s="266"/>
      <c r="AB13" s="266"/>
      <c r="AC13" s="266"/>
      <c r="AD13" s="266"/>
      <c r="AE13" s="266"/>
      <c r="AF13" s="266"/>
      <c r="AG13" s="266"/>
      <c r="AH13" s="266"/>
      <c r="AI13" s="266"/>
      <c r="AJ13" s="266"/>
      <c r="AK13" s="266"/>
      <c r="AL13" s="266"/>
      <c r="AM13" s="266"/>
      <c r="AN13" s="266"/>
      <c r="AO13" s="266"/>
      <c r="AP13" s="266"/>
      <c r="AQ13" s="266"/>
      <c r="AR13" s="266"/>
      <c r="AS13" s="266"/>
      <c r="AT13" s="266"/>
      <c r="AU13" s="266"/>
    </row>
    <row r="14" spans="1:47" s="361" customFormat="1" ht="31">
      <c r="B14" s="394"/>
      <c r="C14" s="373" t="s">
        <v>52</v>
      </c>
      <c r="D14" s="373" t="s">
        <v>53</v>
      </c>
      <c r="E14" s="365">
        <v>100</v>
      </c>
      <c r="F14" s="365" t="s">
        <v>43</v>
      </c>
      <c r="G14" s="401">
        <v>45</v>
      </c>
      <c r="H14" s="397">
        <f>E14*G14</f>
        <v>4500</v>
      </c>
      <c r="I14" s="398">
        <v>0</v>
      </c>
      <c r="J14" s="397">
        <f>(100%-I14)*G14</f>
        <v>45</v>
      </c>
      <c r="K14" s="397">
        <f>J14*E14</f>
        <v>4500</v>
      </c>
      <c r="L14" s="399">
        <v>0.1</v>
      </c>
      <c r="M14" s="399">
        <v>0.1</v>
      </c>
      <c r="N14" s="399">
        <v>0.4</v>
      </c>
      <c r="O14" s="399">
        <v>0.3</v>
      </c>
      <c r="P14" s="397">
        <f>((100%+SUM(L14:N14))+O14*(100%+SUM(L14:N14)))*J14</f>
        <v>93.600000000000009</v>
      </c>
      <c r="Q14" s="397">
        <f>P14*E14</f>
        <v>9360</v>
      </c>
      <c r="R14" s="63">
        <f t="shared" si="0"/>
        <v>4843.7999999999993</v>
      </c>
      <c r="S14" s="400">
        <f>R14*E14</f>
        <v>484379.99999999994</v>
      </c>
      <c r="T14" s="371"/>
      <c r="U14" s="371"/>
      <c r="V14" s="371"/>
      <c r="W14" s="371"/>
      <c r="X14" s="371"/>
      <c r="Y14" s="371"/>
      <c r="Z14" s="371"/>
      <c r="AA14" s="371"/>
      <c r="AB14" s="371"/>
      <c r="AC14" s="371"/>
      <c r="AD14" s="371"/>
      <c r="AE14" s="371"/>
      <c r="AF14" s="371"/>
      <c r="AG14" s="371"/>
      <c r="AH14" s="371"/>
      <c r="AI14" s="371"/>
      <c r="AJ14" s="371"/>
      <c r="AK14" s="371"/>
      <c r="AL14" s="371"/>
      <c r="AM14" s="371"/>
      <c r="AN14" s="371"/>
      <c r="AO14" s="371"/>
      <c r="AP14" s="371"/>
      <c r="AQ14" s="371"/>
      <c r="AR14" s="371"/>
      <c r="AS14" s="371"/>
      <c r="AT14" s="371"/>
      <c r="AU14" s="371"/>
    </row>
    <row r="15" spans="1:47" s="271" customFormat="1" ht="15" customHeight="1">
      <c r="A15" s="266"/>
      <c r="B15" s="267">
        <v>6</v>
      </c>
      <c r="C15" s="268" t="s">
        <v>335</v>
      </c>
      <c r="D15" s="268"/>
      <c r="E15" s="269"/>
      <c r="F15" s="269"/>
      <c r="G15" s="270"/>
      <c r="H15" s="270"/>
      <c r="I15" s="269"/>
      <c r="J15" s="270"/>
      <c r="K15" s="270"/>
      <c r="L15" s="270"/>
      <c r="M15" s="270"/>
      <c r="N15" s="270"/>
      <c r="O15" s="270"/>
      <c r="P15" s="270"/>
      <c r="Q15" s="270"/>
      <c r="R15" s="270"/>
      <c r="S15" s="270"/>
      <c r="T15" s="266"/>
      <c r="U15" s="266"/>
      <c r="V15" s="266"/>
      <c r="W15" s="266"/>
      <c r="X15" s="266"/>
      <c r="Y15" s="266"/>
      <c r="Z15" s="266"/>
      <c r="AA15" s="266"/>
      <c r="AB15" s="266"/>
      <c r="AC15" s="266"/>
      <c r="AD15" s="266"/>
      <c r="AE15" s="266"/>
      <c r="AF15" s="266"/>
      <c r="AG15" s="266"/>
      <c r="AH15" s="266"/>
      <c r="AI15" s="266"/>
      <c r="AJ15" s="266"/>
      <c r="AK15" s="266"/>
      <c r="AL15" s="266"/>
      <c r="AM15" s="266"/>
      <c r="AN15" s="266"/>
      <c r="AO15" s="266"/>
      <c r="AP15" s="266"/>
      <c r="AQ15" s="266"/>
      <c r="AR15" s="266"/>
      <c r="AS15" s="266"/>
      <c r="AT15" s="266"/>
      <c r="AU15" s="266"/>
    </row>
    <row r="16" spans="1:47" s="361" customFormat="1" ht="150" customHeight="1">
      <c r="B16" s="394"/>
      <c r="C16" s="395" t="s">
        <v>336</v>
      </c>
      <c r="D16" s="396" t="s">
        <v>337</v>
      </c>
      <c r="E16" s="365">
        <v>60</v>
      </c>
      <c r="F16" s="365" t="s">
        <v>43</v>
      </c>
      <c r="G16" s="397">
        <v>1116.53</v>
      </c>
      <c r="H16" s="397">
        <f>E16*G16</f>
        <v>66991.8</v>
      </c>
      <c r="I16" s="398">
        <v>0</v>
      </c>
      <c r="J16" s="397">
        <f>(100%-I16)*G16</f>
        <v>1116.53</v>
      </c>
      <c r="K16" s="397">
        <f>J16*E16</f>
        <v>66991.8</v>
      </c>
      <c r="L16" s="399">
        <v>0.1</v>
      </c>
      <c r="M16" s="399">
        <v>0.1</v>
      </c>
      <c r="N16" s="399">
        <v>0.4</v>
      </c>
      <c r="O16" s="399">
        <v>0.3</v>
      </c>
      <c r="P16" s="397">
        <f>((100%+SUM(L16:N16))+O16*(100%+SUM(L16:N16)))*J16</f>
        <v>2322.3824</v>
      </c>
      <c r="Q16" s="397">
        <f>P16*E16</f>
        <v>139342.94399999999</v>
      </c>
      <c r="R16" s="63">
        <f t="shared" si="0"/>
        <v>120183.28919999998</v>
      </c>
      <c r="S16" s="400">
        <f>R16*E16</f>
        <v>7210997.351999999</v>
      </c>
      <c r="T16" s="371"/>
      <c r="U16" s="371"/>
      <c r="V16" s="371"/>
      <c r="W16" s="371"/>
      <c r="X16" s="371"/>
      <c r="Y16" s="371"/>
      <c r="Z16" s="371"/>
      <c r="AA16" s="371"/>
      <c r="AB16" s="371"/>
      <c r="AC16" s="371"/>
      <c r="AD16" s="371"/>
      <c r="AE16" s="371"/>
      <c r="AF16" s="371"/>
      <c r="AG16" s="371"/>
      <c r="AH16" s="371"/>
      <c r="AI16" s="371"/>
      <c r="AJ16" s="371"/>
      <c r="AK16" s="371"/>
      <c r="AL16" s="371"/>
      <c r="AM16" s="371"/>
      <c r="AN16" s="371"/>
      <c r="AO16" s="371"/>
      <c r="AP16" s="371"/>
      <c r="AQ16" s="371"/>
      <c r="AR16" s="371"/>
      <c r="AS16" s="371"/>
      <c r="AT16" s="371"/>
      <c r="AU16" s="371"/>
    </row>
    <row r="17" spans="2:19" ht="20.149999999999999" customHeight="1">
      <c r="B17" s="252"/>
      <c r="C17" s="253" t="s">
        <v>23</v>
      </c>
      <c r="D17" s="253"/>
      <c r="E17" s="254"/>
      <c r="F17" s="254"/>
      <c r="G17" s="255"/>
      <c r="H17" s="255">
        <f>SUM(H5:H5)</f>
        <v>13520</v>
      </c>
      <c r="I17" s="254"/>
      <c r="J17" s="253"/>
      <c r="K17" s="255">
        <f>SUM(K5:K5)</f>
        <v>13520</v>
      </c>
      <c r="L17" s="256"/>
      <c r="M17" s="256"/>
      <c r="N17" s="256"/>
      <c r="O17" s="253"/>
      <c r="P17" s="253"/>
      <c r="Q17" s="257">
        <f>SUM(Q5:Q5)</f>
        <v>28121.600000000002</v>
      </c>
      <c r="R17" s="257"/>
      <c r="S17" s="258">
        <f>SUM(S5:S16)</f>
        <v>12628195.631999999</v>
      </c>
    </row>
    <row r="18" spans="2:19" ht="15.5">
      <c r="B18" s="15"/>
      <c r="C18" s="16"/>
      <c r="D18" s="16"/>
      <c r="E18" s="19"/>
      <c r="F18" s="19"/>
      <c r="G18" s="15"/>
      <c r="H18" s="15"/>
      <c r="I18" s="19"/>
      <c r="J18" s="15"/>
      <c r="K18" s="15"/>
      <c r="L18" s="15"/>
      <c r="M18" s="15"/>
      <c r="N18" s="15"/>
      <c r="O18" s="15"/>
      <c r="P18" s="15"/>
      <c r="Q18" s="15"/>
      <c r="R18" s="15"/>
      <c r="S18" s="15"/>
    </row>
    <row r="21" spans="2:19">
      <c r="Q21" s="9"/>
    </row>
    <row r="50" spans="3:3">
      <c r="C50" s="17"/>
    </row>
    <row r="58" spans="3:3">
      <c r="C58" s="17"/>
    </row>
    <row r="65" spans="3:3">
      <c r="C65" s="17"/>
    </row>
  </sheetData>
  <mergeCells count="1">
    <mergeCell ref="B2:S2"/>
  </mergeCells>
  <dataValidations count="1">
    <dataValidation type="decimal" allowBlank="1" showInputMessage="1" showErrorMessage="1" errorTitle="X-Author for Excel" error="Please enter a valid decimal value. Valid range for Unit List Price is -1E+16 to 1E+16." promptTitle="X-Author for Excel" sqref="G14">
      <formula1>-10000000000000000</formula1>
      <formula2>10000000000000000</formula2>
    </dataValidation>
  </dataValidations>
  <pageMargins left="0.75" right="0.75" top="1" bottom="1" header="0.3" footer="0.3"/>
  <pageSetup paperSize="9" scale="43" fitToHeight="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04"/>
  <sheetViews>
    <sheetView view="pageBreakPreview" topLeftCell="A52" zoomScale="56" zoomScaleNormal="90" zoomScaleSheetLayoutView="56" workbookViewId="0">
      <selection activeCell="S57" sqref="S57"/>
    </sheetView>
  </sheetViews>
  <sheetFormatPr defaultColWidth="8.81640625" defaultRowHeight="14.5"/>
  <cols>
    <col min="1" max="1" width="7.81640625" customWidth="1"/>
    <col min="2" max="2" width="6.453125" customWidth="1"/>
    <col min="3" max="3" width="25.08984375" customWidth="1"/>
    <col min="4" max="4" width="17.1796875" customWidth="1"/>
    <col min="5" max="5" width="8.81640625" style="18" customWidth="1"/>
    <col min="6" max="6" width="8.26953125" style="18" customWidth="1"/>
    <col min="7" max="7" width="10.26953125" customWidth="1"/>
    <col min="8" max="8" width="18.453125" customWidth="1"/>
    <col min="9" max="9" width="12.453125" style="18" customWidth="1"/>
    <col min="10" max="10" width="9.26953125" customWidth="1"/>
    <col min="11" max="11" width="14.90625" customWidth="1"/>
    <col min="12" max="12" width="10.453125" customWidth="1"/>
    <col min="13" max="13" width="9.1796875" customWidth="1"/>
    <col min="14" max="14" width="11.453125" customWidth="1"/>
    <col min="15" max="16" width="10.81640625" customWidth="1"/>
    <col min="17" max="17" width="15.54296875" customWidth="1"/>
    <col min="18" max="18" width="10.08984375" customWidth="1"/>
    <col min="19" max="19" width="16.6328125" customWidth="1"/>
    <col min="20" max="47" width="9.1796875" style="54" customWidth="1"/>
  </cols>
  <sheetData>
    <row r="1" spans="1:47" s="176" customFormat="1">
      <c r="E1" s="18"/>
      <c r="F1" s="18"/>
      <c r="I1" s="18"/>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row>
    <row r="2" spans="1:47" ht="25">
      <c r="B2" s="522" t="s">
        <v>267</v>
      </c>
      <c r="C2" s="522"/>
      <c r="D2" s="522"/>
      <c r="E2" s="522"/>
      <c r="F2" s="522"/>
      <c r="G2" s="522"/>
      <c r="H2" s="522"/>
      <c r="I2" s="522"/>
      <c r="J2" s="522"/>
      <c r="K2" s="522"/>
      <c r="L2" s="522"/>
      <c r="M2" s="522"/>
      <c r="N2" s="522"/>
      <c r="O2" s="522"/>
      <c r="P2" s="522"/>
      <c r="Q2" s="522"/>
      <c r="R2" s="522"/>
      <c r="S2" s="522"/>
    </row>
    <row r="3" spans="1:47" ht="48.75" customHeight="1">
      <c r="B3" s="122" t="s">
        <v>1</v>
      </c>
      <c r="C3" s="123" t="s">
        <v>21</v>
      </c>
      <c r="D3" s="124" t="s">
        <v>15</v>
      </c>
      <c r="E3" s="122" t="s">
        <v>10</v>
      </c>
      <c r="F3" s="57" t="s">
        <v>28</v>
      </c>
      <c r="G3" s="125" t="s">
        <v>0</v>
      </c>
      <c r="H3" s="125" t="s">
        <v>11</v>
      </c>
      <c r="I3" s="126" t="s">
        <v>3</v>
      </c>
      <c r="J3" s="125" t="s">
        <v>12</v>
      </c>
      <c r="K3" s="125" t="s">
        <v>13</v>
      </c>
      <c r="L3" s="125" t="s">
        <v>4</v>
      </c>
      <c r="M3" s="127" t="s">
        <v>5</v>
      </c>
      <c r="N3" s="125" t="s">
        <v>6</v>
      </c>
      <c r="O3" s="128" t="s">
        <v>14</v>
      </c>
      <c r="P3" s="125" t="s">
        <v>22</v>
      </c>
      <c r="Q3" s="125" t="s">
        <v>9</v>
      </c>
      <c r="R3" s="125" t="s">
        <v>7</v>
      </c>
      <c r="S3" s="128" t="s">
        <v>8</v>
      </c>
    </row>
    <row r="4" spans="1:47" s="41" customFormat="1" ht="21" customHeight="1">
      <c r="A4" s="42"/>
      <c r="B4" s="272">
        <v>1</v>
      </c>
      <c r="C4" s="273" t="s">
        <v>90</v>
      </c>
      <c r="D4" s="273"/>
      <c r="E4" s="272"/>
      <c r="F4" s="272"/>
      <c r="G4" s="274"/>
      <c r="H4" s="274"/>
      <c r="I4" s="272"/>
      <c r="J4" s="274"/>
      <c r="K4" s="274"/>
      <c r="L4" s="274"/>
      <c r="M4" s="274"/>
      <c r="N4" s="274"/>
      <c r="O4" s="274"/>
      <c r="P4" s="274"/>
      <c r="Q4" s="274"/>
      <c r="R4" s="274"/>
      <c r="S4" s="274"/>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row>
    <row r="5" spans="1:47" s="10" customFormat="1" ht="50.25" customHeight="1">
      <c r="B5" s="129"/>
      <c r="C5" s="101" t="s">
        <v>91</v>
      </c>
      <c r="D5" s="130" t="s">
        <v>159</v>
      </c>
      <c r="E5" s="58">
        <v>15</v>
      </c>
      <c r="F5" s="59" t="s">
        <v>147</v>
      </c>
      <c r="G5" s="138">
        <v>175</v>
      </c>
      <c r="H5" s="131">
        <f>E5*G5</f>
        <v>2625</v>
      </c>
      <c r="I5" s="132">
        <v>0</v>
      </c>
      <c r="J5" s="131">
        <f>(100%-I5)*G5</f>
        <v>175</v>
      </c>
      <c r="K5" s="131">
        <f>J5*E5</f>
        <v>2625</v>
      </c>
      <c r="L5" s="133">
        <v>0.1</v>
      </c>
      <c r="M5" s="133">
        <v>0.1</v>
      </c>
      <c r="N5" s="133">
        <v>0.4</v>
      </c>
      <c r="O5" s="133">
        <v>0.4</v>
      </c>
      <c r="P5" s="131">
        <f>((100%+SUM(L5:N5))+O5*(100%+SUM(L5:N5)))*J5</f>
        <v>392.00000000000006</v>
      </c>
      <c r="Q5" s="131">
        <f>P5*E5</f>
        <v>5880.0000000000009</v>
      </c>
      <c r="R5" s="134">
        <f>12*P5*1.15</f>
        <v>5409.6</v>
      </c>
      <c r="S5" s="134">
        <f>R5*E5</f>
        <v>81144</v>
      </c>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row>
    <row r="6" spans="1:47" s="41" customFormat="1" ht="21" customHeight="1">
      <c r="A6" s="42"/>
      <c r="B6" s="272">
        <v>2</v>
      </c>
      <c r="C6" s="273" t="s">
        <v>148</v>
      </c>
      <c r="D6" s="273"/>
      <c r="E6" s="272"/>
      <c r="F6" s="272"/>
      <c r="G6" s="274"/>
      <c r="H6" s="274"/>
      <c r="I6" s="272"/>
      <c r="J6" s="274"/>
      <c r="K6" s="274"/>
      <c r="L6" s="274"/>
      <c r="M6" s="274"/>
      <c r="N6" s="274"/>
      <c r="O6" s="274"/>
      <c r="P6" s="274"/>
      <c r="Q6" s="274"/>
      <c r="R6" s="274"/>
      <c r="S6" s="274"/>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row>
    <row r="7" spans="1:47" s="10" customFormat="1" ht="21.75" customHeight="1">
      <c r="B7" s="129"/>
      <c r="C7" s="101" t="s">
        <v>149</v>
      </c>
      <c r="D7" s="139" t="s">
        <v>150</v>
      </c>
      <c r="E7" s="58">
        <v>30</v>
      </c>
      <c r="F7" s="59" t="s">
        <v>147</v>
      </c>
      <c r="G7" s="138">
        <v>4000</v>
      </c>
      <c r="H7" s="131">
        <f>E7*G7</f>
        <v>120000</v>
      </c>
      <c r="I7" s="132">
        <v>0</v>
      </c>
      <c r="J7" s="131">
        <f>(100%-I7)*G7</f>
        <v>4000</v>
      </c>
      <c r="K7" s="131">
        <f>J7*E7</f>
        <v>120000</v>
      </c>
      <c r="L7" s="133">
        <v>0.1</v>
      </c>
      <c r="M7" s="133">
        <v>0.1</v>
      </c>
      <c r="N7" s="133">
        <v>0.4</v>
      </c>
      <c r="O7" s="133">
        <v>0.4</v>
      </c>
      <c r="P7" s="131">
        <f>((100%+SUM(L7:N7))+O7*(100%+SUM(L7:N7)))*J7</f>
        <v>8960</v>
      </c>
      <c r="Q7" s="131">
        <f>P7*E7</f>
        <v>268800</v>
      </c>
      <c r="R7" s="135">
        <f>P7*1.15</f>
        <v>10304</v>
      </c>
      <c r="S7" s="134">
        <f>R7*E7</f>
        <v>309120</v>
      </c>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row>
    <row r="8" spans="1:47" s="41" customFormat="1" ht="21" customHeight="1">
      <c r="A8" s="42"/>
      <c r="B8" s="272">
        <v>3</v>
      </c>
      <c r="C8" s="273" t="s">
        <v>92</v>
      </c>
      <c r="D8" s="273"/>
      <c r="E8" s="272"/>
      <c r="F8" s="272"/>
      <c r="G8" s="274"/>
      <c r="H8" s="274"/>
      <c r="I8" s="272"/>
      <c r="J8" s="274"/>
      <c r="K8" s="274"/>
      <c r="L8" s="274"/>
      <c r="M8" s="274"/>
      <c r="N8" s="274"/>
      <c r="O8" s="274"/>
      <c r="P8" s="274"/>
      <c r="Q8" s="274"/>
      <c r="R8" s="274"/>
      <c r="S8" s="274"/>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row>
    <row r="9" spans="1:47" s="10" customFormat="1" ht="61.5" customHeight="1">
      <c r="B9" s="129"/>
      <c r="C9" s="139" t="s">
        <v>93</v>
      </c>
      <c r="D9" s="99" t="s">
        <v>95</v>
      </c>
      <c r="E9" s="59">
        <v>2000</v>
      </c>
      <c r="F9" s="59" t="s">
        <v>87</v>
      </c>
      <c r="G9" s="138">
        <v>68</v>
      </c>
      <c r="H9" s="131">
        <f>E9*G9</f>
        <v>136000</v>
      </c>
      <c r="I9" s="132">
        <v>0</v>
      </c>
      <c r="J9" s="131">
        <f>(100%-I9)*G9</f>
        <v>68</v>
      </c>
      <c r="K9" s="131">
        <f>J9*E9</f>
        <v>136000</v>
      </c>
      <c r="L9" s="133">
        <v>0</v>
      </c>
      <c r="M9" s="133">
        <v>0</v>
      </c>
      <c r="N9" s="133">
        <v>0</v>
      </c>
      <c r="O9" s="133">
        <v>0.4</v>
      </c>
      <c r="P9" s="131">
        <f>((100%+SUM(L9:N9))+O9*(100%+SUM(L9:N9)))*J9</f>
        <v>95.199999999999989</v>
      </c>
      <c r="Q9" s="131">
        <f>P9*E9</f>
        <v>190399.99999999997</v>
      </c>
      <c r="R9" s="135">
        <f>P9*1.15</f>
        <v>109.47999999999998</v>
      </c>
      <c r="S9" s="134">
        <f>R9*E9</f>
        <v>218959.99999999994</v>
      </c>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row>
    <row r="10" spans="1:47" s="10" customFormat="1" ht="60.75" customHeight="1">
      <c r="B10" s="129"/>
      <c r="C10" s="139" t="s">
        <v>94</v>
      </c>
      <c r="D10" s="99" t="s">
        <v>96</v>
      </c>
      <c r="E10" s="59">
        <v>2000</v>
      </c>
      <c r="F10" s="59" t="s">
        <v>87</v>
      </c>
      <c r="G10" s="138">
        <v>100</v>
      </c>
      <c r="H10" s="131">
        <f>E10*G10</f>
        <v>200000</v>
      </c>
      <c r="I10" s="132">
        <v>0</v>
      </c>
      <c r="J10" s="131">
        <f>(100%-I10)*G10</f>
        <v>100</v>
      </c>
      <c r="K10" s="131">
        <f>J10*E10</f>
        <v>200000</v>
      </c>
      <c r="L10" s="133">
        <v>0</v>
      </c>
      <c r="M10" s="133">
        <v>0</v>
      </c>
      <c r="N10" s="133">
        <v>0</v>
      </c>
      <c r="O10" s="133">
        <v>0.4</v>
      </c>
      <c r="P10" s="131">
        <f>((100%+SUM(L10:N10))+O10*(100%+SUM(L10:N10)))*J10</f>
        <v>140</v>
      </c>
      <c r="Q10" s="131">
        <f>P10*E10</f>
        <v>280000</v>
      </c>
      <c r="R10" s="135">
        <f>P10*1.15</f>
        <v>161</v>
      </c>
      <c r="S10" s="134">
        <f>R10*E10</f>
        <v>322000</v>
      </c>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row>
    <row r="11" spans="1:47" s="41" customFormat="1" ht="21" customHeight="1">
      <c r="A11" s="42"/>
      <c r="B11" s="272">
        <v>4</v>
      </c>
      <c r="C11" s="273" t="s">
        <v>97</v>
      </c>
      <c r="D11" s="273"/>
      <c r="E11" s="272"/>
      <c r="F11" s="272"/>
      <c r="G11" s="274"/>
      <c r="H11" s="274"/>
      <c r="I11" s="272"/>
      <c r="J11" s="274"/>
      <c r="K11" s="274"/>
      <c r="L11" s="274"/>
      <c r="M11" s="274"/>
      <c r="N11" s="274"/>
      <c r="O11" s="274"/>
      <c r="P11" s="274"/>
      <c r="Q11" s="274"/>
      <c r="R11" s="274"/>
      <c r="S11" s="274"/>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row>
    <row r="12" spans="1:47" s="10" customFormat="1" ht="46.5">
      <c r="B12" s="129"/>
      <c r="C12" s="106" t="s">
        <v>99</v>
      </c>
      <c r="D12" s="139" t="s">
        <v>102</v>
      </c>
      <c r="E12" s="59">
        <v>86</v>
      </c>
      <c r="F12" s="59" t="s">
        <v>43</v>
      </c>
      <c r="G12" s="138">
        <v>370</v>
      </c>
      <c r="H12" s="131">
        <f>E12*G12</f>
        <v>31820</v>
      </c>
      <c r="I12" s="132">
        <v>0</v>
      </c>
      <c r="J12" s="131">
        <f>(100%-I12)*G12</f>
        <v>370</v>
      </c>
      <c r="K12" s="131">
        <f>J12*E12</f>
        <v>31820</v>
      </c>
      <c r="L12" s="133">
        <v>0</v>
      </c>
      <c r="M12" s="133">
        <v>0</v>
      </c>
      <c r="N12" s="133">
        <v>0</v>
      </c>
      <c r="O12" s="133">
        <v>0.4</v>
      </c>
      <c r="P12" s="131">
        <f>((100%+SUM(L12:N12))+O12*(100%+SUM(L12:N12)))*J12</f>
        <v>518</v>
      </c>
      <c r="Q12" s="131">
        <f>P12*E12</f>
        <v>44548</v>
      </c>
      <c r="R12" s="135">
        <f>P12*1.15</f>
        <v>595.69999999999993</v>
      </c>
      <c r="S12" s="134">
        <f>R12*E12</f>
        <v>51230.2</v>
      </c>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row>
    <row r="13" spans="1:47" s="10" customFormat="1" ht="77.5">
      <c r="B13" s="129"/>
      <c r="C13" s="106" t="s">
        <v>100</v>
      </c>
      <c r="D13" s="139" t="s">
        <v>98</v>
      </c>
      <c r="E13" s="59">
        <v>86</v>
      </c>
      <c r="F13" s="59" t="s">
        <v>43</v>
      </c>
      <c r="G13" s="138">
        <v>320</v>
      </c>
      <c r="H13" s="131">
        <f>E13*G13</f>
        <v>27520</v>
      </c>
      <c r="I13" s="132">
        <v>0</v>
      </c>
      <c r="J13" s="131">
        <f>(100%-I13)*G13</f>
        <v>320</v>
      </c>
      <c r="K13" s="131">
        <f>J13*E13</f>
        <v>27520</v>
      </c>
      <c r="L13" s="133">
        <v>0</v>
      </c>
      <c r="M13" s="133">
        <v>0</v>
      </c>
      <c r="N13" s="133">
        <v>0</v>
      </c>
      <c r="O13" s="133">
        <v>0.4</v>
      </c>
      <c r="P13" s="131">
        <f>((100%+SUM(L13:N13))+O13*(100%+SUM(L13:N13)))*J13</f>
        <v>448</v>
      </c>
      <c r="Q13" s="131">
        <f>P13*E13</f>
        <v>38528</v>
      </c>
      <c r="R13" s="135">
        <f t="shared" ref="R13:R14" si="0">P13*1.15</f>
        <v>515.19999999999993</v>
      </c>
      <c r="S13" s="134">
        <f>R13*E13</f>
        <v>44307.199999999997</v>
      </c>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row>
    <row r="14" spans="1:47" s="10" customFormat="1" ht="77.5">
      <c r="B14" s="129"/>
      <c r="C14" s="106" t="s">
        <v>101</v>
      </c>
      <c r="D14" s="139" t="s">
        <v>103</v>
      </c>
      <c r="E14" s="59">
        <v>6</v>
      </c>
      <c r="F14" s="59" t="s">
        <v>43</v>
      </c>
      <c r="G14" s="138">
        <v>1000</v>
      </c>
      <c r="H14" s="131">
        <f>E14*G14</f>
        <v>6000</v>
      </c>
      <c r="I14" s="132">
        <v>0</v>
      </c>
      <c r="J14" s="131">
        <f>(100%-I14)*G14</f>
        <v>1000</v>
      </c>
      <c r="K14" s="131">
        <f>J14*E14</f>
        <v>6000</v>
      </c>
      <c r="L14" s="133">
        <v>0</v>
      </c>
      <c r="M14" s="133">
        <v>0</v>
      </c>
      <c r="N14" s="133">
        <v>0</v>
      </c>
      <c r="O14" s="133">
        <v>0.4</v>
      </c>
      <c r="P14" s="131">
        <f>((100%+SUM(L14:N14))+O14*(100%+SUM(L14:N14)))*J14</f>
        <v>1400</v>
      </c>
      <c r="Q14" s="131">
        <f>P14*E14</f>
        <v>8400</v>
      </c>
      <c r="R14" s="135">
        <f t="shared" si="0"/>
        <v>1609.9999999999998</v>
      </c>
      <c r="S14" s="134">
        <f>R14*E14</f>
        <v>9659.9999999999982</v>
      </c>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row>
    <row r="15" spans="1:47" s="41" customFormat="1" ht="21" customHeight="1">
      <c r="A15" s="42"/>
      <c r="B15" s="272">
        <v>5</v>
      </c>
      <c r="C15" s="273" t="s">
        <v>104</v>
      </c>
      <c r="D15" s="273"/>
      <c r="E15" s="272"/>
      <c r="F15" s="272"/>
      <c r="G15" s="274"/>
      <c r="H15" s="274"/>
      <c r="I15" s="272"/>
      <c r="J15" s="274"/>
      <c r="K15" s="274"/>
      <c r="L15" s="274"/>
      <c r="M15" s="274"/>
      <c r="N15" s="274"/>
      <c r="O15" s="274"/>
      <c r="P15" s="274"/>
      <c r="Q15" s="274"/>
      <c r="R15" s="274"/>
      <c r="S15" s="274"/>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row>
    <row r="16" spans="1:47" s="10" customFormat="1" ht="15.5">
      <c r="B16" s="129"/>
      <c r="C16" s="105" t="s">
        <v>105</v>
      </c>
      <c r="D16" s="136" t="s">
        <v>160</v>
      </c>
      <c r="E16" s="59">
        <v>22</v>
      </c>
      <c r="F16" s="59" t="s">
        <v>114</v>
      </c>
      <c r="G16" s="65">
        <v>120</v>
      </c>
      <c r="H16" s="131">
        <f>E16*G16</f>
        <v>2640</v>
      </c>
      <c r="I16" s="132">
        <v>0</v>
      </c>
      <c r="J16" s="131">
        <f>(100%-I16)*G16</f>
        <v>120</v>
      </c>
      <c r="K16" s="131">
        <f>J16*E16</f>
        <v>2640</v>
      </c>
      <c r="L16" s="133">
        <v>0</v>
      </c>
      <c r="M16" s="133">
        <v>0</v>
      </c>
      <c r="N16" s="133">
        <v>0</v>
      </c>
      <c r="O16" s="133">
        <v>0.4</v>
      </c>
      <c r="P16" s="131">
        <f>((100%+SUM(L16:N16))+O16*(100%+SUM(L16:N16)))*J16</f>
        <v>168</v>
      </c>
      <c r="Q16" s="131">
        <f>P16*E16</f>
        <v>3696</v>
      </c>
      <c r="R16" s="135">
        <f>P16*1.15</f>
        <v>193.2</v>
      </c>
      <c r="S16" s="134">
        <f>R16*E16</f>
        <v>4250.3999999999996</v>
      </c>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row>
    <row r="17" spans="1:47" s="41" customFormat="1" ht="21" customHeight="1">
      <c r="A17" s="42"/>
      <c r="B17" s="272">
        <v>6</v>
      </c>
      <c r="C17" s="273" t="s">
        <v>107</v>
      </c>
      <c r="D17" s="273"/>
      <c r="E17" s="272"/>
      <c r="F17" s="272"/>
      <c r="G17" s="274"/>
      <c r="H17" s="274"/>
      <c r="I17" s="272"/>
      <c r="J17" s="274"/>
      <c r="K17" s="274"/>
      <c r="L17" s="274"/>
      <c r="M17" s="274"/>
      <c r="N17" s="274"/>
      <c r="O17" s="274"/>
      <c r="P17" s="274"/>
      <c r="Q17" s="274"/>
      <c r="R17" s="274"/>
      <c r="S17" s="274"/>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row>
    <row r="18" spans="1:47" s="10" customFormat="1" ht="77.5">
      <c r="B18" s="129"/>
      <c r="C18" s="139" t="s">
        <v>110</v>
      </c>
      <c r="D18" s="139" t="s">
        <v>106</v>
      </c>
      <c r="E18" s="59">
        <v>10</v>
      </c>
      <c r="F18" s="59" t="s">
        <v>43</v>
      </c>
      <c r="G18" s="131">
        <v>3350</v>
      </c>
      <c r="H18" s="131">
        <f>E18*G18</f>
        <v>33500</v>
      </c>
      <c r="I18" s="132">
        <v>0</v>
      </c>
      <c r="J18" s="131">
        <f>(100%-I18)*G18</f>
        <v>3350</v>
      </c>
      <c r="K18" s="131">
        <f>J18*E18</f>
        <v>33500</v>
      </c>
      <c r="L18" s="133">
        <v>0</v>
      </c>
      <c r="M18" s="133">
        <v>0</v>
      </c>
      <c r="N18" s="133">
        <v>0</v>
      </c>
      <c r="O18" s="133">
        <v>0.4</v>
      </c>
      <c r="P18" s="131">
        <f>((100%+SUM(L18:N18))+O18*(100%+SUM(L18:N18)))*J18</f>
        <v>4690</v>
      </c>
      <c r="Q18" s="131">
        <f>P18*E18</f>
        <v>46900</v>
      </c>
      <c r="R18" s="135">
        <f>P18*1.15</f>
        <v>5393.5</v>
      </c>
      <c r="S18" s="134">
        <f>R18*E18</f>
        <v>53935</v>
      </c>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row>
    <row r="19" spans="1:47" s="10" customFormat="1" ht="90.5" customHeight="1">
      <c r="B19" s="129"/>
      <c r="C19" s="139" t="s">
        <v>109</v>
      </c>
      <c r="D19" s="139" t="s">
        <v>108</v>
      </c>
      <c r="E19" s="59">
        <v>6</v>
      </c>
      <c r="F19" s="59" t="s">
        <v>43</v>
      </c>
      <c r="G19" s="131">
        <v>4400</v>
      </c>
      <c r="H19" s="131">
        <f>E19*G19</f>
        <v>26400</v>
      </c>
      <c r="I19" s="132">
        <v>0</v>
      </c>
      <c r="J19" s="131">
        <f>(100%-I19)*G19</f>
        <v>4400</v>
      </c>
      <c r="K19" s="131">
        <f>J19*E19</f>
        <v>26400</v>
      </c>
      <c r="L19" s="133">
        <v>0</v>
      </c>
      <c r="M19" s="133">
        <v>0</v>
      </c>
      <c r="N19" s="133">
        <v>0</v>
      </c>
      <c r="O19" s="133">
        <v>0.4</v>
      </c>
      <c r="P19" s="131">
        <f>((100%+SUM(L19:N19))+O19*(100%+SUM(L19:N19)))*J19</f>
        <v>6160</v>
      </c>
      <c r="Q19" s="131">
        <f>P19*E19</f>
        <v>36960</v>
      </c>
      <c r="R19" s="135">
        <f>P19*1.15</f>
        <v>7083.9999999999991</v>
      </c>
      <c r="S19" s="134">
        <f>R19*E19</f>
        <v>42503.999999999993</v>
      </c>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row>
    <row r="20" spans="1:47" s="41" customFormat="1" ht="21" customHeight="1">
      <c r="A20" s="42"/>
      <c r="B20" s="272">
        <v>7</v>
      </c>
      <c r="C20" s="273" t="s">
        <v>111</v>
      </c>
      <c r="D20" s="273"/>
      <c r="E20" s="272"/>
      <c r="F20" s="272"/>
      <c r="G20" s="274"/>
      <c r="H20" s="274"/>
      <c r="I20" s="272"/>
      <c r="J20" s="274"/>
      <c r="K20" s="274"/>
      <c r="L20" s="274"/>
      <c r="M20" s="274"/>
      <c r="N20" s="274"/>
      <c r="O20" s="274"/>
      <c r="P20" s="274"/>
      <c r="Q20" s="274"/>
      <c r="R20" s="274"/>
      <c r="S20" s="274"/>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row>
    <row r="21" spans="1:47" s="10" customFormat="1" ht="34.5" customHeight="1">
      <c r="B21" s="129"/>
      <c r="C21" s="105" t="s">
        <v>112</v>
      </c>
      <c r="D21" s="130" t="s">
        <v>113</v>
      </c>
      <c r="E21" s="59">
        <v>120</v>
      </c>
      <c r="F21" s="59" t="s">
        <v>43</v>
      </c>
      <c r="G21" s="65">
        <v>120</v>
      </c>
      <c r="H21" s="131">
        <f>E21*G21</f>
        <v>14400</v>
      </c>
      <c r="I21" s="132">
        <v>0</v>
      </c>
      <c r="J21" s="131">
        <f>(100%-I21)*G21</f>
        <v>120</v>
      </c>
      <c r="K21" s="131">
        <f>J21*E21</f>
        <v>14400</v>
      </c>
      <c r="L21" s="133">
        <v>0</v>
      </c>
      <c r="M21" s="133">
        <v>0</v>
      </c>
      <c r="N21" s="133">
        <v>0</v>
      </c>
      <c r="O21" s="133">
        <v>0.4</v>
      </c>
      <c r="P21" s="131">
        <f>((100%+SUM(L21:N21))+O21*(100%+SUM(L21:N21)))*J21</f>
        <v>168</v>
      </c>
      <c r="Q21" s="131">
        <f>P21*E21</f>
        <v>20160</v>
      </c>
      <c r="R21" s="135">
        <f>P21*1.15</f>
        <v>193.2</v>
      </c>
      <c r="S21" s="134">
        <f>R21*E21</f>
        <v>23184</v>
      </c>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row>
    <row r="22" spans="1:47" s="41" customFormat="1" ht="21" customHeight="1">
      <c r="A22" s="42"/>
      <c r="B22" s="272">
        <v>8</v>
      </c>
      <c r="C22" s="273" t="s">
        <v>115</v>
      </c>
      <c r="D22" s="273"/>
      <c r="E22" s="272"/>
      <c r="F22" s="272"/>
      <c r="G22" s="274"/>
      <c r="H22" s="274"/>
      <c r="I22" s="272"/>
      <c r="J22" s="274"/>
      <c r="K22" s="274"/>
      <c r="L22" s="274"/>
      <c r="M22" s="274"/>
      <c r="N22" s="274"/>
      <c r="O22" s="274"/>
      <c r="P22" s="274"/>
      <c r="Q22" s="274"/>
      <c r="R22" s="274"/>
      <c r="S22" s="274"/>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row>
    <row r="23" spans="1:47" s="10" customFormat="1" ht="15.5">
      <c r="B23" s="129"/>
      <c r="C23" s="101" t="s">
        <v>115</v>
      </c>
      <c r="D23" s="136" t="s">
        <v>161</v>
      </c>
      <c r="E23" s="106">
        <v>2000</v>
      </c>
      <c r="F23" s="59" t="s">
        <v>43</v>
      </c>
      <c r="G23" s="131">
        <v>15</v>
      </c>
      <c r="H23" s="131">
        <f>E23*G23</f>
        <v>30000</v>
      </c>
      <c r="I23" s="132">
        <v>0</v>
      </c>
      <c r="J23" s="131">
        <f>(100%-I23)*G23</f>
        <v>15</v>
      </c>
      <c r="K23" s="131">
        <f>J23*E23</f>
        <v>30000</v>
      </c>
      <c r="L23" s="133">
        <v>0</v>
      </c>
      <c r="M23" s="133">
        <v>0</v>
      </c>
      <c r="N23" s="133">
        <v>0</v>
      </c>
      <c r="O23" s="133">
        <v>0.4</v>
      </c>
      <c r="P23" s="131">
        <f>((100%+SUM(L23:N23))+O23*(100%+SUM(L23:N23)))*J23</f>
        <v>21</v>
      </c>
      <c r="Q23" s="131">
        <f>P23*E23</f>
        <v>42000</v>
      </c>
      <c r="R23" s="135">
        <f>P23*1.15</f>
        <v>24.15</v>
      </c>
      <c r="S23" s="134">
        <f>R23*E23</f>
        <v>48300</v>
      </c>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row>
    <row r="24" spans="1:47" s="41" customFormat="1" ht="21" customHeight="1">
      <c r="A24" s="42"/>
      <c r="B24" s="272">
        <v>9</v>
      </c>
      <c r="C24" s="273" t="s">
        <v>116</v>
      </c>
      <c r="D24" s="273"/>
      <c r="E24" s="272"/>
      <c r="F24" s="272"/>
      <c r="G24" s="274"/>
      <c r="H24" s="274"/>
      <c r="I24" s="272"/>
      <c r="J24" s="274"/>
      <c r="K24" s="274"/>
      <c r="L24" s="274"/>
      <c r="M24" s="274"/>
      <c r="N24" s="274"/>
      <c r="O24" s="274"/>
      <c r="P24" s="274"/>
      <c r="Q24" s="274"/>
      <c r="R24" s="274"/>
      <c r="S24" s="274"/>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row>
    <row r="25" spans="1:47" s="10" customFormat="1" ht="96" customHeight="1">
      <c r="B25" s="129"/>
      <c r="C25" s="139" t="s">
        <v>117</v>
      </c>
      <c r="D25" s="139" t="s">
        <v>118</v>
      </c>
      <c r="E25" s="59">
        <v>20</v>
      </c>
      <c r="F25" s="59" t="s">
        <v>43</v>
      </c>
      <c r="G25" s="131">
        <v>1600</v>
      </c>
      <c r="H25" s="131">
        <f>E25*G25</f>
        <v>32000</v>
      </c>
      <c r="I25" s="132">
        <v>0</v>
      </c>
      <c r="J25" s="131">
        <f>(100%-I25)*G25</f>
        <v>1600</v>
      </c>
      <c r="K25" s="131">
        <f>J25*E25</f>
        <v>32000</v>
      </c>
      <c r="L25" s="133">
        <v>0</v>
      </c>
      <c r="M25" s="133">
        <v>0</v>
      </c>
      <c r="N25" s="133">
        <v>0</v>
      </c>
      <c r="O25" s="133">
        <v>0.4</v>
      </c>
      <c r="P25" s="131">
        <f>((100%+SUM(L25:N25))+O25*(100%+SUM(L25:N25)))*J25</f>
        <v>2240</v>
      </c>
      <c r="Q25" s="131">
        <f>P25*E25</f>
        <v>44800</v>
      </c>
      <c r="R25" s="135">
        <f>P25*1.15</f>
        <v>2576</v>
      </c>
      <c r="S25" s="134">
        <f>R25*E25</f>
        <v>51520</v>
      </c>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row>
    <row r="26" spans="1:47" s="41" customFormat="1" ht="21" customHeight="1">
      <c r="A26" s="42"/>
      <c r="B26" s="272">
        <v>10</v>
      </c>
      <c r="C26" s="273" t="s">
        <v>119</v>
      </c>
      <c r="D26" s="273"/>
      <c r="E26" s="272"/>
      <c r="F26" s="272"/>
      <c r="G26" s="274"/>
      <c r="H26" s="274"/>
      <c r="I26" s="272"/>
      <c r="J26" s="274"/>
      <c r="K26" s="274"/>
      <c r="L26" s="274"/>
      <c r="M26" s="274"/>
      <c r="N26" s="274"/>
      <c r="O26" s="274"/>
      <c r="P26" s="274"/>
      <c r="Q26" s="274"/>
      <c r="R26" s="274"/>
      <c r="S26" s="274"/>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row>
    <row r="27" spans="1:47" s="10" customFormat="1" ht="66" customHeight="1">
      <c r="B27" s="129"/>
      <c r="C27" s="139" t="s">
        <v>120</v>
      </c>
      <c r="D27" s="139" t="s">
        <v>121</v>
      </c>
      <c r="E27" s="59">
        <v>300</v>
      </c>
      <c r="F27" s="59" t="s">
        <v>43</v>
      </c>
      <c r="G27" s="65">
        <v>150</v>
      </c>
      <c r="H27" s="131">
        <f>E27*G27</f>
        <v>45000</v>
      </c>
      <c r="I27" s="132">
        <v>0</v>
      </c>
      <c r="J27" s="131">
        <f>(100%-I27)*G27</f>
        <v>150</v>
      </c>
      <c r="K27" s="131">
        <f>J27*E27</f>
        <v>45000</v>
      </c>
      <c r="L27" s="133">
        <v>0</v>
      </c>
      <c r="M27" s="133">
        <v>0</v>
      </c>
      <c r="N27" s="133">
        <v>0</v>
      </c>
      <c r="O27" s="133">
        <v>0.4</v>
      </c>
      <c r="P27" s="131">
        <f>((100%+SUM(L27:N27))+O27*(100%+SUM(L27:N27)))*J27</f>
        <v>210</v>
      </c>
      <c r="Q27" s="131">
        <f>P27*E27</f>
        <v>63000</v>
      </c>
      <c r="R27" s="135">
        <f>P27*1.15</f>
        <v>241.49999999999997</v>
      </c>
      <c r="S27" s="134">
        <f>R27*E27</f>
        <v>72449.999999999985</v>
      </c>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row>
    <row r="28" spans="1:47" s="41" customFormat="1" ht="21" customHeight="1">
      <c r="A28" s="42"/>
      <c r="B28" s="272">
        <v>11</v>
      </c>
      <c r="C28" s="273" t="s">
        <v>122</v>
      </c>
      <c r="D28" s="273"/>
      <c r="E28" s="272"/>
      <c r="F28" s="272"/>
      <c r="G28" s="274"/>
      <c r="H28" s="274"/>
      <c r="I28" s="272"/>
      <c r="J28" s="274"/>
      <c r="K28" s="274"/>
      <c r="L28" s="274"/>
      <c r="M28" s="274"/>
      <c r="N28" s="274"/>
      <c r="O28" s="274"/>
      <c r="P28" s="274"/>
      <c r="Q28" s="274"/>
      <c r="R28" s="274"/>
      <c r="S28" s="274"/>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row>
    <row r="29" spans="1:47" s="10" customFormat="1" ht="30" customHeight="1">
      <c r="B29" s="129"/>
      <c r="C29" s="101" t="s">
        <v>123</v>
      </c>
      <c r="D29" s="139" t="s">
        <v>162</v>
      </c>
      <c r="E29" s="106">
        <v>31</v>
      </c>
      <c r="F29" s="59" t="s">
        <v>43</v>
      </c>
      <c r="G29" s="131">
        <v>8000</v>
      </c>
      <c r="H29" s="131">
        <f>E29*G29</f>
        <v>248000</v>
      </c>
      <c r="I29" s="132">
        <v>0</v>
      </c>
      <c r="J29" s="131">
        <f>(100%-I29)*G29</f>
        <v>8000</v>
      </c>
      <c r="K29" s="131">
        <f>J29*E29</f>
        <v>248000</v>
      </c>
      <c r="L29" s="133">
        <v>0</v>
      </c>
      <c r="M29" s="133">
        <v>0</v>
      </c>
      <c r="N29" s="133">
        <v>0</v>
      </c>
      <c r="O29" s="133">
        <v>0.4</v>
      </c>
      <c r="P29" s="131">
        <f>((100%+SUM(L29:N29))+O29*(100%+SUM(L29:N29)))*J29</f>
        <v>11200</v>
      </c>
      <c r="Q29" s="131">
        <f>P29*E29</f>
        <v>347200</v>
      </c>
      <c r="R29" s="135">
        <f>P29</f>
        <v>11200</v>
      </c>
      <c r="S29" s="134">
        <f>R29*E29</f>
        <v>347200</v>
      </c>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row>
    <row r="30" spans="1:47" s="41" customFormat="1" ht="21" customHeight="1">
      <c r="A30" s="42"/>
      <c r="B30" s="272">
        <v>12</v>
      </c>
      <c r="C30" s="273" t="s">
        <v>124</v>
      </c>
      <c r="D30" s="273"/>
      <c r="E30" s="272"/>
      <c r="F30" s="272"/>
      <c r="G30" s="274"/>
      <c r="H30" s="274"/>
      <c r="I30" s="272"/>
      <c r="J30" s="274"/>
      <c r="K30" s="274"/>
      <c r="L30" s="274"/>
      <c r="M30" s="274"/>
      <c r="N30" s="274"/>
      <c r="O30" s="274"/>
      <c r="P30" s="274"/>
      <c r="Q30" s="274"/>
      <c r="R30" s="274"/>
      <c r="S30" s="274"/>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row>
    <row r="31" spans="1:47" s="10" customFormat="1" ht="96" customHeight="1">
      <c r="B31" s="129"/>
      <c r="C31" s="139" t="s">
        <v>125</v>
      </c>
      <c r="D31" s="139" t="s">
        <v>126</v>
      </c>
      <c r="E31" s="106">
        <v>1242</v>
      </c>
      <c r="F31" s="59" t="s">
        <v>43</v>
      </c>
      <c r="G31" s="131">
        <v>80</v>
      </c>
      <c r="H31" s="131">
        <f>E31*G31</f>
        <v>99360</v>
      </c>
      <c r="I31" s="132">
        <v>0</v>
      </c>
      <c r="J31" s="131">
        <f>(100%-I31)*G31</f>
        <v>80</v>
      </c>
      <c r="K31" s="131">
        <f>J31*E31</f>
        <v>99360</v>
      </c>
      <c r="L31" s="133">
        <v>0</v>
      </c>
      <c r="M31" s="133">
        <v>0</v>
      </c>
      <c r="N31" s="133">
        <v>0</v>
      </c>
      <c r="O31" s="133">
        <v>0.4</v>
      </c>
      <c r="P31" s="131">
        <f>((100%+SUM(L31:N31))+O31*(100%+SUM(L31:N31)))*J31</f>
        <v>112</v>
      </c>
      <c r="Q31" s="131">
        <f>P31*E31</f>
        <v>139104</v>
      </c>
      <c r="R31" s="135">
        <f>P31*1.15</f>
        <v>128.79999999999998</v>
      </c>
      <c r="S31" s="134">
        <f>R31*E31</f>
        <v>159969.59999999998</v>
      </c>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row>
    <row r="32" spans="1:47" s="361" customFormat="1" ht="96" customHeight="1">
      <c r="B32" s="362"/>
      <c r="C32" s="363" t="s">
        <v>127</v>
      </c>
      <c r="D32" s="363" t="s">
        <v>338</v>
      </c>
      <c r="E32" s="364">
        <v>200</v>
      </c>
      <c r="F32" s="365" t="s">
        <v>43</v>
      </c>
      <c r="G32" s="366">
        <v>100</v>
      </c>
      <c r="H32" s="366">
        <f>E32*G32</f>
        <v>20000</v>
      </c>
      <c r="I32" s="367">
        <v>0</v>
      </c>
      <c r="J32" s="366">
        <f>(100%-I32)*G32</f>
        <v>100</v>
      </c>
      <c r="K32" s="366">
        <f>J32*E32</f>
        <v>20000</v>
      </c>
      <c r="L32" s="368">
        <v>0</v>
      </c>
      <c r="M32" s="368">
        <v>0</v>
      </c>
      <c r="N32" s="368">
        <v>0</v>
      </c>
      <c r="O32" s="368">
        <v>0.4</v>
      </c>
      <c r="P32" s="366">
        <f>((100%+SUM(L32:N32))+O32*(100%+SUM(L32:N32)))*J32</f>
        <v>140</v>
      </c>
      <c r="Q32" s="366">
        <f>P32*E32</f>
        <v>28000</v>
      </c>
      <c r="R32" s="369">
        <f>P32*1.15</f>
        <v>161</v>
      </c>
      <c r="S32" s="370">
        <f>R32*E32</f>
        <v>32200</v>
      </c>
      <c r="T32" s="371"/>
      <c r="U32" s="371"/>
      <c r="V32" s="371"/>
      <c r="W32" s="371"/>
      <c r="X32" s="371"/>
      <c r="Y32" s="371"/>
      <c r="Z32" s="371"/>
      <c r="AA32" s="371"/>
      <c r="AB32" s="371"/>
      <c r="AC32" s="371"/>
      <c r="AD32" s="371"/>
      <c r="AE32" s="371"/>
      <c r="AF32" s="371"/>
      <c r="AG32" s="371"/>
      <c r="AH32" s="371"/>
      <c r="AI32" s="371"/>
      <c r="AJ32" s="371"/>
      <c r="AK32" s="371"/>
      <c r="AL32" s="371"/>
      <c r="AM32" s="371"/>
      <c r="AN32" s="371"/>
      <c r="AO32" s="371"/>
      <c r="AP32" s="371"/>
      <c r="AQ32" s="371"/>
      <c r="AR32" s="371"/>
      <c r="AS32" s="371"/>
      <c r="AT32" s="371"/>
      <c r="AU32" s="371"/>
    </row>
    <row r="33" spans="1:47" s="41" customFormat="1" ht="21" customHeight="1">
      <c r="A33" s="42"/>
      <c r="B33" s="272">
        <v>13</v>
      </c>
      <c r="C33" s="273" t="s">
        <v>318</v>
      </c>
      <c r="D33" s="273"/>
      <c r="E33" s="272"/>
      <c r="F33" s="272"/>
      <c r="G33" s="274"/>
      <c r="H33" s="274"/>
      <c r="I33" s="272"/>
      <c r="J33" s="274"/>
      <c r="K33" s="274"/>
      <c r="L33" s="274"/>
      <c r="M33" s="274"/>
      <c r="N33" s="274"/>
      <c r="O33" s="274"/>
      <c r="P33" s="274"/>
      <c r="Q33" s="274"/>
      <c r="R33" s="274"/>
      <c r="S33" s="274"/>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row>
    <row r="34" spans="1:47" s="10" customFormat="1" ht="15.5">
      <c r="B34" s="129"/>
      <c r="C34" s="107" t="s">
        <v>128</v>
      </c>
      <c r="D34" s="139" t="s">
        <v>129</v>
      </c>
      <c r="E34" s="106">
        <v>1000</v>
      </c>
      <c r="F34" s="59" t="s">
        <v>87</v>
      </c>
      <c r="G34" s="131">
        <v>80</v>
      </c>
      <c r="H34" s="131">
        <f>E34*G34</f>
        <v>80000</v>
      </c>
      <c r="I34" s="132">
        <v>0</v>
      </c>
      <c r="J34" s="131">
        <f>(100%-I34)*G34</f>
        <v>80</v>
      </c>
      <c r="K34" s="131">
        <f>J34*E34</f>
        <v>80000</v>
      </c>
      <c r="L34" s="133">
        <v>0</v>
      </c>
      <c r="M34" s="133">
        <v>0</v>
      </c>
      <c r="N34" s="133">
        <v>0</v>
      </c>
      <c r="O34" s="133">
        <v>0.4</v>
      </c>
      <c r="P34" s="131">
        <f>((100%+SUM(L34:N34))+O34*(100%+SUM(L34:N34)))*J34</f>
        <v>112</v>
      </c>
      <c r="Q34" s="131">
        <f>P34*E34</f>
        <v>112000</v>
      </c>
      <c r="R34" s="135">
        <f>P34*1.15</f>
        <v>128.79999999999998</v>
      </c>
      <c r="S34" s="134">
        <f>R34*E34</f>
        <v>128799.99999999999</v>
      </c>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row>
    <row r="35" spans="1:47" s="10" customFormat="1" ht="46.5">
      <c r="B35" s="129"/>
      <c r="C35" s="107" t="s">
        <v>128</v>
      </c>
      <c r="D35" s="139" t="s">
        <v>130</v>
      </c>
      <c r="E35" s="106">
        <v>500</v>
      </c>
      <c r="F35" s="59" t="s">
        <v>87</v>
      </c>
      <c r="G35" s="131">
        <v>125</v>
      </c>
      <c r="H35" s="131">
        <f>E35*G35</f>
        <v>62500</v>
      </c>
      <c r="I35" s="132">
        <v>0</v>
      </c>
      <c r="J35" s="131">
        <f>(100%-I35)*G35</f>
        <v>125</v>
      </c>
      <c r="K35" s="131">
        <f>J35*E35</f>
        <v>62500</v>
      </c>
      <c r="L35" s="133">
        <v>0</v>
      </c>
      <c r="M35" s="133">
        <v>0</v>
      </c>
      <c r="N35" s="133">
        <v>0</v>
      </c>
      <c r="O35" s="133">
        <v>0.4</v>
      </c>
      <c r="P35" s="131">
        <f>((100%+SUM(L35:N35))+O35*(100%+SUM(L35:N35)))*J35</f>
        <v>175</v>
      </c>
      <c r="Q35" s="131">
        <f>P35*E35</f>
        <v>87500</v>
      </c>
      <c r="R35" s="135">
        <f>P35*1.15</f>
        <v>201.24999999999997</v>
      </c>
      <c r="S35" s="134">
        <f>R35*E35</f>
        <v>100624.99999999999</v>
      </c>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row>
    <row r="36" spans="1:47" s="41" customFormat="1" ht="21" customHeight="1">
      <c r="A36" s="42"/>
      <c r="B36" s="272">
        <v>14</v>
      </c>
      <c r="C36" s="273" t="s">
        <v>131</v>
      </c>
      <c r="D36" s="273"/>
      <c r="E36" s="272"/>
      <c r="F36" s="272"/>
      <c r="G36" s="274"/>
      <c r="H36" s="274"/>
      <c r="I36" s="272"/>
      <c r="J36" s="274"/>
      <c r="K36" s="274"/>
      <c r="L36" s="274"/>
      <c r="M36" s="274"/>
      <c r="N36" s="274"/>
      <c r="O36" s="274"/>
      <c r="P36" s="274"/>
      <c r="Q36" s="274"/>
      <c r="R36" s="274"/>
      <c r="S36" s="274"/>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row>
    <row r="37" spans="1:47" s="314" customFormat="1" ht="45" customHeight="1">
      <c r="B37" s="129"/>
      <c r="C37" s="101" t="s">
        <v>319</v>
      </c>
      <c r="D37" s="137" t="s">
        <v>321</v>
      </c>
      <c r="E37" s="106">
        <v>300</v>
      </c>
      <c r="F37" s="59" t="s">
        <v>87</v>
      </c>
      <c r="G37" s="131">
        <v>80</v>
      </c>
      <c r="H37" s="131">
        <f>E37*G37</f>
        <v>24000</v>
      </c>
      <c r="I37" s="132">
        <v>0</v>
      </c>
      <c r="J37" s="131">
        <f>(100%-I37)*G37</f>
        <v>80</v>
      </c>
      <c r="K37" s="131">
        <f>J37*E37</f>
        <v>24000</v>
      </c>
      <c r="L37" s="133">
        <v>0</v>
      </c>
      <c r="M37" s="133">
        <v>0</v>
      </c>
      <c r="N37" s="133">
        <v>0</v>
      </c>
      <c r="O37" s="133">
        <v>0.4</v>
      </c>
      <c r="P37" s="131">
        <f>((100%+SUM(L37:N37))+O37*(100%+SUM(L37:N37)))*J37</f>
        <v>112</v>
      </c>
      <c r="Q37" s="131">
        <f>P37*E37</f>
        <v>33600</v>
      </c>
      <c r="R37" s="135">
        <f>P37*1.15</f>
        <v>128.79999999999998</v>
      </c>
      <c r="S37" s="134">
        <f>R37*E37</f>
        <v>38639.999999999993</v>
      </c>
      <c r="T37" s="321"/>
      <c r="U37" s="321"/>
      <c r="V37" s="321"/>
      <c r="W37" s="321"/>
      <c r="X37" s="321"/>
      <c r="Y37" s="321"/>
      <c r="Z37" s="321"/>
      <c r="AA37" s="321"/>
      <c r="AB37" s="321"/>
      <c r="AC37" s="321"/>
      <c r="AD37" s="321"/>
      <c r="AE37" s="321"/>
      <c r="AF37" s="321"/>
      <c r="AG37" s="321"/>
      <c r="AH37" s="321"/>
      <c r="AI37" s="321"/>
      <c r="AJ37" s="321"/>
      <c r="AK37" s="321"/>
      <c r="AL37" s="321"/>
      <c r="AM37" s="321"/>
      <c r="AN37" s="321"/>
      <c r="AO37" s="321"/>
      <c r="AP37" s="321"/>
      <c r="AQ37" s="321"/>
      <c r="AR37" s="321"/>
      <c r="AS37" s="321"/>
      <c r="AT37" s="321"/>
      <c r="AU37" s="321"/>
    </row>
    <row r="38" spans="1:47" s="10" customFormat="1" ht="45" customHeight="1">
      <c r="B38" s="129"/>
      <c r="C38" s="101" t="s">
        <v>320</v>
      </c>
      <c r="D38" s="137" t="s">
        <v>322</v>
      </c>
      <c r="E38" s="106">
        <v>200</v>
      </c>
      <c r="F38" s="59" t="s">
        <v>87</v>
      </c>
      <c r="G38" s="131">
        <v>80</v>
      </c>
      <c r="H38" s="131">
        <f>E38*G38</f>
        <v>16000</v>
      </c>
      <c r="I38" s="132">
        <v>0</v>
      </c>
      <c r="J38" s="131">
        <f>(100%-I38)*G38</f>
        <v>80</v>
      </c>
      <c r="K38" s="131">
        <f>J38*E38</f>
        <v>16000</v>
      </c>
      <c r="L38" s="133">
        <v>0</v>
      </c>
      <c r="M38" s="133">
        <v>0</v>
      </c>
      <c r="N38" s="133">
        <v>0</v>
      </c>
      <c r="O38" s="133">
        <v>0.4</v>
      </c>
      <c r="P38" s="131">
        <f>((100%+SUM(L38:N38))+O38*(100%+SUM(L38:N38)))*J38</f>
        <v>112</v>
      </c>
      <c r="Q38" s="131">
        <f>P38*E38</f>
        <v>22400</v>
      </c>
      <c r="R38" s="135">
        <f>P38*1.15</f>
        <v>128.79999999999998</v>
      </c>
      <c r="S38" s="134">
        <f>R38*E38</f>
        <v>25759.999999999996</v>
      </c>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row>
    <row r="39" spans="1:47" s="41" customFormat="1" ht="21" customHeight="1">
      <c r="A39" s="42"/>
      <c r="B39" s="272">
        <v>15</v>
      </c>
      <c r="C39" s="273" t="s">
        <v>132</v>
      </c>
      <c r="D39" s="273"/>
      <c r="E39" s="272"/>
      <c r="F39" s="272"/>
      <c r="G39" s="274"/>
      <c r="H39" s="274"/>
      <c r="I39" s="272"/>
      <c r="J39" s="274"/>
      <c r="K39" s="274"/>
      <c r="L39" s="274"/>
      <c r="M39" s="274"/>
      <c r="N39" s="274"/>
      <c r="O39" s="274"/>
      <c r="P39" s="274"/>
      <c r="Q39" s="274"/>
      <c r="R39" s="274"/>
      <c r="S39" s="274"/>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row>
    <row r="40" spans="1:47" s="10" customFormat="1" ht="36" customHeight="1">
      <c r="B40" s="129"/>
      <c r="C40" s="101" t="s">
        <v>132</v>
      </c>
      <c r="D40" s="137" t="s">
        <v>201</v>
      </c>
      <c r="E40" s="106">
        <v>100</v>
      </c>
      <c r="F40" s="59" t="s">
        <v>114</v>
      </c>
      <c r="G40" s="131">
        <v>50</v>
      </c>
      <c r="H40" s="131">
        <f>E40*G40</f>
        <v>5000</v>
      </c>
      <c r="I40" s="132">
        <v>0</v>
      </c>
      <c r="J40" s="131">
        <f>(100%-I40)*G40</f>
        <v>50</v>
      </c>
      <c r="K40" s="131">
        <f>J40*E40</f>
        <v>5000</v>
      </c>
      <c r="L40" s="133">
        <v>0</v>
      </c>
      <c r="M40" s="133">
        <v>0</v>
      </c>
      <c r="N40" s="133">
        <v>0</v>
      </c>
      <c r="O40" s="133">
        <v>0.4</v>
      </c>
      <c r="P40" s="131">
        <f>((100%+SUM(L40:N40))+O40*(100%+SUM(L40:N40)))*J40</f>
        <v>70</v>
      </c>
      <c r="Q40" s="131">
        <f>P40*E40</f>
        <v>7000</v>
      </c>
      <c r="R40" s="135">
        <f>P40*1.15</f>
        <v>80.5</v>
      </c>
      <c r="S40" s="134">
        <f>R40*E40</f>
        <v>8050</v>
      </c>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row>
    <row r="41" spans="1:47" s="41" customFormat="1" ht="21" customHeight="1">
      <c r="A41" s="42"/>
      <c r="B41" s="272">
        <v>16</v>
      </c>
      <c r="C41" s="273" t="s">
        <v>134</v>
      </c>
      <c r="D41" s="273"/>
      <c r="E41" s="272"/>
      <c r="F41" s="272"/>
      <c r="G41" s="274"/>
      <c r="H41" s="274"/>
      <c r="I41" s="272"/>
      <c r="J41" s="274"/>
      <c r="K41" s="274"/>
      <c r="L41" s="274"/>
      <c r="M41" s="274"/>
      <c r="N41" s="274"/>
      <c r="O41" s="274"/>
      <c r="P41" s="274"/>
      <c r="Q41" s="274"/>
      <c r="R41" s="274"/>
      <c r="S41" s="274"/>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row>
    <row r="42" spans="1:47" s="10" customFormat="1" ht="36" customHeight="1">
      <c r="B42" s="129"/>
      <c r="C42" s="105" t="s">
        <v>133</v>
      </c>
      <c r="D42" s="137" t="s">
        <v>200</v>
      </c>
      <c r="E42" s="106">
        <v>100</v>
      </c>
      <c r="F42" s="59" t="s">
        <v>114</v>
      </c>
      <c r="G42" s="131">
        <v>120</v>
      </c>
      <c r="H42" s="131">
        <f>E42*G42</f>
        <v>12000</v>
      </c>
      <c r="I42" s="132">
        <v>0</v>
      </c>
      <c r="J42" s="131">
        <f>(100%-I42)*G42</f>
        <v>120</v>
      </c>
      <c r="K42" s="131">
        <f>J42*E42</f>
        <v>12000</v>
      </c>
      <c r="L42" s="133">
        <v>0</v>
      </c>
      <c r="M42" s="133">
        <v>0</v>
      </c>
      <c r="N42" s="133">
        <v>0</v>
      </c>
      <c r="O42" s="133">
        <v>0.4</v>
      </c>
      <c r="P42" s="131">
        <f>((100%+SUM(L42:N42))+O42*(100%+SUM(L42:N42)))*J42</f>
        <v>168</v>
      </c>
      <c r="Q42" s="131">
        <f>P42*E42</f>
        <v>16800</v>
      </c>
      <c r="R42" s="135">
        <f>P42*1.15</f>
        <v>193.2</v>
      </c>
      <c r="S42" s="134">
        <f>R42*E42</f>
        <v>19320</v>
      </c>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row>
    <row r="43" spans="1:47" s="41" customFormat="1" ht="21" customHeight="1">
      <c r="A43" s="42"/>
      <c r="B43" s="272">
        <v>17</v>
      </c>
      <c r="C43" s="273" t="s">
        <v>135</v>
      </c>
      <c r="D43" s="273"/>
      <c r="E43" s="272"/>
      <c r="F43" s="272"/>
      <c r="G43" s="274"/>
      <c r="H43" s="274"/>
      <c r="I43" s="272"/>
      <c r="J43" s="274"/>
      <c r="K43" s="274"/>
      <c r="L43" s="274"/>
      <c r="M43" s="274"/>
      <c r="N43" s="274"/>
      <c r="O43" s="274"/>
      <c r="P43" s="274"/>
      <c r="Q43" s="274"/>
      <c r="R43" s="274"/>
      <c r="S43" s="274"/>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row>
    <row r="44" spans="1:47" s="10" customFormat="1" ht="36" customHeight="1">
      <c r="B44" s="129"/>
      <c r="C44" s="105" t="s">
        <v>135</v>
      </c>
      <c r="D44" s="137" t="s">
        <v>199</v>
      </c>
      <c r="E44" s="106">
        <v>100</v>
      </c>
      <c r="F44" s="59" t="s">
        <v>140</v>
      </c>
      <c r="G44" s="131">
        <v>120</v>
      </c>
      <c r="H44" s="131">
        <f>E44*G44</f>
        <v>12000</v>
      </c>
      <c r="I44" s="132">
        <v>0</v>
      </c>
      <c r="J44" s="131">
        <f>(100%-I44)*G44</f>
        <v>120</v>
      </c>
      <c r="K44" s="131">
        <f>J44*E44</f>
        <v>12000</v>
      </c>
      <c r="L44" s="133">
        <v>0</v>
      </c>
      <c r="M44" s="133">
        <v>0</v>
      </c>
      <c r="N44" s="133">
        <v>0</v>
      </c>
      <c r="O44" s="133">
        <v>0.4</v>
      </c>
      <c r="P44" s="131">
        <f>((100%+SUM(L44:N44))+O44*(100%+SUM(L44:N44)))*J44</f>
        <v>168</v>
      </c>
      <c r="Q44" s="131">
        <f>P44*E44</f>
        <v>16800</v>
      </c>
      <c r="R44" s="135">
        <f>P44*1.15</f>
        <v>193.2</v>
      </c>
      <c r="S44" s="134">
        <f>R44*E44</f>
        <v>19320</v>
      </c>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row>
    <row r="45" spans="1:47" s="41" customFormat="1" ht="21" customHeight="1">
      <c r="A45" s="42"/>
      <c r="B45" s="272">
        <v>18</v>
      </c>
      <c r="C45" s="273" t="s">
        <v>151</v>
      </c>
      <c r="D45" s="273"/>
      <c r="E45" s="272"/>
      <c r="F45" s="272"/>
      <c r="G45" s="274"/>
      <c r="H45" s="274"/>
      <c r="I45" s="272"/>
      <c r="J45" s="274"/>
      <c r="K45" s="274"/>
      <c r="L45" s="274"/>
      <c r="M45" s="274"/>
      <c r="N45" s="274"/>
      <c r="O45" s="274"/>
      <c r="P45" s="274"/>
      <c r="Q45" s="274"/>
      <c r="R45" s="274"/>
      <c r="S45" s="274"/>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row>
    <row r="46" spans="1:47" s="10" customFormat="1" ht="36" customHeight="1">
      <c r="B46" s="129"/>
      <c r="C46" s="101" t="s">
        <v>152</v>
      </c>
      <c r="D46" s="137" t="s">
        <v>158</v>
      </c>
      <c r="E46" s="106">
        <v>20</v>
      </c>
      <c r="F46" s="59" t="s">
        <v>114</v>
      </c>
      <c r="G46" s="131">
        <v>180</v>
      </c>
      <c r="H46" s="131">
        <f>E46*G46</f>
        <v>3600</v>
      </c>
      <c r="I46" s="132">
        <v>0</v>
      </c>
      <c r="J46" s="131">
        <f>(100%-I46)*G46</f>
        <v>180</v>
      </c>
      <c r="K46" s="131">
        <f>J46*E46</f>
        <v>3600</v>
      </c>
      <c r="L46" s="133">
        <v>0</v>
      </c>
      <c r="M46" s="133">
        <v>0</v>
      </c>
      <c r="N46" s="133">
        <v>0</v>
      </c>
      <c r="O46" s="133">
        <v>0.4</v>
      </c>
      <c r="P46" s="131">
        <f>((100%+SUM(L46:N46))+O46*(100%+SUM(L46:N46)))*J46</f>
        <v>251.99999999999997</v>
      </c>
      <c r="Q46" s="131">
        <f>P46*E46</f>
        <v>5039.9999999999991</v>
      </c>
      <c r="R46" s="135">
        <f>P46*1.15</f>
        <v>289.79999999999995</v>
      </c>
      <c r="S46" s="134">
        <f>R46*E46</f>
        <v>5795.9999999999991</v>
      </c>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row>
    <row r="47" spans="1:47" s="41" customFormat="1" ht="21" customHeight="1">
      <c r="A47" s="42"/>
      <c r="B47" s="272">
        <v>19</v>
      </c>
      <c r="C47" s="273" t="s">
        <v>136</v>
      </c>
      <c r="D47" s="273"/>
      <c r="E47" s="272"/>
      <c r="F47" s="272"/>
      <c r="G47" s="274"/>
      <c r="H47" s="274"/>
      <c r="I47" s="272"/>
      <c r="J47" s="274"/>
      <c r="K47" s="274"/>
      <c r="L47" s="274"/>
      <c r="M47" s="274"/>
      <c r="N47" s="274"/>
      <c r="O47" s="274"/>
      <c r="P47" s="274"/>
      <c r="Q47" s="274"/>
      <c r="R47" s="274"/>
      <c r="S47" s="274"/>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row>
    <row r="48" spans="1:47" s="10" customFormat="1" ht="36" customHeight="1">
      <c r="B48" s="129"/>
      <c r="C48" s="105" t="s">
        <v>136</v>
      </c>
      <c r="D48" s="136" t="s">
        <v>163</v>
      </c>
      <c r="E48" s="106">
        <v>32</v>
      </c>
      <c r="F48" s="59" t="s">
        <v>139</v>
      </c>
      <c r="G48" s="131">
        <v>50</v>
      </c>
      <c r="H48" s="131">
        <f>E48*G48</f>
        <v>1600</v>
      </c>
      <c r="I48" s="132">
        <v>0</v>
      </c>
      <c r="J48" s="131">
        <f>(100%-I48)*G48</f>
        <v>50</v>
      </c>
      <c r="K48" s="131">
        <f>J48*E48</f>
        <v>1600</v>
      </c>
      <c r="L48" s="133">
        <v>0</v>
      </c>
      <c r="M48" s="133">
        <v>0.1</v>
      </c>
      <c r="N48" s="133">
        <v>0</v>
      </c>
      <c r="O48" s="133">
        <v>0.4</v>
      </c>
      <c r="P48" s="131">
        <f>((100%+SUM(L48:N48))+O48*(100%+SUM(L48:N48)))*J48</f>
        <v>77</v>
      </c>
      <c r="Q48" s="131">
        <f>P48*E48</f>
        <v>2464</v>
      </c>
      <c r="R48" s="135">
        <f>P48*1.15</f>
        <v>88.55</v>
      </c>
      <c r="S48" s="134">
        <f>R48*E48</f>
        <v>2833.6</v>
      </c>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row>
    <row r="49" spans="1:47" s="41" customFormat="1" ht="21" customHeight="1">
      <c r="A49" s="42"/>
      <c r="B49" s="272">
        <v>20</v>
      </c>
      <c r="C49" s="273" t="s">
        <v>137</v>
      </c>
      <c r="D49" s="273"/>
      <c r="E49" s="272"/>
      <c r="F49" s="272"/>
      <c r="G49" s="274"/>
      <c r="H49" s="274"/>
      <c r="I49" s="272"/>
      <c r="J49" s="274"/>
      <c r="K49" s="274"/>
      <c r="L49" s="274"/>
      <c r="M49" s="274"/>
      <c r="N49" s="274"/>
      <c r="O49" s="274"/>
      <c r="P49" s="274"/>
      <c r="Q49" s="274"/>
      <c r="R49" s="274"/>
      <c r="S49" s="274"/>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row>
    <row r="50" spans="1:47" s="10" customFormat="1" ht="64.5" customHeight="1">
      <c r="B50" s="129"/>
      <c r="C50" s="105" t="s">
        <v>138</v>
      </c>
      <c r="D50" s="99" t="s">
        <v>164</v>
      </c>
      <c r="E50" s="106">
        <v>40</v>
      </c>
      <c r="F50" s="59" t="s">
        <v>43</v>
      </c>
      <c r="G50" s="131">
        <v>1400</v>
      </c>
      <c r="H50" s="131">
        <f>E50*G50</f>
        <v>56000</v>
      </c>
      <c r="I50" s="132">
        <v>0</v>
      </c>
      <c r="J50" s="131">
        <f>(100%-I50)*G50</f>
        <v>1400</v>
      </c>
      <c r="K50" s="131">
        <f>J50*E50</f>
        <v>56000</v>
      </c>
      <c r="L50" s="133">
        <v>0</v>
      </c>
      <c r="M50" s="133">
        <v>0</v>
      </c>
      <c r="N50" s="133">
        <v>0</v>
      </c>
      <c r="O50" s="133">
        <v>0.4</v>
      </c>
      <c r="P50" s="131">
        <f>((100%+SUM(L50:N50))+O50*(100%+SUM(L50:N50)))*J50</f>
        <v>1959.9999999999998</v>
      </c>
      <c r="Q50" s="131">
        <f>P50*E50</f>
        <v>78399.999999999985</v>
      </c>
      <c r="R50" s="135">
        <f>P50*1.15</f>
        <v>2253.9999999999995</v>
      </c>
      <c r="S50" s="134">
        <f>R50*E50</f>
        <v>90159.999999999985</v>
      </c>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row>
    <row r="51" spans="1:47" s="41" customFormat="1" ht="21" customHeight="1">
      <c r="A51" s="321"/>
      <c r="B51" s="272">
        <v>21</v>
      </c>
      <c r="C51" s="273" t="s">
        <v>339</v>
      </c>
      <c r="D51" s="273"/>
      <c r="E51" s="272"/>
      <c r="F51" s="272"/>
      <c r="G51" s="274"/>
      <c r="H51" s="274"/>
      <c r="I51" s="272"/>
      <c r="J51" s="274"/>
      <c r="K51" s="274"/>
      <c r="L51" s="274"/>
      <c r="M51" s="274"/>
      <c r="N51" s="274"/>
      <c r="O51" s="274"/>
      <c r="P51" s="274"/>
      <c r="Q51" s="274"/>
      <c r="R51" s="274"/>
      <c r="S51" s="274"/>
      <c r="T51" s="321"/>
      <c r="U51" s="321"/>
      <c r="V51" s="321"/>
      <c r="W51" s="321"/>
      <c r="X51" s="321"/>
      <c r="Y51" s="321"/>
      <c r="Z51" s="321"/>
      <c r="AA51" s="321"/>
      <c r="AB51" s="321"/>
      <c r="AC51" s="321"/>
      <c r="AD51" s="321"/>
      <c r="AE51" s="321"/>
      <c r="AF51" s="321"/>
      <c r="AG51" s="321"/>
      <c r="AH51" s="321"/>
      <c r="AI51" s="321"/>
      <c r="AJ51" s="321"/>
      <c r="AK51" s="321"/>
      <c r="AL51" s="321"/>
      <c r="AM51" s="321"/>
      <c r="AN51" s="321"/>
      <c r="AO51" s="321"/>
      <c r="AP51" s="321"/>
      <c r="AQ51" s="321"/>
      <c r="AR51" s="321"/>
      <c r="AS51" s="321"/>
      <c r="AT51" s="321"/>
      <c r="AU51" s="321"/>
    </row>
    <row r="52" spans="1:47" s="314" customFormat="1" ht="64.5" customHeight="1">
      <c r="B52" s="129"/>
      <c r="C52" s="105" t="s">
        <v>340</v>
      </c>
      <c r="D52" s="193" t="s">
        <v>164</v>
      </c>
      <c r="E52" s="106">
        <v>1000</v>
      </c>
      <c r="F52" s="59" t="s">
        <v>43</v>
      </c>
      <c r="G52" s="131">
        <v>1400</v>
      </c>
      <c r="H52" s="131">
        <f>E52*G52</f>
        <v>1400000</v>
      </c>
      <c r="I52" s="132">
        <v>0</v>
      </c>
      <c r="J52" s="131">
        <f>(100%-I52)*G52</f>
        <v>1400</v>
      </c>
      <c r="K52" s="131">
        <f>J52*E52</f>
        <v>1400000</v>
      </c>
      <c r="L52" s="133">
        <v>0</v>
      </c>
      <c r="M52" s="133">
        <v>0</v>
      </c>
      <c r="N52" s="133">
        <v>0</v>
      </c>
      <c r="O52" s="133">
        <v>0.4</v>
      </c>
      <c r="P52" s="131">
        <f>((100%+SUM(L52:N52))+O52*(100%+SUM(L52:N52)))*J52</f>
        <v>1959.9999999999998</v>
      </c>
      <c r="Q52" s="131">
        <f>P52*E52</f>
        <v>1959999.9999999998</v>
      </c>
      <c r="R52" s="135">
        <f>P52*1.15</f>
        <v>2253.9999999999995</v>
      </c>
      <c r="S52" s="134">
        <f>R52*E52</f>
        <v>2253999.9999999995</v>
      </c>
      <c r="T52" s="321"/>
      <c r="U52" s="321"/>
      <c r="V52" s="321"/>
      <c r="W52" s="321"/>
      <c r="X52" s="321"/>
      <c r="Y52" s="321"/>
      <c r="Z52" s="321"/>
      <c r="AA52" s="321"/>
      <c r="AB52" s="321"/>
      <c r="AC52" s="321"/>
      <c r="AD52" s="321"/>
      <c r="AE52" s="321"/>
      <c r="AF52" s="321"/>
      <c r="AG52" s="321"/>
      <c r="AH52" s="321"/>
      <c r="AI52" s="321"/>
      <c r="AJ52" s="321"/>
      <c r="AK52" s="321"/>
      <c r="AL52" s="321"/>
      <c r="AM52" s="321"/>
      <c r="AN52" s="321"/>
      <c r="AO52" s="321"/>
      <c r="AP52" s="321"/>
      <c r="AQ52" s="321"/>
      <c r="AR52" s="321"/>
      <c r="AS52" s="321"/>
      <c r="AT52" s="321"/>
      <c r="AU52" s="321"/>
    </row>
    <row r="53" spans="1:47" s="41" customFormat="1" ht="21" customHeight="1">
      <c r="A53" s="321"/>
      <c r="B53" s="272">
        <v>21</v>
      </c>
      <c r="C53" s="273" t="s">
        <v>438</v>
      </c>
      <c r="D53" s="273"/>
      <c r="E53" s="272"/>
      <c r="F53" s="272"/>
      <c r="G53" s="274"/>
      <c r="H53" s="274"/>
      <c r="I53" s="272"/>
      <c r="J53" s="274"/>
      <c r="K53" s="274"/>
      <c r="L53" s="274"/>
      <c r="M53" s="274"/>
      <c r="N53" s="274"/>
      <c r="O53" s="274"/>
      <c r="P53" s="274"/>
      <c r="Q53" s="274"/>
      <c r="R53" s="274"/>
      <c r="S53" s="274"/>
      <c r="T53" s="321"/>
      <c r="U53" s="321"/>
      <c r="V53" s="321"/>
      <c r="W53" s="321"/>
      <c r="X53" s="321"/>
      <c r="Y53" s="321"/>
      <c r="Z53" s="321"/>
      <c r="AA53" s="321"/>
      <c r="AB53" s="321"/>
      <c r="AC53" s="321"/>
      <c r="AD53" s="321"/>
      <c r="AE53" s="321"/>
      <c r="AF53" s="321"/>
      <c r="AG53" s="321"/>
      <c r="AH53" s="321"/>
      <c r="AI53" s="321"/>
      <c r="AJ53" s="321"/>
      <c r="AK53" s="321"/>
      <c r="AL53" s="321"/>
      <c r="AM53" s="321"/>
      <c r="AN53" s="321"/>
      <c r="AO53" s="321"/>
      <c r="AP53" s="321"/>
      <c r="AQ53" s="321"/>
      <c r="AR53" s="321"/>
      <c r="AS53" s="321"/>
      <c r="AT53" s="321"/>
      <c r="AU53" s="321"/>
    </row>
    <row r="54" spans="1:47" s="371" customFormat="1" ht="64.5" customHeight="1">
      <c r="B54" s="362"/>
      <c r="C54" s="460" t="s">
        <v>439</v>
      </c>
      <c r="D54" s="461" t="s">
        <v>439</v>
      </c>
      <c r="E54" s="462">
        <v>30</v>
      </c>
      <c r="F54" s="365" t="s">
        <v>43</v>
      </c>
      <c r="G54" s="463">
        <v>1400</v>
      </c>
      <c r="H54" s="463">
        <f>E54*G54</f>
        <v>42000</v>
      </c>
      <c r="I54" s="464">
        <v>0</v>
      </c>
      <c r="J54" s="463">
        <f>(100%-I54)*G54</f>
        <v>1400</v>
      </c>
      <c r="K54" s="463">
        <f>J54*E54</f>
        <v>42000</v>
      </c>
      <c r="L54" s="465">
        <v>0</v>
      </c>
      <c r="M54" s="465">
        <v>0</v>
      </c>
      <c r="N54" s="465">
        <v>0</v>
      </c>
      <c r="O54" s="465">
        <v>0.4</v>
      </c>
      <c r="P54" s="463">
        <f>((100%+SUM(L54:N54))+O54*(100%+SUM(L54:N54)))*J54</f>
        <v>1959.9999999999998</v>
      </c>
      <c r="Q54" s="463">
        <f>P54*E54</f>
        <v>58799.999999999993</v>
      </c>
      <c r="R54" s="466">
        <f>P54*1.15</f>
        <v>2253.9999999999995</v>
      </c>
      <c r="S54" s="467">
        <f>R54*E54</f>
        <v>67619.999999999985</v>
      </c>
    </row>
    <row r="55" spans="1:47" s="361" customFormat="1" ht="64.5" customHeight="1">
      <c r="B55" s="362"/>
      <c r="C55" s="468" t="s">
        <v>440</v>
      </c>
      <c r="D55" s="469" t="s">
        <v>440</v>
      </c>
      <c r="E55" s="364">
        <v>30</v>
      </c>
      <c r="F55" s="365" t="s">
        <v>43</v>
      </c>
      <c r="G55" s="366">
        <v>1400</v>
      </c>
      <c r="H55" s="366">
        <f>E55*G55</f>
        <v>42000</v>
      </c>
      <c r="I55" s="367">
        <v>0</v>
      </c>
      <c r="J55" s="366">
        <f>(100%-I55)*G55</f>
        <v>1400</v>
      </c>
      <c r="K55" s="366">
        <f>J55*E55</f>
        <v>42000</v>
      </c>
      <c r="L55" s="368">
        <v>0</v>
      </c>
      <c r="M55" s="368">
        <v>0</v>
      </c>
      <c r="N55" s="368">
        <v>0</v>
      </c>
      <c r="O55" s="368">
        <v>0.4</v>
      </c>
      <c r="P55" s="366">
        <f>((100%+SUM(L55:N55))+O55*(100%+SUM(L55:N55)))*J55</f>
        <v>1959.9999999999998</v>
      </c>
      <c r="Q55" s="366">
        <f>P55*E55</f>
        <v>58799.999999999993</v>
      </c>
      <c r="R55" s="466">
        <f>P55*1.15</f>
        <v>2253.9999999999995</v>
      </c>
      <c r="S55" s="370">
        <f>R55*E55</f>
        <v>67619.999999999985</v>
      </c>
      <c r="T55" s="371"/>
      <c r="U55" s="371"/>
      <c r="V55" s="371"/>
      <c r="W55" s="371"/>
      <c r="X55" s="371"/>
      <c r="Y55" s="371"/>
      <c r="Z55" s="371"/>
      <c r="AA55" s="371"/>
      <c r="AB55" s="371"/>
      <c r="AC55" s="371"/>
      <c r="AD55" s="371"/>
      <c r="AE55" s="371"/>
      <c r="AF55" s="371"/>
      <c r="AG55" s="371"/>
      <c r="AH55" s="371"/>
      <c r="AI55" s="371"/>
      <c r="AJ55" s="371"/>
      <c r="AK55" s="371"/>
      <c r="AL55" s="371"/>
      <c r="AM55" s="371"/>
      <c r="AN55" s="371"/>
      <c r="AO55" s="371"/>
      <c r="AP55" s="371"/>
      <c r="AQ55" s="371"/>
      <c r="AR55" s="371"/>
      <c r="AS55" s="371"/>
      <c r="AT55" s="371"/>
      <c r="AU55" s="371"/>
    </row>
    <row r="56" spans="1:47" ht="24" customHeight="1">
      <c r="B56" s="275"/>
      <c r="C56" s="276" t="s">
        <v>23</v>
      </c>
      <c r="D56" s="276"/>
      <c r="E56" s="277"/>
      <c r="F56" s="277"/>
      <c r="G56" s="278"/>
      <c r="H56" s="278">
        <f>SUM(H5:H9)</f>
        <v>258625</v>
      </c>
      <c r="I56" s="277"/>
      <c r="J56" s="276"/>
      <c r="K56" s="278">
        <f>SUM(K5:K9)</f>
        <v>258625</v>
      </c>
      <c r="L56" s="279"/>
      <c r="M56" s="279"/>
      <c r="N56" s="279"/>
      <c r="O56" s="276"/>
      <c r="P56" s="276"/>
      <c r="Q56" s="280">
        <f>SUM(Q5:Q9)</f>
        <v>465080</v>
      </c>
      <c r="R56" s="280"/>
      <c r="S56" s="281">
        <f>SUM(S5:S55)</f>
        <v>4700479</v>
      </c>
    </row>
    <row r="57" spans="1:47" s="54" customFormat="1" ht="15.5">
      <c r="A57"/>
      <c r="B57" s="15"/>
      <c r="C57" s="16"/>
      <c r="D57" s="16"/>
      <c r="E57" s="19"/>
      <c r="F57" s="19"/>
      <c r="G57" s="15"/>
      <c r="H57" s="15"/>
      <c r="I57" s="19"/>
      <c r="J57" s="15"/>
      <c r="K57" s="15"/>
      <c r="L57" s="15"/>
      <c r="M57" s="15"/>
      <c r="N57" s="15"/>
      <c r="O57" s="15"/>
      <c r="P57" s="15"/>
      <c r="Q57" s="15"/>
      <c r="R57" s="15"/>
      <c r="S57" s="15"/>
    </row>
    <row r="60" spans="1:47" s="54" customFormat="1">
      <c r="A60"/>
      <c r="B60"/>
      <c r="C60"/>
      <c r="D60"/>
      <c r="E60" s="18"/>
      <c r="F60" s="18"/>
      <c r="G60"/>
      <c r="H60"/>
      <c r="I60" s="18"/>
      <c r="J60"/>
      <c r="K60"/>
      <c r="L60"/>
      <c r="M60"/>
      <c r="N60"/>
      <c r="O60"/>
      <c r="P60"/>
      <c r="Q60" s="9"/>
      <c r="R60"/>
      <c r="S60"/>
    </row>
    <row r="89" spans="3:3">
      <c r="C89" s="17"/>
    </row>
    <row r="97" spans="3:3">
      <c r="C97" s="17"/>
    </row>
    <row r="104" spans="3:3">
      <c r="C104" s="17"/>
    </row>
  </sheetData>
  <mergeCells count="1">
    <mergeCell ref="B2:S2"/>
  </mergeCells>
  <dataValidations count="1">
    <dataValidation type="decimal" allowBlank="1" showInputMessage="1" showErrorMessage="1" errorTitle="X-Author for Excel" error="Please enter a valid decimal value. Valid range for Unit List Price is -1E+16 to 1E+16." promptTitle="X-Author for Excel" sqref="G16 G21 G27">
      <formula1>-10000000000000000</formula1>
      <formula2>10000000000000000</formula2>
    </dataValidation>
  </dataValidations>
  <pageMargins left="0.75" right="0.75" top="1" bottom="1" header="0.3" footer="0.3"/>
  <pageSetup paperSize="9" scale="27" fitToHeight="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67"/>
  <sheetViews>
    <sheetView view="pageBreakPreview" topLeftCell="F4" zoomScale="80" zoomScaleNormal="70" zoomScaleSheetLayoutView="80" workbookViewId="0">
      <selection activeCell="N22" sqref="N22"/>
    </sheetView>
  </sheetViews>
  <sheetFormatPr defaultColWidth="8.81640625" defaultRowHeight="14.5"/>
  <cols>
    <col min="1" max="1" width="7.81640625" style="313" customWidth="1"/>
    <col min="2" max="2" width="4.1796875" style="313" bestFit="1" customWidth="1"/>
    <col min="3" max="3" width="21.81640625" style="313" customWidth="1"/>
    <col min="4" max="4" width="60.1796875" style="313" customWidth="1"/>
    <col min="5" max="5" width="8.81640625" style="18" customWidth="1"/>
    <col min="6" max="6" width="8.26953125" style="18" customWidth="1"/>
    <col min="7" max="7" width="14.81640625" style="313" customWidth="1"/>
    <col min="8" max="8" width="15.1796875" style="313" customWidth="1"/>
    <col min="9" max="9" width="12.453125" style="18" customWidth="1"/>
    <col min="10" max="10" width="16" style="313" customWidth="1"/>
    <col min="11" max="11" width="17.81640625" style="313" customWidth="1"/>
    <col min="12" max="12" width="10.453125" style="313" customWidth="1"/>
    <col min="13" max="13" width="9.1796875" style="313" customWidth="1"/>
    <col min="14" max="14" width="11.453125" style="313" customWidth="1"/>
    <col min="15" max="15" width="10.81640625" style="313" customWidth="1"/>
    <col min="16" max="16" width="11.1796875" style="313" customWidth="1"/>
    <col min="17" max="17" width="15.7265625" style="313" customWidth="1"/>
    <col min="18" max="18" width="14.26953125" style="313" customWidth="1"/>
    <col min="19" max="19" width="19.26953125" style="313" customWidth="1"/>
    <col min="20" max="47" width="9.1796875" style="324" customWidth="1"/>
    <col min="48" max="16384" width="8.81640625" style="313"/>
  </cols>
  <sheetData>
    <row r="1" spans="1:47" ht="15" thickBot="1"/>
    <row r="2" spans="1:47" ht="26.5" thickBot="1">
      <c r="B2" s="508" t="s">
        <v>447</v>
      </c>
      <c r="C2" s="509"/>
      <c r="D2" s="509"/>
      <c r="E2" s="509"/>
      <c r="F2" s="509"/>
      <c r="G2" s="509"/>
      <c r="H2" s="509"/>
      <c r="I2" s="509"/>
      <c r="J2" s="509"/>
      <c r="K2" s="509"/>
      <c r="L2" s="509"/>
      <c r="M2" s="509"/>
      <c r="N2" s="509"/>
      <c r="O2" s="509"/>
      <c r="P2" s="509"/>
      <c r="Q2" s="509"/>
      <c r="R2" s="509"/>
      <c r="S2" s="510"/>
    </row>
    <row r="3" spans="1:47" ht="48.75" customHeight="1">
      <c r="B3" s="22" t="s">
        <v>1</v>
      </c>
      <c r="C3" s="23" t="s">
        <v>21</v>
      </c>
      <c r="D3" s="24" t="s">
        <v>15</v>
      </c>
      <c r="E3" s="25" t="s">
        <v>10</v>
      </c>
      <c r="F3" s="45" t="s">
        <v>28</v>
      </c>
      <c r="G3" s="26" t="s">
        <v>0</v>
      </c>
      <c r="H3" s="26" t="s">
        <v>11</v>
      </c>
      <c r="I3" s="27" t="s">
        <v>3</v>
      </c>
      <c r="J3" s="26" t="s">
        <v>12</v>
      </c>
      <c r="K3" s="26" t="s">
        <v>13</v>
      </c>
      <c r="L3" s="26" t="s">
        <v>4</v>
      </c>
      <c r="M3" s="28" t="s">
        <v>5</v>
      </c>
      <c r="N3" s="26" t="s">
        <v>6</v>
      </c>
      <c r="O3" s="29" t="s">
        <v>14</v>
      </c>
      <c r="P3" s="26" t="s">
        <v>22</v>
      </c>
      <c r="Q3" s="26" t="s">
        <v>9</v>
      </c>
      <c r="R3" s="26" t="s">
        <v>461</v>
      </c>
      <c r="S3" s="30" t="s">
        <v>8</v>
      </c>
    </row>
    <row r="4" spans="1:47" s="491" customFormat="1" ht="18.75" customHeight="1">
      <c r="A4" s="324"/>
      <c r="B4" s="282">
        <v>1</v>
      </c>
      <c r="C4" s="445" t="s">
        <v>341</v>
      </c>
      <c r="D4" s="250"/>
      <c r="E4" s="250"/>
      <c r="F4" s="250"/>
      <c r="G4" s="357"/>
      <c r="H4" s="357"/>
      <c r="I4" s="250"/>
      <c r="J4" s="357"/>
      <c r="K4" s="357"/>
      <c r="L4" s="357"/>
      <c r="M4" s="357"/>
      <c r="N4" s="357"/>
      <c r="O4" s="357"/>
      <c r="P4" s="357"/>
      <c r="Q4" s="357"/>
      <c r="R4" s="357"/>
      <c r="S4" s="283"/>
      <c r="T4" s="324"/>
      <c r="U4" s="324"/>
      <c r="V4" s="324"/>
      <c r="W4" s="324"/>
      <c r="X4" s="324"/>
      <c r="Y4" s="324"/>
      <c r="Z4" s="324"/>
      <c r="AA4" s="324"/>
      <c r="AB4" s="324"/>
      <c r="AC4" s="324"/>
      <c r="AD4" s="324"/>
      <c r="AE4" s="324"/>
      <c r="AF4" s="324"/>
      <c r="AG4" s="324"/>
      <c r="AH4" s="324"/>
      <c r="AI4" s="324"/>
      <c r="AJ4" s="324"/>
      <c r="AK4" s="324"/>
      <c r="AL4" s="324"/>
      <c r="AM4" s="324"/>
      <c r="AN4" s="324"/>
      <c r="AO4" s="324"/>
      <c r="AP4" s="324"/>
      <c r="AQ4" s="324"/>
      <c r="AR4" s="324"/>
      <c r="AS4" s="324"/>
      <c r="AT4" s="324"/>
      <c r="AU4" s="324"/>
    </row>
    <row r="5" spans="1:47" s="361" customFormat="1" ht="27.75" customHeight="1">
      <c r="B5" s="372"/>
      <c r="C5" s="373" t="s">
        <v>448</v>
      </c>
      <c r="D5" s="373" t="s">
        <v>449</v>
      </c>
      <c r="E5" s="374">
        <v>1</v>
      </c>
      <c r="F5" s="360" t="s">
        <v>27</v>
      </c>
      <c r="G5" s="492">
        <v>30000</v>
      </c>
      <c r="H5" s="375">
        <f>E5*G5</f>
        <v>30000</v>
      </c>
      <c r="I5" s="376">
        <v>0</v>
      </c>
      <c r="J5" s="375">
        <f>(100%-I5)*G5</f>
        <v>30000</v>
      </c>
      <c r="K5" s="375">
        <f>J5*E5</f>
        <v>30000</v>
      </c>
      <c r="L5" s="377">
        <v>0.1</v>
      </c>
      <c r="M5" s="377">
        <v>0.1</v>
      </c>
      <c r="N5" s="377">
        <v>0.4</v>
      </c>
      <c r="O5" s="377">
        <v>0.4</v>
      </c>
      <c r="P5" s="375">
        <f>((100%+SUM(L5:N5))+O5*(100%+SUM(L5:N5)))*J5</f>
        <v>67200</v>
      </c>
      <c r="Q5" s="375">
        <f>P5*E5</f>
        <v>67200</v>
      </c>
      <c r="R5" s="378">
        <f>45*P5*1.15</f>
        <v>3477599.9999999995</v>
      </c>
      <c r="S5" s="379">
        <f>R5*E5</f>
        <v>3477599.9999999995</v>
      </c>
      <c r="T5" s="371"/>
      <c r="U5" s="371"/>
      <c r="V5" s="371"/>
      <c r="W5" s="371"/>
      <c r="X5" s="371"/>
      <c r="Y5" s="371"/>
      <c r="Z5" s="371"/>
      <c r="AA5" s="371"/>
      <c r="AB5" s="371"/>
      <c r="AC5" s="371"/>
      <c r="AD5" s="371"/>
      <c r="AE5" s="371"/>
      <c r="AF5" s="371"/>
      <c r="AG5" s="371"/>
      <c r="AH5" s="371"/>
      <c r="AI5" s="371"/>
      <c r="AJ5" s="371"/>
      <c r="AK5" s="371"/>
      <c r="AL5" s="371"/>
      <c r="AM5" s="371"/>
      <c r="AN5" s="371"/>
      <c r="AO5" s="371"/>
      <c r="AP5" s="371"/>
      <c r="AQ5" s="371"/>
      <c r="AR5" s="371"/>
      <c r="AS5" s="371"/>
      <c r="AT5" s="371"/>
      <c r="AU5" s="371"/>
    </row>
    <row r="6" spans="1:47" s="361" customFormat="1" ht="34.5" hidden="1" customHeight="1">
      <c r="B6" s="372"/>
      <c r="C6" s="373" t="s">
        <v>450</v>
      </c>
      <c r="D6" s="373" t="s">
        <v>451</v>
      </c>
      <c r="E6" s="374">
        <v>1</v>
      </c>
      <c r="F6" s="360" t="s">
        <v>27</v>
      </c>
      <c r="G6" s="492"/>
      <c r="H6" s="375">
        <f>E6*G6</f>
        <v>0</v>
      </c>
      <c r="I6" s="376">
        <v>0</v>
      </c>
      <c r="J6" s="375">
        <f>(100%-I6)*G6</f>
        <v>0</v>
      </c>
      <c r="K6" s="375">
        <f>J6*E6</f>
        <v>0</v>
      </c>
      <c r="L6" s="377">
        <v>0.1</v>
      </c>
      <c r="M6" s="377">
        <v>0.1</v>
      </c>
      <c r="N6" s="377">
        <v>0.4</v>
      </c>
      <c r="O6" s="377">
        <v>0.4</v>
      </c>
      <c r="P6" s="375">
        <f>((100%+SUM(L6:N6))+O6*(100%+SUM(L6:N6)))*J6</f>
        <v>0</v>
      </c>
      <c r="Q6" s="375">
        <f>P6*E6</f>
        <v>0</v>
      </c>
      <c r="R6" s="378">
        <f>45*P6</f>
        <v>0</v>
      </c>
      <c r="S6" s="379">
        <f>R6*E6</f>
        <v>0</v>
      </c>
      <c r="T6" s="371"/>
      <c r="U6" s="371"/>
      <c r="V6" s="371"/>
      <c r="W6" s="371"/>
      <c r="X6" s="371"/>
      <c r="Y6" s="371"/>
      <c r="Z6" s="371"/>
      <c r="AA6" s="371"/>
      <c r="AB6" s="371"/>
      <c r="AC6" s="371"/>
      <c r="AD6" s="371"/>
      <c r="AE6" s="371"/>
      <c r="AF6" s="371"/>
      <c r="AG6" s="371"/>
      <c r="AH6" s="371"/>
      <c r="AI6" s="371"/>
      <c r="AJ6" s="371"/>
      <c r="AK6" s="371"/>
      <c r="AL6" s="371"/>
      <c r="AM6" s="371"/>
      <c r="AN6" s="371"/>
      <c r="AO6" s="371"/>
      <c r="AP6" s="371"/>
      <c r="AQ6" s="371"/>
      <c r="AR6" s="371"/>
      <c r="AS6" s="371"/>
      <c r="AT6" s="371"/>
      <c r="AU6" s="371"/>
    </row>
    <row r="7" spans="1:47" s="361" customFormat="1" ht="27.75" customHeight="1">
      <c r="B7" s="372"/>
      <c r="C7" s="373" t="s">
        <v>452</v>
      </c>
      <c r="D7" s="373" t="s">
        <v>453</v>
      </c>
      <c r="E7" s="374">
        <v>1</v>
      </c>
      <c r="F7" s="360" t="s">
        <v>27</v>
      </c>
      <c r="G7" s="492"/>
      <c r="H7" s="375">
        <f>E7*G7</f>
        <v>0</v>
      </c>
      <c r="I7" s="376">
        <v>0</v>
      </c>
      <c r="J7" s="375">
        <f>(100%-I7)*G7</f>
        <v>0</v>
      </c>
      <c r="K7" s="375">
        <f>J7*E7</f>
        <v>0</v>
      </c>
      <c r="L7" s="377">
        <v>0.1</v>
      </c>
      <c r="M7" s="377">
        <v>0.1</v>
      </c>
      <c r="N7" s="377">
        <v>0.4</v>
      </c>
      <c r="O7" s="377">
        <v>0.4</v>
      </c>
      <c r="P7" s="375">
        <f>((100%+SUM(L7:N7))+O7*(100%+SUM(L7:N7)))*J7</f>
        <v>0</v>
      </c>
      <c r="Q7" s="375">
        <f>P7*E7</f>
        <v>0</v>
      </c>
      <c r="R7" s="378">
        <f>45*P7</f>
        <v>0</v>
      </c>
      <c r="S7" s="379">
        <f>R7*E7</f>
        <v>0</v>
      </c>
      <c r="T7" s="371"/>
      <c r="U7" s="371"/>
      <c r="V7" s="371"/>
      <c r="W7" s="371"/>
      <c r="X7" s="371"/>
      <c r="Y7" s="371"/>
      <c r="Z7" s="371"/>
      <c r="AA7" s="371"/>
      <c r="AB7" s="371"/>
      <c r="AC7" s="371"/>
      <c r="AD7" s="371"/>
      <c r="AE7" s="371"/>
      <c r="AF7" s="371"/>
      <c r="AG7" s="371"/>
      <c r="AH7" s="371"/>
      <c r="AI7" s="371"/>
      <c r="AJ7" s="371"/>
      <c r="AK7" s="371"/>
      <c r="AL7" s="371"/>
      <c r="AM7" s="371"/>
      <c r="AN7" s="371"/>
      <c r="AO7" s="371"/>
      <c r="AP7" s="371"/>
      <c r="AQ7" s="371"/>
      <c r="AR7" s="371"/>
      <c r="AS7" s="371"/>
      <c r="AT7" s="371"/>
      <c r="AU7" s="371"/>
    </row>
    <row r="8" spans="1:47" s="491" customFormat="1" ht="18.75" customHeight="1">
      <c r="A8" s="324"/>
      <c r="B8" s="282">
        <v>1</v>
      </c>
      <c r="C8" s="445" t="s">
        <v>342</v>
      </c>
      <c r="D8" s="250"/>
      <c r="E8" s="250"/>
      <c r="F8" s="250"/>
      <c r="G8" s="357"/>
      <c r="H8" s="357"/>
      <c r="I8" s="250"/>
      <c r="J8" s="357"/>
      <c r="K8" s="357"/>
      <c r="L8" s="357"/>
      <c r="M8" s="357"/>
      <c r="N8" s="357"/>
      <c r="O8" s="357"/>
      <c r="P8" s="357"/>
      <c r="Q8" s="357"/>
      <c r="R8" s="357"/>
      <c r="S8" s="283"/>
      <c r="T8" s="324"/>
      <c r="U8" s="324"/>
      <c r="V8" s="324"/>
      <c r="W8" s="324"/>
      <c r="X8" s="324"/>
      <c r="Y8" s="324"/>
      <c r="Z8" s="324"/>
      <c r="AA8" s="324"/>
      <c r="AB8" s="324"/>
      <c r="AC8" s="324"/>
      <c r="AD8" s="324"/>
      <c r="AE8" s="324"/>
      <c r="AF8" s="324"/>
      <c r="AG8" s="324"/>
      <c r="AH8" s="324"/>
      <c r="AI8" s="324"/>
      <c r="AJ8" s="324"/>
      <c r="AK8" s="324"/>
      <c r="AL8" s="324"/>
      <c r="AM8" s="324"/>
      <c r="AN8" s="324"/>
      <c r="AO8" s="324"/>
      <c r="AP8" s="324"/>
      <c r="AQ8" s="324"/>
      <c r="AR8" s="324"/>
      <c r="AS8" s="324"/>
      <c r="AT8" s="324"/>
      <c r="AU8" s="324"/>
    </row>
    <row r="9" spans="1:47" s="212" customFormat="1" ht="32.25" customHeight="1">
      <c r="B9" s="206"/>
      <c r="C9" s="47" t="s">
        <v>454</v>
      </c>
      <c r="D9" s="47" t="s">
        <v>455</v>
      </c>
      <c r="E9" s="43">
        <v>20</v>
      </c>
      <c r="F9" s="44" t="s">
        <v>27</v>
      </c>
      <c r="G9" s="212">
        <v>1245</v>
      </c>
      <c r="H9" s="208">
        <f>E9*G9</f>
        <v>24900</v>
      </c>
      <c r="I9" s="209">
        <v>0</v>
      </c>
      <c r="J9" s="208">
        <f>(100%-I9)*G9</f>
        <v>1245</v>
      </c>
      <c r="K9" s="208">
        <f>J9*E9</f>
        <v>24900</v>
      </c>
      <c r="L9" s="210">
        <v>0.1</v>
      </c>
      <c r="M9" s="210">
        <v>0.1</v>
      </c>
      <c r="N9" s="210">
        <v>0.4</v>
      </c>
      <c r="O9" s="210">
        <v>0.4</v>
      </c>
      <c r="P9" s="208">
        <f>((100%+SUM(L9:N9))+O9*(100%+SUM(L9:N9)))*J9</f>
        <v>2788.8</v>
      </c>
      <c r="Q9" s="208">
        <f>P9*E9</f>
        <v>55776</v>
      </c>
      <c r="R9" s="402">
        <f>45*P9*1.15</f>
        <v>144320.4</v>
      </c>
      <c r="S9" s="211">
        <f>R9*E9</f>
        <v>2886408</v>
      </c>
      <c r="T9" s="348"/>
      <c r="U9" s="348"/>
      <c r="V9" s="348"/>
      <c r="W9" s="348"/>
      <c r="X9" s="348"/>
      <c r="Y9" s="348"/>
      <c r="Z9" s="348"/>
      <c r="AA9" s="348"/>
      <c r="AB9" s="348"/>
      <c r="AC9" s="348"/>
      <c r="AD9" s="348"/>
      <c r="AE9" s="348"/>
      <c r="AF9" s="348"/>
      <c r="AG9" s="348"/>
      <c r="AH9" s="348"/>
      <c r="AI9" s="348"/>
      <c r="AJ9" s="348"/>
      <c r="AK9" s="348"/>
      <c r="AL9" s="348"/>
      <c r="AM9" s="348"/>
      <c r="AN9" s="348"/>
      <c r="AO9" s="348"/>
      <c r="AP9" s="348"/>
      <c r="AQ9" s="348"/>
      <c r="AR9" s="348"/>
      <c r="AS9" s="348"/>
      <c r="AT9" s="348"/>
      <c r="AU9" s="348"/>
    </row>
    <row r="10" spans="1:47" s="361" customFormat="1" ht="32.25" customHeight="1">
      <c r="B10" s="372"/>
      <c r="C10" s="373" t="s">
        <v>456</v>
      </c>
      <c r="D10" s="373" t="s">
        <v>457</v>
      </c>
      <c r="E10" s="374">
        <v>20</v>
      </c>
      <c r="F10" s="360" t="s">
        <v>27</v>
      </c>
      <c r="H10" s="375">
        <f>E10*G10</f>
        <v>0</v>
      </c>
      <c r="I10" s="376">
        <v>0</v>
      </c>
      <c r="J10" s="375">
        <f>(100%-I10)*G10</f>
        <v>0</v>
      </c>
      <c r="K10" s="375">
        <f>J10*E10</f>
        <v>0</v>
      </c>
      <c r="L10" s="377">
        <v>0.1</v>
      </c>
      <c r="M10" s="377">
        <v>0.1</v>
      </c>
      <c r="N10" s="377">
        <v>0.4</v>
      </c>
      <c r="O10" s="377">
        <v>0.4</v>
      </c>
      <c r="P10" s="375">
        <f>((100%+SUM(L10:N10))+O10*(100%+SUM(L10:N10)))*J10</f>
        <v>0</v>
      </c>
      <c r="Q10" s="375">
        <f>P10*E10</f>
        <v>0</v>
      </c>
      <c r="R10" s="378">
        <f>45*P10</f>
        <v>0</v>
      </c>
      <c r="S10" s="379">
        <f>R10*E10</f>
        <v>0</v>
      </c>
      <c r="T10" s="371"/>
      <c r="U10" s="371"/>
      <c r="V10" s="371"/>
      <c r="W10" s="371"/>
      <c r="X10" s="371"/>
      <c r="Y10" s="371"/>
      <c r="Z10" s="371"/>
      <c r="AA10" s="371"/>
      <c r="AB10" s="371"/>
      <c r="AC10" s="371"/>
      <c r="AD10" s="371"/>
      <c r="AE10" s="371"/>
      <c r="AF10" s="371"/>
      <c r="AG10" s="371"/>
      <c r="AH10" s="371"/>
      <c r="AI10" s="371"/>
      <c r="AJ10" s="371"/>
      <c r="AK10" s="371"/>
      <c r="AL10" s="371"/>
      <c r="AM10" s="371"/>
      <c r="AN10" s="371"/>
      <c r="AO10" s="371"/>
      <c r="AP10" s="371"/>
      <c r="AQ10" s="371"/>
      <c r="AR10" s="371"/>
      <c r="AS10" s="371"/>
      <c r="AT10" s="371"/>
      <c r="AU10" s="371"/>
    </row>
    <row r="11" spans="1:47" s="491" customFormat="1" ht="18.75" customHeight="1">
      <c r="A11" s="324"/>
      <c r="B11" s="282">
        <v>2</v>
      </c>
      <c r="C11" s="445" t="s">
        <v>343</v>
      </c>
      <c r="D11" s="250"/>
      <c r="E11" s="250"/>
      <c r="F11" s="250"/>
      <c r="G11" s="357"/>
      <c r="H11" s="357"/>
      <c r="I11" s="250"/>
      <c r="J11" s="357"/>
      <c r="K11" s="357"/>
      <c r="L11" s="357"/>
      <c r="M11" s="357"/>
      <c r="N11" s="357"/>
      <c r="O11" s="357"/>
      <c r="P11" s="357"/>
      <c r="Q11" s="357"/>
      <c r="R11" s="357"/>
      <c r="S11" s="283"/>
      <c r="T11" s="324"/>
      <c r="U11" s="324"/>
      <c r="V11" s="324"/>
      <c r="W11" s="324"/>
      <c r="X11" s="324"/>
      <c r="Y11" s="324"/>
      <c r="Z11" s="324"/>
      <c r="AA11" s="324"/>
      <c r="AB11" s="324"/>
      <c r="AC11" s="324"/>
      <c r="AD11" s="324"/>
      <c r="AE11" s="324"/>
      <c r="AF11" s="324"/>
      <c r="AG11" s="324"/>
      <c r="AH11" s="324"/>
      <c r="AI11" s="324"/>
      <c r="AJ11" s="324"/>
      <c r="AK11" s="324"/>
      <c r="AL11" s="324"/>
      <c r="AM11" s="324"/>
      <c r="AN11" s="324"/>
      <c r="AO11" s="324"/>
      <c r="AP11" s="324"/>
      <c r="AQ11" s="324"/>
      <c r="AR11" s="324"/>
      <c r="AS11" s="324"/>
      <c r="AT11" s="324"/>
      <c r="AU11" s="324"/>
    </row>
    <row r="12" spans="1:47" s="212" customFormat="1" ht="46.5">
      <c r="B12" s="206"/>
      <c r="C12" s="47" t="s">
        <v>329</v>
      </c>
      <c r="D12" s="47" t="s">
        <v>330</v>
      </c>
      <c r="E12" s="59">
        <v>20</v>
      </c>
      <c r="F12" s="44" t="s">
        <v>27</v>
      </c>
      <c r="G12" s="65">
        <v>4625</v>
      </c>
      <c r="H12" s="208">
        <f>E12*G12</f>
        <v>92500</v>
      </c>
      <c r="I12" s="209">
        <v>0</v>
      </c>
      <c r="J12" s="208">
        <f>(100%-I12)*G12</f>
        <v>4625</v>
      </c>
      <c r="K12" s="208">
        <f>J12*E12</f>
        <v>92500</v>
      </c>
      <c r="L12" s="210">
        <v>0.1</v>
      </c>
      <c r="M12" s="210">
        <v>0.1</v>
      </c>
      <c r="N12" s="210">
        <v>0.4</v>
      </c>
      <c r="O12" s="210">
        <v>0.4</v>
      </c>
      <c r="P12" s="208">
        <f>((100%+SUM(L12:N12))+O12*(100%+SUM(L12:N12)))*J12</f>
        <v>10360.000000000002</v>
      </c>
      <c r="Q12" s="208">
        <f>P12*E12</f>
        <v>207200.00000000003</v>
      </c>
      <c r="R12" s="402">
        <f>45*P12*1.15</f>
        <v>536130</v>
      </c>
      <c r="S12" s="211">
        <f>R12*E12</f>
        <v>10722600</v>
      </c>
      <c r="T12" s="348"/>
      <c r="U12" s="348"/>
      <c r="V12" s="348"/>
      <c r="W12" s="348"/>
      <c r="X12" s="348"/>
      <c r="Y12" s="348"/>
      <c r="Z12" s="348"/>
      <c r="AA12" s="348"/>
      <c r="AB12" s="348"/>
      <c r="AC12" s="348"/>
      <c r="AD12" s="348"/>
      <c r="AE12" s="348"/>
      <c r="AF12" s="348"/>
      <c r="AG12" s="348"/>
      <c r="AH12" s="348"/>
      <c r="AI12" s="348"/>
      <c r="AJ12" s="348"/>
      <c r="AK12" s="348"/>
      <c r="AL12" s="348"/>
      <c r="AM12" s="348"/>
      <c r="AN12" s="348"/>
      <c r="AO12" s="348"/>
      <c r="AP12" s="348"/>
      <c r="AQ12" s="348"/>
      <c r="AR12" s="348"/>
      <c r="AS12" s="348"/>
      <c r="AT12" s="348"/>
      <c r="AU12" s="348"/>
    </row>
    <row r="13" spans="1:47" s="212" customFormat="1" ht="15.5">
      <c r="B13" s="206"/>
      <c r="C13" s="47"/>
      <c r="D13" s="47"/>
      <c r="E13" s="59">
        <v>20</v>
      </c>
      <c r="F13" s="44" t="s">
        <v>27</v>
      </c>
      <c r="G13" s="65">
        <v>4625</v>
      </c>
      <c r="H13" s="208">
        <f>E13*G13</f>
        <v>92500</v>
      </c>
      <c r="I13" s="209">
        <v>0</v>
      </c>
      <c r="J13" s="208">
        <f>(100%-I13)*G13</f>
        <v>4625</v>
      </c>
      <c r="K13" s="208">
        <f>J13*E13</f>
        <v>92500</v>
      </c>
      <c r="L13" s="210">
        <v>0.1</v>
      </c>
      <c r="M13" s="210">
        <v>0.1</v>
      </c>
      <c r="N13" s="210">
        <v>0.4</v>
      </c>
      <c r="O13" s="210">
        <v>0.4</v>
      </c>
      <c r="P13" s="208">
        <f>((100%+SUM(L13:N13))+O13*(100%+SUM(L13:N13)))*J13</f>
        <v>10360.000000000002</v>
      </c>
      <c r="Q13" s="208">
        <f>P13*E13</f>
        <v>207200.00000000003</v>
      </c>
      <c r="R13" s="402">
        <f>45*P13*1.15</f>
        <v>536130</v>
      </c>
      <c r="S13" s="211">
        <f>R13*E13</f>
        <v>10722600</v>
      </c>
      <c r="T13" s="348"/>
      <c r="U13" s="348"/>
      <c r="V13" s="348"/>
      <c r="W13" s="348"/>
      <c r="X13" s="348"/>
      <c r="Y13" s="348"/>
      <c r="Z13" s="348"/>
      <c r="AA13" s="348"/>
      <c r="AB13" s="348"/>
      <c r="AC13" s="348"/>
      <c r="AD13" s="348"/>
      <c r="AE13" s="348"/>
      <c r="AF13" s="348"/>
      <c r="AG13" s="348"/>
      <c r="AH13" s="348"/>
      <c r="AI13" s="348"/>
      <c r="AJ13" s="348"/>
      <c r="AK13" s="348"/>
      <c r="AL13" s="348"/>
      <c r="AM13" s="348"/>
      <c r="AN13" s="348"/>
      <c r="AO13" s="348"/>
      <c r="AP13" s="348"/>
      <c r="AQ13" s="348"/>
      <c r="AR13" s="348"/>
      <c r="AS13" s="348"/>
      <c r="AT13" s="348"/>
      <c r="AU13" s="348"/>
    </row>
    <row r="14" spans="1:47" s="491" customFormat="1" ht="18.75" customHeight="1">
      <c r="A14" s="324"/>
      <c r="B14" s="282">
        <v>3</v>
      </c>
      <c r="C14" s="445" t="s">
        <v>57</v>
      </c>
      <c r="D14" s="250"/>
      <c r="E14" s="250"/>
      <c r="F14" s="250"/>
      <c r="G14" s="357"/>
      <c r="H14" s="357"/>
      <c r="I14" s="250"/>
      <c r="J14" s="357"/>
      <c r="K14" s="357"/>
      <c r="L14" s="357"/>
      <c r="M14" s="357"/>
      <c r="N14" s="357"/>
      <c r="O14" s="357"/>
      <c r="P14" s="357"/>
      <c r="Q14" s="357"/>
      <c r="R14" s="357"/>
      <c r="S14" s="283"/>
      <c r="T14" s="324"/>
      <c r="U14" s="324"/>
      <c r="V14" s="324"/>
      <c r="W14" s="324"/>
      <c r="X14" s="324"/>
      <c r="Y14" s="324"/>
      <c r="Z14" s="324"/>
      <c r="AA14" s="324"/>
      <c r="AB14" s="324"/>
      <c r="AC14" s="324"/>
      <c r="AD14" s="324"/>
      <c r="AE14" s="324"/>
      <c r="AF14" s="324"/>
      <c r="AG14" s="324"/>
      <c r="AH14" s="324"/>
      <c r="AI14" s="324"/>
      <c r="AJ14" s="324"/>
      <c r="AK14" s="324"/>
      <c r="AL14" s="324"/>
      <c r="AM14" s="324"/>
      <c r="AN14" s="324"/>
      <c r="AO14" s="324"/>
      <c r="AP14" s="324"/>
      <c r="AQ14" s="324"/>
      <c r="AR14" s="324"/>
      <c r="AS14" s="324"/>
      <c r="AT14" s="324"/>
      <c r="AU14" s="324"/>
    </row>
    <row r="15" spans="1:47" s="212" customFormat="1" ht="18">
      <c r="B15" s="206"/>
      <c r="C15" s="493" t="s">
        <v>59</v>
      </c>
      <c r="D15" s="494" t="s">
        <v>61</v>
      </c>
      <c r="E15" s="59">
        <v>20</v>
      </c>
      <c r="F15" s="44" t="s">
        <v>27</v>
      </c>
      <c r="G15" s="65">
        <v>8000</v>
      </c>
      <c r="H15" s="208">
        <f>E15*G15</f>
        <v>160000</v>
      </c>
      <c r="I15" s="209">
        <v>0</v>
      </c>
      <c r="J15" s="208">
        <f>(100%-I15)*G15</f>
        <v>8000</v>
      </c>
      <c r="K15" s="208">
        <f>J15*E15</f>
        <v>160000</v>
      </c>
      <c r="L15" s="210">
        <v>0</v>
      </c>
      <c r="M15" s="210">
        <v>0</v>
      </c>
      <c r="N15" s="210">
        <v>0</v>
      </c>
      <c r="O15" s="210">
        <v>0.4</v>
      </c>
      <c r="P15" s="208">
        <f>((100%+SUM(L15:N15))+O15*(100%+SUM(L15:N15)))*J15</f>
        <v>11200</v>
      </c>
      <c r="Q15" s="208">
        <f>P15*E15</f>
        <v>224000</v>
      </c>
      <c r="R15" s="495">
        <f>P15*1.15</f>
        <v>12879.999999999998</v>
      </c>
      <c r="S15" s="211">
        <f>R15*E15</f>
        <v>257599.99999999997</v>
      </c>
      <c r="T15" s="348"/>
      <c r="U15" s="348"/>
      <c r="V15" s="348"/>
      <c r="W15" s="348"/>
      <c r="X15" s="348"/>
      <c r="Y15" s="348"/>
      <c r="Z15" s="348"/>
      <c r="AA15" s="348"/>
      <c r="AB15" s="348"/>
      <c r="AC15" s="348"/>
      <c r="AD15" s="348"/>
      <c r="AE15" s="348"/>
      <c r="AF15" s="348"/>
      <c r="AG15" s="348"/>
      <c r="AH15" s="348"/>
      <c r="AI15" s="348"/>
      <c r="AJ15" s="348"/>
      <c r="AK15" s="348"/>
      <c r="AL15" s="348"/>
      <c r="AM15" s="348"/>
      <c r="AN15" s="348"/>
      <c r="AO15" s="348"/>
      <c r="AP15" s="348"/>
      <c r="AQ15" s="348"/>
      <c r="AR15" s="348"/>
      <c r="AS15" s="348"/>
      <c r="AT15" s="348"/>
      <c r="AU15" s="348"/>
    </row>
    <row r="16" spans="1:47" s="212" customFormat="1" ht="18">
      <c r="B16" s="206"/>
      <c r="C16" s="493" t="s">
        <v>58</v>
      </c>
      <c r="D16" s="494" t="s">
        <v>60</v>
      </c>
      <c r="E16" s="59">
        <v>20</v>
      </c>
      <c r="F16" s="59" t="s">
        <v>54</v>
      </c>
      <c r="G16" s="65">
        <v>4000</v>
      </c>
      <c r="H16" s="208">
        <f>E16*G16</f>
        <v>80000</v>
      </c>
      <c r="I16" s="209">
        <v>0</v>
      </c>
      <c r="J16" s="208">
        <f>(100%-I16)*G16</f>
        <v>4000</v>
      </c>
      <c r="K16" s="208">
        <f>J16*E16</f>
        <v>80000</v>
      </c>
      <c r="L16" s="210">
        <v>0</v>
      </c>
      <c r="M16" s="210">
        <v>0</v>
      </c>
      <c r="N16" s="210">
        <v>0</v>
      </c>
      <c r="O16" s="210">
        <v>0.4</v>
      </c>
      <c r="P16" s="208">
        <f>((100%+SUM(L16:N16))+O16*(100%+SUM(L16:N16)))*J16</f>
        <v>5600</v>
      </c>
      <c r="Q16" s="208">
        <f>P16*E16</f>
        <v>112000</v>
      </c>
      <c r="R16" s="495">
        <f>P16*1.15</f>
        <v>6439.9999999999991</v>
      </c>
      <c r="S16" s="211">
        <f>R16*E16</f>
        <v>128799.99999999999</v>
      </c>
      <c r="T16" s="348"/>
      <c r="U16" s="348"/>
      <c r="V16" s="348"/>
      <c r="W16" s="348"/>
      <c r="X16" s="348"/>
      <c r="Y16" s="348"/>
      <c r="Z16" s="348"/>
      <c r="AA16" s="348"/>
      <c r="AB16" s="348"/>
      <c r="AC16" s="348"/>
      <c r="AD16" s="348"/>
      <c r="AE16" s="348"/>
      <c r="AF16" s="348"/>
      <c r="AG16" s="348"/>
      <c r="AH16" s="348"/>
      <c r="AI16" s="348"/>
      <c r="AJ16" s="348"/>
      <c r="AK16" s="348"/>
      <c r="AL16" s="348"/>
      <c r="AM16" s="348"/>
      <c r="AN16" s="348"/>
      <c r="AO16" s="348"/>
      <c r="AP16" s="348"/>
      <c r="AQ16" s="348"/>
      <c r="AR16" s="348"/>
      <c r="AS16" s="348"/>
      <c r="AT16" s="348"/>
      <c r="AU16" s="348"/>
    </row>
    <row r="17" spans="2:47" s="212" customFormat="1" ht="18">
      <c r="B17" s="206"/>
      <c r="C17" s="493" t="s">
        <v>83</v>
      </c>
      <c r="D17" s="494" t="s">
        <v>85</v>
      </c>
      <c r="E17" s="59">
        <v>1</v>
      </c>
      <c r="F17" s="44" t="s">
        <v>27</v>
      </c>
      <c r="G17" s="65">
        <v>1500</v>
      </c>
      <c r="H17" s="208">
        <f>E17*G17</f>
        <v>1500</v>
      </c>
      <c r="I17" s="209">
        <v>0</v>
      </c>
      <c r="J17" s="208">
        <f>(100%-I17)*G17</f>
        <v>1500</v>
      </c>
      <c r="K17" s="208">
        <f>J17*E17</f>
        <v>1500</v>
      </c>
      <c r="L17" s="210">
        <v>0</v>
      </c>
      <c r="M17" s="210">
        <v>0</v>
      </c>
      <c r="N17" s="210">
        <v>0</v>
      </c>
      <c r="O17" s="210">
        <v>0.4</v>
      </c>
      <c r="P17" s="208">
        <f>((100%+SUM(L17:N17))+O17*(100%+SUM(L17:N17)))*J17</f>
        <v>2100</v>
      </c>
      <c r="Q17" s="208">
        <f>P17*E17</f>
        <v>2100</v>
      </c>
      <c r="R17" s="495">
        <f>P17*1.15</f>
        <v>2415</v>
      </c>
      <c r="S17" s="211">
        <f>R17*E17</f>
        <v>2415</v>
      </c>
      <c r="T17" s="348"/>
      <c r="U17" s="348"/>
      <c r="V17" s="348"/>
      <c r="W17" s="348"/>
      <c r="X17" s="348"/>
      <c r="Y17" s="348"/>
      <c r="Z17" s="348"/>
      <c r="AA17" s="348"/>
      <c r="AB17" s="348"/>
      <c r="AC17" s="348"/>
      <c r="AD17" s="348"/>
      <c r="AE17" s="348"/>
      <c r="AF17" s="348"/>
      <c r="AG17" s="348"/>
      <c r="AH17" s="348"/>
      <c r="AI17" s="348"/>
      <c r="AJ17" s="348"/>
      <c r="AK17" s="348"/>
      <c r="AL17" s="348"/>
      <c r="AM17" s="348"/>
      <c r="AN17" s="348"/>
      <c r="AO17" s="348"/>
      <c r="AP17" s="348"/>
      <c r="AQ17" s="348"/>
      <c r="AR17" s="348"/>
      <c r="AS17" s="348"/>
      <c r="AT17" s="348"/>
      <c r="AU17" s="348"/>
    </row>
    <row r="18" spans="2:47" s="212" customFormat="1" ht="36">
      <c r="B18" s="206"/>
      <c r="C18" s="493" t="s">
        <v>84</v>
      </c>
      <c r="D18" s="494" t="s">
        <v>86</v>
      </c>
      <c r="E18" s="59">
        <v>1</v>
      </c>
      <c r="F18" s="59" t="s">
        <v>54</v>
      </c>
      <c r="G18" s="65">
        <v>100</v>
      </c>
      <c r="H18" s="208">
        <f>E18*G18</f>
        <v>100</v>
      </c>
      <c r="I18" s="209">
        <v>0</v>
      </c>
      <c r="J18" s="208">
        <f>(100%-I18)*G18</f>
        <v>100</v>
      </c>
      <c r="K18" s="208">
        <f>J18*E18</f>
        <v>100</v>
      </c>
      <c r="L18" s="210">
        <v>0</v>
      </c>
      <c r="M18" s="210">
        <v>0</v>
      </c>
      <c r="N18" s="210">
        <v>0</v>
      </c>
      <c r="O18" s="210">
        <v>0.4</v>
      </c>
      <c r="P18" s="208">
        <f>((100%+SUM(L18:N18))+O18*(100%+SUM(L18:N18)))*J18</f>
        <v>140</v>
      </c>
      <c r="Q18" s="208">
        <f>P18*E18</f>
        <v>140</v>
      </c>
      <c r="R18" s="495">
        <f>P18*1.15</f>
        <v>161</v>
      </c>
      <c r="S18" s="211">
        <f>R18*E18</f>
        <v>161</v>
      </c>
      <c r="T18" s="348"/>
      <c r="U18" s="348"/>
      <c r="V18" s="348"/>
      <c r="W18" s="348"/>
      <c r="X18" s="348"/>
      <c r="Y18" s="348"/>
      <c r="Z18" s="348"/>
      <c r="AA18" s="348"/>
      <c r="AB18" s="348"/>
      <c r="AC18" s="348"/>
      <c r="AD18" s="348"/>
      <c r="AE18" s="348"/>
      <c r="AF18" s="348"/>
      <c r="AG18" s="348"/>
      <c r="AH18" s="348"/>
      <c r="AI18" s="348"/>
      <c r="AJ18" s="348"/>
      <c r="AK18" s="348"/>
      <c r="AL18" s="348"/>
      <c r="AM18" s="348"/>
      <c r="AN18" s="348"/>
      <c r="AO18" s="348"/>
      <c r="AP18" s="348"/>
      <c r="AQ18" s="348"/>
      <c r="AR18" s="348"/>
      <c r="AS18" s="348"/>
      <c r="AT18" s="348"/>
      <c r="AU18" s="348"/>
    </row>
    <row r="19" spans="2:47" ht="22" customHeight="1">
      <c r="B19" s="259"/>
      <c r="C19" s="253" t="s">
        <v>23</v>
      </c>
      <c r="D19" s="253"/>
      <c r="E19" s="254"/>
      <c r="F19" s="254"/>
      <c r="G19" s="255"/>
      <c r="H19" s="255">
        <f>SUM(H5:H12)</f>
        <v>147400</v>
      </c>
      <c r="I19" s="254"/>
      <c r="J19" s="253"/>
      <c r="K19" s="255">
        <f>SUM(K5:K12)</f>
        <v>147400</v>
      </c>
      <c r="L19" s="256"/>
      <c r="M19" s="256"/>
      <c r="N19" s="256"/>
      <c r="O19" s="253"/>
      <c r="P19" s="253"/>
      <c r="Q19" s="257">
        <f>SUM(Q5:Q12)</f>
        <v>330176</v>
      </c>
      <c r="R19" s="257"/>
      <c r="S19" s="260">
        <f>SUM(S5:S18)</f>
        <v>28198184</v>
      </c>
    </row>
    <row r="20" spans="2:47" ht="15.5">
      <c r="B20" s="15"/>
      <c r="C20" s="16"/>
      <c r="D20" s="16"/>
      <c r="E20" s="19"/>
      <c r="F20" s="19"/>
      <c r="G20" s="15"/>
      <c r="H20" s="15"/>
      <c r="I20" s="19"/>
      <c r="J20" s="15"/>
      <c r="K20" s="15"/>
      <c r="L20" s="15"/>
      <c r="M20" s="15"/>
      <c r="N20" s="15"/>
      <c r="O20" s="15"/>
      <c r="P20" s="15"/>
      <c r="Q20" s="15"/>
      <c r="R20" s="15"/>
      <c r="S20" s="15"/>
    </row>
    <row r="23" spans="2:47">
      <c r="Q23" s="9"/>
    </row>
    <row r="52" spans="3:3">
      <c r="C52" s="17"/>
    </row>
    <row r="60" spans="3:3">
      <c r="C60" s="17"/>
    </row>
    <row r="67" spans="3:3">
      <c r="C67" s="17"/>
    </row>
  </sheetData>
  <mergeCells count="1">
    <mergeCell ref="B2:S2"/>
  </mergeCells>
  <pageMargins left="0.75" right="0.75" top="1" bottom="1" header="0.3" footer="0.3"/>
  <pageSetup paperSize="9" scale="46" fitToHeight="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Summary-BoQ</vt:lpstr>
      <vt:lpstr>Campus Chech point-BE </vt:lpstr>
      <vt:lpstr>ILMS </vt:lpstr>
      <vt:lpstr>smart class </vt:lpstr>
      <vt:lpstr>One Card -BE</vt:lpstr>
      <vt:lpstr>Time Attendance</vt:lpstr>
      <vt:lpstr>Network-BE</vt:lpstr>
      <vt:lpstr>SCS-BE</vt:lpstr>
      <vt:lpstr>Wireless-BE</vt:lpstr>
      <vt:lpstr>UTM</vt:lpstr>
      <vt:lpstr>VC-Solution</vt:lpstr>
      <vt:lpstr>CCTV-Camer-BE</vt:lpstr>
      <vt:lpstr>DCF-BE</vt:lpstr>
      <vt:lpstr>DU_Training</vt:lpstr>
      <vt:lpstr>proffesional Service</vt:lpstr>
      <vt:lpstr>'CCTV-Camer-BE'!Print_Area</vt:lpstr>
      <vt:lpstr>'DCF-BE'!Print_Area</vt:lpstr>
      <vt:lpstr>DU_Training!Print_Area</vt:lpstr>
      <vt:lpstr>'Network-BE'!Print_Area</vt:lpstr>
      <vt:lpstr>'proffesional Service'!Print_Area</vt:lpstr>
      <vt:lpstr>'SCS-BE'!Print_Area</vt:lpstr>
      <vt:lpstr>'Time Attendance'!Print_Area</vt:lpstr>
      <vt:lpstr>UTM!Print_Area</vt:lpstr>
      <vt:lpstr>'Wireless-BE'!Print_Area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sarem</dc:creator>
  <cp:lastModifiedBy>Wondwossen Bezabhe</cp:lastModifiedBy>
  <cp:lastPrinted>2019-11-07T04:35:54Z</cp:lastPrinted>
  <dcterms:created xsi:type="dcterms:W3CDTF">2011-12-04T15:57:42Z</dcterms:created>
  <dcterms:modified xsi:type="dcterms:W3CDTF">2020-02-02T08:26:34Z</dcterms:modified>
</cp:coreProperties>
</file>