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olgihTV\Desktop\"/>
    </mc:Choice>
  </mc:AlternateContent>
  <xr:revisionPtr revIDLastSave="0" documentId="13_ncr:1_{9374054B-E32D-4A36-82E4-A3937A8644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Лист1!$A$1:$AJ$1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82" i="1" l="1"/>
  <c r="G182" i="1"/>
  <c r="V181" i="1"/>
  <c r="AJ180" i="1"/>
  <c r="L180" i="1"/>
  <c r="D180" i="1"/>
  <c r="AA179" i="1"/>
  <c r="J179" i="1"/>
  <c r="B179" i="1"/>
  <c r="K178" i="1"/>
  <c r="C178" i="1"/>
  <c r="L177" i="1"/>
  <c r="D177" i="1"/>
  <c r="J176" i="1"/>
  <c r="B176" i="1"/>
  <c r="L175" i="1"/>
  <c r="D175" i="1"/>
  <c r="Z174" i="1"/>
  <c r="L174" i="1"/>
  <c r="D174" i="1"/>
  <c r="Z173" i="1"/>
  <c r="K173" i="1"/>
  <c r="C173" i="1"/>
  <c r="Y172" i="1"/>
  <c r="K172" i="1"/>
  <c r="C172" i="1"/>
  <c r="K171" i="1"/>
  <c r="C171" i="1"/>
  <c r="J170" i="1"/>
  <c r="AD169" i="1"/>
  <c r="U169" i="1"/>
  <c r="F169" i="1"/>
  <c r="M168" i="1"/>
  <c r="E168" i="1"/>
  <c r="AA167" i="1"/>
  <c r="L167" i="1"/>
  <c r="D167" i="1"/>
  <c r="M166" i="1"/>
  <c r="E166" i="1"/>
  <c r="AB165" i="1"/>
  <c r="K165" i="1"/>
  <c r="C165" i="1"/>
  <c r="I164" i="1"/>
  <c r="A164" i="1"/>
  <c r="G163" i="1"/>
  <c r="V162" i="1"/>
  <c r="E162" i="1"/>
  <c r="L161" i="1"/>
  <c r="C161" i="1"/>
  <c r="V160" i="1"/>
  <c r="F160" i="1"/>
  <c r="AA159" i="1"/>
  <c r="I159" i="1"/>
  <c r="A159" i="1"/>
  <c r="W158" i="1"/>
  <c r="I158" i="1"/>
  <c r="A158" i="1"/>
  <c r="AC157" i="1"/>
  <c r="U157" i="1"/>
  <c r="J157" i="1"/>
  <c r="B157" i="1"/>
  <c r="I156" i="1"/>
  <c r="A156" i="1"/>
  <c r="H155" i="1"/>
  <c r="AJ154" i="1"/>
  <c r="AA154" i="1"/>
  <c r="M154" i="1"/>
  <c r="E154" i="1"/>
  <c r="AA153" i="1"/>
  <c r="K153" i="1"/>
  <c r="C153" i="1"/>
  <c r="Z152" i="1"/>
  <c r="L152" i="1"/>
  <c r="D152" i="1"/>
  <c r="AD151" i="1"/>
  <c r="U151" i="1"/>
  <c r="K151" i="1"/>
  <c r="C151" i="1"/>
  <c r="I150" i="1"/>
  <c r="A150" i="1"/>
  <c r="J149" i="1"/>
  <c r="B149" i="1"/>
  <c r="I148" i="1"/>
  <c r="A148" i="1"/>
  <c r="X147" i="1"/>
  <c r="H147" i="1"/>
  <c r="AJ146" i="1"/>
  <c r="U146" i="1"/>
  <c r="F146" i="1"/>
  <c r="AB145" i="1"/>
  <c r="L145" i="1"/>
  <c r="D145" i="1"/>
  <c r="AF144" i="1"/>
  <c r="X144" i="1"/>
  <c r="M144" i="1"/>
  <c r="E144" i="1"/>
  <c r="V143" i="1"/>
  <c r="G143" i="1"/>
  <c r="AC142" i="1"/>
  <c r="U142" i="1"/>
  <c r="F142" i="1"/>
  <c r="AC141" i="1"/>
  <c r="U141" i="1"/>
  <c r="F141" i="1"/>
  <c r="W140" i="1"/>
  <c r="G140" i="1"/>
  <c r="AB139" i="1"/>
  <c r="K139" i="1"/>
  <c r="C139" i="1"/>
  <c r="V138" i="1"/>
  <c r="F138" i="1"/>
  <c r="AB137" i="1"/>
  <c r="M137" i="1"/>
  <c r="E137" i="1"/>
  <c r="AG136" i="1"/>
  <c r="Y136" i="1"/>
  <c r="O136" i="1"/>
  <c r="F136" i="1"/>
  <c r="AG135" i="1"/>
  <c r="X135" i="1"/>
  <c r="I135" i="1"/>
  <c r="A135" i="1"/>
  <c r="AC134" i="1"/>
  <c r="U134" i="1"/>
  <c r="V182" i="1"/>
  <c r="F182" i="1"/>
  <c r="J181" i="1"/>
  <c r="AC180" i="1"/>
  <c r="K180" i="1"/>
  <c r="C180" i="1"/>
  <c r="X179" i="1"/>
  <c r="I179" i="1"/>
  <c r="A179" i="1"/>
  <c r="J178" i="1"/>
  <c r="B178" i="1"/>
  <c r="K177" i="1"/>
  <c r="C177" i="1"/>
  <c r="I176" i="1"/>
  <c r="A176" i="1"/>
  <c r="K175" i="1"/>
  <c r="C175" i="1"/>
  <c r="Y174" i="1"/>
  <c r="K174" i="1"/>
  <c r="C174" i="1"/>
  <c r="Y173" i="1"/>
  <c r="J173" i="1"/>
  <c r="B173" i="1"/>
  <c r="X172" i="1"/>
  <c r="J172" i="1"/>
  <c r="B172" i="1"/>
  <c r="J171" i="1"/>
  <c r="B171" i="1"/>
  <c r="I170" i="1"/>
  <c r="AC169" i="1"/>
  <c r="M169" i="1"/>
  <c r="E169" i="1"/>
  <c r="L168" i="1"/>
  <c r="D168" i="1"/>
  <c r="Z167" i="1"/>
  <c r="K167" i="1"/>
  <c r="C167" i="1"/>
  <c r="L166" i="1"/>
  <c r="D166" i="1"/>
  <c r="AA165" i="1"/>
  <c r="J165" i="1"/>
  <c r="B165" i="1"/>
  <c r="H164" i="1"/>
  <c r="AJ163" i="1"/>
  <c r="F163" i="1"/>
  <c r="M162" i="1"/>
  <c r="D162" i="1"/>
  <c r="J161" i="1"/>
  <c r="B161" i="1"/>
  <c r="M160" i="1"/>
  <c r="E160" i="1"/>
  <c r="X159" i="1"/>
  <c r="H159" i="1"/>
  <c r="AJ158" i="1"/>
  <c r="V158" i="1"/>
  <c r="H158" i="1"/>
  <c r="AJ157" i="1"/>
  <c r="AB157" i="1"/>
  <c r="S157" i="1"/>
  <c r="I157" i="1"/>
  <c r="A157" i="1"/>
  <c r="H156" i="1"/>
  <c r="AJ155" i="1"/>
  <c r="G155" i="1"/>
  <c r="AI154" i="1"/>
  <c r="Z154" i="1"/>
  <c r="L154" i="1"/>
  <c r="D154" i="1"/>
  <c r="Z153" i="1"/>
  <c r="J153" i="1"/>
  <c r="B153" i="1"/>
  <c r="Y152" i="1"/>
  <c r="K152" i="1"/>
  <c r="C152" i="1"/>
  <c r="AC151" i="1"/>
  <c r="S151" i="1"/>
  <c r="J151" i="1"/>
  <c r="B151" i="1"/>
  <c r="H150" i="1"/>
  <c r="AJ149" i="1"/>
  <c r="I149" i="1"/>
  <c r="A149" i="1"/>
  <c r="H148" i="1"/>
  <c r="AJ147" i="1"/>
  <c r="W147" i="1"/>
  <c r="G147" i="1"/>
  <c r="AC146" i="1"/>
  <c r="M146" i="1"/>
  <c r="E146" i="1"/>
  <c r="AA145" i="1"/>
  <c r="K145" i="1"/>
  <c r="C145" i="1"/>
  <c r="AE144" i="1"/>
  <c r="W144" i="1"/>
  <c r="L144" i="1"/>
  <c r="D144" i="1"/>
  <c r="U143" i="1"/>
  <c r="F143" i="1"/>
  <c r="AB142" i="1"/>
  <c r="M142" i="1"/>
  <c r="E142" i="1"/>
  <c r="AB141" i="1"/>
  <c r="M141" i="1"/>
  <c r="E141" i="1"/>
  <c r="V140" i="1"/>
  <c r="F140" i="1"/>
  <c r="AA139" i="1"/>
  <c r="J139" i="1"/>
  <c r="B139" i="1"/>
  <c r="M138" i="1"/>
  <c r="E138" i="1"/>
  <c r="AA137" i="1"/>
  <c r="L137" i="1"/>
  <c r="D137" i="1"/>
  <c r="AF136" i="1"/>
  <c r="X136" i="1"/>
  <c r="M136" i="1"/>
  <c r="E136" i="1"/>
  <c r="AF135" i="1"/>
  <c r="M182" i="1"/>
  <c r="E182" i="1"/>
  <c r="I181" i="1"/>
  <c r="AB180" i="1"/>
  <c r="J180" i="1"/>
  <c r="B180" i="1"/>
  <c r="W179" i="1"/>
  <c r="H179" i="1"/>
  <c r="AJ178" i="1"/>
  <c r="I178" i="1"/>
  <c r="A178" i="1"/>
  <c r="J177" i="1"/>
  <c r="B177" i="1"/>
  <c r="H176" i="1"/>
  <c r="AJ175" i="1"/>
  <c r="J175" i="1"/>
  <c r="B175" i="1"/>
  <c r="X174" i="1"/>
  <c r="J174" i="1"/>
  <c r="B174" i="1"/>
  <c r="X173" i="1"/>
  <c r="I173" i="1"/>
  <c r="A173" i="1"/>
  <c r="W172" i="1"/>
  <c r="I172" i="1"/>
  <c r="A172" i="1"/>
  <c r="I171" i="1"/>
  <c r="A171" i="1"/>
  <c r="H170" i="1"/>
  <c r="AB169" i="1"/>
  <c r="L169" i="1"/>
  <c r="D169" i="1"/>
  <c r="K168" i="1"/>
  <c r="C168" i="1"/>
  <c r="Y167" i="1"/>
  <c r="J167" i="1"/>
  <c r="B167" i="1"/>
  <c r="K166" i="1"/>
  <c r="C166" i="1"/>
  <c r="Z165" i="1"/>
  <c r="I165" i="1"/>
  <c r="A165" i="1"/>
  <c r="G164" i="1"/>
  <c r="V163" i="1"/>
  <c r="E163" i="1"/>
  <c r="L162" i="1"/>
  <c r="C162" i="1"/>
  <c r="I161" i="1"/>
  <c r="A161" i="1"/>
  <c r="L160" i="1"/>
  <c r="D160" i="1"/>
  <c r="W159" i="1"/>
  <c r="G159" i="1"/>
  <c r="AC158" i="1"/>
  <c r="U158" i="1"/>
  <c r="G158" i="1"/>
  <c r="AI157" i="1"/>
  <c r="AA157" i="1"/>
  <c r="R157" i="1"/>
  <c r="H157" i="1"/>
  <c r="AJ156" i="1"/>
  <c r="G156" i="1"/>
  <c r="V155" i="1"/>
  <c r="F155" i="1"/>
  <c r="AH154" i="1"/>
  <c r="Y154" i="1"/>
  <c r="K154" i="1"/>
  <c r="C154" i="1"/>
  <c r="Y153" i="1"/>
  <c r="I153" i="1"/>
  <c r="A153" i="1"/>
  <c r="X152" i="1"/>
  <c r="J152" i="1"/>
  <c r="B152" i="1"/>
  <c r="AB151" i="1"/>
  <c r="R151" i="1"/>
  <c r="I151" i="1"/>
  <c r="A151" i="1"/>
  <c r="G150" i="1"/>
  <c r="X149" i="1"/>
  <c r="H149" i="1"/>
  <c r="AJ148" i="1"/>
  <c r="G148" i="1"/>
  <c r="AD147" i="1"/>
  <c r="V147" i="1"/>
  <c r="F147" i="1"/>
  <c r="AB146" i="1"/>
  <c r="L146" i="1"/>
  <c r="D146" i="1"/>
  <c r="Z145" i="1"/>
  <c r="J145" i="1"/>
  <c r="B145" i="1"/>
  <c r="AD144" i="1"/>
  <c r="V144" i="1"/>
  <c r="K144" i="1"/>
  <c r="C144" i="1"/>
  <c r="M143" i="1"/>
  <c r="E143" i="1"/>
  <c r="AA142" i="1"/>
  <c r="L142" i="1"/>
  <c r="D142" i="1"/>
  <c r="AA141" i="1"/>
  <c r="L141" i="1"/>
  <c r="D141" i="1"/>
  <c r="M140" i="1"/>
  <c r="E140" i="1"/>
  <c r="Z139" i="1"/>
  <c r="I139" i="1"/>
  <c r="A139" i="1"/>
  <c r="L138" i="1"/>
  <c r="D138" i="1"/>
  <c r="Z137" i="1"/>
  <c r="K137" i="1"/>
  <c r="C137" i="1"/>
  <c r="AE136" i="1"/>
  <c r="W136" i="1"/>
  <c r="L136" i="1"/>
  <c r="L182" i="1"/>
  <c r="D182" i="1"/>
  <c r="H181" i="1"/>
  <c r="AA180" i="1"/>
  <c r="I180" i="1"/>
  <c r="A180" i="1"/>
  <c r="V179" i="1"/>
  <c r="G179" i="1"/>
  <c r="X178" i="1"/>
  <c r="H178" i="1"/>
  <c r="AJ177" i="1"/>
  <c r="I177" i="1"/>
  <c r="A177" i="1"/>
  <c r="G176" i="1"/>
  <c r="X175" i="1"/>
  <c r="I175" i="1"/>
  <c r="A175" i="1"/>
  <c r="W174" i="1"/>
  <c r="I174" i="1"/>
  <c r="A174" i="1"/>
  <c r="W173" i="1"/>
  <c r="H173" i="1"/>
  <c r="AJ172" i="1"/>
  <c r="V172" i="1"/>
  <c r="H172" i="1"/>
  <c r="AJ171" i="1"/>
  <c r="H171" i="1"/>
  <c r="AJ170" i="1"/>
  <c r="G170" i="1"/>
  <c r="AA169" i="1"/>
  <c r="K169" i="1"/>
  <c r="C169" i="1"/>
  <c r="J168" i="1"/>
  <c r="B168" i="1"/>
  <c r="X167" i="1"/>
  <c r="I167" i="1"/>
  <c r="A167" i="1"/>
  <c r="J166" i="1"/>
  <c r="B166" i="1"/>
  <c r="X165" i="1"/>
  <c r="H165" i="1"/>
  <c r="AJ164" i="1"/>
  <c r="F164" i="1"/>
  <c r="M163" i="1"/>
  <c r="D163" i="1"/>
  <c r="J162" i="1"/>
  <c r="B162" i="1"/>
  <c r="H161" i="1"/>
  <c r="AJ160" i="1"/>
  <c r="K160" i="1"/>
  <c r="C160" i="1"/>
  <c r="V159" i="1"/>
  <c r="F159" i="1"/>
  <c r="AB158" i="1"/>
  <c r="O158" i="1"/>
  <c r="F158" i="1"/>
  <c r="AH157" i="1"/>
  <c r="Z157" i="1"/>
  <c r="Q157" i="1"/>
  <c r="G157" i="1"/>
  <c r="V156" i="1"/>
  <c r="F156" i="1"/>
  <c r="M155" i="1"/>
  <c r="E155" i="1"/>
  <c r="AG154" i="1"/>
  <c r="X154" i="1"/>
  <c r="J154" i="1"/>
  <c r="B154" i="1"/>
  <c r="X153" i="1"/>
  <c r="H153" i="1"/>
  <c r="AJ152" i="1"/>
  <c r="W152" i="1"/>
  <c r="I152" i="1"/>
  <c r="A152" i="1"/>
  <c r="AA151" i="1"/>
  <c r="Q151" i="1"/>
  <c r="H151" i="1"/>
  <c r="AJ150" i="1"/>
  <c r="F150" i="1"/>
  <c r="W149" i="1"/>
  <c r="G149" i="1"/>
  <c r="V148" i="1"/>
  <c r="F148" i="1"/>
  <c r="AC147" i="1"/>
  <c r="U147" i="1"/>
  <c r="E147" i="1"/>
  <c r="AA146" i="1"/>
  <c r="K146" i="1"/>
  <c r="C146" i="1"/>
  <c r="X145" i="1"/>
  <c r="I145" i="1"/>
  <c r="A145" i="1"/>
  <c r="AC144" i="1"/>
  <c r="U144" i="1"/>
  <c r="J144" i="1"/>
  <c r="B144" i="1"/>
  <c r="L143" i="1"/>
  <c r="D143" i="1"/>
  <c r="Z142" i="1"/>
  <c r="K142" i="1"/>
  <c r="C142" i="1"/>
  <c r="Z141" i="1"/>
  <c r="K141" i="1"/>
  <c r="C141" i="1"/>
  <c r="L140" i="1"/>
  <c r="D140" i="1"/>
  <c r="X139" i="1"/>
  <c r="H139" i="1"/>
  <c r="AJ138" i="1"/>
  <c r="K138" i="1"/>
  <c r="C138" i="1"/>
  <c r="Y137" i="1"/>
  <c r="J137" i="1"/>
  <c r="B137" i="1"/>
  <c r="AD136" i="1"/>
  <c r="V136" i="1"/>
  <c r="K136" i="1"/>
  <c r="C136" i="1"/>
  <c r="AC135" i="1"/>
  <c r="U135" i="1"/>
  <c r="F135" i="1"/>
  <c r="AH134" i="1"/>
  <c r="Z134" i="1"/>
  <c r="K182" i="1"/>
  <c r="C182" i="1"/>
  <c r="G181" i="1"/>
  <c r="Z180" i="1"/>
  <c r="H180" i="1"/>
  <c r="AJ179" i="1"/>
  <c r="U179" i="1"/>
  <c r="F179" i="1"/>
  <c r="W178" i="1"/>
  <c r="G178" i="1"/>
  <c r="X177" i="1"/>
  <c r="H177" i="1"/>
  <c r="AJ176" i="1"/>
  <c r="F176" i="1"/>
  <c r="W175" i="1"/>
  <c r="H175" i="1"/>
  <c r="AJ174" i="1"/>
  <c r="V174" i="1"/>
  <c r="H174" i="1"/>
  <c r="AJ173" i="1"/>
  <c r="V173" i="1"/>
  <c r="G173" i="1"/>
  <c r="AC172" i="1"/>
  <c r="U172" i="1"/>
  <c r="G172" i="1"/>
  <c r="V171" i="1"/>
  <c r="G171" i="1"/>
  <c r="V170" i="1"/>
  <c r="C170" i="1"/>
  <c r="Z169" i="1"/>
  <c r="J169" i="1"/>
  <c r="B169" i="1"/>
  <c r="I168" i="1"/>
  <c r="A168" i="1"/>
  <c r="W167" i="1"/>
  <c r="H167" i="1"/>
  <c r="AJ166" i="1"/>
  <c r="I166" i="1"/>
  <c r="A166" i="1"/>
  <c r="W165" i="1"/>
  <c r="G165" i="1"/>
  <c r="V164" i="1"/>
  <c r="E164" i="1"/>
  <c r="L163" i="1"/>
  <c r="C163" i="1"/>
  <c r="I162" i="1"/>
  <c r="A162" i="1"/>
  <c r="G161" i="1"/>
  <c r="AB160" i="1"/>
  <c r="J160" i="1"/>
  <c r="B160" i="1"/>
  <c r="M159" i="1"/>
  <c r="E159" i="1"/>
  <c r="AA158" i="1"/>
  <c r="M158" i="1"/>
  <c r="E158" i="1"/>
  <c r="AG157" i="1"/>
  <c r="Y157" i="1"/>
  <c r="O157" i="1"/>
  <c r="F157" i="1"/>
  <c r="M156" i="1"/>
  <c r="E156" i="1"/>
  <c r="L155" i="1"/>
  <c r="D155" i="1"/>
  <c r="AE154" i="1"/>
  <c r="W154" i="1"/>
  <c r="I154" i="1"/>
  <c r="A154" i="1"/>
  <c r="W153" i="1"/>
  <c r="G153" i="1"/>
  <c r="AD152" i="1"/>
  <c r="V152" i="1"/>
  <c r="H152" i="1"/>
  <c r="AJ151" i="1"/>
  <c r="Z151" i="1"/>
  <c r="P151" i="1"/>
  <c r="G151" i="1"/>
  <c r="V150" i="1"/>
  <c r="E150" i="1"/>
  <c r="V149" i="1"/>
  <c r="F149" i="1"/>
  <c r="U148" i="1"/>
  <c r="E148" i="1"/>
  <c r="AB147" i="1"/>
  <c r="M147" i="1"/>
  <c r="D147" i="1"/>
  <c r="Y146" i="1"/>
  <c r="J146" i="1"/>
  <c r="B146" i="1"/>
  <c r="W145" i="1"/>
  <c r="H145" i="1"/>
  <c r="AJ144" i="1"/>
  <c r="AB144" i="1"/>
  <c r="S144" i="1"/>
  <c r="I144" i="1"/>
  <c r="A144" i="1"/>
  <c r="K143" i="1"/>
  <c r="C143" i="1"/>
  <c r="Y142" i="1"/>
  <c r="J142" i="1"/>
  <c r="B142" i="1"/>
  <c r="Y141" i="1"/>
  <c r="J141" i="1"/>
  <c r="B141" i="1"/>
  <c r="K140" i="1"/>
  <c r="C140" i="1"/>
  <c r="W139" i="1"/>
  <c r="G139" i="1"/>
  <c r="AB138" i="1"/>
  <c r="J138" i="1"/>
  <c r="B138" i="1"/>
  <c r="X137" i="1"/>
  <c r="I137" i="1"/>
  <c r="A137" i="1"/>
  <c r="AC136" i="1"/>
  <c r="U136" i="1"/>
  <c r="J136" i="1"/>
  <c r="B136" i="1"/>
  <c r="AB135" i="1"/>
  <c r="M135" i="1"/>
  <c r="E135" i="1"/>
  <c r="AG134" i="1"/>
  <c r="Y134" i="1"/>
  <c r="Q134" i="1"/>
  <c r="H134" i="1"/>
  <c r="AJ133" i="1"/>
  <c r="AB133" i="1"/>
  <c r="J182" i="1"/>
  <c r="B182" i="1"/>
  <c r="C181" i="1"/>
  <c r="X180" i="1"/>
  <c r="G180" i="1"/>
  <c r="AD179" i="1"/>
  <c r="M179" i="1"/>
  <c r="E179" i="1"/>
  <c r="V178" i="1"/>
  <c r="F178" i="1"/>
  <c r="W177" i="1"/>
  <c r="G177" i="1"/>
  <c r="V176" i="1"/>
  <c r="E176" i="1"/>
  <c r="V175" i="1"/>
  <c r="G175" i="1"/>
  <c r="AC174" i="1"/>
  <c r="U174" i="1"/>
  <c r="G174" i="1"/>
  <c r="AC173" i="1"/>
  <c r="U173" i="1"/>
  <c r="F173" i="1"/>
  <c r="AB172" i="1"/>
  <c r="O172" i="1"/>
  <c r="F172" i="1"/>
  <c r="U171" i="1"/>
  <c r="F171" i="1"/>
  <c r="M170" i="1"/>
  <c r="B170" i="1"/>
  <c r="X169" i="1"/>
  <c r="I169" i="1"/>
  <c r="A169" i="1"/>
  <c r="H168" i="1"/>
  <c r="AJ167" i="1"/>
  <c r="V167" i="1"/>
  <c r="G167" i="1"/>
  <c r="X166" i="1"/>
  <c r="H166" i="1"/>
  <c r="AJ165" i="1"/>
  <c r="V165" i="1"/>
  <c r="F165" i="1"/>
  <c r="M164" i="1"/>
  <c r="D164" i="1"/>
  <c r="J163" i="1"/>
  <c r="B163" i="1"/>
  <c r="H162" i="1"/>
  <c r="AJ161" i="1"/>
  <c r="F161" i="1"/>
  <c r="AA160" i="1"/>
  <c r="I160" i="1"/>
  <c r="A160" i="1"/>
  <c r="L159" i="1"/>
  <c r="D159" i="1"/>
  <c r="Z158" i="1"/>
  <c r="L158" i="1"/>
  <c r="D158" i="1"/>
  <c r="AF157" i="1"/>
  <c r="X157" i="1"/>
  <c r="M157" i="1"/>
  <c r="E157" i="1"/>
  <c r="L156" i="1"/>
  <c r="D156" i="1"/>
  <c r="K155" i="1"/>
  <c r="C155" i="1"/>
  <c r="AD154" i="1"/>
  <c r="V154" i="1"/>
  <c r="H154" i="1"/>
  <c r="AJ153" i="1"/>
  <c r="V153" i="1"/>
  <c r="F153" i="1"/>
  <c r="AC152" i="1"/>
  <c r="U152" i="1"/>
  <c r="G152" i="1"/>
  <c r="AI151" i="1"/>
  <c r="Y151" i="1"/>
  <c r="O151" i="1"/>
  <c r="F151" i="1"/>
  <c r="M150" i="1"/>
  <c r="D150" i="1"/>
  <c r="M149" i="1"/>
  <c r="E149" i="1"/>
  <c r="M148" i="1"/>
  <c r="D148" i="1"/>
  <c r="AA147" i="1"/>
  <c r="L147" i="1"/>
  <c r="C147" i="1"/>
  <c r="X146" i="1"/>
  <c r="I146" i="1"/>
  <c r="A146" i="1"/>
  <c r="V145" i="1"/>
  <c r="G145" i="1"/>
  <c r="AI144" i="1"/>
  <c r="AA144" i="1"/>
  <c r="R144" i="1"/>
  <c r="H144" i="1"/>
  <c r="AJ143" i="1"/>
  <c r="J143" i="1"/>
  <c r="B143" i="1"/>
  <c r="X142" i="1"/>
  <c r="I142" i="1"/>
  <c r="A142" i="1"/>
  <c r="X141" i="1"/>
  <c r="I141" i="1"/>
  <c r="A141" i="1"/>
  <c r="J140" i="1"/>
  <c r="B140" i="1"/>
  <c r="V139" i="1"/>
  <c r="F139" i="1"/>
  <c r="AA138" i="1"/>
  <c r="I138" i="1"/>
  <c r="A138" i="1"/>
  <c r="W137" i="1"/>
  <c r="H137" i="1"/>
  <c r="AJ136" i="1"/>
  <c r="AB136" i="1"/>
  <c r="S136" i="1"/>
  <c r="I136" i="1"/>
  <c r="A136" i="1"/>
  <c r="AA135" i="1"/>
  <c r="L135" i="1"/>
  <c r="D135" i="1"/>
  <c r="AF134" i="1"/>
  <c r="X134" i="1"/>
  <c r="P134" i="1"/>
  <c r="G134" i="1"/>
  <c r="AI133" i="1"/>
  <c r="AA133" i="1"/>
  <c r="I182" i="1"/>
  <c r="F180" i="1"/>
  <c r="M178" i="1"/>
  <c r="M176" i="1"/>
  <c r="AB174" i="1"/>
  <c r="M173" i="1"/>
  <c r="E172" i="1"/>
  <c r="A170" i="1"/>
  <c r="G168" i="1"/>
  <c r="W166" i="1"/>
  <c r="E165" i="1"/>
  <c r="A163" i="1"/>
  <c r="X160" i="1"/>
  <c r="C159" i="1"/>
  <c r="AE157" i="1"/>
  <c r="K156" i="1"/>
  <c r="AC154" i="1"/>
  <c r="M153" i="1"/>
  <c r="F152" i="1"/>
  <c r="E151" i="1"/>
  <c r="D149" i="1"/>
  <c r="J147" i="1"/>
  <c r="AJ145" i="1"/>
  <c r="Z144" i="1"/>
  <c r="I143" i="1"/>
  <c r="AJ141" i="1"/>
  <c r="I140" i="1"/>
  <c r="X138" i="1"/>
  <c r="G137" i="1"/>
  <c r="H136" i="1"/>
  <c r="W135" i="1"/>
  <c r="AJ134" i="1"/>
  <c r="T134" i="1"/>
  <c r="I134" i="1"/>
  <c r="AG133" i="1"/>
  <c r="W133" i="1"/>
  <c r="I133" i="1"/>
  <c r="A133" i="1"/>
  <c r="AA132" i="1"/>
  <c r="R132" i="1"/>
  <c r="H132" i="1"/>
  <c r="AJ131" i="1"/>
  <c r="AB131" i="1"/>
  <c r="S131" i="1"/>
  <c r="H131" i="1"/>
  <c r="AJ130" i="1"/>
  <c r="AB130" i="1"/>
  <c r="S130" i="1"/>
  <c r="G130" i="1"/>
  <c r="AI129" i="1"/>
  <c r="AA129" i="1"/>
  <c r="S129" i="1"/>
  <c r="I129" i="1"/>
  <c r="A129" i="1"/>
  <c r="AC128" i="1"/>
  <c r="U128" i="1"/>
  <c r="J128" i="1"/>
  <c r="B128" i="1"/>
  <c r="AD127" i="1"/>
  <c r="V127" i="1"/>
  <c r="H127" i="1"/>
  <c r="AJ126" i="1"/>
  <c r="AB126" i="1"/>
  <c r="S126" i="1"/>
  <c r="J126" i="1"/>
  <c r="B126" i="1"/>
  <c r="AD125" i="1"/>
  <c r="V125" i="1"/>
  <c r="L125" i="1"/>
  <c r="D125" i="1"/>
  <c r="AF124" i="1"/>
  <c r="X124" i="1"/>
  <c r="M124" i="1"/>
  <c r="E124" i="1"/>
  <c r="AG123" i="1"/>
  <c r="Y123" i="1"/>
  <c r="L123" i="1"/>
  <c r="D123" i="1"/>
  <c r="AF122" i="1"/>
  <c r="X122" i="1"/>
  <c r="P122" i="1"/>
  <c r="G122" i="1"/>
  <c r="AI121" i="1"/>
  <c r="AA121" i="1"/>
  <c r="M121" i="1"/>
  <c r="E121" i="1"/>
  <c r="T120" i="1"/>
  <c r="C120" i="1"/>
  <c r="AD119" i="1"/>
  <c r="V119" i="1"/>
  <c r="H119" i="1"/>
  <c r="AJ118" i="1"/>
  <c r="AB118" i="1"/>
  <c r="T118" i="1"/>
  <c r="K118" i="1"/>
  <c r="C118" i="1"/>
  <c r="AE117" i="1"/>
  <c r="W117" i="1"/>
  <c r="O117" i="1"/>
  <c r="F117" i="1"/>
  <c r="AJ116" i="1"/>
  <c r="AB116" i="1"/>
  <c r="M116" i="1"/>
  <c r="E116" i="1"/>
  <c r="AG115" i="1"/>
  <c r="Y115" i="1"/>
  <c r="Q115" i="1"/>
  <c r="G115" i="1"/>
  <c r="AI114" i="1"/>
  <c r="Y114" i="1"/>
  <c r="M114" i="1"/>
  <c r="E114" i="1"/>
  <c r="AG113" i="1"/>
  <c r="Y113" i="1"/>
  <c r="Q113" i="1"/>
  <c r="H113" i="1"/>
  <c r="AJ112" i="1"/>
  <c r="Z112" i="1"/>
  <c r="L112" i="1"/>
  <c r="H182" i="1"/>
  <c r="E180" i="1"/>
  <c r="L178" i="1"/>
  <c r="L176" i="1"/>
  <c r="AA174" i="1"/>
  <c r="L173" i="1"/>
  <c r="D172" i="1"/>
  <c r="AJ169" i="1"/>
  <c r="F168" i="1"/>
  <c r="V166" i="1"/>
  <c r="D165" i="1"/>
  <c r="AJ162" i="1"/>
  <c r="W160" i="1"/>
  <c r="B159" i="1"/>
  <c r="AD157" i="1"/>
  <c r="J156" i="1"/>
  <c r="AB154" i="1"/>
  <c r="L153" i="1"/>
  <c r="E152" i="1"/>
  <c r="D151" i="1"/>
  <c r="C149" i="1"/>
  <c r="I147" i="1"/>
  <c r="AC145" i="1"/>
  <c r="Y144" i="1"/>
  <c r="H143" i="1"/>
  <c r="AD141" i="1"/>
  <c r="H140" i="1"/>
  <c r="W138" i="1"/>
  <c r="F137" i="1"/>
  <c r="G136" i="1"/>
  <c r="V135" i="1"/>
  <c r="AI134" i="1"/>
  <c r="S134" i="1"/>
  <c r="F134" i="1"/>
  <c r="AF133" i="1"/>
  <c r="V133" i="1"/>
  <c r="H133" i="1"/>
  <c r="AJ132" i="1"/>
  <c r="Z132" i="1"/>
  <c r="Q132" i="1"/>
  <c r="G132" i="1"/>
  <c r="AI131" i="1"/>
  <c r="AA131" i="1"/>
  <c r="R131" i="1"/>
  <c r="G131" i="1"/>
  <c r="AI130" i="1"/>
  <c r="AA130" i="1"/>
  <c r="R130" i="1"/>
  <c r="F130" i="1"/>
  <c r="AH129" i="1"/>
  <c r="Z129" i="1"/>
  <c r="R129" i="1"/>
  <c r="H129" i="1"/>
  <c r="AJ128" i="1"/>
  <c r="AB128" i="1"/>
  <c r="S128" i="1"/>
  <c r="I128" i="1"/>
  <c r="A128" i="1"/>
  <c r="AC127" i="1"/>
  <c r="U127" i="1"/>
  <c r="G127" i="1"/>
  <c r="AI126" i="1"/>
  <c r="AA126" i="1"/>
  <c r="R126" i="1"/>
  <c r="I126" i="1"/>
  <c r="A126" i="1"/>
  <c r="AC125" i="1"/>
  <c r="U125" i="1"/>
  <c r="K125" i="1"/>
  <c r="C125" i="1"/>
  <c r="AE124" i="1"/>
  <c r="W124" i="1"/>
  <c r="L124" i="1"/>
  <c r="D124" i="1"/>
  <c r="AF123" i="1"/>
  <c r="X123" i="1"/>
  <c r="K123" i="1"/>
  <c r="C123" i="1"/>
  <c r="AE122" i="1"/>
  <c r="W122" i="1"/>
  <c r="O122" i="1"/>
  <c r="F122" i="1"/>
  <c r="AH121" i="1"/>
  <c r="Z121" i="1"/>
  <c r="L121" i="1"/>
  <c r="D121" i="1"/>
  <c r="M120" i="1"/>
  <c r="B120" i="1"/>
  <c r="AC119" i="1"/>
  <c r="U119" i="1"/>
  <c r="G119" i="1"/>
  <c r="AI118" i="1"/>
  <c r="AA118" i="1"/>
  <c r="S118" i="1"/>
  <c r="J118" i="1"/>
  <c r="B118" i="1"/>
  <c r="AD117" i="1"/>
  <c r="V117" i="1"/>
  <c r="M117" i="1"/>
  <c r="E117" i="1"/>
  <c r="AI116" i="1"/>
  <c r="AA116" i="1"/>
  <c r="L116" i="1"/>
  <c r="D116" i="1"/>
  <c r="AF115" i="1"/>
  <c r="X115" i="1"/>
  <c r="O115" i="1"/>
  <c r="F115" i="1"/>
  <c r="AG114" i="1"/>
  <c r="X114" i="1"/>
  <c r="L114" i="1"/>
  <c r="D114" i="1"/>
  <c r="AF113" i="1"/>
  <c r="X113" i="1"/>
  <c r="P113" i="1"/>
  <c r="G113" i="1"/>
  <c r="AH112" i="1"/>
  <c r="Y112" i="1"/>
  <c r="A182" i="1"/>
  <c r="AC179" i="1"/>
  <c r="E178" i="1"/>
  <c r="D176" i="1"/>
  <c r="O174" i="1"/>
  <c r="E173" i="1"/>
  <c r="M171" i="1"/>
  <c r="W169" i="1"/>
  <c r="AC167" i="1"/>
  <c r="G166" i="1"/>
  <c r="L164" i="1"/>
  <c r="G162" i="1"/>
  <c r="H160" i="1"/>
  <c r="Y158" i="1"/>
  <c r="W157" i="1"/>
  <c r="C156" i="1"/>
  <c r="U154" i="1"/>
  <c r="E153" i="1"/>
  <c r="AG151" i="1"/>
  <c r="L150" i="1"/>
  <c r="L148" i="1"/>
  <c r="B147" i="1"/>
  <c r="U145" i="1"/>
  <c r="P144" i="1"/>
  <c r="A143" i="1"/>
  <c r="W141" i="1"/>
  <c r="A140" i="1"/>
  <c r="H138" i="1"/>
  <c r="AI136" i="1"/>
  <c r="D136" i="1"/>
  <c r="K135" i="1"/>
  <c r="AE134" i="1"/>
  <c r="R134" i="1"/>
  <c r="E134" i="1"/>
  <c r="AE133" i="1"/>
  <c r="U133" i="1"/>
  <c r="G133" i="1"/>
  <c r="AI132" i="1"/>
  <c r="Y132" i="1"/>
  <c r="O132" i="1"/>
  <c r="F132" i="1"/>
  <c r="AH131" i="1"/>
  <c r="Z131" i="1"/>
  <c r="Q131" i="1"/>
  <c r="F131" i="1"/>
  <c r="AH130" i="1"/>
  <c r="Z130" i="1"/>
  <c r="M130" i="1"/>
  <c r="E130" i="1"/>
  <c r="AG129" i="1"/>
  <c r="Y129" i="1"/>
  <c r="Q129" i="1"/>
  <c r="G129" i="1"/>
  <c r="AI128" i="1"/>
  <c r="AA128" i="1"/>
  <c r="R128" i="1"/>
  <c r="H128" i="1"/>
  <c r="AJ127" i="1"/>
  <c r="AB127" i="1"/>
  <c r="O127" i="1"/>
  <c r="F127" i="1"/>
  <c r="AH126" i="1"/>
  <c r="Z126" i="1"/>
  <c r="Q126" i="1"/>
  <c r="H126" i="1"/>
  <c r="AJ125" i="1"/>
  <c r="AB125" i="1"/>
  <c r="S125" i="1"/>
  <c r="J125" i="1"/>
  <c r="B125" i="1"/>
  <c r="AD124" i="1"/>
  <c r="V124" i="1"/>
  <c r="K124" i="1"/>
  <c r="C124" i="1"/>
  <c r="AE123" i="1"/>
  <c r="V123" i="1"/>
  <c r="J123" i="1"/>
  <c r="B123" i="1"/>
  <c r="AD122" i="1"/>
  <c r="V122" i="1"/>
  <c r="M122" i="1"/>
  <c r="E122" i="1"/>
  <c r="AG121" i="1"/>
  <c r="Y121" i="1"/>
  <c r="K121" i="1"/>
  <c r="C121" i="1"/>
  <c r="L120" i="1"/>
  <c r="A120" i="1"/>
  <c r="AB119" i="1"/>
  <c r="T119" i="1"/>
  <c r="F119" i="1"/>
  <c r="AH118" i="1"/>
  <c r="Z118" i="1"/>
  <c r="R118" i="1"/>
  <c r="I118" i="1"/>
  <c r="A118" i="1"/>
  <c r="AC117" i="1"/>
  <c r="U117" i="1"/>
  <c r="L117" i="1"/>
  <c r="D117" i="1"/>
  <c r="AH116" i="1"/>
  <c r="Z116" i="1"/>
  <c r="K116" i="1"/>
  <c r="C116" i="1"/>
  <c r="AE115" i="1"/>
  <c r="W115" i="1"/>
  <c r="M115" i="1"/>
  <c r="E115" i="1"/>
  <c r="AF114" i="1"/>
  <c r="W114" i="1"/>
  <c r="K114" i="1"/>
  <c r="C114" i="1"/>
  <c r="AJ181" i="1"/>
  <c r="AB179" i="1"/>
  <c r="D178" i="1"/>
  <c r="C176" i="1"/>
  <c r="M174" i="1"/>
  <c r="D173" i="1"/>
  <c r="L171" i="1"/>
  <c r="V169" i="1"/>
  <c r="AB167" i="1"/>
  <c r="F166" i="1"/>
  <c r="J164" i="1"/>
  <c r="F162" i="1"/>
  <c r="G160" i="1"/>
  <c r="X158" i="1"/>
  <c r="V157" i="1"/>
  <c r="B156" i="1"/>
  <c r="P154" i="1"/>
  <c r="D153" i="1"/>
  <c r="AF151" i="1"/>
  <c r="J150" i="1"/>
  <c r="J148" i="1"/>
  <c r="A147" i="1"/>
  <c r="M145" i="1"/>
  <c r="O144" i="1"/>
  <c r="AJ142" i="1"/>
  <c r="V141" i="1"/>
  <c r="AJ139" i="1"/>
  <c r="G138" i="1"/>
  <c r="AH136" i="1"/>
  <c r="AJ135" i="1"/>
  <c r="J135" i="1"/>
  <c r="AD134" i="1"/>
  <c r="O134" i="1"/>
  <c r="D134" i="1"/>
  <c r="AD133" i="1"/>
  <c r="R133" i="1"/>
  <c r="F133" i="1"/>
  <c r="AG132" i="1"/>
  <c r="X132" i="1"/>
  <c r="M132" i="1"/>
  <c r="E132" i="1"/>
  <c r="AG131" i="1"/>
  <c r="Y131" i="1"/>
  <c r="M131" i="1"/>
  <c r="E131" i="1"/>
  <c r="AG130" i="1"/>
  <c r="Y130" i="1"/>
  <c r="L130" i="1"/>
  <c r="D130" i="1"/>
  <c r="AF129" i="1"/>
  <c r="X129" i="1"/>
  <c r="O129" i="1"/>
  <c r="F129" i="1"/>
  <c r="AH128" i="1"/>
  <c r="Z128" i="1"/>
  <c r="Q128" i="1"/>
  <c r="G128" i="1"/>
  <c r="AI127" i="1"/>
  <c r="AA127" i="1"/>
  <c r="M127" i="1"/>
  <c r="E127" i="1"/>
  <c r="AG126" i="1"/>
  <c r="Y126" i="1"/>
  <c r="P126" i="1"/>
  <c r="G126" i="1"/>
  <c r="AI125" i="1"/>
  <c r="AA125" i="1"/>
  <c r="R125" i="1"/>
  <c r="I125" i="1"/>
  <c r="A125" i="1"/>
  <c r="AC124" i="1"/>
  <c r="U124" i="1"/>
  <c r="J124" i="1"/>
  <c r="B124" i="1"/>
  <c r="AD123" i="1"/>
  <c r="U123" i="1"/>
  <c r="I123" i="1"/>
  <c r="A123" i="1"/>
  <c r="AC122" i="1"/>
  <c r="U122" i="1"/>
  <c r="L122" i="1"/>
  <c r="D122" i="1"/>
  <c r="AF121" i="1"/>
  <c r="X121" i="1"/>
  <c r="J121" i="1"/>
  <c r="B121" i="1"/>
  <c r="J120" i="1"/>
  <c r="AJ119" i="1"/>
  <c r="AA119" i="1"/>
  <c r="M119" i="1"/>
  <c r="E119" i="1"/>
  <c r="AG118" i="1"/>
  <c r="Y118" i="1"/>
  <c r="Q118" i="1"/>
  <c r="H118" i="1"/>
  <c r="AJ117" i="1"/>
  <c r="AB117" i="1"/>
  <c r="T117" i="1"/>
  <c r="K117" i="1"/>
  <c r="C117" i="1"/>
  <c r="AG116" i="1"/>
  <c r="Y116" i="1"/>
  <c r="J116" i="1"/>
  <c r="B116" i="1"/>
  <c r="AD115" i="1"/>
  <c r="V115" i="1"/>
  <c r="L115" i="1"/>
  <c r="D115" i="1"/>
  <c r="AD114" i="1"/>
  <c r="V114" i="1"/>
  <c r="J114" i="1"/>
  <c r="B114" i="1"/>
  <c r="AD113" i="1"/>
  <c r="V113" i="1"/>
  <c r="M113" i="1"/>
  <c r="E113" i="1"/>
  <c r="AE112" i="1"/>
  <c r="W112" i="1"/>
  <c r="B181" i="1"/>
  <c r="L179" i="1"/>
  <c r="V177" i="1"/>
  <c r="U175" i="1"/>
  <c r="F174" i="1"/>
  <c r="AA172" i="1"/>
  <c r="E171" i="1"/>
  <c r="H169" i="1"/>
  <c r="U167" i="1"/>
  <c r="AD165" i="1"/>
  <c r="C164" i="1"/>
  <c r="V161" i="1"/>
  <c r="AJ159" i="1"/>
  <c r="K158" i="1"/>
  <c r="L157" i="1"/>
  <c r="J155" i="1"/>
  <c r="G154" i="1"/>
  <c r="AB152" i="1"/>
  <c r="X151" i="1"/>
  <c r="C150" i="1"/>
  <c r="C148" i="1"/>
  <c r="W146" i="1"/>
  <c r="F145" i="1"/>
  <c r="G144" i="1"/>
  <c r="W142" i="1"/>
  <c r="H141" i="1"/>
  <c r="M139" i="1"/>
  <c r="AJ137" i="1"/>
  <c r="AA136" i="1"/>
  <c r="AI135" i="1"/>
  <c r="H135" i="1"/>
  <c r="AB134" i="1"/>
  <c r="M134" i="1"/>
  <c r="C134" i="1"/>
  <c r="AC133" i="1"/>
  <c r="M133" i="1"/>
  <c r="E133" i="1"/>
  <c r="AF132" i="1"/>
  <c r="W132" i="1"/>
  <c r="L132" i="1"/>
  <c r="D132" i="1"/>
  <c r="AF131" i="1"/>
  <c r="X131" i="1"/>
  <c r="L131" i="1"/>
  <c r="D131" i="1"/>
  <c r="AF130" i="1"/>
  <c r="X130" i="1"/>
  <c r="K130" i="1"/>
  <c r="C130" i="1"/>
  <c r="AE129" i="1"/>
  <c r="W129" i="1"/>
  <c r="M129" i="1"/>
  <c r="E129" i="1"/>
  <c r="AG128" i="1"/>
  <c r="Y128" i="1"/>
  <c r="O128" i="1"/>
  <c r="F128" i="1"/>
  <c r="AH127" i="1"/>
  <c r="Z127" i="1"/>
  <c r="L127" i="1"/>
  <c r="D127" i="1"/>
  <c r="AF126" i="1"/>
  <c r="X126" i="1"/>
  <c r="O126" i="1"/>
  <c r="F126" i="1"/>
  <c r="AH125" i="1"/>
  <c r="Z125" i="1"/>
  <c r="Q125" i="1"/>
  <c r="H125" i="1"/>
  <c r="AJ124" i="1"/>
  <c r="AB124" i="1"/>
  <c r="S124" i="1"/>
  <c r="I124" i="1"/>
  <c r="A124" i="1"/>
  <c r="AC123" i="1"/>
  <c r="R123" i="1"/>
  <c r="H123" i="1"/>
  <c r="AJ122" i="1"/>
  <c r="AB122" i="1"/>
  <c r="T122" i="1"/>
  <c r="K122" i="1"/>
  <c r="C122" i="1"/>
  <c r="AE121" i="1"/>
  <c r="V121" i="1"/>
  <c r="I121" i="1"/>
  <c r="A121" i="1"/>
  <c r="I120" i="1"/>
  <c r="AI119" i="1"/>
  <c r="Z119" i="1"/>
  <c r="L119" i="1"/>
  <c r="D119" i="1"/>
  <c r="AF118" i="1"/>
  <c r="X118" i="1"/>
  <c r="P118" i="1"/>
  <c r="G118" i="1"/>
  <c r="AI117" i="1"/>
  <c r="AA117" i="1"/>
  <c r="S117" i="1"/>
  <c r="J117" i="1"/>
  <c r="B117" i="1"/>
  <c r="AF116" i="1"/>
  <c r="X116" i="1"/>
  <c r="I116" i="1"/>
  <c r="A116" i="1"/>
  <c r="AC115" i="1"/>
  <c r="U115" i="1"/>
  <c r="K115" i="1"/>
  <c r="C115" i="1"/>
  <c r="AC114" i="1"/>
  <c r="U114" i="1"/>
  <c r="I114" i="1"/>
  <c r="A114" i="1"/>
  <c r="A181" i="1"/>
  <c r="K179" i="1"/>
  <c r="M177" i="1"/>
  <c r="M175" i="1"/>
  <c r="E174" i="1"/>
  <c r="Z172" i="1"/>
  <c r="D171" i="1"/>
  <c r="G169" i="1"/>
  <c r="M167" i="1"/>
  <c r="AC165" i="1"/>
  <c r="B164" i="1"/>
  <c r="M161" i="1"/>
  <c r="AB159" i="1"/>
  <c r="J158" i="1"/>
  <c r="K157" i="1"/>
  <c r="I155" i="1"/>
  <c r="F154" i="1"/>
  <c r="AA152" i="1"/>
  <c r="V151" i="1"/>
  <c r="B150" i="1"/>
  <c r="B148" i="1"/>
  <c r="V146" i="1"/>
  <c r="E145" i="1"/>
  <c r="F144" i="1"/>
  <c r="V142" i="1"/>
  <c r="G141" i="1"/>
  <c r="L139" i="1"/>
  <c r="AC137" i="1"/>
  <c r="Z136" i="1"/>
  <c r="AD135" i="1"/>
  <c r="G135" i="1"/>
  <c r="AA134" i="1"/>
  <c r="L134" i="1"/>
  <c r="B134" i="1"/>
  <c r="Z133" i="1"/>
  <c r="L133" i="1"/>
  <c r="D133" i="1"/>
  <c r="AD132" i="1"/>
  <c r="V132" i="1"/>
  <c r="K132" i="1"/>
  <c r="C132" i="1"/>
  <c r="AE131" i="1"/>
  <c r="W131" i="1"/>
  <c r="K131" i="1"/>
  <c r="C131" i="1"/>
  <c r="AE130" i="1"/>
  <c r="W130" i="1"/>
  <c r="J130" i="1"/>
  <c r="B130" i="1"/>
  <c r="AD129" i="1"/>
  <c r="V129" i="1"/>
  <c r="L129" i="1"/>
  <c r="D129" i="1"/>
  <c r="AF128" i="1"/>
  <c r="X128" i="1"/>
  <c r="M128" i="1"/>
  <c r="E128" i="1"/>
  <c r="AG127" i="1"/>
  <c r="Y127" i="1"/>
  <c r="K127" i="1"/>
  <c r="C127" i="1"/>
  <c r="AE126" i="1"/>
  <c r="W126" i="1"/>
  <c r="M126" i="1"/>
  <c r="E126" i="1"/>
  <c r="AG125" i="1"/>
  <c r="Y125" i="1"/>
  <c r="P125" i="1"/>
  <c r="G125" i="1"/>
  <c r="AI124" i="1"/>
  <c r="AA124" i="1"/>
  <c r="R124" i="1"/>
  <c r="H124" i="1"/>
  <c r="AJ123" i="1"/>
  <c r="AB123" i="1"/>
  <c r="Q123" i="1"/>
  <c r="G123" i="1"/>
  <c r="AI122" i="1"/>
  <c r="AA122" i="1"/>
  <c r="S122" i="1"/>
  <c r="J122" i="1"/>
  <c r="B122" i="1"/>
  <c r="AD121" i="1"/>
  <c r="U121" i="1"/>
  <c r="H121" i="1"/>
  <c r="AJ120" i="1"/>
  <c r="H120" i="1"/>
  <c r="AH119" i="1"/>
  <c r="Y119" i="1"/>
  <c r="K119" i="1"/>
  <c r="C119" i="1"/>
  <c r="AE118" i="1"/>
  <c r="W118" i="1"/>
  <c r="O118" i="1"/>
  <c r="F118" i="1"/>
  <c r="AH117" i="1"/>
  <c r="Z117" i="1"/>
  <c r="R117" i="1"/>
  <c r="I117" i="1"/>
  <c r="A117" i="1"/>
  <c r="AE116" i="1"/>
  <c r="V116" i="1"/>
  <c r="H116" i="1"/>
  <c r="AJ115" i="1"/>
  <c r="AB115" i="1"/>
  <c r="T115" i="1"/>
  <c r="J115" i="1"/>
  <c r="B115" i="1"/>
  <c r="AB114" i="1"/>
  <c r="T114" i="1"/>
  <c r="H114" i="1"/>
  <c r="AJ113" i="1"/>
  <c r="AB113" i="1"/>
  <c r="T113" i="1"/>
  <c r="V180" i="1"/>
  <c r="D179" i="1"/>
  <c r="F177" i="1"/>
  <c r="F175" i="1"/>
  <c r="AB173" i="1"/>
  <c r="M172" i="1"/>
  <c r="L170" i="1"/>
  <c r="AJ168" i="1"/>
  <c r="F167" i="1"/>
  <c r="M165" i="1"/>
  <c r="I163" i="1"/>
  <c r="E161" i="1"/>
  <c r="K159" i="1"/>
  <c r="C158" i="1"/>
  <c r="D157" i="1"/>
  <c r="B155" i="1"/>
  <c r="AC153" i="1"/>
  <c r="O152" i="1"/>
  <c r="M151" i="1"/>
  <c r="L149" i="1"/>
  <c r="Z147" i="1"/>
  <c r="H146" i="1"/>
  <c r="AH144" i="1"/>
  <c r="X143" i="1"/>
  <c r="H142" i="1"/>
  <c r="AJ140" i="1"/>
  <c r="E139" i="1"/>
  <c r="V137" i="1"/>
  <c r="R136" i="1"/>
  <c r="Z135" i="1"/>
  <c r="C135" i="1"/>
  <c r="W134" i="1"/>
  <c r="K134" i="1"/>
  <c r="A134" i="1"/>
  <c r="Y133" i="1"/>
  <c r="K133" i="1"/>
  <c r="C133" i="1"/>
  <c r="AC132" i="1"/>
  <c r="U132" i="1"/>
  <c r="J132" i="1"/>
  <c r="B132" i="1"/>
  <c r="AD131" i="1"/>
  <c r="V131" i="1"/>
  <c r="J131" i="1"/>
  <c r="B131" i="1"/>
  <c r="AD130" i="1"/>
  <c r="V130" i="1"/>
  <c r="I130" i="1"/>
  <c r="A130" i="1"/>
  <c r="AC129" i="1"/>
  <c r="U129" i="1"/>
  <c r="K129" i="1"/>
  <c r="C129" i="1"/>
  <c r="AE128" i="1"/>
  <c r="W128" i="1"/>
  <c r="L128" i="1"/>
  <c r="D128" i="1"/>
  <c r="AF127" i="1"/>
  <c r="X127" i="1"/>
  <c r="J127" i="1"/>
  <c r="B127" i="1"/>
  <c r="AD126" i="1"/>
  <c r="V126" i="1"/>
  <c r="L126" i="1"/>
  <c r="D126" i="1"/>
  <c r="AF125" i="1"/>
  <c r="X125" i="1"/>
  <c r="O125" i="1"/>
  <c r="F125" i="1"/>
  <c r="AH124" i="1"/>
  <c r="Z124" i="1"/>
  <c r="Q124" i="1"/>
  <c r="G124" i="1"/>
  <c r="AI123" i="1"/>
  <c r="AA123" i="1"/>
  <c r="O123" i="1"/>
  <c r="F123" i="1"/>
  <c r="AH122" i="1"/>
  <c r="Z122" i="1"/>
  <c r="R122" i="1"/>
  <c r="I122" i="1"/>
  <c r="A122" i="1"/>
  <c r="AC121" i="1"/>
  <c r="T121" i="1"/>
  <c r="G121" i="1"/>
  <c r="V120" i="1"/>
  <c r="G120" i="1"/>
  <c r="AG119" i="1"/>
  <c r="X119" i="1"/>
  <c r="J119" i="1"/>
  <c r="B119" i="1"/>
  <c r="AD118" i="1"/>
  <c r="V118" i="1"/>
  <c r="M118" i="1"/>
  <c r="E118" i="1"/>
  <c r="AG117" i="1"/>
  <c r="Y117" i="1"/>
  <c r="Q117" i="1"/>
  <c r="H117" i="1"/>
  <c r="AD116" i="1"/>
  <c r="U116" i="1"/>
  <c r="G116" i="1"/>
  <c r="AI115" i="1"/>
  <c r="AA115" i="1"/>
  <c r="S115" i="1"/>
  <c r="I115" i="1"/>
  <c r="A115" i="1"/>
  <c r="AA114" i="1"/>
  <c r="P114" i="1"/>
  <c r="G114" i="1"/>
  <c r="AI113" i="1"/>
  <c r="AA113" i="1"/>
  <c r="S113" i="1"/>
  <c r="M180" i="1"/>
  <c r="E167" i="1"/>
  <c r="AB153" i="1"/>
  <c r="G142" i="1"/>
  <c r="J134" i="1"/>
  <c r="A132" i="1"/>
  <c r="AJ129" i="1"/>
  <c r="C128" i="1"/>
  <c r="C126" i="1"/>
  <c r="F124" i="1"/>
  <c r="H122" i="1"/>
  <c r="W119" i="1"/>
  <c r="X117" i="1"/>
  <c r="Z115" i="1"/>
  <c r="AE113" i="1"/>
  <c r="K113" i="1"/>
  <c r="AG112" i="1"/>
  <c r="T112" i="1"/>
  <c r="E112" i="1"/>
  <c r="AG111" i="1"/>
  <c r="X111" i="1"/>
  <c r="J111" i="1"/>
  <c r="B111" i="1"/>
  <c r="AC110" i="1"/>
  <c r="U110" i="1"/>
  <c r="G110" i="1"/>
  <c r="AI109" i="1"/>
  <c r="Z109" i="1"/>
  <c r="L109" i="1"/>
  <c r="D109" i="1"/>
  <c r="AE108" i="1"/>
  <c r="W108" i="1"/>
  <c r="I108" i="1"/>
  <c r="A108" i="1"/>
  <c r="AB107" i="1"/>
  <c r="T107" i="1"/>
  <c r="F107" i="1"/>
  <c r="AH106" i="1"/>
  <c r="Y106" i="1"/>
  <c r="K106" i="1"/>
  <c r="C106" i="1"/>
  <c r="AE105" i="1"/>
  <c r="W105" i="1"/>
  <c r="K105" i="1"/>
  <c r="C105" i="1"/>
  <c r="AE104" i="1"/>
  <c r="V104" i="1"/>
  <c r="M104" i="1"/>
  <c r="E104" i="1"/>
  <c r="AF103" i="1"/>
  <c r="W103" i="1"/>
  <c r="M103" i="1"/>
  <c r="E103" i="1"/>
  <c r="AG102" i="1"/>
  <c r="Y102" i="1"/>
  <c r="Q102" i="1"/>
  <c r="H102" i="1"/>
  <c r="AJ101" i="1"/>
  <c r="AB101" i="1"/>
  <c r="T101" i="1"/>
  <c r="I101" i="1"/>
  <c r="A101" i="1"/>
  <c r="AC100" i="1"/>
  <c r="U100" i="1"/>
  <c r="G100" i="1"/>
  <c r="AI99" i="1"/>
  <c r="AA99" i="1"/>
  <c r="S99" i="1"/>
  <c r="J99" i="1"/>
  <c r="B99" i="1"/>
  <c r="AD98" i="1"/>
  <c r="V98" i="1"/>
  <c r="L98" i="1"/>
  <c r="D98" i="1"/>
  <c r="AF97" i="1"/>
  <c r="X97" i="1"/>
  <c r="O97" i="1"/>
  <c r="F97" i="1"/>
  <c r="AH96" i="1"/>
  <c r="Z96" i="1"/>
  <c r="L96" i="1"/>
  <c r="D96" i="1"/>
  <c r="AF95" i="1"/>
  <c r="X95" i="1"/>
  <c r="M95" i="1"/>
  <c r="E95" i="1"/>
  <c r="AF94" i="1"/>
  <c r="X94" i="1"/>
  <c r="P94" i="1"/>
  <c r="G94" i="1"/>
  <c r="AI93" i="1"/>
  <c r="AA93" i="1"/>
  <c r="S93" i="1"/>
  <c r="H93" i="1"/>
  <c r="AJ92" i="1"/>
  <c r="AB92" i="1"/>
  <c r="T92" i="1"/>
  <c r="K92" i="1"/>
  <c r="C92" i="1"/>
  <c r="AE91" i="1"/>
  <c r="W91" i="1"/>
  <c r="O91" i="1"/>
  <c r="F91" i="1"/>
  <c r="AG90" i="1"/>
  <c r="X90" i="1"/>
  <c r="P90" i="1"/>
  <c r="G90" i="1"/>
  <c r="AI89" i="1"/>
  <c r="AA89" i="1"/>
  <c r="S89" i="1"/>
  <c r="J89" i="1"/>
  <c r="B89" i="1"/>
  <c r="AD88" i="1"/>
  <c r="V88" i="1"/>
  <c r="H88" i="1"/>
  <c r="AJ87" i="1"/>
  <c r="AB87" i="1"/>
  <c r="T87" i="1"/>
  <c r="J87" i="1"/>
  <c r="B87" i="1"/>
  <c r="AC86" i="1"/>
  <c r="U86" i="1"/>
  <c r="I86" i="1"/>
  <c r="A86" i="1"/>
  <c r="AC85" i="1"/>
  <c r="U85" i="1"/>
  <c r="J85" i="1"/>
  <c r="B85" i="1"/>
  <c r="AD84" i="1"/>
  <c r="V84" i="1"/>
  <c r="H84" i="1"/>
  <c r="AJ83" i="1"/>
  <c r="AB83" i="1"/>
  <c r="T83" i="1"/>
  <c r="I83" i="1"/>
  <c r="C179" i="1"/>
  <c r="L165" i="1"/>
  <c r="M152" i="1"/>
  <c r="X140" i="1"/>
  <c r="AH133" i="1"/>
  <c r="AC131" i="1"/>
  <c r="AB129" i="1"/>
  <c r="AE127" i="1"/>
  <c r="AE125" i="1"/>
  <c r="AH123" i="1"/>
  <c r="AJ121" i="1"/>
  <c r="I119" i="1"/>
  <c r="P117" i="1"/>
  <c r="R115" i="1"/>
  <c r="AC113" i="1"/>
  <c r="J113" i="1"/>
  <c r="AD112" i="1"/>
  <c r="M112" i="1"/>
  <c r="D112" i="1"/>
  <c r="AE111" i="1"/>
  <c r="W111" i="1"/>
  <c r="I111" i="1"/>
  <c r="A111" i="1"/>
  <c r="AB110" i="1"/>
  <c r="T110" i="1"/>
  <c r="F110" i="1"/>
  <c r="AH109" i="1"/>
  <c r="Y109" i="1"/>
  <c r="K109" i="1"/>
  <c r="C109" i="1"/>
  <c r="AD108" i="1"/>
  <c r="V108" i="1"/>
  <c r="H108" i="1"/>
  <c r="AJ107" i="1"/>
  <c r="AA107" i="1"/>
  <c r="M107" i="1"/>
  <c r="E107" i="1"/>
  <c r="AG106" i="1"/>
  <c r="X106" i="1"/>
  <c r="J106" i="1"/>
  <c r="B106" i="1"/>
  <c r="AD105" i="1"/>
  <c r="V105" i="1"/>
  <c r="J105" i="1"/>
  <c r="B105" i="1"/>
  <c r="AD104" i="1"/>
  <c r="U104" i="1"/>
  <c r="L104" i="1"/>
  <c r="D104" i="1"/>
  <c r="AD103" i="1"/>
  <c r="V103" i="1"/>
  <c r="L103" i="1"/>
  <c r="D103" i="1"/>
  <c r="AF102" i="1"/>
  <c r="X102" i="1"/>
  <c r="P102" i="1"/>
  <c r="G102" i="1"/>
  <c r="AI101" i="1"/>
  <c r="AA101" i="1"/>
  <c r="R101" i="1"/>
  <c r="H101" i="1"/>
  <c r="AJ100" i="1"/>
  <c r="AB100" i="1"/>
  <c r="T100" i="1"/>
  <c r="F100" i="1"/>
  <c r="AH99" i="1"/>
  <c r="Z99" i="1"/>
  <c r="R99" i="1"/>
  <c r="I99" i="1"/>
  <c r="A99" i="1"/>
  <c r="AC98" i="1"/>
  <c r="U98" i="1"/>
  <c r="K98" i="1"/>
  <c r="C98" i="1"/>
  <c r="AE97" i="1"/>
  <c r="W97" i="1"/>
  <c r="M97" i="1"/>
  <c r="E97" i="1"/>
  <c r="AG96" i="1"/>
  <c r="Y96" i="1"/>
  <c r="K96" i="1"/>
  <c r="C96" i="1"/>
  <c r="AE95" i="1"/>
  <c r="W95" i="1"/>
  <c r="L95" i="1"/>
  <c r="D95" i="1"/>
  <c r="AE94" i="1"/>
  <c r="W94" i="1"/>
  <c r="O94" i="1"/>
  <c r="F94" i="1"/>
  <c r="AH93" i="1"/>
  <c r="Z93" i="1"/>
  <c r="R93" i="1"/>
  <c r="G93" i="1"/>
  <c r="AI92" i="1"/>
  <c r="AA92" i="1"/>
  <c r="S92" i="1"/>
  <c r="J92" i="1"/>
  <c r="B92" i="1"/>
  <c r="AD91" i="1"/>
  <c r="V91" i="1"/>
  <c r="M91" i="1"/>
  <c r="E91" i="1"/>
  <c r="AF90" i="1"/>
  <c r="W90" i="1"/>
  <c r="O90" i="1"/>
  <c r="F90" i="1"/>
  <c r="AH89" i="1"/>
  <c r="Z89" i="1"/>
  <c r="R89" i="1"/>
  <c r="I89" i="1"/>
  <c r="A89" i="1"/>
  <c r="AC88" i="1"/>
  <c r="U88" i="1"/>
  <c r="G88" i="1"/>
  <c r="AI87" i="1"/>
  <c r="AA87" i="1"/>
  <c r="S87" i="1"/>
  <c r="I87" i="1"/>
  <c r="A87" i="1"/>
  <c r="AB86" i="1"/>
  <c r="T86" i="1"/>
  <c r="H86" i="1"/>
  <c r="AJ85" i="1"/>
  <c r="E177" i="1"/>
  <c r="H163" i="1"/>
  <c r="L151" i="1"/>
  <c r="D139" i="1"/>
  <c r="X133" i="1"/>
  <c r="U131" i="1"/>
  <c r="T129" i="1"/>
  <c r="W127" i="1"/>
  <c r="W125" i="1"/>
  <c r="Z123" i="1"/>
  <c r="AB121" i="1"/>
  <c r="A119" i="1"/>
  <c r="G117" i="1"/>
  <c r="H115" i="1"/>
  <c r="Z113" i="1"/>
  <c r="I113" i="1"/>
  <c r="AC112" i="1"/>
  <c r="K112" i="1"/>
  <c r="C112" i="1"/>
  <c r="AD111" i="1"/>
  <c r="V111" i="1"/>
  <c r="H111" i="1"/>
  <c r="AJ110" i="1"/>
  <c r="AA110" i="1"/>
  <c r="M110" i="1"/>
  <c r="E110" i="1"/>
  <c r="AG109" i="1"/>
  <c r="X109" i="1"/>
  <c r="J109" i="1"/>
  <c r="B109" i="1"/>
  <c r="AC108" i="1"/>
  <c r="U108" i="1"/>
  <c r="G108" i="1"/>
  <c r="AI107" i="1"/>
  <c r="Z107" i="1"/>
  <c r="L107" i="1"/>
  <c r="D107" i="1"/>
  <c r="AE106" i="1"/>
  <c r="W106" i="1"/>
  <c r="I106" i="1"/>
  <c r="A106" i="1"/>
  <c r="AC105" i="1"/>
  <c r="U105" i="1"/>
  <c r="I105" i="1"/>
  <c r="A105" i="1"/>
  <c r="AC104" i="1"/>
  <c r="T104" i="1"/>
  <c r="K104" i="1"/>
  <c r="C104" i="1"/>
  <c r="AC103" i="1"/>
  <c r="U103" i="1"/>
  <c r="K103" i="1"/>
  <c r="C103" i="1"/>
  <c r="AE102" i="1"/>
  <c r="W102" i="1"/>
  <c r="O102" i="1"/>
  <c r="F102" i="1"/>
  <c r="AH101" i="1"/>
  <c r="Z101" i="1"/>
  <c r="Q101" i="1"/>
  <c r="G101" i="1"/>
  <c r="AI100" i="1"/>
  <c r="AA100" i="1"/>
  <c r="M100" i="1"/>
  <c r="E100" i="1"/>
  <c r="AG99" i="1"/>
  <c r="Y99" i="1"/>
  <c r="Q99" i="1"/>
  <c r="H99" i="1"/>
  <c r="AJ98" i="1"/>
  <c r="AB98" i="1"/>
  <c r="T98" i="1"/>
  <c r="J98" i="1"/>
  <c r="B98" i="1"/>
  <c r="AD97" i="1"/>
  <c r="V97" i="1"/>
  <c r="L97" i="1"/>
  <c r="D97" i="1"/>
  <c r="AF96" i="1"/>
  <c r="X96" i="1"/>
  <c r="J96" i="1"/>
  <c r="B96" i="1"/>
  <c r="AD95" i="1"/>
  <c r="V95" i="1"/>
  <c r="K95" i="1"/>
  <c r="C95" i="1"/>
  <c r="AD94" i="1"/>
  <c r="V94" i="1"/>
  <c r="M94" i="1"/>
  <c r="E94" i="1"/>
  <c r="AG93" i="1"/>
  <c r="Y93" i="1"/>
  <c r="O93" i="1"/>
  <c r="F93" i="1"/>
  <c r="AH92" i="1"/>
  <c r="Z92" i="1"/>
  <c r="R92" i="1"/>
  <c r="I92" i="1"/>
  <c r="A92" i="1"/>
  <c r="AC91" i="1"/>
  <c r="U91" i="1"/>
  <c r="L91" i="1"/>
  <c r="D91" i="1"/>
  <c r="AD90" i="1"/>
  <c r="V90" i="1"/>
  <c r="M90" i="1"/>
  <c r="E90" i="1"/>
  <c r="AG89" i="1"/>
  <c r="Y89" i="1"/>
  <c r="Q89" i="1"/>
  <c r="H89" i="1"/>
  <c r="AJ88" i="1"/>
  <c r="AB88" i="1"/>
  <c r="T88" i="1"/>
  <c r="F88" i="1"/>
  <c r="AH87" i="1"/>
  <c r="Z87" i="1"/>
  <c r="R87" i="1"/>
  <c r="H87" i="1"/>
  <c r="AJ86" i="1"/>
  <c r="AA86" i="1"/>
  <c r="P86" i="1"/>
  <c r="G86" i="1"/>
  <c r="AI85" i="1"/>
  <c r="AA85" i="1"/>
  <c r="S85" i="1"/>
  <c r="E175" i="1"/>
  <c r="D161" i="1"/>
  <c r="K149" i="1"/>
  <c r="U137" i="1"/>
  <c r="J133" i="1"/>
  <c r="I131" i="1"/>
  <c r="J129" i="1"/>
  <c r="I127" i="1"/>
  <c r="M125" i="1"/>
  <c r="M123" i="1"/>
  <c r="O121" i="1"/>
  <c r="AC118" i="1"/>
  <c r="AJ114" i="1"/>
  <c r="W113" i="1"/>
  <c r="F113" i="1"/>
  <c r="AB112" i="1"/>
  <c r="J112" i="1"/>
  <c r="B112" i="1"/>
  <c r="AC111" i="1"/>
  <c r="U111" i="1"/>
  <c r="G111" i="1"/>
  <c r="AI110" i="1"/>
  <c r="Z110" i="1"/>
  <c r="L110" i="1"/>
  <c r="D110" i="1"/>
  <c r="AE109" i="1"/>
  <c r="W109" i="1"/>
  <c r="I109" i="1"/>
  <c r="A109" i="1"/>
  <c r="AB108" i="1"/>
  <c r="T108" i="1"/>
  <c r="F108" i="1"/>
  <c r="AH107" i="1"/>
  <c r="Y107" i="1"/>
  <c r="K107" i="1"/>
  <c r="C107" i="1"/>
  <c r="AD106" i="1"/>
  <c r="V106" i="1"/>
  <c r="H106" i="1"/>
  <c r="AJ105" i="1"/>
  <c r="AB105" i="1"/>
  <c r="T105" i="1"/>
  <c r="H105" i="1"/>
  <c r="AJ104" i="1"/>
  <c r="AB104" i="1"/>
  <c r="S104" i="1"/>
  <c r="J104" i="1"/>
  <c r="B104" i="1"/>
  <c r="AB103" i="1"/>
  <c r="T103" i="1"/>
  <c r="J103" i="1"/>
  <c r="B103" i="1"/>
  <c r="AD102" i="1"/>
  <c r="V102" i="1"/>
  <c r="M102" i="1"/>
  <c r="E102" i="1"/>
  <c r="AG101" i="1"/>
  <c r="Y101" i="1"/>
  <c r="O101" i="1"/>
  <c r="F101" i="1"/>
  <c r="AH100" i="1"/>
  <c r="Z100" i="1"/>
  <c r="L100" i="1"/>
  <c r="D100" i="1"/>
  <c r="AF99" i="1"/>
  <c r="X99" i="1"/>
  <c r="P99" i="1"/>
  <c r="G99" i="1"/>
  <c r="AI98" i="1"/>
  <c r="AA98" i="1"/>
  <c r="S98" i="1"/>
  <c r="I98" i="1"/>
  <c r="A98" i="1"/>
  <c r="AC97" i="1"/>
  <c r="U97" i="1"/>
  <c r="K97" i="1"/>
  <c r="C97" i="1"/>
  <c r="AE96" i="1"/>
  <c r="W96" i="1"/>
  <c r="I96" i="1"/>
  <c r="A96" i="1"/>
  <c r="AC95" i="1"/>
  <c r="U95" i="1"/>
  <c r="J95" i="1"/>
  <c r="B95" i="1"/>
  <c r="AC94" i="1"/>
  <c r="U94" i="1"/>
  <c r="L94" i="1"/>
  <c r="D94" i="1"/>
  <c r="AF93" i="1"/>
  <c r="X93" i="1"/>
  <c r="M93" i="1"/>
  <c r="E93" i="1"/>
  <c r="AG92" i="1"/>
  <c r="Y92" i="1"/>
  <c r="Q92" i="1"/>
  <c r="H92" i="1"/>
  <c r="AJ91" i="1"/>
  <c r="AB91" i="1"/>
  <c r="T91" i="1"/>
  <c r="K91" i="1"/>
  <c r="C91" i="1"/>
  <c r="AC90" i="1"/>
  <c r="U90" i="1"/>
  <c r="L90" i="1"/>
  <c r="D90" i="1"/>
  <c r="AF89" i="1"/>
  <c r="X89" i="1"/>
  <c r="P89" i="1"/>
  <c r="G89" i="1"/>
  <c r="AI88" i="1"/>
  <c r="AA88" i="1"/>
  <c r="M88" i="1"/>
  <c r="E88" i="1"/>
  <c r="AG87" i="1"/>
  <c r="Y87" i="1"/>
  <c r="Q87" i="1"/>
  <c r="G87" i="1"/>
  <c r="AI86" i="1"/>
  <c r="Z86" i="1"/>
  <c r="O86" i="1"/>
  <c r="F86" i="1"/>
  <c r="AH85" i="1"/>
  <c r="Z85" i="1"/>
  <c r="R85" i="1"/>
  <c r="AA173" i="1"/>
  <c r="J159" i="1"/>
  <c r="Y147" i="1"/>
  <c r="Q136" i="1"/>
  <c r="B133" i="1"/>
  <c r="A131" i="1"/>
  <c r="B129" i="1"/>
  <c r="A127" i="1"/>
  <c r="E125" i="1"/>
  <c r="E123" i="1"/>
  <c r="F121" i="1"/>
  <c r="U118" i="1"/>
  <c r="AC116" i="1"/>
  <c r="Z114" i="1"/>
  <c r="U113" i="1"/>
  <c r="D113" i="1"/>
  <c r="AA112" i="1"/>
  <c r="I112" i="1"/>
  <c r="A112" i="1"/>
  <c r="AB111" i="1"/>
  <c r="T111" i="1"/>
  <c r="F111" i="1"/>
  <c r="AH110" i="1"/>
  <c r="Y110" i="1"/>
  <c r="K110" i="1"/>
  <c r="C110" i="1"/>
  <c r="AD109" i="1"/>
  <c r="V109" i="1"/>
  <c r="H109" i="1"/>
  <c r="AJ108" i="1"/>
  <c r="AA108" i="1"/>
  <c r="M108" i="1"/>
  <c r="E108" i="1"/>
  <c r="AG107" i="1"/>
  <c r="X107" i="1"/>
  <c r="J107" i="1"/>
  <c r="B107" i="1"/>
  <c r="AC106" i="1"/>
  <c r="U106" i="1"/>
  <c r="G106" i="1"/>
  <c r="AI105" i="1"/>
  <c r="AA105" i="1"/>
  <c r="S105" i="1"/>
  <c r="G105" i="1"/>
  <c r="AI104" i="1"/>
  <c r="AA104" i="1"/>
  <c r="R104" i="1"/>
  <c r="I104" i="1"/>
  <c r="A104" i="1"/>
  <c r="AA103" i="1"/>
  <c r="S103" i="1"/>
  <c r="I103" i="1"/>
  <c r="A103" i="1"/>
  <c r="AC102" i="1"/>
  <c r="U102" i="1"/>
  <c r="L102" i="1"/>
  <c r="D102" i="1"/>
  <c r="AF101" i="1"/>
  <c r="X101" i="1"/>
  <c r="M101" i="1"/>
  <c r="E101" i="1"/>
  <c r="AG100" i="1"/>
  <c r="Y100" i="1"/>
  <c r="K100" i="1"/>
  <c r="C100" i="1"/>
  <c r="AE99" i="1"/>
  <c r="W99" i="1"/>
  <c r="O99" i="1"/>
  <c r="F99" i="1"/>
  <c r="AH98" i="1"/>
  <c r="Z98" i="1"/>
  <c r="R98" i="1"/>
  <c r="H98" i="1"/>
  <c r="AJ97" i="1"/>
  <c r="AB97" i="1"/>
  <c r="T97" i="1"/>
  <c r="J97" i="1"/>
  <c r="B97" i="1"/>
  <c r="AD96" i="1"/>
  <c r="V96" i="1"/>
  <c r="H96" i="1"/>
  <c r="AJ95" i="1"/>
  <c r="AB95" i="1"/>
  <c r="T95" i="1"/>
  <c r="I95" i="1"/>
  <c r="A95" i="1"/>
  <c r="AB94" i="1"/>
  <c r="T94" i="1"/>
  <c r="K94" i="1"/>
  <c r="C94" i="1"/>
  <c r="AE93" i="1"/>
  <c r="W93" i="1"/>
  <c r="L93" i="1"/>
  <c r="D93" i="1"/>
  <c r="AF92" i="1"/>
  <c r="X92" i="1"/>
  <c r="P92" i="1"/>
  <c r="G92" i="1"/>
  <c r="AI91" i="1"/>
  <c r="AA91" i="1"/>
  <c r="S91" i="1"/>
  <c r="J91" i="1"/>
  <c r="B91" i="1"/>
  <c r="AB90" i="1"/>
  <c r="T90" i="1"/>
  <c r="K90" i="1"/>
  <c r="C90" i="1"/>
  <c r="AE89" i="1"/>
  <c r="W89" i="1"/>
  <c r="O89" i="1"/>
  <c r="F89" i="1"/>
  <c r="AH88" i="1"/>
  <c r="Z88" i="1"/>
  <c r="L88" i="1"/>
  <c r="D88" i="1"/>
  <c r="AF87" i="1"/>
  <c r="X87" i="1"/>
  <c r="O87" i="1"/>
  <c r="F87" i="1"/>
  <c r="AH86" i="1"/>
  <c r="Y86" i="1"/>
  <c r="M86" i="1"/>
  <c r="E86" i="1"/>
  <c r="AG85" i="1"/>
  <c r="Y85" i="1"/>
  <c r="Q85" i="1"/>
  <c r="F85" i="1"/>
  <c r="L172" i="1"/>
  <c r="B158" i="1"/>
  <c r="G146" i="1"/>
  <c r="Y135" i="1"/>
  <c r="AB132" i="1"/>
  <c r="AC130" i="1"/>
  <c r="AD128" i="1"/>
  <c r="AC126" i="1"/>
  <c r="AG124" i="1"/>
  <c r="AG122" i="1"/>
  <c r="U120" i="1"/>
  <c r="L118" i="1"/>
  <c r="T116" i="1"/>
  <c r="O114" i="1"/>
  <c r="R113" i="1"/>
  <c r="C113" i="1"/>
  <c r="X112" i="1"/>
  <c r="H112" i="1"/>
  <c r="AJ111" i="1"/>
  <c r="AA111" i="1"/>
  <c r="M111" i="1"/>
  <c r="E111" i="1"/>
  <c r="AG110" i="1"/>
  <c r="X110" i="1"/>
  <c r="J110" i="1"/>
  <c r="B110" i="1"/>
  <c r="AC109" i="1"/>
  <c r="U109" i="1"/>
  <c r="G109" i="1"/>
  <c r="AI108" i="1"/>
  <c r="Z108" i="1"/>
  <c r="L108" i="1"/>
  <c r="D108" i="1"/>
  <c r="AE107" i="1"/>
  <c r="W107" i="1"/>
  <c r="I107" i="1"/>
  <c r="A107" i="1"/>
  <c r="AB106" i="1"/>
  <c r="T106" i="1"/>
  <c r="F106" i="1"/>
  <c r="AH105" i="1"/>
  <c r="Z105" i="1"/>
  <c r="R105" i="1"/>
  <c r="F105" i="1"/>
  <c r="AH104" i="1"/>
  <c r="Z104" i="1"/>
  <c r="Q104" i="1"/>
  <c r="H104" i="1"/>
  <c r="AJ103" i="1"/>
  <c r="Z103" i="1"/>
  <c r="R103" i="1"/>
  <c r="H103" i="1"/>
  <c r="AJ102" i="1"/>
  <c r="AB102" i="1"/>
  <c r="T102" i="1"/>
  <c r="K102" i="1"/>
  <c r="C102" i="1"/>
  <c r="AE101" i="1"/>
  <c r="W101" i="1"/>
  <c r="L101" i="1"/>
  <c r="D101" i="1"/>
  <c r="AF100" i="1"/>
  <c r="X100" i="1"/>
  <c r="J100" i="1"/>
  <c r="B100" i="1"/>
  <c r="AD99" i="1"/>
  <c r="V99" i="1"/>
  <c r="M99" i="1"/>
  <c r="E99" i="1"/>
  <c r="AG98" i="1"/>
  <c r="Y98" i="1"/>
  <c r="Q98" i="1"/>
  <c r="G98" i="1"/>
  <c r="AI97" i="1"/>
  <c r="AA97" i="1"/>
  <c r="S97" i="1"/>
  <c r="I97" i="1"/>
  <c r="A97" i="1"/>
  <c r="AC96" i="1"/>
  <c r="U96" i="1"/>
  <c r="G96" i="1"/>
  <c r="AI95" i="1"/>
  <c r="AA95" i="1"/>
  <c r="R95" i="1"/>
  <c r="H95" i="1"/>
  <c r="AJ94" i="1"/>
  <c r="AA94" i="1"/>
  <c r="S94" i="1"/>
  <c r="J94" i="1"/>
  <c r="B94" i="1"/>
  <c r="AD93" i="1"/>
  <c r="V93" i="1"/>
  <c r="K93" i="1"/>
  <c r="C93" i="1"/>
  <c r="AE92" i="1"/>
  <c r="W92" i="1"/>
  <c r="O92" i="1"/>
  <c r="F92" i="1"/>
  <c r="AH91" i="1"/>
  <c r="Z91" i="1"/>
  <c r="R91" i="1"/>
  <c r="I91" i="1"/>
  <c r="A91" i="1"/>
  <c r="AA90" i="1"/>
  <c r="S90" i="1"/>
  <c r="J90" i="1"/>
  <c r="B90" i="1"/>
  <c r="AD89" i="1"/>
  <c r="V89" i="1"/>
  <c r="M89" i="1"/>
  <c r="E89" i="1"/>
  <c r="AG88" i="1"/>
  <c r="Y88" i="1"/>
  <c r="K88" i="1"/>
  <c r="C88" i="1"/>
  <c r="AE87" i="1"/>
  <c r="W87" i="1"/>
  <c r="M87" i="1"/>
  <c r="E87" i="1"/>
  <c r="AG86" i="1"/>
  <c r="X86" i="1"/>
  <c r="L86" i="1"/>
  <c r="D86" i="1"/>
  <c r="K170" i="1"/>
  <c r="C157" i="1"/>
  <c r="AG144" i="1"/>
  <c r="B135" i="1"/>
  <c r="S132" i="1"/>
  <c r="U130" i="1"/>
  <c r="V128" i="1"/>
  <c r="U126" i="1"/>
  <c r="Y124" i="1"/>
  <c r="Y122" i="1"/>
  <c r="D120" i="1"/>
  <c r="D118" i="1"/>
  <c r="F116" i="1"/>
  <c r="F114" i="1"/>
  <c r="O113" i="1"/>
  <c r="B113" i="1"/>
  <c r="V112" i="1"/>
  <c r="G112" i="1"/>
  <c r="AI111" i="1"/>
  <c r="Z111" i="1"/>
  <c r="L111" i="1"/>
  <c r="D111" i="1"/>
  <c r="AE110" i="1"/>
  <c r="W110" i="1"/>
  <c r="I110" i="1"/>
  <c r="A110" i="1"/>
  <c r="AB109" i="1"/>
  <c r="T109" i="1"/>
  <c r="F109" i="1"/>
  <c r="AH108" i="1"/>
  <c r="Y108" i="1"/>
  <c r="K108" i="1"/>
  <c r="C108" i="1"/>
  <c r="AD107" i="1"/>
  <c r="V107" i="1"/>
  <c r="H107" i="1"/>
  <c r="AJ106" i="1"/>
  <c r="AA106" i="1"/>
  <c r="M106" i="1"/>
  <c r="E106" i="1"/>
  <c r="AG105" i="1"/>
  <c r="Y105" i="1"/>
  <c r="M105" i="1"/>
  <c r="E105" i="1"/>
  <c r="AG104" i="1"/>
  <c r="Y104" i="1"/>
  <c r="P104" i="1"/>
  <c r="G104" i="1"/>
  <c r="AI103" i="1"/>
  <c r="Y103" i="1"/>
  <c r="P103" i="1"/>
  <c r="G103" i="1"/>
  <c r="AI102" i="1"/>
  <c r="AA102" i="1"/>
  <c r="S102" i="1"/>
  <c r="J102" i="1"/>
  <c r="B102" i="1"/>
  <c r="AD101" i="1"/>
  <c r="V101" i="1"/>
  <c r="K101" i="1"/>
  <c r="C101" i="1"/>
  <c r="AE100" i="1"/>
  <c r="W100" i="1"/>
  <c r="I100" i="1"/>
  <c r="A100" i="1"/>
  <c r="AC99" i="1"/>
  <c r="U99" i="1"/>
  <c r="L99" i="1"/>
  <c r="D99" i="1"/>
  <c r="AF98" i="1"/>
  <c r="X98" i="1"/>
  <c r="O98" i="1"/>
  <c r="F98" i="1"/>
  <c r="AH97" i="1"/>
  <c r="Z97" i="1"/>
  <c r="R97" i="1"/>
  <c r="H97" i="1"/>
  <c r="AJ96" i="1"/>
  <c r="AB96" i="1"/>
  <c r="T96" i="1"/>
  <c r="F96" i="1"/>
  <c r="AH95" i="1"/>
  <c r="Z95" i="1"/>
  <c r="Q95" i="1"/>
  <c r="G95" i="1"/>
  <c r="AH94" i="1"/>
  <c r="Z94" i="1"/>
  <c r="R94" i="1"/>
  <c r="I94" i="1"/>
  <c r="A94" i="1"/>
  <c r="AC93" i="1"/>
  <c r="U93" i="1"/>
  <c r="J93" i="1"/>
  <c r="B93" i="1"/>
  <c r="AD92" i="1"/>
  <c r="V92" i="1"/>
  <c r="M92" i="1"/>
  <c r="E92" i="1"/>
  <c r="AG91" i="1"/>
  <c r="Y91" i="1"/>
  <c r="Q91" i="1"/>
  <c r="H91" i="1"/>
  <c r="AJ90" i="1"/>
  <c r="Z90" i="1"/>
  <c r="R90" i="1"/>
  <c r="I90" i="1"/>
  <c r="A90" i="1"/>
  <c r="AC89" i="1"/>
  <c r="U89" i="1"/>
  <c r="L89" i="1"/>
  <c r="D89" i="1"/>
  <c r="AF88" i="1"/>
  <c r="X88" i="1"/>
  <c r="J88" i="1"/>
  <c r="B88" i="1"/>
  <c r="AD87" i="1"/>
  <c r="V87" i="1"/>
  <c r="L87" i="1"/>
  <c r="D87" i="1"/>
  <c r="AE86" i="1"/>
  <c r="W86" i="1"/>
  <c r="K86" i="1"/>
  <c r="C86" i="1"/>
  <c r="AE85" i="1"/>
  <c r="W85" i="1"/>
  <c r="L85" i="1"/>
  <c r="V168" i="1"/>
  <c r="O124" i="1"/>
  <c r="A113" i="1"/>
  <c r="V110" i="1"/>
  <c r="J108" i="1"/>
  <c r="D106" i="1"/>
  <c r="F104" i="1"/>
  <c r="I102" i="1"/>
  <c r="H100" i="1"/>
  <c r="M98" i="1"/>
  <c r="M96" i="1"/>
  <c r="Q94" i="1"/>
  <c r="U92" i="1"/>
  <c r="Y90" i="1"/>
  <c r="AE88" i="1"/>
  <c r="AD86" i="1"/>
  <c r="V85" i="1"/>
  <c r="D85" i="1"/>
  <c r="AE84" i="1"/>
  <c r="U84" i="1"/>
  <c r="F84" i="1"/>
  <c r="AG83" i="1"/>
  <c r="X83" i="1"/>
  <c r="L83" i="1"/>
  <c r="C83" i="1"/>
  <c r="AE82" i="1"/>
  <c r="W82" i="1"/>
  <c r="L82" i="1"/>
  <c r="C82" i="1"/>
  <c r="AE81" i="1"/>
  <c r="W81" i="1"/>
  <c r="I81" i="1"/>
  <c r="A81" i="1"/>
  <c r="AC80" i="1"/>
  <c r="U80" i="1"/>
  <c r="K80" i="1"/>
  <c r="C80" i="1"/>
  <c r="AE79" i="1"/>
  <c r="W79" i="1"/>
  <c r="O79" i="1"/>
  <c r="F79" i="1"/>
  <c r="AH78" i="1"/>
  <c r="Y78" i="1"/>
  <c r="J78" i="1"/>
  <c r="B78" i="1"/>
  <c r="AD77" i="1"/>
  <c r="V77" i="1"/>
  <c r="L77" i="1"/>
  <c r="D77" i="1"/>
  <c r="AE76" i="1"/>
  <c r="W76" i="1"/>
  <c r="I76" i="1"/>
  <c r="A76" i="1"/>
  <c r="AC75" i="1"/>
  <c r="U75" i="1"/>
  <c r="G75" i="1"/>
  <c r="AI74" i="1"/>
  <c r="AA74" i="1"/>
  <c r="M74" i="1"/>
  <c r="E74" i="1"/>
  <c r="AG73" i="1"/>
  <c r="Y73" i="1"/>
  <c r="K73" i="1"/>
  <c r="C73" i="1"/>
  <c r="AD72" i="1"/>
  <c r="V72" i="1"/>
  <c r="H72" i="1"/>
  <c r="AJ71" i="1"/>
  <c r="AA71" i="1"/>
  <c r="M71" i="1"/>
  <c r="E71" i="1"/>
  <c r="AG70" i="1"/>
  <c r="W70" i="1"/>
  <c r="I70" i="1"/>
  <c r="A70" i="1"/>
  <c r="AC69" i="1"/>
  <c r="T69" i="1"/>
  <c r="F69" i="1"/>
  <c r="AH68" i="1"/>
  <c r="Z68" i="1"/>
  <c r="Q68" i="1"/>
  <c r="D68" i="1"/>
  <c r="AF67" i="1"/>
  <c r="X67" i="1"/>
  <c r="O67" i="1"/>
  <c r="F67" i="1"/>
  <c r="AH66" i="1"/>
  <c r="Y66" i="1"/>
  <c r="K66" i="1"/>
  <c r="C66" i="1"/>
  <c r="AD65" i="1"/>
  <c r="V65" i="1"/>
  <c r="H65" i="1"/>
  <c r="AJ64" i="1"/>
  <c r="AA64" i="1"/>
  <c r="M64" i="1"/>
  <c r="E64" i="1"/>
  <c r="AG63" i="1"/>
  <c r="X63" i="1"/>
  <c r="J63" i="1"/>
  <c r="B63" i="1"/>
  <c r="AC62" i="1"/>
  <c r="U62" i="1"/>
  <c r="G62" i="1"/>
  <c r="AI61" i="1"/>
  <c r="Z61" i="1"/>
  <c r="L61" i="1"/>
  <c r="D61" i="1"/>
  <c r="AE60" i="1"/>
  <c r="W60" i="1"/>
  <c r="I60" i="1"/>
  <c r="A60" i="1"/>
  <c r="AB59" i="1"/>
  <c r="T59" i="1"/>
  <c r="F59" i="1"/>
  <c r="AH58" i="1"/>
  <c r="Z58" i="1"/>
  <c r="R58" i="1"/>
  <c r="I58" i="1"/>
  <c r="A58" i="1"/>
  <c r="AC57" i="1"/>
  <c r="U57" i="1"/>
  <c r="L57" i="1"/>
  <c r="D57" i="1"/>
  <c r="AE56" i="1"/>
  <c r="W56" i="1"/>
  <c r="O56" i="1"/>
  <c r="F56" i="1"/>
  <c r="AH55" i="1"/>
  <c r="Z55" i="1"/>
  <c r="O55" i="1"/>
  <c r="F55" i="1"/>
  <c r="AH54" i="1"/>
  <c r="Z54" i="1"/>
  <c r="L54" i="1"/>
  <c r="D54" i="1"/>
  <c r="AE53" i="1"/>
  <c r="V53" i="1"/>
  <c r="A155" i="1"/>
  <c r="Q122" i="1"/>
  <c r="U112" i="1"/>
  <c r="H110" i="1"/>
  <c r="B108" i="1"/>
  <c r="AF105" i="1"/>
  <c r="AG103" i="1"/>
  <c r="A102" i="1"/>
  <c r="AJ99" i="1"/>
  <c r="E98" i="1"/>
  <c r="E96" i="1"/>
  <c r="H94" i="1"/>
  <c r="L92" i="1"/>
  <c r="Q90" i="1"/>
  <c r="W88" i="1"/>
  <c r="V86" i="1"/>
  <c r="T85" i="1"/>
  <c r="C85" i="1"/>
  <c r="AC84" i="1"/>
  <c r="T84" i="1"/>
  <c r="E84" i="1"/>
  <c r="AF83" i="1"/>
  <c r="W83" i="1"/>
  <c r="K83" i="1"/>
  <c r="B83" i="1"/>
  <c r="AD82" i="1"/>
  <c r="V82" i="1"/>
  <c r="J82" i="1"/>
  <c r="B82" i="1"/>
  <c r="AD81" i="1"/>
  <c r="V81" i="1"/>
  <c r="H81" i="1"/>
  <c r="AJ80" i="1"/>
  <c r="AB80" i="1"/>
  <c r="T80" i="1"/>
  <c r="J80" i="1"/>
  <c r="B80" i="1"/>
  <c r="AD79" i="1"/>
  <c r="V79" i="1"/>
  <c r="M79" i="1"/>
  <c r="E79" i="1"/>
  <c r="AG78" i="1"/>
  <c r="W78" i="1"/>
  <c r="I78" i="1"/>
  <c r="A78" i="1"/>
  <c r="AC77" i="1"/>
  <c r="U77" i="1"/>
  <c r="K77" i="1"/>
  <c r="C77" i="1"/>
  <c r="AD76" i="1"/>
  <c r="V76" i="1"/>
  <c r="H76" i="1"/>
  <c r="AJ75" i="1"/>
  <c r="AB75" i="1"/>
  <c r="T75" i="1"/>
  <c r="F75" i="1"/>
  <c r="AH74" i="1"/>
  <c r="Z74" i="1"/>
  <c r="L74" i="1"/>
  <c r="D74" i="1"/>
  <c r="AF73" i="1"/>
  <c r="X73" i="1"/>
  <c r="J73" i="1"/>
  <c r="B73" i="1"/>
  <c r="AC72" i="1"/>
  <c r="U72" i="1"/>
  <c r="G72" i="1"/>
  <c r="AI71" i="1"/>
  <c r="Z71" i="1"/>
  <c r="L71" i="1"/>
  <c r="D71" i="1"/>
  <c r="AE70" i="1"/>
  <c r="V70" i="1"/>
  <c r="H70" i="1"/>
  <c r="AJ69" i="1"/>
  <c r="AB69" i="1"/>
  <c r="M69" i="1"/>
  <c r="E69" i="1"/>
  <c r="AG68" i="1"/>
  <c r="Y68" i="1"/>
  <c r="M68" i="1"/>
  <c r="C68" i="1"/>
  <c r="AE67" i="1"/>
  <c r="W67" i="1"/>
  <c r="M67" i="1"/>
  <c r="E67" i="1"/>
  <c r="AG66" i="1"/>
  <c r="X66" i="1"/>
  <c r="J66" i="1"/>
  <c r="B66" i="1"/>
  <c r="AC65" i="1"/>
  <c r="U65" i="1"/>
  <c r="G65" i="1"/>
  <c r="AI64" i="1"/>
  <c r="Z64" i="1"/>
  <c r="L64" i="1"/>
  <c r="D64" i="1"/>
  <c r="AE63" i="1"/>
  <c r="W63" i="1"/>
  <c r="I63" i="1"/>
  <c r="A63" i="1"/>
  <c r="AB62" i="1"/>
  <c r="T62" i="1"/>
  <c r="F62" i="1"/>
  <c r="AH61" i="1"/>
  <c r="Y61" i="1"/>
  <c r="K61" i="1"/>
  <c r="C61" i="1"/>
  <c r="AD60" i="1"/>
  <c r="V60" i="1"/>
  <c r="H60" i="1"/>
  <c r="AJ59" i="1"/>
  <c r="AA59" i="1"/>
  <c r="M59" i="1"/>
  <c r="E59" i="1"/>
  <c r="AG58" i="1"/>
  <c r="Y58" i="1"/>
  <c r="Q58" i="1"/>
  <c r="H58" i="1"/>
  <c r="AJ57" i="1"/>
  <c r="AB57" i="1"/>
  <c r="T57" i="1"/>
  <c r="K57" i="1"/>
  <c r="C57" i="1"/>
  <c r="AD56" i="1"/>
  <c r="V56" i="1"/>
  <c r="W143" i="1"/>
  <c r="AE119" i="1"/>
  <c r="F112" i="1"/>
  <c r="AJ109" i="1"/>
  <c r="AC107" i="1"/>
  <c r="X105" i="1"/>
  <c r="X103" i="1"/>
  <c r="AC101" i="1"/>
  <c r="AB99" i="1"/>
  <c r="AG97" i="1"/>
  <c r="AG95" i="1"/>
  <c r="AJ93" i="1"/>
  <c r="D92" i="1"/>
  <c r="H90" i="1"/>
  <c r="I88" i="1"/>
  <c r="J86" i="1"/>
  <c r="M85" i="1"/>
  <c r="A85" i="1"/>
  <c r="AB84" i="1"/>
  <c r="M84" i="1"/>
  <c r="D84" i="1"/>
  <c r="AE83" i="1"/>
  <c r="V83" i="1"/>
  <c r="J83" i="1"/>
  <c r="A83" i="1"/>
  <c r="AC82" i="1"/>
  <c r="U82" i="1"/>
  <c r="I82" i="1"/>
  <c r="A82" i="1"/>
  <c r="AC81" i="1"/>
  <c r="U81" i="1"/>
  <c r="G81" i="1"/>
  <c r="AI80" i="1"/>
  <c r="AA80" i="1"/>
  <c r="S80" i="1"/>
  <c r="I80" i="1"/>
  <c r="A80" i="1"/>
  <c r="AC79" i="1"/>
  <c r="U79" i="1"/>
  <c r="L79" i="1"/>
  <c r="D79" i="1"/>
  <c r="AE78" i="1"/>
  <c r="V78" i="1"/>
  <c r="H78" i="1"/>
  <c r="AJ77" i="1"/>
  <c r="AB77" i="1"/>
  <c r="T77" i="1"/>
  <c r="J77" i="1"/>
  <c r="B77" i="1"/>
  <c r="AC76" i="1"/>
  <c r="U76" i="1"/>
  <c r="G76" i="1"/>
  <c r="AI75" i="1"/>
  <c r="AA75" i="1"/>
  <c r="M75" i="1"/>
  <c r="E75" i="1"/>
  <c r="AG74" i="1"/>
  <c r="Y74" i="1"/>
  <c r="K74" i="1"/>
  <c r="C74" i="1"/>
  <c r="AE73" i="1"/>
  <c r="W73" i="1"/>
  <c r="I73" i="1"/>
  <c r="A73" i="1"/>
  <c r="AB72" i="1"/>
  <c r="T72" i="1"/>
  <c r="F72" i="1"/>
  <c r="AH71" i="1"/>
  <c r="Y71" i="1"/>
  <c r="K71" i="1"/>
  <c r="C71" i="1"/>
  <c r="AD70" i="1"/>
  <c r="U70" i="1"/>
  <c r="G70" i="1"/>
  <c r="AI69" i="1"/>
  <c r="AA69" i="1"/>
  <c r="L69" i="1"/>
  <c r="D69" i="1"/>
  <c r="AF68" i="1"/>
  <c r="X68" i="1"/>
  <c r="L68" i="1"/>
  <c r="B68" i="1"/>
  <c r="AD67" i="1"/>
  <c r="V67" i="1"/>
  <c r="L67" i="1"/>
  <c r="D67" i="1"/>
  <c r="AE66" i="1"/>
  <c r="W66" i="1"/>
  <c r="I66" i="1"/>
  <c r="A66" i="1"/>
  <c r="AB65" i="1"/>
  <c r="T65" i="1"/>
  <c r="F65" i="1"/>
  <c r="AH64" i="1"/>
  <c r="Y64" i="1"/>
  <c r="K64" i="1"/>
  <c r="C64" i="1"/>
  <c r="AD63" i="1"/>
  <c r="V63" i="1"/>
  <c r="H63" i="1"/>
  <c r="AJ62" i="1"/>
  <c r="AA62" i="1"/>
  <c r="M62" i="1"/>
  <c r="E62" i="1"/>
  <c r="AG61" i="1"/>
  <c r="X61" i="1"/>
  <c r="J61" i="1"/>
  <c r="B61" i="1"/>
  <c r="AC60" i="1"/>
  <c r="U60" i="1"/>
  <c r="G60" i="1"/>
  <c r="AI59" i="1"/>
  <c r="Z59" i="1"/>
  <c r="L59" i="1"/>
  <c r="D59" i="1"/>
  <c r="AF58" i="1"/>
  <c r="X58" i="1"/>
  <c r="P58" i="1"/>
  <c r="G58" i="1"/>
  <c r="AI57" i="1"/>
  <c r="AA57" i="1"/>
  <c r="S57" i="1"/>
  <c r="J57" i="1"/>
  <c r="B57" i="1"/>
  <c r="AC56" i="1"/>
  <c r="U56" i="1"/>
  <c r="L56" i="1"/>
  <c r="V134" i="1"/>
  <c r="AF117" i="1"/>
  <c r="AH111" i="1"/>
  <c r="AA109" i="1"/>
  <c r="U107" i="1"/>
  <c r="L105" i="1"/>
  <c r="O103" i="1"/>
  <c r="U101" i="1"/>
  <c r="T99" i="1"/>
  <c r="Y97" i="1"/>
  <c r="Y95" i="1"/>
  <c r="AB93" i="1"/>
  <c r="AF91" i="1"/>
  <c r="AJ89" i="1"/>
  <c r="A88" i="1"/>
  <c r="B86" i="1"/>
  <c r="K85" i="1"/>
  <c r="AJ84" i="1"/>
  <c r="AA84" i="1"/>
  <c r="L84" i="1"/>
  <c r="C84" i="1"/>
  <c r="AD83" i="1"/>
  <c r="U83" i="1"/>
  <c r="H83" i="1"/>
  <c r="AJ82" i="1"/>
  <c r="AB82" i="1"/>
  <c r="T82" i="1"/>
  <c r="H82" i="1"/>
  <c r="AJ81" i="1"/>
  <c r="AB81" i="1"/>
  <c r="T81" i="1"/>
  <c r="F81" i="1"/>
  <c r="AH80" i="1"/>
  <c r="Z80" i="1"/>
  <c r="R80" i="1"/>
  <c r="H80" i="1"/>
  <c r="AJ79" i="1"/>
  <c r="AB79" i="1"/>
  <c r="T79" i="1"/>
  <c r="K79" i="1"/>
  <c r="C79" i="1"/>
  <c r="AD78" i="1"/>
  <c r="U78" i="1"/>
  <c r="G78" i="1"/>
  <c r="AI77" i="1"/>
  <c r="AA77" i="1"/>
  <c r="S77" i="1"/>
  <c r="I77" i="1"/>
  <c r="A77" i="1"/>
  <c r="AB76" i="1"/>
  <c r="T76" i="1"/>
  <c r="F76" i="1"/>
  <c r="AH75" i="1"/>
  <c r="Z75" i="1"/>
  <c r="L75" i="1"/>
  <c r="D75" i="1"/>
  <c r="AF74" i="1"/>
  <c r="X74" i="1"/>
  <c r="J74" i="1"/>
  <c r="B74" i="1"/>
  <c r="AD73" i="1"/>
  <c r="V73" i="1"/>
  <c r="H73" i="1"/>
  <c r="AJ72" i="1"/>
  <c r="AA72" i="1"/>
  <c r="M72" i="1"/>
  <c r="E72" i="1"/>
  <c r="AG71" i="1"/>
  <c r="X71" i="1"/>
  <c r="J71" i="1"/>
  <c r="B71" i="1"/>
  <c r="AC70" i="1"/>
  <c r="T70" i="1"/>
  <c r="F70" i="1"/>
  <c r="AH69" i="1"/>
  <c r="Z69" i="1"/>
  <c r="K69" i="1"/>
  <c r="C69" i="1"/>
  <c r="AE68" i="1"/>
  <c r="V68" i="1"/>
  <c r="K68" i="1"/>
  <c r="A68" i="1"/>
  <c r="AC67" i="1"/>
  <c r="U67" i="1"/>
  <c r="K67" i="1"/>
  <c r="C67" i="1"/>
  <c r="AD66" i="1"/>
  <c r="V66" i="1"/>
  <c r="H66" i="1"/>
  <c r="AJ65" i="1"/>
  <c r="AA65" i="1"/>
  <c r="M65" i="1"/>
  <c r="E65" i="1"/>
  <c r="AG64" i="1"/>
  <c r="X64" i="1"/>
  <c r="J64" i="1"/>
  <c r="B64" i="1"/>
  <c r="AC63" i="1"/>
  <c r="U63" i="1"/>
  <c r="G63" i="1"/>
  <c r="AI62" i="1"/>
  <c r="Z62" i="1"/>
  <c r="L62" i="1"/>
  <c r="D62" i="1"/>
  <c r="AE61" i="1"/>
  <c r="W61" i="1"/>
  <c r="I61" i="1"/>
  <c r="A61" i="1"/>
  <c r="AB60" i="1"/>
  <c r="T60" i="1"/>
  <c r="F60" i="1"/>
  <c r="AH59" i="1"/>
  <c r="Y59" i="1"/>
  <c r="K59" i="1"/>
  <c r="C59" i="1"/>
  <c r="AE58" i="1"/>
  <c r="W58" i="1"/>
  <c r="O58" i="1"/>
  <c r="F58" i="1"/>
  <c r="AH57" i="1"/>
  <c r="Z57" i="1"/>
  <c r="R57" i="1"/>
  <c r="I57" i="1"/>
  <c r="A57" i="1"/>
  <c r="AB56" i="1"/>
  <c r="T56" i="1"/>
  <c r="K56" i="1"/>
  <c r="I132" i="1"/>
  <c r="Y111" i="1"/>
  <c r="M109" i="1"/>
  <c r="G107" i="1"/>
  <c r="D105" i="1"/>
  <c r="F103" i="1"/>
  <c r="J101" i="1"/>
  <c r="K99" i="1"/>
  <c r="P97" i="1"/>
  <c r="O95" i="1"/>
  <c r="T93" i="1"/>
  <c r="X91" i="1"/>
  <c r="AB89" i="1"/>
  <c r="AC87" i="1"/>
  <c r="AF85" i="1"/>
  <c r="I85" i="1"/>
  <c r="AI84" i="1"/>
  <c r="Z84" i="1"/>
  <c r="K84" i="1"/>
  <c r="B84" i="1"/>
  <c r="AC83" i="1"/>
  <c r="S83" i="1"/>
  <c r="G83" i="1"/>
  <c r="AI82" i="1"/>
  <c r="AA82" i="1"/>
  <c r="S82" i="1"/>
  <c r="G82" i="1"/>
  <c r="AI81" i="1"/>
  <c r="AA81" i="1"/>
  <c r="M81" i="1"/>
  <c r="E81" i="1"/>
  <c r="AG80" i="1"/>
  <c r="Y80" i="1"/>
  <c r="Q80" i="1"/>
  <c r="G80" i="1"/>
  <c r="AI79" i="1"/>
  <c r="AA79" i="1"/>
  <c r="S79" i="1"/>
  <c r="J79" i="1"/>
  <c r="B79" i="1"/>
  <c r="AC78" i="1"/>
  <c r="T78" i="1"/>
  <c r="F78" i="1"/>
  <c r="AH77" i="1"/>
  <c r="Z77" i="1"/>
  <c r="R77" i="1"/>
  <c r="H77" i="1"/>
  <c r="AJ76" i="1"/>
  <c r="AA76" i="1"/>
  <c r="M76" i="1"/>
  <c r="E76" i="1"/>
  <c r="AG75" i="1"/>
  <c r="Y75" i="1"/>
  <c r="K75" i="1"/>
  <c r="C75" i="1"/>
  <c r="AE74" i="1"/>
  <c r="W74" i="1"/>
  <c r="I74" i="1"/>
  <c r="A74" i="1"/>
  <c r="AC73" i="1"/>
  <c r="U73" i="1"/>
  <c r="G73" i="1"/>
  <c r="AI72" i="1"/>
  <c r="Z72" i="1"/>
  <c r="L72" i="1"/>
  <c r="D72" i="1"/>
  <c r="AE71" i="1"/>
  <c r="W71" i="1"/>
  <c r="I71" i="1"/>
  <c r="A71" i="1"/>
  <c r="AB70" i="1"/>
  <c r="M70" i="1"/>
  <c r="E70" i="1"/>
  <c r="AG69" i="1"/>
  <c r="X69" i="1"/>
  <c r="J69" i="1"/>
  <c r="B69" i="1"/>
  <c r="AD68" i="1"/>
  <c r="U68" i="1"/>
  <c r="J68" i="1"/>
  <c r="AJ67" i="1"/>
  <c r="AB67" i="1"/>
  <c r="T67" i="1"/>
  <c r="J67" i="1"/>
  <c r="B67" i="1"/>
  <c r="AC66" i="1"/>
  <c r="U66" i="1"/>
  <c r="G66" i="1"/>
  <c r="AI65" i="1"/>
  <c r="Z65" i="1"/>
  <c r="L65" i="1"/>
  <c r="D65" i="1"/>
  <c r="AE64" i="1"/>
  <c r="W64" i="1"/>
  <c r="I64" i="1"/>
  <c r="A64" i="1"/>
  <c r="AB63" i="1"/>
  <c r="T63" i="1"/>
  <c r="F63" i="1"/>
  <c r="AH62" i="1"/>
  <c r="Y62" i="1"/>
  <c r="K62" i="1"/>
  <c r="C62" i="1"/>
  <c r="AD61" i="1"/>
  <c r="V61" i="1"/>
  <c r="H61" i="1"/>
  <c r="AJ60" i="1"/>
  <c r="AA60" i="1"/>
  <c r="M60" i="1"/>
  <c r="E60" i="1"/>
  <c r="AG59" i="1"/>
  <c r="X59" i="1"/>
  <c r="J59" i="1"/>
  <c r="B59" i="1"/>
  <c r="AD58" i="1"/>
  <c r="V58" i="1"/>
  <c r="M58" i="1"/>
  <c r="E58" i="1"/>
  <c r="AG57" i="1"/>
  <c r="Y57" i="1"/>
  <c r="Q57" i="1"/>
  <c r="H57" i="1"/>
  <c r="AJ56" i="1"/>
  <c r="AA56" i="1"/>
  <c r="S56" i="1"/>
  <c r="J56" i="1"/>
  <c r="B56" i="1"/>
  <c r="H130" i="1"/>
  <c r="AH115" i="1"/>
  <c r="K111" i="1"/>
  <c r="E109" i="1"/>
  <c r="AI106" i="1"/>
  <c r="AF104" i="1"/>
  <c r="AH102" i="1"/>
  <c r="B101" i="1"/>
  <c r="C99" i="1"/>
  <c r="G97" i="1"/>
  <c r="F95" i="1"/>
  <c r="I93" i="1"/>
  <c r="P91" i="1"/>
  <c r="T89" i="1"/>
  <c r="U87" i="1"/>
  <c r="AD85" i="1"/>
  <c r="H85" i="1"/>
  <c r="AH84" i="1"/>
  <c r="Y84" i="1"/>
  <c r="J84" i="1"/>
  <c r="A84" i="1"/>
  <c r="AA83" i="1"/>
  <c r="R83" i="1"/>
  <c r="F83" i="1"/>
  <c r="AH82" i="1"/>
  <c r="Z82" i="1"/>
  <c r="R82" i="1"/>
  <c r="F82" i="1"/>
  <c r="AH81" i="1"/>
  <c r="Z81" i="1"/>
  <c r="L81" i="1"/>
  <c r="D81" i="1"/>
  <c r="AF80" i="1"/>
  <c r="X80" i="1"/>
  <c r="O80" i="1"/>
  <c r="F80" i="1"/>
  <c r="AH79" i="1"/>
  <c r="Z79" i="1"/>
  <c r="R79" i="1"/>
  <c r="I79" i="1"/>
  <c r="A79" i="1"/>
  <c r="AB78" i="1"/>
  <c r="M78" i="1"/>
  <c r="E78" i="1"/>
  <c r="AG77" i="1"/>
  <c r="Y77" i="1"/>
  <c r="Q77" i="1"/>
  <c r="G77" i="1"/>
  <c r="AI76" i="1"/>
  <c r="Z76" i="1"/>
  <c r="L76" i="1"/>
  <c r="D76" i="1"/>
  <c r="AF75" i="1"/>
  <c r="X75" i="1"/>
  <c r="J75" i="1"/>
  <c r="B75" i="1"/>
  <c r="AD74" i="1"/>
  <c r="V74" i="1"/>
  <c r="H74" i="1"/>
  <c r="AJ73" i="1"/>
  <c r="AB73" i="1"/>
  <c r="T73" i="1"/>
  <c r="F73" i="1"/>
  <c r="AH72" i="1"/>
  <c r="Y72" i="1"/>
  <c r="K72" i="1"/>
  <c r="C72" i="1"/>
  <c r="AD71" i="1"/>
  <c r="V71" i="1"/>
  <c r="H71" i="1"/>
  <c r="AJ70" i="1"/>
  <c r="AA70" i="1"/>
  <c r="L70" i="1"/>
  <c r="D70" i="1"/>
  <c r="AF69" i="1"/>
  <c r="W69" i="1"/>
  <c r="I69" i="1"/>
  <c r="A69" i="1"/>
  <c r="AC68" i="1"/>
  <c r="T68" i="1"/>
  <c r="I68" i="1"/>
  <c r="AI67" i="1"/>
  <c r="AA67" i="1"/>
  <c r="S67" i="1"/>
  <c r="I67" i="1"/>
  <c r="A67" i="1"/>
  <c r="AB66" i="1"/>
  <c r="T66" i="1"/>
  <c r="F66" i="1"/>
  <c r="AH65" i="1"/>
  <c r="Y65" i="1"/>
  <c r="K65" i="1"/>
  <c r="C65" i="1"/>
  <c r="AD64" i="1"/>
  <c r="V64" i="1"/>
  <c r="H64" i="1"/>
  <c r="AJ63" i="1"/>
  <c r="AA63" i="1"/>
  <c r="M63" i="1"/>
  <c r="E63" i="1"/>
  <c r="AG62" i="1"/>
  <c r="X62" i="1"/>
  <c r="J62" i="1"/>
  <c r="B62" i="1"/>
  <c r="AC61" i="1"/>
  <c r="U61" i="1"/>
  <c r="G61" i="1"/>
  <c r="AI60" i="1"/>
  <c r="Z60" i="1"/>
  <c r="L60" i="1"/>
  <c r="D60" i="1"/>
  <c r="AE59" i="1"/>
  <c r="W59" i="1"/>
  <c r="I59" i="1"/>
  <c r="A59" i="1"/>
  <c r="AC58" i="1"/>
  <c r="U58" i="1"/>
  <c r="L58" i="1"/>
  <c r="D58" i="1"/>
  <c r="AF57" i="1"/>
  <c r="X57" i="1"/>
  <c r="P57" i="1"/>
  <c r="G57" i="1"/>
  <c r="AH56" i="1"/>
  <c r="Z56" i="1"/>
  <c r="R56" i="1"/>
  <c r="I56" i="1"/>
  <c r="K128" i="1"/>
  <c r="AH113" i="1"/>
  <c r="C111" i="1"/>
  <c r="AG108" i="1"/>
  <c r="Z106" i="1"/>
  <c r="X104" i="1"/>
  <c r="Z102" i="1"/>
  <c r="AD100" i="1"/>
  <c r="AE98" i="1"/>
  <c r="AI96" i="1"/>
  <c r="AG94" i="1"/>
  <c r="A93" i="1"/>
  <c r="G91" i="1"/>
  <c r="K89" i="1"/>
  <c r="K87" i="1"/>
  <c r="AB85" i="1"/>
  <c r="G85" i="1"/>
  <c r="AG84" i="1"/>
  <c r="X84" i="1"/>
  <c r="I84" i="1"/>
  <c r="AI83" i="1"/>
  <c r="Z83" i="1"/>
  <c r="Q83" i="1"/>
  <c r="E83" i="1"/>
  <c r="AG82" i="1"/>
  <c r="Y82" i="1"/>
  <c r="O82" i="1"/>
  <c r="E82" i="1"/>
  <c r="AG81" i="1"/>
  <c r="Y81" i="1"/>
  <c r="K81" i="1"/>
  <c r="C81" i="1"/>
  <c r="AE80" i="1"/>
  <c r="W80" i="1"/>
  <c r="M80" i="1"/>
  <c r="E80" i="1"/>
  <c r="AG79" i="1"/>
  <c r="Y79" i="1"/>
  <c r="Q79" i="1"/>
  <c r="H79" i="1"/>
  <c r="AJ78" i="1"/>
  <c r="AA78" i="1"/>
  <c r="L78" i="1"/>
  <c r="D78" i="1"/>
  <c r="AF77" i="1"/>
  <c r="X77" i="1"/>
  <c r="O77" i="1"/>
  <c r="F77" i="1"/>
  <c r="AH76" i="1"/>
  <c r="Y76" i="1"/>
  <c r="K76" i="1"/>
  <c r="C76" i="1"/>
  <c r="AE75" i="1"/>
  <c r="W75" i="1"/>
  <c r="I75" i="1"/>
  <c r="A75" i="1"/>
  <c r="AC74" i="1"/>
  <c r="U74" i="1"/>
  <c r="G74" i="1"/>
  <c r="AI73" i="1"/>
  <c r="AA73" i="1"/>
  <c r="M73" i="1"/>
  <c r="E73" i="1"/>
  <c r="AG72" i="1"/>
  <c r="X72" i="1"/>
  <c r="J72" i="1"/>
  <c r="B72" i="1"/>
  <c r="AC71" i="1"/>
  <c r="U71" i="1"/>
  <c r="G71" i="1"/>
  <c r="AI70" i="1"/>
  <c r="Z70" i="1"/>
  <c r="K70" i="1"/>
  <c r="C70" i="1"/>
  <c r="AE69" i="1"/>
  <c r="V69" i="1"/>
  <c r="H69" i="1"/>
  <c r="AJ68" i="1"/>
  <c r="AB68" i="1"/>
  <c r="S68" i="1"/>
  <c r="H68" i="1"/>
  <c r="AH67" i="1"/>
  <c r="Z67" i="1"/>
  <c r="R67" i="1"/>
  <c r="H67" i="1"/>
  <c r="AJ66" i="1"/>
  <c r="AA66" i="1"/>
  <c r="M66" i="1"/>
  <c r="E66" i="1"/>
  <c r="AG65" i="1"/>
  <c r="X65" i="1"/>
  <c r="J65" i="1"/>
  <c r="B65" i="1"/>
  <c r="AC64" i="1"/>
  <c r="U64" i="1"/>
  <c r="G64" i="1"/>
  <c r="AI63" i="1"/>
  <c r="Z63" i="1"/>
  <c r="L63" i="1"/>
  <c r="D63" i="1"/>
  <c r="AE62" i="1"/>
  <c r="W62" i="1"/>
  <c r="I62" i="1"/>
  <c r="A62" i="1"/>
  <c r="AB61" i="1"/>
  <c r="T61" i="1"/>
  <c r="F61" i="1"/>
  <c r="AH60" i="1"/>
  <c r="Y60" i="1"/>
  <c r="K60" i="1"/>
  <c r="C60" i="1"/>
  <c r="AD59" i="1"/>
  <c r="V59" i="1"/>
  <c r="H59" i="1"/>
  <c r="AJ58" i="1"/>
  <c r="AB58" i="1"/>
  <c r="T58" i="1"/>
  <c r="K58" i="1"/>
  <c r="C58" i="1"/>
  <c r="AE57" i="1"/>
  <c r="W57" i="1"/>
  <c r="O57" i="1"/>
  <c r="F57" i="1"/>
  <c r="AG56" i="1"/>
  <c r="Y56" i="1"/>
  <c r="Q56" i="1"/>
  <c r="H56" i="1"/>
  <c r="K126" i="1"/>
  <c r="W98" i="1"/>
  <c r="E85" i="1"/>
  <c r="AF82" i="1"/>
  <c r="AD80" i="1"/>
  <c r="AI78" i="1"/>
  <c r="AG76" i="1"/>
  <c r="AB74" i="1"/>
  <c r="W72" i="1"/>
  <c r="J70" i="1"/>
  <c r="G68" i="1"/>
  <c r="D66" i="1"/>
  <c r="AH63" i="1"/>
  <c r="AA61" i="1"/>
  <c r="U59" i="1"/>
  <c r="V57" i="1"/>
  <c r="E56" i="1"/>
  <c r="AE55" i="1"/>
  <c r="U55" i="1"/>
  <c r="I55" i="1"/>
  <c r="AJ54" i="1"/>
  <c r="AA54" i="1"/>
  <c r="K54" i="1"/>
  <c r="B54" i="1"/>
  <c r="AB53" i="1"/>
  <c r="L53" i="1"/>
  <c r="D53" i="1"/>
  <c r="AF52" i="1"/>
  <c r="W52" i="1"/>
  <c r="J52" i="1"/>
  <c r="B52" i="1"/>
  <c r="AC51" i="1"/>
  <c r="U51" i="1"/>
  <c r="G51" i="1"/>
  <c r="AI50" i="1"/>
  <c r="Z50" i="1"/>
  <c r="L50" i="1"/>
  <c r="D50" i="1"/>
  <c r="AE49" i="1"/>
  <c r="W49" i="1"/>
  <c r="I49" i="1"/>
  <c r="A49" i="1"/>
  <c r="AB48" i="1"/>
  <c r="T48" i="1"/>
  <c r="F48" i="1"/>
  <c r="AH47" i="1"/>
  <c r="Z47" i="1"/>
  <c r="Q47" i="1"/>
  <c r="G47" i="1"/>
  <c r="AI46" i="1"/>
  <c r="AA46" i="1"/>
  <c r="L46" i="1"/>
  <c r="D46" i="1"/>
  <c r="AC45" i="1"/>
  <c r="U45" i="1"/>
  <c r="L45" i="1"/>
  <c r="D45" i="1"/>
  <c r="AD44" i="1"/>
  <c r="V44" i="1"/>
  <c r="H44" i="1"/>
  <c r="AJ43" i="1"/>
  <c r="H43" i="1"/>
  <c r="AH42" i="1"/>
  <c r="Z42" i="1"/>
  <c r="L42" i="1"/>
  <c r="D42" i="1"/>
  <c r="M41" i="1"/>
  <c r="B41" i="1"/>
  <c r="AD40" i="1"/>
  <c r="V40" i="1"/>
  <c r="J40" i="1"/>
  <c r="B40" i="1"/>
  <c r="AD39" i="1"/>
  <c r="U39" i="1"/>
  <c r="I39" i="1"/>
  <c r="A39" i="1"/>
  <c r="I38" i="1"/>
  <c r="AI37" i="1"/>
  <c r="AA37" i="1"/>
  <c r="R37" i="1"/>
  <c r="F37" i="1"/>
  <c r="J36" i="1"/>
  <c r="AJ35" i="1"/>
  <c r="AB35" i="1"/>
  <c r="S35" i="1"/>
  <c r="H35" i="1"/>
  <c r="AJ34" i="1"/>
  <c r="H34" i="1"/>
  <c r="AH33" i="1"/>
  <c r="X33" i="1"/>
  <c r="M33" i="1"/>
  <c r="E33" i="1"/>
  <c r="T32" i="1"/>
  <c r="C32" i="1"/>
  <c r="AE31" i="1"/>
  <c r="V31" i="1"/>
  <c r="L31" i="1"/>
  <c r="D31" i="1"/>
  <c r="AF30" i="1"/>
  <c r="X30" i="1"/>
  <c r="M30" i="1"/>
  <c r="E30" i="1"/>
  <c r="AF29" i="1"/>
  <c r="X29" i="1"/>
  <c r="M29" i="1"/>
  <c r="E29" i="1"/>
  <c r="AG28" i="1"/>
  <c r="X28" i="1"/>
  <c r="K28" i="1"/>
  <c r="C28" i="1"/>
  <c r="AE27" i="1"/>
  <c r="W27" i="1"/>
  <c r="O27" i="1"/>
  <c r="F27" i="1"/>
  <c r="AH26" i="1"/>
  <c r="Z26" i="1"/>
  <c r="R26" i="1"/>
  <c r="G26" i="1"/>
  <c r="L113" i="1"/>
  <c r="AA96" i="1"/>
  <c r="AF84" i="1"/>
  <c r="X82" i="1"/>
  <c r="V80" i="1"/>
  <c r="Z78" i="1"/>
  <c r="X76" i="1"/>
  <c r="T74" i="1"/>
  <c r="I72" i="1"/>
  <c r="B70" i="1"/>
  <c r="AG67" i="1"/>
  <c r="AE65" i="1"/>
  <c r="Y63" i="1"/>
  <c r="M61" i="1"/>
  <c r="G59" i="1"/>
  <c r="M57" i="1"/>
  <c r="D56" i="1"/>
  <c r="AD55" i="1"/>
  <c r="T55" i="1"/>
  <c r="H55" i="1"/>
  <c r="AI54" i="1"/>
  <c r="Y54" i="1"/>
  <c r="J54" i="1"/>
  <c r="A54" i="1"/>
  <c r="AA53" i="1"/>
  <c r="K53" i="1"/>
  <c r="C53" i="1"/>
  <c r="AE52" i="1"/>
  <c r="V52" i="1"/>
  <c r="I52" i="1"/>
  <c r="A52" i="1"/>
  <c r="AB51" i="1"/>
  <c r="T51" i="1"/>
  <c r="F51" i="1"/>
  <c r="AH50" i="1"/>
  <c r="Y50" i="1"/>
  <c r="K50" i="1"/>
  <c r="C50" i="1"/>
  <c r="AD49" i="1"/>
  <c r="V49" i="1"/>
  <c r="H49" i="1"/>
  <c r="AJ48" i="1"/>
  <c r="AA48" i="1"/>
  <c r="M48" i="1"/>
  <c r="E48" i="1"/>
  <c r="AG47" i="1"/>
  <c r="Y47" i="1"/>
  <c r="O47" i="1"/>
  <c r="F47" i="1"/>
  <c r="AH46" i="1"/>
  <c r="Z46" i="1"/>
  <c r="K46" i="1"/>
  <c r="C46" i="1"/>
  <c r="AJ45" i="1"/>
  <c r="AB45" i="1"/>
  <c r="T45" i="1"/>
  <c r="K45" i="1"/>
  <c r="C45" i="1"/>
  <c r="AC44" i="1"/>
  <c r="U44" i="1"/>
  <c r="G44" i="1"/>
  <c r="V43" i="1"/>
  <c r="G43" i="1"/>
  <c r="AG42" i="1"/>
  <c r="Y42" i="1"/>
  <c r="K42" i="1"/>
  <c r="C42" i="1"/>
  <c r="L41" i="1"/>
  <c r="A41" i="1"/>
  <c r="AC40" i="1"/>
  <c r="U40" i="1"/>
  <c r="I40" i="1"/>
  <c r="A40" i="1"/>
  <c r="AC39" i="1"/>
  <c r="T39" i="1"/>
  <c r="H39" i="1"/>
  <c r="AJ38" i="1"/>
  <c r="H38" i="1"/>
  <c r="AH37" i="1"/>
  <c r="Z37" i="1"/>
  <c r="M37" i="1"/>
  <c r="E37" i="1"/>
  <c r="I36" i="1"/>
  <c r="AI35" i="1"/>
  <c r="AA35" i="1"/>
  <c r="R35" i="1"/>
  <c r="G35" i="1"/>
  <c r="V34" i="1"/>
  <c r="G34" i="1"/>
  <c r="AG33" i="1"/>
  <c r="W33" i="1"/>
  <c r="L33" i="1"/>
  <c r="D33" i="1"/>
  <c r="M32" i="1"/>
  <c r="B32" i="1"/>
  <c r="AD31" i="1"/>
  <c r="U31" i="1"/>
  <c r="K31" i="1"/>
  <c r="C31" i="1"/>
  <c r="AE30" i="1"/>
  <c r="W30" i="1"/>
  <c r="L30" i="1"/>
  <c r="D30" i="1"/>
  <c r="AE29" i="1"/>
  <c r="W29" i="1"/>
  <c r="L29" i="1"/>
  <c r="D29" i="1"/>
  <c r="AF28" i="1"/>
  <c r="W28" i="1"/>
  <c r="J28" i="1"/>
  <c r="AD110" i="1"/>
  <c r="Y94" i="1"/>
  <c r="W84" i="1"/>
  <c r="M82" i="1"/>
  <c r="L80" i="1"/>
  <c r="K78" i="1"/>
  <c r="J76" i="1"/>
  <c r="F74" i="1"/>
  <c r="A72" i="1"/>
  <c r="AD69" i="1"/>
  <c r="Y67" i="1"/>
  <c r="W65" i="1"/>
  <c r="K63" i="1"/>
  <c r="E61" i="1"/>
  <c r="AI58" i="1"/>
  <c r="E57" i="1"/>
  <c r="C56" i="1"/>
  <c r="AC55" i="1"/>
  <c r="R55" i="1"/>
  <c r="G55" i="1"/>
  <c r="AG54" i="1"/>
  <c r="X54" i="1"/>
  <c r="I54" i="1"/>
  <c r="AJ53" i="1"/>
  <c r="Z53" i="1"/>
  <c r="J53" i="1"/>
  <c r="B53" i="1"/>
  <c r="AD52" i="1"/>
  <c r="U52" i="1"/>
  <c r="H52" i="1"/>
  <c r="AJ51" i="1"/>
  <c r="AA51" i="1"/>
  <c r="M51" i="1"/>
  <c r="E51" i="1"/>
  <c r="AG50" i="1"/>
  <c r="X50" i="1"/>
  <c r="J50" i="1"/>
  <c r="B50" i="1"/>
  <c r="AC49" i="1"/>
  <c r="U49" i="1"/>
  <c r="G49" i="1"/>
  <c r="AI48" i="1"/>
  <c r="Z48" i="1"/>
  <c r="L48" i="1"/>
  <c r="D48" i="1"/>
  <c r="AF47" i="1"/>
  <c r="X47" i="1"/>
  <c r="M47" i="1"/>
  <c r="E47" i="1"/>
  <c r="AG46" i="1"/>
  <c r="Y46" i="1"/>
  <c r="J46" i="1"/>
  <c r="B46" i="1"/>
  <c r="AI45" i="1"/>
  <c r="AA45" i="1"/>
  <c r="S45" i="1"/>
  <c r="J45" i="1"/>
  <c r="B45" i="1"/>
  <c r="AJ44" i="1"/>
  <c r="AB44" i="1"/>
  <c r="T44" i="1"/>
  <c r="F44" i="1"/>
  <c r="U43" i="1"/>
  <c r="D43" i="1"/>
  <c r="AF42" i="1"/>
  <c r="X42" i="1"/>
  <c r="J42" i="1"/>
  <c r="B42" i="1"/>
  <c r="J41" i="1"/>
  <c r="AJ40" i="1"/>
  <c r="AB40" i="1"/>
  <c r="T40" i="1"/>
  <c r="H40" i="1"/>
  <c r="AJ39" i="1"/>
  <c r="AB39" i="1"/>
  <c r="S39" i="1"/>
  <c r="G39" i="1"/>
  <c r="V38" i="1"/>
  <c r="G38" i="1"/>
  <c r="AG37" i="1"/>
  <c r="Y37" i="1"/>
  <c r="L37" i="1"/>
  <c r="D37" i="1"/>
  <c r="AJ36" i="1"/>
  <c r="H36" i="1"/>
  <c r="AH35" i="1"/>
  <c r="Z35" i="1"/>
  <c r="O35" i="1"/>
  <c r="F35" i="1"/>
  <c r="U34" i="1"/>
  <c r="D34" i="1"/>
  <c r="AF33" i="1"/>
  <c r="V33" i="1"/>
  <c r="K33" i="1"/>
  <c r="C33" i="1"/>
  <c r="L32" i="1"/>
  <c r="A32" i="1"/>
  <c r="AC31" i="1"/>
  <c r="T31" i="1"/>
  <c r="J31" i="1"/>
  <c r="B31" i="1"/>
  <c r="AD30" i="1"/>
  <c r="V30" i="1"/>
  <c r="K30" i="1"/>
  <c r="C30" i="1"/>
  <c r="AD29" i="1"/>
  <c r="V29" i="1"/>
  <c r="K29" i="1"/>
  <c r="C29" i="1"/>
  <c r="AE28" i="1"/>
  <c r="V28" i="1"/>
  <c r="I28" i="1"/>
  <c r="A28" i="1"/>
  <c r="AC27" i="1"/>
  <c r="U27" i="1"/>
  <c r="L27" i="1"/>
  <c r="D27" i="1"/>
  <c r="AF26" i="1"/>
  <c r="X26" i="1"/>
  <c r="X108" i="1"/>
  <c r="AC92" i="1"/>
  <c r="G84" i="1"/>
  <c r="D82" i="1"/>
  <c r="D80" i="1"/>
  <c r="C78" i="1"/>
  <c r="B76" i="1"/>
  <c r="AH73" i="1"/>
  <c r="AB71" i="1"/>
  <c r="U69" i="1"/>
  <c r="Q67" i="1"/>
  <c r="I65" i="1"/>
  <c r="C63" i="1"/>
  <c r="AG60" i="1"/>
  <c r="AA58" i="1"/>
  <c r="AF56" i="1"/>
  <c r="A56" i="1"/>
  <c r="AB55" i="1"/>
  <c r="P55" i="1"/>
  <c r="E55" i="1"/>
  <c r="AF54" i="1"/>
  <c r="W54" i="1"/>
  <c r="H54" i="1"/>
  <c r="AI53" i="1"/>
  <c r="X53" i="1"/>
  <c r="I53" i="1"/>
  <c r="A53" i="1"/>
  <c r="AC52" i="1"/>
  <c r="T52" i="1"/>
  <c r="G52" i="1"/>
  <c r="AI51" i="1"/>
  <c r="Z51" i="1"/>
  <c r="L51" i="1"/>
  <c r="D51" i="1"/>
  <c r="AE50" i="1"/>
  <c r="W50" i="1"/>
  <c r="I50" i="1"/>
  <c r="A50" i="1"/>
  <c r="AB49" i="1"/>
  <c r="T49" i="1"/>
  <c r="F49" i="1"/>
  <c r="AH48" i="1"/>
  <c r="Y48" i="1"/>
  <c r="K48" i="1"/>
  <c r="C48" i="1"/>
  <c r="AE47" i="1"/>
  <c r="V47" i="1"/>
  <c r="L47" i="1"/>
  <c r="D47" i="1"/>
  <c r="AF46" i="1"/>
  <c r="X46" i="1"/>
  <c r="I46" i="1"/>
  <c r="A46" i="1"/>
  <c r="AH45" i="1"/>
  <c r="Z45" i="1"/>
  <c r="R45" i="1"/>
  <c r="I45" i="1"/>
  <c r="A45" i="1"/>
  <c r="AI44" i="1"/>
  <c r="AA44" i="1"/>
  <c r="M44" i="1"/>
  <c r="E44" i="1"/>
  <c r="T43" i="1"/>
  <c r="C43" i="1"/>
  <c r="AE42" i="1"/>
  <c r="W42" i="1"/>
  <c r="I42" i="1"/>
  <c r="A42" i="1"/>
  <c r="I41" i="1"/>
  <c r="AI40" i="1"/>
  <c r="AA40" i="1"/>
  <c r="R40" i="1"/>
  <c r="G40" i="1"/>
  <c r="AI39" i="1"/>
  <c r="AA39" i="1"/>
  <c r="R39" i="1"/>
  <c r="F39" i="1"/>
  <c r="U38" i="1"/>
  <c r="D38" i="1"/>
  <c r="AF37" i="1"/>
  <c r="X37" i="1"/>
  <c r="K37" i="1"/>
  <c r="C37" i="1"/>
  <c r="V36" i="1"/>
  <c r="G36" i="1"/>
  <c r="AG35" i="1"/>
  <c r="X35" i="1"/>
  <c r="M35" i="1"/>
  <c r="E35" i="1"/>
  <c r="T34" i="1"/>
  <c r="C34" i="1"/>
  <c r="AE33" i="1"/>
  <c r="U33" i="1"/>
  <c r="J33" i="1"/>
  <c r="B33" i="1"/>
  <c r="J32" i="1"/>
  <c r="AJ31" i="1"/>
  <c r="AB31" i="1"/>
  <c r="S31" i="1"/>
  <c r="I31" i="1"/>
  <c r="A31" i="1"/>
  <c r="AC30" i="1"/>
  <c r="U30" i="1"/>
  <c r="J30" i="1"/>
  <c r="B30" i="1"/>
  <c r="AC29" i="1"/>
  <c r="U29" i="1"/>
  <c r="J29" i="1"/>
  <c r="B29" i="1"/>
  <c r="AD28" i="1"/>
  <c r="U28" i="1"/>
  <c r="H28" i="1"/>
  <c r="AJ27" i="1"/>
  <c r="AB27" i="1"/>
  <c r="T27" i="1"/>
  <c r="K27" i="1"/>
  <c r="C27" i="1"/>
  <c r="AE26" i="1"/>
  <c r="L106" i="1"/>
  <c r="AI90" i="1"/>
  <c r="AH83" i="1"/>
  <c r="AF81" i="1"/>
  <c r="AF79" i="1"/>
  <c r="AE77" i="1"/>
  <c r="AD75" i="1"/>
  <c r="Z73" i="1"/>
  <c r="T71" i="1"/>
  <c r="G69" i="1"/>
  <c r="G67" i="1"/>
  <c r="A65" i="1"/>
  <c r="AD62" i="1"/>
  <c r="X60" i="1"/>
  <c r="S58" i="1"/>
  <c r="X56" i="1"/>
  <c r="AJ55" i="1"/>
  <c r="AA55" i="1"/>
  <c r="M55" i="1"/>
  <c r="D55" i="1"/>
  <c r="AE54" i="1"/>
  <c r="V54" i="1"/>
  <c r="G54" i="1"/>
  <c r="AH53" i="1"/>
  <c r="W53" i="1"/>
  <c r="H53" i="1"/>
  <c r="AJ52" i="1"/>
  <c r="AB52" i="1"/>
  <c r="S52" i="1"/>
  <c r="F52" i="1"/>
  <c r="AH51" i="1"/>
  <c r="Y51" i="1"/>
  <c r="K51" i="1"/>
  <c r="C51" i="1"/>
  <c r="AD50" i="1"/>
  <c r="V50" i="1"/>
  <c r="H50" i="1"/>
  <c r="AJ49" i="1"/>
  <c r="AA49" i="1"/>
  <c r="M49" i="1"/>
  <c r="E49" i="1"/>
  <c r="AG48" i="1"/>
  <c r="X48" i="1"/>
  <c r="J48" i="1"/>
  <c r="B48" i="1"/>
  <c r="AD47" i="1"/>
  <c r="U47" i="1"/>
  <c r="K47" i="1"/>
  <c r="C47" i="1"/>
  <c r="AE46" i="1"/>
  <c r="V46" i="1"/>
  <c r="H46" i="1"/>
  <c r="AG45" i="1"/>
  <c r="Y45" i="1"/>
  <c r="Q45" i="1"/>
  <c r="H45" i="1"/>
  <c r="AH44" i="1"/>
  <c r="Z44" i="1"/>
  <c r="L44" i="1"/>
  <c r="D44" i="1"/>
  <c r="M43" i="1"/>
  <c r="B43" i="1"/>
  <c r="AD42" i="1"/>
  <c r="V42" i="1"/>
  <c r="H42" i="1"/>
  <c r="AJ41" i="1"/>
  <c r="H41" i="1"/>
  <c r="AH40" i="1"/>
  <c r="Z40" i="1"/>
  <c r="O40" i="1"/>
  <c r="F40" i="1"/>
  <c r="AH39" i="1"/>
  <c r="Y39" i="1"/>
  <c r="M39" i="1"/>
  <c r="E39" i="1"/>
  <c r="T38" i="1"/>
  <c r="C38" i="1"/>
  <c r="AE37" i="1"/>
  <c r="W37" i="1"/>
  <c r="J37" i="1"/>
  <c r="B37" i="1"/>
  <c r="U36" i="1"/>
  <c r="D36" i="1"/>
  <c r="AF35" i="1"/>
  <c r="W35" i="1"/>
  <c r="L35" i="1"/>
  <c r="D35" i="1"/>
  <c r="M34" i="1"/>
  <c r="B34" i="1"/>
  <c r="AD33" i="1"/>
  <c r="T33" i="1"/>
  <c r="I33" i="1"/>
  <c r="A33" i="1"/>
  <c r="I32" i="1"/>
  <c r="AI31" i="1"/>
  <c r="AA31" i="1"/>
  <c r="R31" i="1"/>
  <c r="H31" i="1"/>
  <c r="AJ30" i="1"/>
  <c r="AB30" i="1"/>
  <c r="T30" i="1"/>
  <c r="I30" i="1"/>
  <c r="A30" i="1"/>
  <c r="AB29" i="1"/>
  <c r="T29" i="1"/>
  <c r="I29" i="1"/>
  <c r="A29" i="1"/>
  <c r="AC28" i="1"/>
  <c r="S28" i="1"/>
  <c r="G28" i="1"/>
  <c r="AI27" i="1"/>
  <c r="O104" i="1"/>
  <c r="C89" i="1"/>
  <c r="Y83" i="1"/>
  <c r="X81" i="1"/>
  <c r="X79" i="1"/>
  <c r="W77" i="1"/>
  <c r="V75" i="1"/>
  <c r="L73" i="1"/>
  <c r="F71" i="1"/>
  <c r="AI68" i="1"/>
  <c r="AI66" i="1"/>
  <c r="AB64" i="1"/>
  <c r="V62" i="1"/>
  <c r="J60" i="1"/>
  <c r="J58" i="1"/>
  <c r="P56" i="1"/>
  <c r="AI55" i="1"/>
  <c r="Y55" i="1"/>
  <c r="L55" i="1"/>
  <c r="C55" i="1"/>
  <c r="AD54" i="1"/>
  <c r="U54" i="1"/>
  <c r="F54" i="1"/>
  <c r="AG53" i="1"/>
  <c r="U53" i="1"/>
  <c r="G53" i="1"/>
  <c r="AI52" i="1"/>
  <c r="AA52" i="1"/>
  <c r="M52" i="1"/>
  <c r="E52" i="1"/>
  <c r="AG51" i="1"/>
  <c r="X51" i="1"/>
  <c r="J51" i="1"/>
  <c r="B51" i="1"/>
  <c r="AC50" i="1"/>
  <c r="U50" i="1"/>
  <c r="G50" i="1"/>
  <c r="AI49" i="1"/>
  <c r="Z49" i="1"/>
  <c r="L49" i="1"/>
  <c r="D49" i="1"/>
  <c r="AE48" i="1"/>
  <c r="W48" i="1"/>
  <c r="I48" i="1"/>
  <c r="A48" i="1"/>
  <c r="AC47" i="1"/>
  <c r="T47" i="1"/>
  <c r="J47" i="1"/>
  <c r="B47" i="1"/>
  <c r="AD46" i="1"/>
  <c r="U46" i="1"/>
  <c r="G46" i="1"/>
  <c r="AF45" i="1"/>
  <c r="X45" i="1"/>
  <c r="P45" i="1"/>
  <c r="G45" i="1"/>
  <c r="AG44" i="1"/>
  <c r="Y44" i="1"/>
  <c r="K44" i="1"/>
  <c r="C44" i="1"/>
  <c r="L43" i="1"/>
  <c r="A43" i="1"/>
  <c r="AC42" i="1"/>
  <c r="U42" i="1"/>
  <c r="G42" i="1"/>
  <c r="V41" i="1"/>
  <c r="G41" i="1"/>
  <c r="AG40" i="1"/>
  <c r="Y40" i="1"/>
  <c r="M40" i="1"/>
  <c r="E40" i="1"/>
  <c r="AG39" i="1"/>
  <c r="X39" i="1"/>
  <c r="L39" i="1"/>
  <c r="D39" i="1"/>
  <c r="M38" i="1"/>
  <c r="B38" i="1"/>
  <c r="AD37" i="1"/>
  <c r="V37" i="1"/>
  <c r="I37" i="1"/>
  <c r="A37" i="1"/>
  <c r="T36" i="1"/>
  <c r="C36" i="1"/>
  <c r="AE35" i="1"/>
  <c r="V35" i="1"/>
  <c r="K35" i="1"/>
  <c r="C35" i="1"/>
  <c r="L34" i="1"/>
  <c r="A34" i="1"/>
  <c r="AC33" i="1"/>
  <c r="S33" i="1"/>
  <c r="H33" i="1"/>
  <c r="AJ32" i="1"/>
  <c r="H32" i="1"/>
  <c r="AH31" i="1"/>
  <c r="Y31" i="1"/>
  <c r="P31" i="1"/>
  <c r="G31" i="1"/>
  <c r="AI30" i="1"/>
  <c r="AA30" i="1"/>
  <c r="S30" i="1"/>
  <c r="H30" i="1"/>
  <c r="AJ29" i="1"/>
  <c r="AA29" i="1"/>
  <c r="S29" i="1"/>
  <c r="H29" i="1"/>
  <c r="AJ28" i="1"/>
  <c r="AB28" i="1"/>
  <c r="R28" i="1"/>
  <c r="F28" i="1"/>
  <c r="AH27" i="1"/>
  <c r="Z27" i="1"/>
  <c r="R27" i="1"/>
  <c r="I27" i="1"/>
  <c r="A27" i="1"/>
  <c r="R102" i="1"/>
  <c r="P79" i="1"/>
  <c r="AH70" i="1"/>
  <c r="H62" i="1"/>
  <c r="AG55" i="1"/>
  <c r="AC54" i="1"/>
  <c r="T53" i="1"/>
  <c r="L52" i="1"/>
  <c r="I51" i="1"/>
  <c r="F50" i="1"/>
  <c r="C49" i="1"/>
  <c r="AJ47" i="1"/>
  <c r="A47" i="1"/>
  <c r="W45" i="1"/>
  <c r="X44" i="1"/>
  <c r="AJ42" i="1"/>
  <c r="U41" i="1"/>
  <c r="L40" i="1"/>
  <c r="K39" i="1"/>
  <c r="AC37" i="1"/>
  <c r="B36" i="1"/>
  <c r="B35" i="1"/>
  <c r="R33" i="1"/>
  <c r="AG31" i="1"/>
  <c r="AH30" i="1"/>
  <c r="AH29" i="1"/>
  <c r="AI28" i="1"/>
  <c r="B28" i="1"/>
  <c r="S27" i="1"/>
  <c r="B27" i="1"/>
  <c r="Y26" i="1"/>
  <c r="L26" i="1"/>
  <c r="C26" i="1"/>
  <c r="AE25" i="1"/>
  <c r="W25" i="1"/>
  <c r="L25" i="1"/>
  <c r="D25" i="1"/>
  <c r="AF24" i="1"/>
  <c r="W24" i="1"/>
  <c r="K24" i="1"/>
  <c r="C24" i="1"/>
  <c r="AG23" i="1"/>
  <c r="Y23" i="1"/>
  <c r="P23" i="1"/>
  <c r="F23" i="1"/>
  <c r="AH22" i="1"/>
  <c r="Z22" i="1"/>
  <c r="O22" i="1"/>
  <c r="D22" i="1"/>
  <c r="AC21" i="1"/>
  <c r="U21" i="1"/>
  <c r="G21" i="1"/>
  <c r="AI20" i="1"/>
  <c r="AA20" i="1"/>
  <c r="O20" i="1"/>
  <c r="F20" i="1"/>
  <c r="AH19" i="1"/>
  <c r="V19" i="1"/>
  <c r="L19" i="1"/>
  <c r="D19" i="1"/>
  <c r="AF18" i="1"/>
  <c r="X18" i="1"/>
  <c r="P18" i="1"/>
  <c r="G18" i="1"/>
  <c r="AF17" i="1"/>
  <c r="S17" i="1"/>
  <c r="I17" i="1"/>
  <c r="A17" i="1"/>
  <c r="AC16" i="1"/>
  <c r="U16" i="1"/>
  <c r="L16" i="1"/>
  <c r="D16" i="1"/>
  <c r="AF15" i="1"/>
  <c r="X15" i="1"/>
  <c r="P15" i="1"/>
  <c r="F15" i="1"/>
  <c r="V100" i="1"/>
  <c r="G79" i="1"/>
  <c r="X70" i="1"/>
  <c r="AJ61" i="1"/>
  <c r="AF55" i="1"/>
  <c r="AB54" i="1"/>
  <c r="M53" i="1"/>
  <c r="K52" i="1"/>
  <c r="H51" i="1"/>
  <c r="E50" i="1"/>
  <c r="B49" i="1"/>
  <c r="AI47" i="1"/>
  <c r="AJ46" i="1"/>
  <c r="V45" i="1"/>
  <c r="W44" i="1"/>
  <c r="AI42" i="1"/>
  <c r="T41" i="1"/>
  <c r="K40" i="1"/>
  <c r="J39" i="1"/>
  <c r="AB37" i="1"/>
  <c r="A36" i="1"/>
  <c r="A35" i="1"/>
  <c r="O33" i="1"/>
  <c r="AF31" i="1"/>
  <c r="AG30" i="1"/>
  <c r="AG29" i="1"/>
  <c r="AH28" i="1"/>
  <c r="AG27" i="1"/>
  <c r="Q27" i="1"/>
  <c r="AJ26" i="1"/>
  <c r="W26" i="1"/>
  <c r="K26" i="1"/>
  <c r="B26" i="1"/>
  <c r="AD25" i="1"/>
  <c r="V25" i="1"/>
  <c r="K25" i="1"/>
  <c r="C25" i="1"/>
  <c r="AE24" i="1"/>
  <c r="V24" i="1"/>
  <c r="J24" i="1"/>
  <c r="B24" i="1"/>
  <c r="AF23" i="1"/>
  <c r="W23" i="1"/>
  <c r="M23" i="1"/>
  <c r="E23" i="1"/>
  <c r="AG22" i="1"/>
  <c r="Y22" i="1"/>
  <c r="M22" i="1"/>
  <c r="C22" i="1"/>
  <c r="AJ21" i="1"/>
  <c r="AB21" i="1"/>
  <c r="T21" i="1"/>
  <c r="F21" i="1"/>
  <c r="AH20" i="1"/>
  <c r="Z20" i="1"/>
  <c r="M20" i="1"/>
  <c r="E20" i="1"/>
  <c r="AG19" i="1"/>
  <c r="U19" i="1"/>
  <c r="K19" i="1"/>
  <c r="C19" i="1"/>
  <c r="AE18" i="1"/>
  <c r="W18" i="1"/>
  <c r="O18" i="1"/>
  <c r="F18" i="1"/>
  <c r="C87" i="1"/>
  <c r="M77" i="1"/>
  <c r="AA68" i="1"/>
  <c r="B60" i="1"/>
  <c r="X55" i="1"/>
  <c r="T54" i="1"/>
  <c r="F53" i="1"/>
  <c r="D52" i="1"/>
  <c r="A51" i="1"/>
  <c r="AH49" i="1"/>
  <c r="AD48" i="1"/>
  <c r="AB47" i="1"/>
  <c r="AC46" i="1"/>
  <c r="O45" i="1"/>
  <c r="J44" i="1"/>
  <c r="AB42" i="1"/>
  <c r="D41" i="1"/>
  <c r="D40" i="1"/>
  <c r="C39" i="1"/>
  <c r="U37" i="1"/>
  <c r="AD35" i="1"/>
  <c r="J34" i="1"/>
  <c r="G33" i="1"/>
  <c r="X31" i="1"/>
  <c r="Z30" i="1"/>
  <c r="Z29" i="1"/>
  <c r="AA28" i="1"/>
  <c r="AF27" i="1"/>
  <c r="P27" i="1"/>
  <c r="AI26" i="1"/>
  <c r="V26" i="1"/>
  <c r="J26" i="1"/>
  <c r="A26" i="1"/>
  <c r="AC25" i="1"/>
  <c r="U25" i="1"/>
  <c r="J25" i="1"/>
  <c r="B25" i="1"/>
  <c r="AD24" i="1"/>
  <c r="U24" i="1"/>
  <c r="I24" i="1"/>
  <c r="A24" i="1"/>
  <c r="AE23" i="1"/>
  <c r="V23" i="1"/>
  <c r="L23" i="1"/>
  <c r="D23" i="1"/>
  <c r="AF22" i="1"/>
  <c r="W22" i="1"/>
  <c r="L22" i="1"/>
  <c r="B22" i="1"/>
  <c r="AI21" i="1"/>
  <c r="AA21" i="1"/>
  <c r="M21" i="1"/>
  <c r="E21" i="1"/>
  <c r="AG20" i="1"/>
  <c r="Y20" i="1"/>
  <c r="L20" i="1"/>
  <c r="D20" i="1"/>
  <c r="AF19" i="1"/>
  <c r="T19" i="1"/>
  <c r="J19" i="1"/>
  <c r="B19" i="1"/>
  <c r="AD18" i="1"/>
  <c r="V18" i="1"/>
  <c r="M18" i="1"/>
  <c r="E18" i="1"/>
  <c r="X85" i="1"/>
  <c r="E77" i="1"/>
  <c r="R68" i="1"/>
  <c r="AC59" i="1"/>
  <c r="V55" i="1"/>
  <c r="M54" i="1"/>
  <c r="E53" i="1"/>
  <c r="C52" i="1"/>
  <c r="AJ50" i="1"/>
  <c r="AG49" i="1"/>
  <c r="AC48" i="1"/>
  <c r="AA47" i="1"/>
  <c r="AB46" i="1"/>
  <c r="M45" i="1"/>
  <c r="I44" i="1"/>
  <c r="AA42" i="1"/>
  <c r="C41" i="1"/>
  <c r="C40" i="1"/>
  <c r="B39" i="1"/>
  <c r="T37" i="1"/>
  <c r="AC35" i="1"/>
  <c r="I34" i="1"/>
  <c r="F33" i="1"/>
  <c r="W31" i="1"/>
  <c r="Y30" i="1"/>
  <c r="Y29" i="1"/>
  <c r="Z28" i="1"/>
  <c r="AD27" i="1"/>
  <c r="M27" i="1"/>
  <c r="AG26" i="1"/>
  <c r="U26" i="1"/>
  <c r="I26" i="1"/>
  <c r="AJ25" i="1"/>
  <c r="AB25" i="1"/>
  <c r="T25" i="1"/>
  <c r="I25" i="1"/>
  <c r="A25" i="1"/>
  <c r="AC24" i="1"/>
  <c r="T24" i="1"/>
  <c r="H24" i="1"/>
  <c r="AD23" i="1"/>
  <c r="U23" i="1"/>
  <c r="K23" i="1"/>
  <c r="C23" i="1"/>
  <c r="AE22" i="1"/>
  <c r="V22" i="1"/>
  <c r="K22" i="1"/>
  <c r="A22" i="1"/>
  <c r="AH21" i="1"/>
  <c r="Z21" i="1"/>
  <c r="L21" i="1"/>
  <c r="D21" i="1"/>
  <c r="AF20" i="1"/>
  <c r="X20" i="1"/>
  <c r="K20" i="1"/>
  <c r="C20" i="1"/>
  <c r="AE19" i="1"/>
  <c r="S19" i="1"/>
  <c r="I19" i="1"/>
  <c r="A19" i="1"/>
  <c r="AC18" i="1"/>
  <c r="U18" i="1"/>
  <c r="L18" i="1"/>
  <c r="D18" i="1"/>
  <c r="M83" i="1"/>
  <c r="H75" i="1"/>
  <c r="Z66" i="1"/>
  <c r="B58" i="1"/>
  <c r="K55" i="1"/>
  <c r="E54" i="1"/>
  <c r="AH52" i="1"/>
  <c r="AE51" i="1"/>
  <c r="AB50" i="1"/>
  <c r="Y49" i="1"/>
  <c r="V48" i="1"/>
  <c r="S47" i="1"/>
  <c r="T46" i="1"/>
  <c r="F45" i="1"/>
  <c r="B44" i="1"/>
  <c r="T42" i="1"/>
  <c r="AF40" i="1"/>
  <c r="AF39" i="1"/>
  <c r="L38" i="1"/>
  <c r="H37" i="1"/>
  <c r="U35" i="1"/>
  <c r="AJ33" i="1"/>
  <c r="V32" i="1"/>
  <c r="O31" i="1"/>
  <c r="R30" i="1"/>
  <c r="R29" i="1"/>
  <c r="M28" i="1"/>
  <c r="AA27" i="1"/>
  <c r="J27" i="1"/>
  <c r="AD26" i="1"/>
  <c r="T26" i="1"/>
  <c r="H26" i="1"/>
  <c r="AI25" i="1"/>
  <c r="AA25" i="1"/>
  <c r="S25" i="1"/>
  <c r="H25" i="1"/>
  <c r="AJ24" i="1"/>
  <c r="AB24" i="1"/>
  <c r="S24" i="1"/>
  <c r="G24" i="1"/>
  <c r="AC23" i="1"/>
  <c r="T23" i="1"/>
  <c r="J23" i="1"/>
  <c r="B23" i="1"/>
  <c r="AD22" i="1"/>
  <c r="U22" i="1"/>
  <c r="J22" i="1"/>
  <c r="AG21" i="1"/>
  <c r="Y21" i="1"/>
  <c r="K21" i="1"/>
  <c r="C21" i="1"/>
  <c r="AE20" i="1"/>
  <c r="W20" i="1"/>
  <c r="J20" i="1"/>
  <c r="B20" i="1"/>
  <c r="AD19" i="1"/>
  <c r="R19" i="1"/>
  <c r="H19" i="1"/>
  <c r="AJ18" i="1"/>
  <c r="AB18" i="1"/>
  <c r="T18" i="1"/>
  <c r="K18" i="1"/>
  <c r="C18" i="1"/>
  <c r="D83" i="1"/>
  <c r="AJ74" i="1"/>
  <c r="L66" i="1"/>
  <c r="AD57" i="1"/>
  <c r="J55" i="1"/>
  <c r="C54" i="1"/>
  <c r="AG52" i="1"/>
  <c r="AD51" i="1"/>
  <c r="AA50" i="1"/>
  <c r="X49" i="1"/>
  <c r="U48" i="1"/>
  <c r="R47" i="1"/>
  <c r="M46" i="1"/>
  <c r="E45" i="1"/>
  <c r="A44" i="1"/>
  <c r="M42" i="1"/>
  <c r="AE40" i="1"/>
  <c r="AE39" i="1"/>
  <c r="J38" i="1"/>
  <c r="G37" i="1"/>
  <c r="T35" i="1"/>
  <c r="AI33" i="1"/>
  <c r="U32" i="1"/>
  <c r="M31" i="1"/>
  <c r="O30" i="1"/>
  <c r="O29" i="1"/>
  <c r="L28" i="1"/>
  <c r="Y27" i="1"/>
  <c r="H27" i="1"/>
  <c r="AC26" i="1"/>
  <c r="S26" i="1"/>
  <c r="F26" i="1"/>
  <c r="AH25" i="1"/>
  <c r="Z25" i="1"/>
  <c r="R25" i="1"/>
  <c r="G25" i="1"/>
  <c r="AI24" i="1"/>
  <c r="AA24" i="1"/>
  <c r="R24" i="1"/>
  <c r="F24" i="1"/>
  <c r="AB23" i="1"/>
  <c r="S23" i="1"/>
  <c r="I23" i="1"/>
  <c r="A23" i="1"/>
  <c r="AC22" i="1"/>
  <c r="T22" i="1"/>
  <c r="I22" i="1"/>
  <c r="AF21" i="1"/>
  <c r="X21" i="1"/>
  <c r="J21" i="1"/>
  <c r="B21" i="1"/>
  <c r="AD20" i="1"/>
  <c r="V20" i="1"/>
  <c r="I20" i="1"/>
  <c r="A20" i="1"/>
  <c r="AB19" i="1"/>
  <c r="Q19" i="1"/>
  <c r="G19" i="1"/>
  <c r="AI18" i="1"/>
  <c r="AA18" i="1"/>
  <c r="S18" i="1"/>
  <c r="J18" i="1"/>
  <c r="B18" i="1"/>
  <c r="J81" i="1"/>
  <c r="D73" i="1"/>
  <c r="T64" i="1"/>
  <c r="M56" i="1"/>
  <c r="B55" i="1"/>
  <c r="AD53" i="1"/>
  <c r="Z52" i="1"/>
  <c r="W51" i="1"/>
  <c r="T50" i="1"/>
  <c r="K49" i="1"/>
  <c r="H48" i="1"/>
  <c r="I47" i="1"/>
  <c r="F46" i="1"/>
  <c r="AE45" i="1"/>
  <c r="AF44" i="1"/>
  <c r="J43" i="1"/>
  <c r="F42" i="1"/>
  <c r="X40" i="1"/>
  <c r="W39" i="1"/>
  <c r="A38" i="1"/>
  <c r="M36" i="1"/>
  <c r="J35" i="1"/>
  <c r="AB33" i="1"/>
  <c r="G32" i="1"/>
  <c r="F31" i="1"/>
  <c r="G30" i="1"/>
  <c r="G29" i="1"/>
  <c r="E28" i="1"/>
  <c r="X27" i="1"/>
  <c r="G27" i="1"/>
  <c r="AB26" i="1"/>
  <c r="O26" i="1"/>
  <c r="E26" i="1"/>
  <c r="AG25" i="1"/>
  <c r="Y25" i="1"/>
  <c r="O25" i="1"/>
  <c r="F25" i="1"/>
  <c r="AH24" i="1"/>
  <c r="Y24" i="1"/>
  <c r="M24" i="1"/>
  <c r="E24" i="1"/>
  <c r="AJ23" i="1"/>
  <c r="AA23" i="1"/>
  <c r="R23" i="1"/>
  <c r="H23" i="1"/>
  <c r="AJ22" i="1"/>
  <c r="AB22" i="1"/>
  <c r="S22" i="1"/>
  <c r="H22" i="1"/>
  <c r="AE21" i="1"/>
  <c r="W21" i="1"/>
  <c r="I21" i="1"/>
  <c r="A21" i="1"/>
  <c r="AC20" i="1"/>
  <c r="U20" i="1"/>
  <c r="H20" i="1"/>
  <c r="AJ19" i="1"/>
  <c r="AA19" i="1"/>
  <c r="O19" i="1"/>
  <c r="F19" i="1"/>
  <c r="AH18" i="1"/>
  <c r="Z18" i="1"/>
  <c r="R18" i="1"/>
  <c r="I18" i="1"/>
  <c r="A18" i="1"/>
  <c r="B81" i="1"/>
  <c r="M50" i="1"/>
  <c r="I43" i="1"/>
  <c r="AA33" i="1"/>
  <c r="AA26" i="1"/>
  <c r="X24" i="1"/>
  <c r="G23" i="1"/>
  <c r="AI19" i="1"/>
  <c r="AH17" i="1"/>
  <c r="U17" i="1"/>
  <c r="H17" i="1"/>
  <c r="AI16" i="1"/>
  <c r="Z16" i="1"/>
  <c r="Q16" i="1"/>
  <c r="G16" i="1"/>
  <c r="AH15" i="1"/>
  <c r="Y15" i="1"/>
  <c r="O15" i="1"/>
  <c r="D15" i="1"/>
  <c r="AI14" i="1"/>
  <c r="AA14" i="1"/>
  <c r="Q14" i="1"/>
  <c r="G14" i="1"/>
  <c r="AI13" i="1"/>
  <c r="AA13" i="1"/>
  <c r="L13" i="1"/>
  <c r="D13" i="1"/>
  <c r="AF12" i="1"/>
  <c r="X12" i="1"/>
  <c r="P12" i="1"/>
  <c r="G12" i="1"/>
  <c r="AI11" i="1"/>
  <c r="AA11" i="1"/>
  <c r="S11" i="1"/>
  <c r="I11" i="1"/>
  <c r="A11" i="1"/>
  <c r="AC10" i="1"/>
  <c r="U10" i="1"/>
  <c r="L10" i="1"/>
  <c r="D10" i="1"/>
  <c r="AF9" i="1"/>
  <c r="X9" i="1"/>
  <c r="P9" i="1"/>
  <c r="G9" i="1"/>
  <c r="AI8" i="1"/>
  <c r="AA8" i="1"/>
  <c r="S8" i="1"/>
  <c r="J8" i="1"/>
  <c r="B8" i="1"/>
  <c r="AF7" i="1"/>
  <c r="X7" i="1"/>
  <c r="P7" i="1"/>
  <c r="G7" i="1"/>
  <c r="AE6" i="1"/>
  <c r="V6" i="1"/>
  <c r="M6" i="1"/>
  <c r="E6" i="1"/>
  <c r="AE72" i="1"/>
  <c r="J49" i="1"/>
  <c r="E42" i="1"/>
  <c r="D32" i="1"/>
  <c r="M26" i="1"/>
  <c r="L24" i="1"/>
  <c r="AI22" i="1"/>
  <c r="AD21" i="1"/>
  <c r="X19" i="1"/>
  <c r="AG17" i="1"/>
  <c r="R17" i="1"/>
  <c r="G17" i="1"/>
  <c r="AH16" i="1"/>
  <c r="Y16" i="1"/>
  <c r="P16" i="1"/>
  <c r="F16" i="1"/>
  <c r="AG15" i="1"/>
  <c r="W15" i="1"/>
  <c r="M15" i="1"/>
  <c r="C15" i="1"/>
  <c r="AH14" i="1"/>
  <c r="Y14" i="1"/>
  <c r="P14" i="1"/>
  <c r="F14" i="1"/>
  <c r="AH13" i="1"/>
  <c r="Z13" i="1"/>
  <c r="K13" i="1"/>
  <c r="C13" i="1"/>
  <c r="AE12" i="1"/>
  <c r="W12" i="1"/>
  <c r="O12" i="1"/>
  <c r="F12" i="1"/>
  <c r="AH11" i="1"/>
  <c r="Z11" i="1"/>
  <c r="R11" i="1"/>
  <c r="H11" i="1"/>
  <c r="AJ10" i="1"/>
  <c r="AB10" i="1"/>
  <c r="T10" i="1"/>
  <c r="K10" i="1"/>
  <c r="C10" i="1"/>
  <c r="AE9" i="1"/>
  <c r="W9" i="1"/>
  <c r="O9" i="1"/>
  <c r="F9" i="1"/>
  <c r="AH8" i="1"/>
  <c r="Z8" i="1"/>
  <c r="R8" i="1"/>
  <c r="I8" i="1"/>
  <c r="A8" i="1"/>
  <c r="AE7" i="1"/>
  <c r="W7" i="1"/>
  <c r="O7" i="1"/>
  <c r="F7" i="1"/>
  <c r="AD6" i="1"/>
  <c r="U6" i="1"/>
  <c r="L6" i="1"/>
  <c r="D6" i="1"/>
  <c r="F64" i="1"/>
  <c r="G48" i="1"/>
  <c r="W40" i="1"/>
  <c r="E31" i="1"/>
  <c r="D26" i="1"/>
  <c r="D24" i="1"/>
  <c r="AA22" i="1"/>
  <c r="V21" i="1"/>
  <c r="M19" i="1"/>
  <c r="AG18" i="1"/>
  <c r="AE17" i="1"/>
  <c r="Q17" i="1"/>
  <c r="F17" i="1"/>
  <c r="AG16" i="1"/>
  <c r="X16" i="1"/>
  <c r="O16" i="1"/>
  <c r="E16" i="1"/>
  <c r="AE15" i="1"/>
  <c r="V15" i="1"/>
  <c r="L15" i="1"/>
  <c r="B15" i="1"/>
  <c r="AG14" i="1"/>
  <c r="X14" i="1"/>
  <c r="O14" i="1"/>
  <c r="E14" i="1"/>
  <c r="AG13" i="1"/>
  <c r="Y13" i="1"/>
  <c r="J13" i="1"/>
  <c r="B13" i="1"/>
  <c r="AD12" i="1"/>
  <c r="V12" i="1"/>
  <c r="M12" i="1"/>
  <c r="E12" i="1"/>
  <c r="AG11" i="1"/>
  <c r="Y11" i="1"/>
  <c r="Q11" i="1"/>
  <c r="G11" i="1"/>
  <c r="AI10" i="1"/>
  <c r="AA10" i="1"/>
  <c r="S10" i="1"/>
  <c r="J10" i="1"/>
  <c r="B10" i="1"/>
  <c r="AD9" i="1"/>
  <c r="V9" i="1"/>
  <c r="M9" i="1"/>
  <c r="E9" i="1"/>
  <c r="AG8" i="1"/>
  <c r="Y8" i="1"/>
  <c r="Q8" i="1"/>
  <c r="H8" i="1"/>
  <c r="AD7" i="1"/>
  <c r="V7" i="1"/>
  <c r="M7" i="1"/>
  <c r="E7" i="1"/>
  <c r="AC6" i="1"/>
  <c r="T6" i="1"/>
  <c r="K6" i="1"/>
  <c r="C6" i="1"/>
  <c r="G56" i="1"/>
  <c r="H47" i="1"/>
  <c r="V39" i="1"/>
  <c r="F30" i="1"/>
  <c r="AF25" i="1"/>
  <c r="R22" i="1"/>
  <c r="H21" i="1"/>
  <c r="E19" i="1"/>
  <c r="Y18" i="1"/>
  <c r="AB17" i="1"/>
  <c r="P17" i="1"/>
  <c r="E17" i="1"/>
  <c r="AF16" i="1"/>
  <c r="W16" i="1"/>
  <c r="M16" i="1"/>
  <c r="C16" i="1"/>
  <c r="AD15" i="1"/>
  <c r="U15" i="1"/>
  <c r="J15" i="1"/>
  <c r="A15" i="1"/>
  <c r="AF14" i="1"/>
  <c r="V14" i="1"/>
  <c r="M14" i="1"/>
  <c r="D14" i="1"/>
  <c r="AF13" i="1"/>
  <c r="X13" i="1"/>
  <c r="I13" i="1"/>
  <c r="A13" i="1"/>
  <c r="AC12" i="1"/>
  <c r="U12" i="1"/>
  <c r="L12" i="1"/>
  <c r="D12" i="1"/>
  <c r="AF11" i="1"/>
  <c r="X11" i="1"/>
  <c r="P11" i="1"/>
  <c r="F11" i="1"/>
  <c r="AH10" i="1"/>
  <c r="Z10" i="1"/>
  <c r="R10" i="1"/>
  <c r="I10" i="1"/>
  <c r="A10" i="1"/>
  <c r="AC9" i="1"/>
  <c r="U9" i="1"/>
  <c r="L9" i="1"/>
  <c r="D9" i="1"/>
  <c r="AF8" i="1"/>
  <c r="X8" i="1"/>
  <c r="P8" i="1"/>
  <c r="G8" i="1"/>
  <c r="AC7" i="1"/>
  <c r="U7" i="1"/>
  <c r="L7" i="1"/>
  <c r="D7" i="1"/>
  <c r="AJ6" i="1"/>
  <c r="AB6" i="1"/>
  <c r="S6" i="1"/>
  <c r="J6" i="1"/>
  <c r="B6" i="1"/>
  <c r="A55" i="1"/>
  <c r="E46" i="1"/>
  <c r="AJ37" i="1"/>
  <c r="F29" i="1"/>
  <c r="X25" i="1"/>
  <c r="G22" i="1"/>
  <c r="AJ20" i="1"/>
  <c r="Q18" i="1"/>
  <c r="AA17" i="1"/>
  <c r="O17" i="1"/>
  <c r="D17" i="1"/>
  <c r="AE16" i="1"/>
  <c r="V16" i="1"/>
  <c r="K16" i="1"/>
  <c r="B16" i="1"/>
  <c r="AC15" i="1"/>
  <c r="T15" i="1"/>
  <c r="I15" i="1"/>
  <c r="AE14" i="1"/>
  <c r="U14" i="1"/>
  <c r="L14" i="1"/>
  <c r="C14" i="1"/>
  <c r="AE13" i="1"/>
  <c r="V13" i="1"/>
  <c r="H13" i="1"/>
  <c r="AJ12" i="1"/>
  <c r="AB12" i="1"/>
  <c r="T12" i="1"/>
  <c r="K12" i="1"/>
  <c r="C12" i="1"/>
  <c r="AE11" i="1"/>
  <c r="W11" i="1"/>
  <c r="O11" i="1"/>
  <c r="E11" i="1"/>
  <c r="AG10" i="1"/>
  <c r="Y10" i="1"/>
  <c r="Q10" i="1"/>
  <c r="H10" i="1"/>
  <c r="AJ9" i="1"/>
  <c r="AB9" i="1"/>
  <c r="T9" i="1"/>
  <c r="K9" i="1"/>
  <c r="C9" i="1"/>
  <c r="AE8" i="1"/>
  <c r="W8" i="1"/>
  <c r="O8" i="1"/>
  <c r="F8" i="1"/>
  <c r="AJ7" i="1"/>
  <c r="AB7" i="1"/>
  <c r="T7" i="1"/>
  <c r="K7" i="1"/>
  <c r="C7" i="1"/>
  <c r="AI6" i="1"/>
  <c r="AA6" i="1"/>
  <c r="R6" i="1"/>
  <c r="I6" i="1"/>
  <c r="A6" i="1"/>
  <c r="Y52" i="1"/>
  <c r="L36" i="1"/>
  <c r="V27" i="1"/>
  <c r="E25" i="1"/>
  <c r="Z23" i="1"/>
  <c r="T20" i="1"/>
  <c r="AJ17" i="1"/>
  <c r="W17" i="1"/>
  <c r="L17" i="1"/>
  <c r="B17" i="1"/>
  <c r="AB16" i="1"/>
  <c r="S16" i="1"/>
  <c r="I16" i="1"/>
  <c r="AJ15" i="1"/>
  <c r="AA15" i="1"/>
  <c r="R15" i="1"/>
  <c r="G15" i="1"/>
  <c r="AC14" i="1"/>
  <c r="S14" i="1"/>
  <c r="I14" i="1"/>
  <c r="A14" i="1"/>
  <c r="AC13" i="1"/>
  <c r="T13" i="1"/>
  <c r="F13" i="1"/>
  <c r="AH12" i="1"/>
  <c r="Z12" i="1"/>
  <c r="R12" i="1"/>
  <c r="I12" i="1"/>
  <c r="A12" i="1"/>
  <c r="AC11" i="1"/>
  <c r="U11" i="1"/>
  <c r="L11" i="1"/>
  <c r="C11" i="1"/>
  <c r="AE10" i="1"/>
  <c r="W10" i="1"/>
  <c r="O10" i="1"/>
  <c r="F10" i="1"/>
  <c r="AH9" i="1"/>
  <c r="Z9" i="1"/>
  <c r="R9" i="1"/>
  <c r="I9" i="1"/>
  <c r="A9" i="1"/>
  <c r="AC8" i="1"/>
  <c r="U8" i="1"/>
  <c r="L8" i="1"/>
  <c r="D8" i="1"/>
  <c r="AH7" i="1"/>
  <c r="Z7" i="1"/>
  <c r="R7" i="1"/>
  <c r="I7" i="1"/>
  <c r="A7" i="1"/>
  <c r="AG6" i="1"/>
  <c r="Y6" i="1"/>
  <c r="P6" i="1"/>
  <c r="G6" i="1"/>
  <c r="V51" i="1"/>
  <c r="AE44" i="1"/>
  <c r="I35" i="1"/>
  <c r="E27" i="1"/>
  <c r="AG24" i="1"/>
  <c r="Q23" i="1"/>
  <c r="G20" i="1"/>
  <c r="AI17" i="1"/>
  <c r="V17" i="1"/>
  <c r="J17" i="1"/>
  <c r="AJ16" i="1"/>
  <c r="AA16" i="1"/>
  <c r="R16" i="1"/>
  <c r="H16" i="1"/>
  <c r="AI15" i="1"/>
  <c r="Z15" i="1"/>
  <c r="Q15" i="1"/>
  <c r="E15" i="1"/>
  <c r="AJ14" i="1"/>
  <c r="AB14" i="1"/>
  <c r="R14" i="1"/>
  <c r="H14" i="1"/>
  <c r="AJ13" i="1"/>
  <c r="AB13" i="1"/>
  <c r="M13" i="1"/>
  <c r="E13" i="1"/>
  <c r="AG12" i="1"/>
  <c r="Y12" i="1"/>
  <c r="Q12" i="1"/>
  <c r="H12" i="1"/>
  <c r="AJ11" i="1"/>
  <c r="AB11" i="1"/>
  <c r="T11" i="1"/>
  <c r="J11" i="1"/>
  <c r="B11" i="1"/>
  <c r="AD10" i="1"/>
  <c r="V10" i="1"/>
  <c r="M10" i="1"/>
  <c r="E10" i="1"/>
  <c r="AG9" i="1"/>
  <c r="Y9" i="1"/>
  <c r="Q9" i="1"/>
  <c r="H9" i="1"/>
  <c r="AJ8" i="1"/>
  <c r="AB8" i="1"/>
  <c r="T8" i="1"/>
  <c r="K8" i="1"/>
  <c r="C8" i="1"/>
  <c r="AG7" i="1"/>
  <c r="Y7" i="1"/>
  <c r="Q7" i="1"/>
  <c r="H7" i="1"/>
  <c r="AF6" i="1"/>
  <c r="X6" i="1"/>
  <c r="O6" i="1"/>
  <c r="F6" i="1"/>
  <c r="AC53" i="1"/>
  <c r="A16" i="1"/>
  <c r="AD14" i="1"/>
  <c r="AA12" i="1"/>
  <c r="AF10" i="1"/>
  <c r="B9" i="1"/>
  <c r="AI7" i="1"/>
  <c r="AG5" i="1"/>
  <c r="Y5" i="1"/>
  <c r="AF4" i="1"/>
  <c r="X4" i="1"/>
  <c r="AE3" i="1"/>
  <c r="W3" i="1"/>
  <c r="AF2" i="1"/>
  <c r="X2" i="1"/>
  <c r="P2" i="1"/>
  <c r="H2" i="1"/>
  <c r="AE2" i="1"/>
  <c r="O2" i="1"/>
  <c r="L2" i="1"/>
  <c r="S9" i="1"/>
  <c r="Z2" i="1"/>
  <c r="AI12" i="1"/>
  <c r="Y2" i="1"/>
  <c r="AD45" i="1"/>
  <c r="AB20" i="1"/>
  <c r="AB15" i="1"/>
  <c r="T14" i="1"/>
  <c r="S12" i="1"/>
  <c r="X10" i="1"/>
  <c r="AD8" i="1"/>
  <c r="AA7" i="1"/>
  <c r="AF5" i="1"/>
  <c r="X5" i="1"/>
  <c r="AE4" i="1"/>
  <c r="W4" i="1"/>
  <c r="AD3" i="1"/>
  <c r="J3" i="1"/>
  <c r="W2" i="1"/>
  <c r="G2" i="1"/>
  <c r="K2" i="1"/>
  <c r="Y3" i="1"/>
  <c r="AG4" i="1"/>
  <c r="I2" i="1"/>
  <c r="X17" i="1"/>
  <c r="S15" i="1"/>
  <c r="J14" i="1"/>
  <c r="J12" i="1"/>
  <c r="P10" i="1"/>
  <c r="V8" i="1"/>
  <c r="S7" i="1"/>
  <c r="AH6" i="1"/>
  <c r="AE5" i="1"/>
  <c r="W5" i="1"/>
  <c r="AD4" i="1"/>
  <c r="J4" i="1"/>
  <c r="AC3" i="1"/>
  <c r="I3" i="1"/>
  <c r="AD2" i="1"/>
  <c r="V2" i="1"/>
  <c r="N2" i="1"/>
  <c r="F2" i="1"/>
  <c r="AA5" i="1"/>
  <c r="AH2" i="1"/>
  <c r="X3" i="1"/>
  <c r="A2" i="1"/>
  <c r="D28" i="1"/>
  <c r="M17" i="1"/>
  <c r="H15" i="1"/>
  <c r="B14" i="1"/>
  <c r="B12" i="1"/>
  <c r="G10" i="1"/>
  <c r="M8" i="1"/>
  <c r="J7" i="1"/>
  <c r="Z6" i="1"/>
  <c r="AD5" i="1"/>
  <c r="J5" i="1"/>
  <c r="AC4" i="1"/>
  <c r="I4" i="1"/>
  <c r="AB3" i="1"/>
  <c r="C3" i="1"/>
  <c r="AC2" i="1"/>
  <c r="U2" i="1"/>
  <c r="M2" i="1"/>
  <c r="E2" i="1"/>
  <c r="C2" i="1"/>
  <c r="AG3" i="1"/>
  <c r="J2" i="1"/>
  <c r="J16" i="1"/>
  <c r="Y4" i="1"/>
  <c r="M25" i="1"/>
  <c r="H18" i="1"/>
  <c r="C17" i="1"/>
  <c r="AD13" i="1"/>
  <c r="AD11" i="1"/>
  <c r="AI9" i="1"/>
  <c r="E8" i="1"/>
  <c r="B7" i="1"/>
  <c r="Q6" i="1"/>
  <c r="AC5" i="1"/>
  <c r="I5" i="1"/>
  <c r="AB4" i="1"/>
  <c r="C4" i="1"/>
  <c r="AA3" i="1"/>
  <c r="AJ2" i="1"/>
  <c r="AB2" i="1"/>
  <c r="T2" i="1"/>
  <c r="D2" i="1"/>
  <c r="R2" i="1"/>
  <c r="D11" i="1"/>
  <c r="AJ5" i="1"/>
  <c r="AG2" i="1"/>
  <c r="AD16" i="1"/>
  <c r="U13" i="1"/>
  <c r="V11" i="1"/>
  <c r="AA9" i="1"/>
  <c r="H6" i="1"/>
  <c r="AB5" i="1"/>
  <c r="C5" i="1"/>
  <c r="AA4" i="1"/>
  <c r="AJ3" i="1"/>
  <c r="Z3" i="1"/>
  <c r="AI2" i="1"/>
  <c r="AA2" i="1"/>
  <c r="S2" i="1"/>
  <c r="Z4" i="1"/>
  <c r="Z5" i="1"/>
  <c r="Q2" i="1"/>
  <c r="AH23" i="1"/>
  <c r="T16" i="1"/>
  <c r="G13" i="1"/>
  <c r="M11" i="1"/>
  <c r="AJ4" i="1"/>
  <c r="B2" i="1"/>
  <c r="J9" i="1"/>
  <c r="AF3" i="1"/>
</calcChain>
</file>

<file path=xl/sharedStrings.xml><?xml version="1.0" encoding="utf-8"?>
<sst xmlns="http://schemas.openxmlformats.org/spreadsheetml/2006/main" count="36" uniqueCount="36">
  <si>
    <t>numb</t>
  </si>
  <si>
    <t>id</t>
  </si>
  <si>
    <t>name</t>
  </si>
  <si>
    <t>reason</t>
  </si>
  <si>
    <t>year_plan_st</t>
  </si>
  <si>
    <t>kvartal</t>
  </si>
  <si>
    <t>kind_tz</t>
  </si>
  <si>
    <t>stage</t>
  </si>
  <si>
    <t>numb_ret_depir</t>
  </si>
  <si>
    <t>numb_ret_oiv</t>
  </si>
  <si>
    <t>executor_ac</t>
  </si>
  <si>
    <t>teamleader</t>
  </si>
  <si>
    <t>deputy</t>
  </si>
  <si>
    <t>executor_depir</t>
  </si>
  <si>
    <t>contract</t>
  </si>
  <si>
    <t>pcp</t>
  </si>
  <si>
    <t>criteria</t>
  </si>
  <si>
    <t>f2</t>
  </si>
  <si>
    <t>method</t>
  </si>
  <si>
    <t>tegs</t>
  </si>
  <si>
    <t>ktd</t>
  </si>
  <si>
    <t>created_date</t>
  </si>
  <si>
    <t>time_plan</t>
  </si>
  <si>
    <t>time_rev_oiv</t>
  </si>
  <si>
    <t>time_rev_depir</t>
  </si>
  <si>
    <t>time_vn_sogl</t>
  </si>
  <si>
    <t>time_depir</t>
  </si>
  <si>
    <t>time_oiv</t>
  </si>
  <si>
    <t>time_prep_rg</t>
  </si>
  <si>
    <t>time_rg</t>
  </si>
  <si>
    <t>time_mrg</t>
  </si>
  <si>
    <t>time_eaist</t>
  </si>
  <si>
    <t>date_rg</t>
  </si>
  <si>
    <t>date_end</t>
  </si>
  <si>
    <t>duration</t>
  </si>
  <si>
    <t>time_ac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</si>
</sst>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.mm"/>
    <numFmt numFmtId="165" formatCode="yyyy\-mm\-dd\ h:mm:ss"/>
    <numFmt numFmtId="166" formatCode="d\.m"/>
  </numFmts>
  <fonts count="4" x14ac:knownFonts="1">
    <font>
      <sz val="10"/>
      <color rgb="FF000000"/>
      <name val="Arial"/>
      <scheme val="minor"/>
    </font>
    <font>
      <b/>
      <sz val="12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</cellXfs>
  <cellStyles count="1">
    <cellStyle name="Обычный" xfId="0" builtinId="0"/>
  </cellStyles>
  <dxfs count="42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Лист1-style" pivot="0" count="3" xr9:uid="{00000000-0011-0000-FFFF-FFFF00000000}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J182" headerRowDxfId="38" totalsRowDxfId="36" headerRowBorderDxfId="37">
  <autoFilter ref="A1:AJ182" xr:uid="{00000000-0009-0000-0100-000001000000}"/>
  <tableColumns count="36">
    <tableColumn id="1" xr3:uid="{00000000-0010-0000-0000-000001000000}" name="numb" dataDxfId="35"/>
    <tableColumn id="2" xr3:uid="{00000000-0010-0000-0000-000002000000}" name="id" dataDxfId="34"/>
    <tableColumn id="3" xr3:uid="{00000000-0010-0000-0000-000003000000}" name="name" dataDxfId="33"/>
    <tableColumn id="4" xr3:uid="{00000000-0010-0000-0000-000004000000}" name="reason" dataDxfId="32"/>
    <tableColumn id="5" xr3:uid="{00000000-0010-0000-0000-000005000000}" name="year_plan_st" dataDxfId="31"/>
    <tableColumn id="6" xr3:uid="{00000000-0010-0000-0000-000006000000}" name="kvartal" dataDxfId="30"/>
    <tableColumn id="7" xr3:uid="{00000000-0010-0000-0000-000007000000}" name="kind_tz" dataDxfId="29"/>
    <tableColumn id="8" xr3:uid="{00000000-0010-0000-0000-000008000000}" name="stage" dataDxfId="28"/>
    <tableColumn id="11" xr3:uid="{00000000-0010-0000-0000-00000B000000}" name="numb_ret_depir" dataDxfId="27"/>
    <tableColumn id="13" xr3:uid="{00000000-0010-0000-0000-00000D000000}" name="numb_ret_oiv" dataDxfId="26"/>
    <tableColumn id="17" xr3:uid="{00000000-0010-0000-0000-000011000000}" name="executor_ac" dataDxfId="25"/>
    <tableColumn id="18" xr3:uid="{00000000-0010-0000-0000-000012000000}" name="teamleader" dataDxfId="24"/>
    <tableColumn id="19" xr3:uid="{00000000-0010-0000-0000-000013000000}" name="deputy" dataDxfId="23"/>
    <tableColumn id="20" xr3:uid="{00000000-0010-0000-0000-000014000000}" name="executor_depir" dataDxfId="22"/>
    <tableColumn id="21" xr3:uid="{00000000-0010-0000-0000-000015000000}" name="contract" dataDxfId="21"/>
    <tableColumn id="22" xr3:uid="{00000000-0010-0000-0000-000016000000}" name="pcp" dataDxfId="20"/>
    <tableColumn id="23" xr3:uid="{00000000-0010-0000-0000-000017000000}" name="criteria" dataDxfId="19"/>
    <tableColumn id="24" xr3:uid="{00000000-0010-0000-0000-000018000000}" name="f2" dataDxfId="18"/>
    <tableColumn id="25" xr3:uid="{00000000-0010-0000-0000-000019000000}" name="method" dataDxfId="17"/>
    <tableColumn id="26" xr3:uid="{00000000-0010-0000-0000-00001A000000}" name="tegs" dataDxfId="16"/>
    <tableColumn id="28" xr3:uid="{00000000-0010-0000-0000-00001C000000}" name="ktd" dataDxfId="15"/>
    <tableColumn id="30" xr3:uid="{00000000-0010-0000-0000-00001E000000}" name="created_date" dataDxfId="14"/>
    <tableColumn id="31" xr3:uid="{00000000-0010-0000-0000-00001F000000}" name="time_plan" dataDxfId="13"/>
    <tableColumn id="33" xr3:uid="{00000000-0010-0000-0000-000021000000}" name="time_ac" dataDxfId="0"/>
    <tableColumn id="35" xr3:uid="{00000000-0010-0000-0000-000023000000}" name="time_rev_oiv" dataDxfId="12"/>
    <tableColumn id="37" xr3:uid="{00000000-0010-0000-0000-000025000000}" name="time_rev_depir" dataDxfId="11"/>
    <tableColumn id="39" xr3:uid="{00000000-0010-0000-0000-000027000000}" name="time_vn_sogl" dataDxfId="10"/>
    <tableColumn id="41" xr3:uid="{00000000-0010-0000-0000-000029000000}" name="time_depir" dataDxfId="9"/>
    <tableColumn id="43" xr3:uid="{00000000-0010-0000-0000-00002B000000}" name="time_oiv" dataDxfId="8"/>
    <tableColumn id="45" xr3:uid="{00000000-0010-0000-0000-00002D000000}" name="time_prep_rg" dataDxfId="7"/>
    <tableColumn id="47" xr3:uid="{00000000-0010-0000-0000-00002F000000}" name="time_rg" dataDxfId="6"/>
    <tableColumn id="49" xr3:uid="{00000000-0010-0000-0000-000031000000}" name="time_mrg" dataDxfId="5"/>
    <tableColumn id="51" xr3:uid="{00000000-0010-0000-0000-000033000000}" name="time_eaist" dataDxfId="4"/>
    <tableColumn id="53" xr3:uid="{00000000-0010-0000-0000-000035000000}" name="date_rg" dataDxfId="3"/>
    <tableColumn id="54" xr3:uid="{00000000-0010-0000-0000-000036000000}" name="date_end" dataDxfId="2"/>
    <tableColumn id="55" xr3:uid="{00000000-0010-0000-0000-000037000000}" name="duration" dataDxfId="1"/>
  </tableColumns>
  <tableStyleInfo name="Лист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53"/>
  <sheetViews>
    <sheetView tabSelected="1" topLeftCell="L1" zoomScaleNormal="100" workbookViewId="0">
      <selection activeCell="AB9" sqref="AB9"/>
    </sheetView>
  </sheetViews>
  <sheetFormatPr defaultColWidth="12.5703125" defaultRowHeight="15.75" customHeight="1" x14ac:dyDescent="0.2"/>
  <cols>
    <col min="1" max="1" width="7.42578125" customWidth="1"/>
    <col min="3" max="3" width="32.140625" customWidth="1"/>
    <col min="8" max="8" width="12.140625" customWidth="1"/>
    <col min="10" max="10" width="12.7109375" bestFit="1" customWidth="1"/>
    <col min="11" max="11" width="13.7109375" customWidth="1"/>
    <col min="12" max="12" width="15.42578125" customWidth="1"/>
    <col min="13" max="13" width="15.28515625" customWidth="1"/>
    <col min="19" max="19" width="15.140625" customWidth="1"/>
    <col min="20" max="20" width="12.7109375" bestFit="1" customWidth="1"/>
    <col min="22" max="22" width="20.85546875" bestFit="1" customWidth="1"/>
    <col min="24" max="24" width="12.5703125" style="19"/>
    <col min="25" max="26" width="12.7109375" bestFit="1" customWidth="1"/>
    <col min="29" max="29" width="12.7109375" bestFit="1" customWidth="1"/>
    <col min="30" max="30" width="14.85546875" customWidth="1"/>
    <col min="35" max="35" width="15.85546875" customWidth="1"/>
    <col min="36" max="36" width="15.140625" customWidth="1"/>
  </cols>
  <sheetData>
    <row r="1" spans="1:36" ht="39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35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</row>
    <row r="2" spans="1:36" ht="78.75" x14ac:dyDescent="0.2">
      <c r="A2" s="6" t="str">
        <f ca="1">IFERROR(__xludf.DUMMYFUNCTION("IMPORTHTML(""http://youtrack-issues.bex.su/"",""table"",1)"),"№")</f>
        <v>№</v>
      </c>
      <c r="B2" s="6" t="str">
        <f ca="1">IFERROR(__xludf.DUMMYFUNCTION("""COMPUTED_VALUE"""),"ID задачи")</f>
        <v>ID задачи</v>
      </c>
      <c r="C2" s="6" t="str">
        <f ca="1">IFERROR(__xludf.DUMMYFUNCTION("""COMPUTED_VALUE"""),"Заголовок")</f>
        <v>Заголовок</v>
      </c>
      <c r="D2" s="6" t="str">
        <f ca="1">IFERROR(__xludf.DUMMYFUNCTION("""COMPUTED_VALUE"""),"Основание")</f>
        <v>Основание</v>
      </c>
      <c r="E2" s="6" t="str">
        <f ca="1">IFERROR(__xludf.DUMMYFUNCTION("""COMPUTED_VALUE"""),"План по стандартизации")</f>
        <v>План по стандартизации</v>
      </c>
      <c r="F2" s="6" t="str">
        <f ca="1">IFERROR(__xludf.DUMMYFUNCTION("""COMPUTED_VALUE"""),"Квартал")</f>
        <v>Квартал</v>
      </c>
      <c r="G2" s="6" t="str">
        <f ca="1">IFERROR(__xludf.DUMMYFUNCTION("""COMPUTED_VALUE"""),"Вид ТЗ")</f>
        <v>Вид ТЗ</v>
      </c>
      <c r="H2" s="6" t="str">
        <f ca="1">IFERROR(__xludf.DUMMYFUNCTION("""COMPUTED_VALUE"""),"Stage")</f>
        <v>Stage</v>
      </c>
      <c r="I2" s="6" t="str">
        <f ca="1">IFERROR(__xludf.DUMMYFUNCTION("""COMPUTED_VALUE"""),"Количество возвратов от ДЭПиР")</f>
        <v>Количество возвратов от ДЭПиР</v>
      </c>
      <c r="J2" s="6" t="str">
        <f ca="1">IFERROR(__xludf.DUMMYFUNCTION("""COMPUTED_VALUE"""),"Количество возвратов от ОИВ")</f>
        <v>Количество возвратов от ОИВ</v>
      </c>
      <c r="K2" s="6" t="str">
        <f ca="1">IFERROR(__xludf.DUMMYFUNCTION("""COMPUTED_VALUE"""),"Исполнитель")</f>
        <v>Исполнитель</v>
      </c>
      <c r="L2" s="6" t="str">
        <f ca="1">IFERROR(__xludf.DUMMYFUNCTION("""COMPUTED_VALUE"""),"Руководитель группы")</f>
        <v>Руководитель группы</v>
      </c>
      <c r="M2" s="6" t="str">
        <f ca="1">IFERROR(__xludf.DUMMYFUNCTION("""COMPUTED_VALUE"""),"Курирующий заместитель руководителя ПО")</f>
        <v>Курирующий заместитель руководителя ПО</v>
      </c>
      <c r="N2" s="6" t="str">
        <f ca="1">IFERROR(__xludf.DUMMYFUNCTION("""COMPUTED_VALUE"""),"Исполнитель ДЭПиР")</f>
        <v>Исполнитель ДЭПиР</v>
      </c>
      <c r="O2" s="6" t="str">
        <f ca="1">IFERROR(__xludf.DUMMYFUNCTION("""COMPUTED_VALUE"""),"Контракт")</f>
        <v>Контракт</v>
      </c>
      <c r="P2" s="6" t="str">
        <f ca="1">IFERROR(__xludf.DUMMYFUNCTION("""COMPUTED_VALUE"""),"ПЦП")</f>
        <v>ПЦП</v>
      </c>
      <c r="Q2" s="6" t="str">
        <f ca="1">IFERROR(__xludf.DUMMYFUNCTION("""COMPUTED_VALUE"""),"Критерии оценки")</f>
        <v>Критерии оценки</v>
      </c>
      <c r="R2" s="6" t="str">
        <f ca="1">IFERROR(__xludf.DUMMYFUNCTION("""COMPUTED_VALUE"""),"Форма 2")</f>
        <v>Форма 2</v>
      </c>
      <c r="S2" s="6" t="str">
        <f ca="1">IFERROR(__xludf.DUMMYFUNCTION("""COMPUTED_VALUE"""),"Способы определения поставщика (подрядчика, исполнителя)")</f>
        <v>Способы определения поставщика (подрядчика, исполнителя)</v>
      </c>
      <c r="T2" s="6" t="str">
        <f ca="1">IFERROR(__xludf.DUMMYFUNCTION("""COMPUTED_VALUE"""),"Теги")</f>
        <v>Теги</v>
      </c>
      <c r="U2" s="6" t="str">
        <f ca="1">IFERROR(__xludf.DUMMYFUNCTION("""COMPUTED_VALUE"""),"КТД")</f>
        <v>КТД</v>
      </c>
      <c r="V2" s="6" t="str">
        <f ca="1">IFERROR(__xludf.DUMMYFUNCTION("""COMPUTED_VALUE"""),"Дата создания")</f>
        <v>Дата создания</v>
      </c>
      <c r="W2" s="6" t="str">
        <f ca="1">IFERROR(__xludf.DUMMYFUNCTION("""COMPUTED_VALUE"""),"Время нахождения в статусе ""Запланировано""")</f>
        <v>Время нахождения в статусе "Запланировано"</v>
      </c>
      <c r="X2" s="14" t="str">
        <f ca="1">IFERROR(__xludf.DUMMYFUNCTION("""COMPUTED_VALUE"""),"Время нахождения в статусе ""В работе АЦ""")</f>
        <v>Время нахождения в статусе "В работе АЦ"</v>
      </c>
      <c r="Y2" s="6" t="str">
        <f ca="1">IFERROR(__xludf.DUMMYFUNCTION("""COMPUTED_VALUE"""),"Время нахождения в статусе ""Доработка ОИВ""")</f>
        <v>Время нахождения в статусе "Доработка ОИВ"</v>
      </c>
      <c r="Z2" s="6" t="str">
        <f ca="1">IFERROR(__xludf.DUMMYFUNCTION("""COMPUTED_VALUE"""),"Время нахождения в статусе ""Доработка ДЭПиР""")</f>
        <v>Время нахождения в статусе "Доработка ДЭПиР"</v>
      </c>
      <c r="AA2" s="6" t="str">
        <f ca="1">IFERROR(__xludf.DUMMYFUNCTION("""COMPUTED_VALUE"""),"Время нахождения в статусе ""Внут. согл.""")</f>
        <v>Время нахождения в статусе "Внут. согл."</v>
      </c>
      <c r="AB2" s="6" t="str">
        <f ca="1">IFERROR(__xludf.DUMMYFUNCTION("""COMPUTED_VALUE"""),"Время нахождения в статусе ""В ДЭПиР""")</f>
        <v>Время нахождения в статусе "В ДЭПиР"</v>
      </c>
      <c r="AC2" s="6" t="str">
        <f ca="1">IFERROR(__xludf.DUMMYFUNCTION("""COMPUTED_VALUE"""),"Время нахождения в статусе ""На согл. в ОИВ""")</f>
        <v>Время нахождения в статусе "На согл. в ОИВ"</v>
      </c>
      <c r="AD2" s="6" t="str">
        <f ca="1">IFERROR(__xludf.DUMMYFUNCTION("""COMPUTED_VALUE"""),"Время нахождения в статусе ""Подготовка к РГ""")</f>
        <v>Время нахождения в статусе "Подготовка к РГ"</v>
      </c>
      <c r="AE2" s="6" t="str">
        <f ca="1">IFERROR(__xludf.DUMMYFUNCTION("""COMPUTED_VALUE"""),"Время нахождения в статусе ""РГ""")</f>
        <v>Время нахождения в статусе "РГ"</v>
      </c>
      <c r="AF2" s="6" t="str">
        <f ca="1">IFERROR(__xludf.DUMMYFUNCTION("""COMPUTED_VALUE"""),"Время нахождения в статусе ""МРГ""")</f>
        <v>Время нахождения в статусе "МРГ"</v>
      </c>
      <c r="AG2" s="6" t="str">
        <f ca="1">IFERROR(__xludf.DUMMYFUNCTION("""COMPUTED_VALUE"""),"Время нахождения в статусе ""Загрузка в ЕАИСТ""")</f>
        <v>Время нахождения в статусе "Загрузка в ЕАИСТ"</v>
      </c>
      <c r="AH2" s="6" t="str">
        <f ca="1">IFERROR(__xludf.DUMMYFUNCTION("""COMPUTED_VALUE"""),"Дата присвоения статуса ""РГ""")</f>
        <v>Дата присвоения статуса "РГ"</v>
      </c>
      <c r="AI2" s="6" t="str">
        <f ca="1">IFERROR(__xludf.DUMMYFUNCTION("""COMPUTED_VALUE"""),"Дата присвоения статуса ""Завершено""")</f>
        <v>Дата присвоения статуса "Завершено"</v>
      </c>
      <c r="AJ2" s="6" t="str">
        <f ca="1">IFERROR(__xludf.DUMMYFUNCTION("""COMPUTED_VALUE"""),"Длительность")</f>
        <v>Длительность</v>
      </c>
    </row>
    <row r="3" spans="1:36" x14ac:dyDescent="0.2">
      <c r="A3" s="2"/>
      <c r="B3" s="2"/>
      <c r="C3" s="3" t="str">
        <f ca="1">IFERROR(__xludf.DUMMYFUNCTION("""COMPUTED_VALUE"""),"Среднее арифметическое")</f>
        <v>Среднее арифметическое</v>
      </c>
      <c r="D3" s="4"/>
      <c r="E3" s="4"/>
      <c r="F3" s="4"/>
      <c r="G3" s="4"/>
      <c r="H3" s="4"/>
      <c r="I3" s="4" t="str">
        <f ca="1">IFERROR(__xludf.DUMMYFUNCTION("""COMPUTED_VALUE"""),"2.85")</f>
        <v>2.85</v>
      </c>
      <c r="J3" s="4" t="str">
        <f ca="1">IFERROR(__xludf.DUMMYFUNCTION("""COMPUTED_VALUE"""),"1.34")</f>
        <v>1.34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tr">
        <f ca="1">IFERROR(__xludf.DUMMYFUNCTION("""COMPUTED_VALUE"""),"49.73")</f>
        <v>49.73</v>
      </c>
      <c r="X3" s="15" t="str">
        <f ca="1">IFERROR(__xludf.DUMMYFUNCTION("""COMPUTED_VALUE"""),"16.88")</f>
        <v>16.88</v>
      </c>
      <c r="Y3" s="4" t="str">
        <f ca="1">IFERROR(__xludf.DUMMYFUNCTION("""COMPUTED_VALUE"""),"8.77")</f>
        <v>8.77</v>
      </c>
      <c r="Z3" s="5">
        <f ca="1">IFERROR(__xludf.DUMMYFUNCTION("""COMPUTED_VALUE"""),44687)</f>
        <v>44687</v>
      </c>
      <c r="AA3" s="4" t="str">
        <f ca="1">IFERROR(__xludf.DUMMYFUNCTION("""COMPUTED_VALUE"""),"2.23")</f>
        <v>2.23</v>
      </c>
      <c r="AB3" s="4" t="str">
        <f ca="1">IFERROR(__xludf.DUMMYFUNCTION("""COMPUTED_VALUE"""),"34.59")</f>
        <v>34.59</v>
      </c>
      <c r="AC3" s="4" t="str">
        <f ca="1">IFERROR(__xludf.DUMMYFUNCTION("""COMPUTED_VALUE"""),"21.94")</f>
        <v>21.94</v>
      </c>
      <c r="AD3" s="4" t="str">
        <f ca="1">IFERROR(__xludf.DUMMYFUNCTION("""COMPUTED_VALUE"""),"12.35")</f>
        <v>12.35</v>
      </c>
      <c r="AE3" s="5">
        <f ca="1">IFERROR(__xludf.DUMMYFUNCTION("""COMPUTED_VALUE"""),44569)</f>
        <v>44569</v>
      </c>
      <c r="AF3" s="4" t="str">
        <f ca="1">IFERROR(__xludf.DUMMYFUNCTION("""COMPUTED_VALUE"""),"0.86")</f>
        <v>0.86</v>
      </c>
      <c r="AG3" s="4" t="str">
        <f ca="1">IFERROR(__xludf.DUMMYFUNCTION("""COMPUTED_VALUE"""),"8.59")</f>
        <v>8.59</v>
      </c>
      <c r="AH3" s="4"/>
      <c r="AI3" s="4"/>
      <c r="AJ3" s="4" t="str">
        <f ca="1">IFERROR(__xludf.DUMMYFUNCTION("""COMPUTED_VALUE"""),"119.83")</f>
        <v>119.83</v>
      </c>
    </row>
    <row r="4" spans="1:36" x14ac:dyDescent="0.2">
      <c r="A4" s="2"/>
      <c r="B4" s="2"/>
      <c r="C4" s="3" t="str">
        <f ca="1">IFERROR(__xludf.DUMMYFUNCTION("""COMPUTED_VALUE"""),"Среднеквадратическое отклонение")</f>
        <v>Среднеквадратическое отклонение</v>
      </c>
      <c r="D4" s="4"/>
      <c r="E4" s="4"/>
      <c r="F4" s="4"/>
      <c r="G4" s="4"/>
      <c r="H4" s="4"/>
      <c r="I4" s="4" t="str">
        <f ca="1">IFERROR(__xludf.DUMMYFUNCTION("""COMPUTED_VALUE"""),"2.76")</f>
        <v>2.76</v>
      </c>
      <c r="J4" s="4" t="str">
        <f ca="1">IFERROR(__xludf.DUMMYFUNCTION("""COMPUTED_VALUE"""),"1.22")</f>
        <v>1.22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 t="str">
        <f ca="1">IFERROR(__xludf.DUMMYFUNCTION("""COMPUTED_VALUE"""),"73.41")</f>
        <v>73.41</v>
      </c>
      <c r="X4" s="15" t="str">
        <f ca="1">IFERROR(__xludf.DUMMYFUNCTION("""COMPUTED_VALUE"""),"20.62")</f>
        <v>20.62</v>
      </c>
      <c r="Y4" s="4" t="str">
        <f ca="1">IFERROR(__xludf.DUMMYFUNCTION("""COMPUTED_VALUE"""),"13.43")</f>
        <v>13.43</v>
      </c>
      <c r="Z4" s="4" t="str">
        <f ca="1">IFERROR(__xludf.DUMMYFUNCTION("""COMPUTED_VALUE"""),"7.85")</f>
        <v>7.85</v>
      </c>
      <c r="AA4" s="4" t="str">
        <f ca="1">IFERROR(__xludf.DUMMYFUNCTION("""COMPUTED_VALUE"""),"4.81")</f>
        <v>4.81</v>
      </c>
      <c r="AB4" s="4" t="str">
        <f ca="1">IFERROR(__xludf.DUMMYFUNCTION("""COMPUTED_VALUE"""),"31.38")</f>
        <v>31.38</v>
      </c>
      <c r="AC4" s="5">
        <f ca="1">IFERROR(__xludf.DUMMYFUNCTION("""COMPUTED_VALUE"""),44773)</f>
        <v>44773</v>
      </c>
      <c r="AD4" s="4" t="str">
        <f ca="1">IFERROR(__xludf.DUMMYFUNCTION("""COMPUTED_VALUE"""),"11.65")</f>
        <v>11.65</v>
      </c>
      <c r="AE4" s="4" t="str">
        <f ca="1">IFERROR(__xludf.DUMMYFUNCTION("""COMPUTED_VALUE"""),"7.64")</f>
        <v>7.64</v>
      </c>
      <c r="AF4" s="4" t="str">
        <f ca="1">IFERROR(__xludf.DUMMYFUNCTION("""COMPUTED_VALUE"""),"1.27")</f>
        <v>1.27</v>
      </c>
      <c r="AG4" s="4" t="str">
        <f ca="1">IFERROR(__xludf.DUMMYFUNCTION("""COMPUTED_VALUE"""),"25.24")</f>
        <v>25.24</v>
      </c>
      <c r="AH4" s="4"/>
      <c r="AI4" s="4"/>
      <c r="AJ4" s="4" t="str">
        <f ca="1">IFERROR(__xludf.DUMMYFUNCTION("""COMPUTED_VALUE"""),"82.61")</f>
        <v>82.61</v>
      </c>
    </row>
    <row r="5" spans="1:36" x14ac:dyDescent="0.2">
      <c r="A5" s="2"/>
      <c r="B5" s="2"/>
      <c r="C5" s="3" t="str">
        <f ca="1">IFERROR(__xludf.DUMMYFUNCTION("""COMPUTED_VALUE"""),"Размах")</f>
        <v>Размах</v>
      </c>
      <c r="D5" s="4"/>
      <c r="E5" s="4"/>
      <c r="F5" s="4"/>
      <c r="G5" s="4"/>
      <c r="H5" s="4"/>
      <c r="I5" s="4">
        <f ca="1">IFERROR(__xludf.DUMMYFUNCTION("""COMPUTED_VALUE"""),17)</f>
        <v>17</v>
      </c>
      <c r="J5" s="4">
        <f ca="1">IFERROR(__xludf.DUMMYFUNCTION("""COMPUTED_VALUE"""),7)</f>
        <v>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 t="str">
        <f ca="1">IFERROR(__xludf.DUMMYFUNCTION("""COMPUTED_VALUE"""),"342.18")</f>
        <v>342.18</v>
      </c>
      <c r="X5" s="15" t="str">
        <f ca="1">IFERROR(__xludf.DUMMYFUNCTION("""COMPUTED_VALUE"""),"99.95")</f>
        <v>99.95</v>
      </c>
      <c r="Y5" s="4" t="str">
        <f ca="1">IFERROR(__xludf.DUMMYFUNCTION("""COMPUTED_VALUE"""),"117.66")</f>
        <v>117.66</v>
      </c>
      <c r="Z5" s="4" t="str">
        <f ca="1">IFERROR(__xludf.DUMMYFUNCTION("""COMPUTED_VALUE"""),"52.82")</f>
        <v>52.82</v>
      </c>
      <c r="AA5" s="4" t="str">
        <f ca="1">IFERROR(__xludf.DUMMYFUNCTION("""COMPUTED_VALUE"""),"44.66")</f>
        <v>44.66</v>
      </c>
      <c r="AB5" s="4" t="str">
        <f ca="1">IFERROR(__xludf.DUMMYFUNCTION("""COMPUTED_VALUE"""),"161.51")</f>
        <v>161.51</v>
      </c>
      <c r="AC5" s="4" t="str">
        <f ca="1">IFERROR(__xludf.DUMMYFUNCTION("""COMPUTED_VALUE"""),"255.65")</f>
        <v>255.65</v>
      </c>
      <c r="AD5" s="4" t="str">
        <f ca="1">IFERROR(__xludf.DUMMYFUNCTION("""COMPUTED_VALUE"""),"45.11")</f>
        <v>45.11</v>
      </c>
      <c r="AE5" s="4" t="str">
        <f ca="1">IFERROR(__xludf.DUMMYFUNCTION("""COMPUTED_VALUE"""),"30.43")</f>
        <v>30.43</v>
      </c>
      <c r="AF5" s="4" t="str">
        <f ca="1">IFERROR(__xludf.DUMMYFUNCTION("""COMPUTED_VALUE"""),"5.95")</f>
        <v>5.95</v>
      </c>
      <c r="AG5" s="4" t="str">
        <f ca="1">IFERROR(__xludf.DUMMYFUNCTION("""COMPUTED_VALUE"""),"222.79")</f>
        <v>222.79</v>
      </c>
      <c r="AH5" s="4"/>
      <c r="AI5" s="4"/>
      <c r="AJ5" s="4">
        <f ca="1">IFERROR(__xludf.DUMMYFUNCTION("""COMPUTED_VALUE"""),451)</f>
        <v>451</v>
      </c>
    </row>
    <row r="6" spans="1:36" ht="126" x14ac:dyDescent="0.2">
      <c r="A6" s="7">
        <f ca="1">IFERROR(__xludf.DUMMYFUNCTION("""COMPUTED_VALUE"""),17)</f>
        <v>17</v>
      </c>
      <c r="B6" s="7" t="str">
        <f ca="1">IFERROR(__xludf.DUMMYFUNCTION("""COMPUTED_VALUE"""),"FR-20")</f>
        <v>FR-20</v>
      </c>
      <c r="C6" s="9" t="str">
        <f ca="1">IFERROR(__xludf.DUMMYFUNCTION("""COMPUTED_VALUE"""),"Оказание услуг по перевозке грузов, за исключением продуктов питания")</f>
        <v>Оказание услуг по перевозке грузов, за исключением продуктов питания</v>
      </c>
      <c r="D6" s="7" t="str">
        <f ca="1">IFERROR(__xludf.DUMMYFUNCTION("""COMPUTED_VALUE"""),"План по стандартизации")</f>
        <v>План по стандартизации</v>
      </c>
      <c r="E6" s="7">
        <f ca="1">IFERROR(__xludf.DUMMYFUNCTION("""COMPUTED_VALUE"""),2020)</f>
        <v>2020</v>
      </c>
      <c r="F6" s="7">
        <f ca="1">IFERROR(__xludf.DUMMYFUNCTION("""COMPUTED_VALUE"""),2)</f>
        <v>2</v>
      </c>
      <c r="G6" s="7" t="str">
        <f ca="1">IFERROR(__xludf.DUMMYFUNCTION("""COMPUTED_VALUE"""),"ТТЗ")</f>
        <v>ТТЗ</v>
      </c>
      <c r="H6" s="7" t="str">
        <f ca="1">IFERROR(__xludf.DUMMYFUNCTION("""COMPUTED_VALUE"""),"Завершено")</f>
        <v>Завершено</v>
      </c>
      <c r="I6" s="7">
        <f ca="1">IFERROR(__xludf.DUMMYFUNCTION("""COMPUTED_VALUE"""),5)</f>
        <v>5</v>
      </c>
      <c r="J6" s="7">
        <f ca="1">IFERROR(__xludf.DUMMYFUNCTION("""COMPUTED_VALUE"""),1)</f>
        <v>1</v>
      </c>
      <c r="K6" s="7" t="str">
        <f ca="1">IFERROR(__xludf.DUMMYFUNCTION("""COMPUTED_VALUE"""),"Коровина Анна Анатольевна / Степанян Марк Маратович")</f>
        <v>Коровина Анна Анатольевна / Степанян Марк Маратович</v>
      </c>
      <c r="L6" s="7" t="str">
        <f ca="1">IFERROR(__xludf.DUMMYFUNCTION("""COMPUTED_VALUE"""),"Осипенкова Елена Владимировна")</f>
        <v>Осипенкова Елена Владимировна</v>
      </c>
      <c r="M6" s="7" t="str">
        <f ca="1">IFERROR(__xludf.DUMMYFUNCTION("""COMPUTED_VALUE"""),"Чурсина Мария Вячеславовна")</f>
        <v>Чурсина Мария Вячеславовна</v>
      </c>
      <c r="N6" s="7"/>
      <c r="O6" s="7" t="str">
        <f ca="1">IFERROR(__xludf.DUMMYFUNCTION("""COMPUTED_VALUE"""),"Типовой")</f>
        <v>Типовой</v>
      </c>
      <c r="P6" s="7" t="str">
        <f ca="1">IFERROR(__xludf.DUMMYFUNCTION("""COMPUTED_VALUE"""),"Нет")</f>
        <v>Нет</v>
      </c>
      <c r="Q6" s="7" t="str">
        <f ca="1">IFERROR(__xludf.DUMMYFUNCTION("""COMPUTED_VALUE"""),"Нет")</f>
        <v>Нет</v>
      </c>
      <c r="R6" s="7" t="str">
        <f ca="1">IFERROR(__xludf.DUMMYFUNCTION("""COMPUTED_VALUE"""),"Нет")</f>
        <v>Нет</v>
      </c>
      <c r="S6" s="7" t="str">
        <f ca="1">IFERROR(__xludf.DUMMYFUNCTION("""COMPUTED_VALUE"""),"Электронный аукцион")</f>
        <v>Электронный аукцион</v>
      </c>
      <c r="T6" s="7" t="str">
        <f ca="1">IFERROR(__xludf.DUMMYFUNCTION("""COMPUTED_VALUE"""),"Полностью YouTrackная")</f>
        <v>Полностью YouTrackная</v>
      </c>
      <c r="U6" s="7" t="str">
        <f ca="1">IFERROR(__xludf.DUMMYFUNCTION("""COMPUTED_VALUE"""),"Оказание услуг по перевозке грузов, за исключением продуктов питания")</f>
        <v>Оказание услуг по перевозке грузов, за исключением продуктов питания</v>
      </c>
      <c r="V6" s="10">
        <f ca="1">IFERROR(__xludf.DUMMYFUNCTION("""COMPUTED_VALUE"""),43963.6988773148)</f>
        <v>43963.698877314797</v>
      </c>
      <c r="W6" s="7"/>
      <c r="X6" s="16" t="str">
        <f ca="1">IFERROR(__xludf.DUMMYFUNCTION("""COMPUTED_VALUE"""),"19.66")</f>
        <v>19.66</v>
      </c>
      <c r="Y6" s="7" t="str">
        <f ca="1">IFERROR(__xludf.DUMMYFUNCTION("""COMPUTED_VALUE"""),"11.32")</f>
        <v>11.32</v>
      </c>
      <c r="Z6" s="7" t="str">
        <f ca="1">IFERROR(__xludf.DUMMYFUNCTION("""COMPUTED_VALUE"""),"27.18")</f>
        <v>27.18</v>
      </c>
      <c r="AA6" s="7" t="str">
        <f ca="1">IFERROR(__xludf.DUMMYFUNCTION("""COMPUTED_VALUE"""),"3.24")</f>
        <v>3.24</v>
      </c>
      <c r="AB6" s="7" t="str">
        <f ca="1">IFERROR(__xludf.DUMMYFUNCTION("""COMPUTED_VALUE"""),"131.6")</f>
        <v>131.6</v>
      </c>
      <c r="AC6" s="7" t="str">
        <f ca="1">IFERROR(__xludf.DUMMYFUNCTION("""COMPUTED_VALUE"""),"15.81")</f>
        <v>15.81</v>
      </c>
      <c r="AD6" s="7" t="str">
        <f ca="1">IFERROR(__xludf.DUMMYFUNCTION("""COMPUTED_VALUE"""),"6.29")</f>
        <v>6.29</v>
      </c>
      <c r="AE6" s="7" t="str">
        <f ca="1">IFERROR(__xludf.DUMMYFUNCTION("""COMPUTED_VALUE"""),"7.88")</f>
        <v>7.88</v>
      </c>
      <c r="AF6" s="7" t="str">
        <f ca="1">IFERROR(__xludf.DUMMYFUNCTION("""COMPUTED_VALUE"""),"3.72")</f>
        <v>3.72</v>
      </c>
      <c r="AG6" s="7" t="str">
        <f ca="1">IFERROR(__xludf.DUMMYFUNCTION("""COMPUTED_VALUE"""),"3.32")</f>
        <v>3.32</v>
      </c>
      <c r="AH6" s="10">
        <f ca="1">IFERROR(__xludf.DUMMYFUNCTION("""COMPUTED_VALUE"""),44278.791574074)</f>
        <v>44278.791574073999</v>
      </c>
      <c r="AI6" s="10">
        <f ca="1">IFERROR(__xludf.DUMMYFUNCTION("""COMPUTED_VALUE"""),44299.7092361111)</f>
        <v>44299.709236111099</v>
      </c>
      <c r="AJ6" s="7">
        <f ca="1">IFERROR(__xludf.DUMMYFUNCTION("""COMPUTED_VALUE"""),231)</f>
        <v>231</v>
      </c>
    </row>
    <row r="7" spans="1:36" ht="47.25" x14ac:dyDescent="0.2">
      <c r="A7" s="7">
        <f ca="1">IFERROR(__xludf.DUMMYFUNCTION("""COMPUTED_VALUE"""),22)</f>
        <v>22</v>
      </c>
      <c r="B7" s="7" t="str">
        <f ca="1">IFERROR(__xludf.DUMMYFUNCTION("""COMPUTED_VALUE"""),"FR-42")</f>
        <v>FR-42</v>
      </c>
      <c r="C7" s="9" t="str">
        <f ca="1">IFERROR(__xludf.DUMMYFUNCTION("""COMPUTED_VALUE"""),"Поставка химических веществ")</f>
        <v>Поставка химических веществ</v>
      </c>
      <c r="D7" s="7" t="str">
        <f ca="1">IFERROR(__xludf.DUMMYFUNCTION("""COMPUTED_VALUE"""),"План по стандартизации")</f>
        <v>План по стандартизации</v>
      </c>
      <c r="E7" s="7">
        <f ca="1">IFERROR(__xludf.DUMMYFUNCTION("""COMPUTED_VALUE"""),2020)</f>
        <v>2020</v>
      </c>
      <c r="F7" s="7">
        <f ca="1">IFERROR(__xludf.DUMMYFUNCTION("""COMPUTED_VALUE"""),3)</f>
        <v>3</v>
      </c>
      <c r="G7" s="7" t="str">
        <f ca="1">IFERROR(__xludf.DUMMYFUNCTION("""COMPUTED_VALUE"""),"ТТЗ")</f>
        <v>ТТЗ</v>
      </c>
      <c r="H7" s="7" t="str">
        <f ca="1">IFERROR(__xludf.DUMMYFUNCTION("""COMPUTED_VALUE"""),"Завершено")</f>
        <v>Завершено</v>
      </c>
      <c r="I7" s="7">
        <f ca="1">IFERROR(__xludf.DUMMYFUNCTION("""COMPUTED_VALUE"""),4)</f>
        <v>4</v>
      </c>
      <c r="J7" s="7">
        <f ca="1">IFERROR(__xludf.DUMMYFUNCTION("""COMPUTED_VALUE"""),2)</f>
        <v>2</v>
      </c>
      <c r="K7" s="7" t="str">
        <f ca="1">IFERROR(__xludf.DUMMYFUNCTION("""COMPUTED_VALUE"""),"Желтова Яна Валерьевна")</f>
        <v>Желтова Яна Валерьевна</v>
      </c>
      <c r="L7" s="7" t="str">
        <f ca="1">IFERROR(__xludf.DUMMYFUNCTION("""COMPUTED_VALUE"""),"Желтова Яна Валерьевна")</f>
        <v>Желтова Яна Валерьевна</v>
      </c>
      <c r="M7" s="7" t="str">
        <f ca="1">IFERROR(__xludf.DUMMYFUNCTION("""COMPUTED_VALUE"""),"Чурсина Мария Вячеславовна")</f>
        <v>Чурсина Мария Вячеславовна</v>
      </c>
      <c r="N7" s="7"/>
      <c r="O7" s="7" t="str">
        <f ca="1">IFERROR(__xludf.DUMMYFUNCTION("""COMPUTED_VALUE"""),"Типовой")</f>
        <v>Типовой</v>
      </c>
      <c r="P7" s="7" t="str">
        <f ca="1">IFERROR(__xludf.DUMMYFUNCTION("""COMPUTED_VALUE"""),"Нет")</f>
        <v>Нет</v>
      </c>
      <c r="Q7" s="7" t="str">
        <f ca="1">IFERROR(__xludf.DUMMYFUNCTION("""COMPUTED_VALUE"""),"Нет")</f>
        <v>Нет</v>
      </c>
      <c r="R7" s="7" t="str">
        <f ca="1">IFERROR(__xludf.DUMMYFUNCTION("""COMPUTED_VALUE"""),"Нет")</f>
        <v>Нет</v>
      </c>
      <c r="S7" s="7" t="str">
        <f ca="1">IFERROR(__xludf.DUMMYFUNCTION("""COMPUTED_VALUE"""),"Электронный аукцион")</f>
        <v>Электронный аукцион</v>
      </c>
      <c r="T7" s="7" t="str">
        <f ca="1">IFERROR(__xludf.DUMMYFUNCTION("""COMPUTED_VALUE"""),"Полностью YouTrackная")</f>
        <v>Полностью YouTrackная</v>
      </c>
      <c r="U7" s="7" t="str">
        <f ca="1">IFERROR(__xludf.DUMMYFUNCTION("""COMPUTED_VALUE"""),"Поставка химических веществ")</f>
        <v>Поставка химических веществ</v>
      </c>
      <c r="V7" s="10">
        <f ca="1">IFERROR(__xludf.DUMMYFUNCTION("""COMPUTED_VALUE"""),43976.4306018518)</f>
        <v>43976.430601851796</v>
      </c>
      <c r="W7" s="7">
        <f ca="1">IFERROR(__xludf.DUMMYFUNCTION("""COMPUTED_VALUE"""),0)</f>
        <v>0</v>
      </c>
      <c r="X7" s="16" t="str">
        <f ca="1">IFERROR(__xludf.DUMMYFUNCTION("""COMPUTED_VALUE"""),"73.3")</f>
        <v>73.3</v>
      </c>
      <c r="Y7" s="7" t="str">
        <f ca="1">IFERROR(__xludf.DUMMYFUNCTION("""COMPUTED_VALUE"""),"16.52")</f>
        <v>16.52</v>
      </c>
      <c r="Z7" s="7" t="str">
        <f ca="1">IFERROR(__xludf.DUMMYFUNCTION("""COMPUTED_VALUE"""),"11.71")</f>
        <v>11.71</v>
      </c>
      <c r="AA7" s="7" t="str">
        <f ca="1">IFERROR(__xludf.DUMMYFUNCTION("""COMPUTED_VALUE"""),"1.57")</f>
        <v>1.57</v>
      </c>
      <c r="AB7" s="7" t="str">
        <f ca="1">IFERROR(__xludf.DUMMYFUNCTION("""COMPUTED_VALUE"""),"92.22")</f>
        <v>92.22</v>
      </c>
      <c r="AC7" s="8">
        <f ca="1">IFERROR(__xludf.DUMMYFUNCTION("""COMPUTED_VALUE"""),44609)</f>
        <v>44609</v>
      </c>
      <c r="AD7" s="7" t="str">
        <f ca="1">IFERROR(__xludf.DUMMYFUNCTION("""COMPUTED_VALUE"""),"20.92")</f>
        <v>20.92</v>
      </c>
      <c r="AE7" s="11">
        <f ca="1">IFERROR(__xludf.DUMMYFUNCTION("""COMPUTED_VALUE"""),44910)</f>
        <v>44910</v>
      </c>
      <c r="AF7" s="7" t="str">
        <f ca="1">IFERROR(__xludf.DUMMYFUNCTION("""COMPUTED_VALUE"""),"1.64")</f>
        <v>1.64</v>
      </c>
      <c r="AG7" s="7" t="str">
        <f ca="1">IFERROR(__xludf.DUMMYFUNCTION("""COMPUTED_VALUE"""),"12.14")</f>
        <v>12.14</v>
      </c>
      <c r="AH7" s="10">
        <f ca="1">IFERROR(__xludf.DUMMYFUNCTION("""COMPUTED_VALUE"""),44315.6996759259)</f>
        <v>44315.699675925898</v>
      </c>
      <c r="AI7" s="10">
        <f ca="1">IFERROR(__xludf.DUMMYFUNCTION("""COMPUTED_VALUE"""),44358.5924537037)</f>
        <v>44358.592453703699</v>
      </c>
      <c r="AJ7" s="7">
        <f ca="1">IFERROR(__xludf.DUMMYFUNCTION("""COMPUTED_VALUE"""),262)</f>
        <v>262</v>
      </c>
    </row>
    <row r="8" spans="1:36" ht="78.75" x14ac:dyDescent="0.2">
      <c r="A8" s="7">
        <f ca="1">IFERROR(__xludf.DUMMYFUNCTION("""COMPUTED_VALUE"""),28)</f>
        <v>28</v>
      </c>
      <c r="B8" s="7" t="str">
        <f ca="1">IFERROR(__xludf.DUMMYFUNCTION("""COMPUTED_VALUE"""),"FR-50")</f>
        <v>FR-50</v>
      </c>
      <c r="C8" s="9" t="str">
        <f ca="1">IFERROR(__xludf.DUMMYFUNCTION("""COMPUTED_VALUE"""),"Поставка нетиповых средств вычислительной техники")</f>
        <v>Поставка нетиповых средств вычислительной техники</v>
      </c>
      <c r="D8" s="7" t="str">
        <f ca="1">IFERROR(__xludf.DUMMYFUNCTION("""COMPUTED_VALUE"""),"План по стандартизации")</f>
        <v>План по стандартизации</v>
      </c>
      <c r="E8" s="7">
        <f ca="1">IFERROR(__xludf.DUMMYFUNCTION("""COMPUTED_VALUE"""),2020)</f>
        <v>2020</v>
      </c>
      <c r="F8" s="7">
        <f ca="1">IFERROR(__xludf.DUMMYFUNCTION("""COMPUTED_VALUE"""),2)</f>
        <v>2</v>
      </c>
      <c r="G8" s="7" t="str">
        <f ca="1">IFERROR(__xludf.DUMMYFUNCTION("""COMPUTED_VALUE"""),"ТТЗ")</f>
        <v>ТТЗ</v>
      </c>
      <c r="H8" s="7" t="str">
        <f ca="1">IFERROR(__xludf.DUMMYFUNCTION("""COMPUTED_VALUE"""),"Завершено")</f>
        <v>Завершено</v>
      </c>
      <c r="I8" s="7">
        <f ca="1">IFERROR(__xludf.DUMMYFUNCTION("""COMPUTED_VALUE"""),3)</f>
        <v>3</v>
      </c>
      <c r="J8" s="7">
        <f ca="1">IFERROR(__xludf.DUMMYFUNCTION("""COMPUTED_VALUE"""),1)</f>
        <v>1</v>
      </c>
      <c r="K8" s="7" t="str">
        <f ca="1">IFERROR(__xludf.DUMMYFUNCTION("""COMPUTED_VALUE"""),"Воробьев Вадим Владимирович")</f>
        <v>Воробьев Вадим Владимирович</v>
      </c>
      <c r="L8" s="7" t="str">
        <f ca="1">IFERROR(__xludf.DUMMYFUNCTION("""COMPUTED_VALUE"""),"Уфаркина Наталья Геннадьевна")</f>
        <v>Уфаркина Наталья Геннадьевна</v>
      </c>
      <c r="M8" s="7" t="str">
        <f ca="1">IFERROR(__xludf.DUMMYFUNCTION("""COMPUTED_VALUE"""),"Гудиев Зелимхан Куйраевич")</f>
        <v>Гудиев Зелимхан Куйраевич</v>
      </c>
      <c r="N8" s="7"/>
      <c r="O8" s="7" t="str">
        <f ca="1">IFERROR(__xludf.DUMMYFUNCTION("""COMPUTED_VALUE"""),"Федеральный")</f>
        <v>Федеральный</v>
      </c>
      <c r="P8" s="7" t="str">
        <f ca="1">IFERROR(__xludf.DUMMYFUNCTION("""COMPUTED_VALUE"""),"Нет")</f>
        <v>Нет</v>
      </c>
      <c r="Q8" s="7" t="str">
        <f ca="1">IFERROR(__xludf.DUMMYFUNCTION("""COMPUTED_VALUE"""),"Нет")</f>
        <v>Нет</v>
      </c>
      <c r="R8" s="7" t="str">
        <f ca="1">IFERROR(__xludf.DUMMYFUNCTION("""COMPUTED_VALUE"""),"Да")</f>
        <v>Да</v>
      </c>
      <c r="S8" s="7" t="str">
        <f ca="1">IFERROR(__xludf.DUMMYFUNCTION("""COMPUTED_VALUE"""),"Электронный аукцион")</f>
        <v>Электронный аукцион</v>
      </c>
      <c r="T8" s="7" t="str">
        <f ca="1">IFERROR(__xludf.DUMMYFUNCTION("""COMPUTED_VALUE"""),"Полностью YouTrackная")</f>
        <v>Полностью YouTrackная</v>
      </c>
      <c r="U8" s="7" t="str">
        <f ca="1">IFERROR(__xludf.DUMMYFUNCTION("""COMPUTED_VALUE"""),"Поставка средств вычислительной техники")</f>
        <v>Поставка средств вычислительной техники</v>
      </c>
      <c r="V8" s="10">
        <f ca="1">IFERROR(__xludf.DUMMYFUNCTION("""COMPUTED_VALUE"""),43976.6119444444)</f>
        <v>43976.611944444398</v>
      </c>
      <c r="W8" s="7">
        <f ca="1">IFERROR(__xludf.DUMMYFUNCTION("""COMPUTED_VALUE"""),0)</f>
        <v>0</v>
      </c>
      <c r="X8" s="16" t="str">
        <f ca="1">IFERROR(__xludf.DUMMYFUNCTION("""COMPUTED_VALUE"""),"30.79")</f>
        <v>30.79</v>
      </c>
      <c r="Y8" s="7" t="str">
        <f ca="1">IFERROR(__xludf.DUMMYFUNCTION("""COMPUTED_VALUE"""),"12.86")</f>
        <v>12.86</v>
      </c>
      <c r="Z8" s="7" t="str">
        <f ca="1">IFERROR(__xludf.DUMMYFUNCTION("""COMPUTED_VALUE"""),"19.17")</f>
        <v>19.17</v>
      </c>
      <c r="AA8" s="11">
        <f ca="1">IFERROR(__xludf.DUMMYFUNCTION("""COMPUTED_VALUE"""),44682)</f>
        <v>44682</v>
      </c>
      <c r="AB8" s="7" t="str">
        <f ca="1">IFERROR(__xludf.DUMMYFUNCTION("""COMPUTED_VALUE"""),"110.35")</f>
        <v>110.35</v>
      </c>
      <c r="AC8" s="7" t="str">
        <f ca="1">IFERROR(__xludf.DUMMYFUNCTION("""COMPUTED_VALUE"""),"81.1")</f>
        <v>81.1</v>
      </c>
      <c r="AD8" s="8">
        <f ca="1">IFERROR(__xludf.DUMMYFUNCTION("""COMPUTED_VALUE"""),44614)</f>
        <v>44614</v>
      </c>
      <c r="AE8" s="7" t="str">
        <f ca="1">IFERROR(__xludf.DUMMYFUNCTION("""COMPUTED_VALUE"""),"15.15")</f>
        <v>15.15</v>
      </c>
      <c r="AF8" s="7">
        <f ca="1">IFERROR(__xludf.DUMMYFUNCTION("""COMPUTED_VALUE"""),0)</f>
        <v>0</v>
      </c>
      <c r="AG8" s="7" t="str">
        <f ca="1">IFERROR(__xludf.DUMMYFUNCTION("""COMPUTED_VALUE"""),"6.21")</f>
        <v>6.21</v>
      </c>
      <c r="AH8" s="10">
        <f ca="1">IFERROR(__xludf.DUMMYFUNCTION("""COMPUTED_VALUE"""),44383.4066087962)</f>
        <v>44383.406608796198</v>
      </c>
      <c r="AI8" s="10">
        <f ca="1">IFERROR(__xludf.DUMMYFUNCTION("""COMPUTED_VALUE"""),44412.7616666666)</f>
        <v>44412.7616666666</v>
      </c>
      <c r="AJ8" s="7">
        <f ca="1">IFERROR(__xludf.DUMMYFUNCTION("""COMPUTED_VALUE"""),298)</f>
        <v>298</v>
      </c>
    </row>
    <row r="9" spans="1:36" ht="252" x14ac:dyDescent="0.2">
      <c r="A9" s="7">
        <f ca="1">IFERROR(__xludf.DUMMYFUNCTION("""COMPUTED_VALUE"""),29)</f>
        <v>29</v>
      </c>
      <c r="B9" s="7" t="str">
        <f ca="1">IFERROR(__xludf.DUMMYFUNCTION("""COMPUTED_VALUE"""),"FR-51")</f>
        <v>FR-51</v>
      </c>
      <c r="C9" s="9" t="str">
        <f ca="1">IFERROR(__xludf.DUMMYFUNCTION("""COMPUTED_VALUE"""),"Выполнение работ по капитальному ремонту, модернизации, реконструкции и 
(или) дооборудованию объектов коллекторного хозяйства")</f>
        <v>Выполнение работ по капитальному ремонту, модернизации, реконструкции и 
(или) дооборудованию объектов коллекторного хозяйства</v>
      </c>
      <c r="D9" s="7" t="str">
        <f ca="1">IFERROR(__xludf.DUMMYFUNCTION("""COMPUTED_VALUE"""),"План по стандартизации")</f>
        <v>План по стандартизации</v>
      </c>
      <c r="E9" s="7">
        <f ca="1">IFERROR(__xludf.DUMMYFUNCTION("""COMPUTED_VALUE"""),2020)</f>
        <v>2020</v>
      </c>
      <c r="F9" s="7">
        <f ca="1">IFERROR(__xludf.DUMMYFUNCTION("""COMPUTED_VALUE"""),2)</f>
        <v>2</v>
      </c>
      <c r="G9" s="7" t="str">
        <f ca="1">IFERROR(__xludf.DUMMYFUNCTION("""COMPUTED_VALUE"""),"ТТЗ")</f>
        <v>ТТЗ</v>
      </c>
      <c r="H9" s="7" t="str">
        <f ca="1">IFERROR(__xludf.DUMMYFUNCTION("""COMPUTED_VALUE"""),"Завершено")</f>
        <v>Завершено</v>
      </c>
      <c r="I9" s="7">
        <f ca="1">IFERROR(__xludf.DUMMYFUNCTION("""COMPUTED_VALUE"""),1)</f>
        <v>1</v>
      </c>
      <c r="J9" s="7">
        <f ca="1">IFERROR(__xludf.DUMMYFUNCTION("""COMPUTED_VALUE"""),1)</f>
        <v>1</v>
      </c>
      <c r="K9" s="7" t="str">
        <f ca="1">IFERROR(__xludf.DUMMYFUNCTION("""COMPUTED_VALUE"""),"Воробьев Вадим Владимирович")</f>
        <v>Воробьев Вадим Владимирович</v>
      </c>
      <c r="L9" s="7" t="str">
        <f ca="1">IFERROR(__xludf.DUMMYFUNCTION("""COMPUTED_VALUE"""),"Уфаркина Наталья Геннадьевна")</f>
        <v>Уфаркина Наталья Геннадьевна</v>
      </c>
      <c r="M9" s="7" t="str">
        <f ca="1">IFERROR(__xludf.DUMMYFUNCTION("""COMPUTED_VALUE"""),"Гудиев Зелимхан Куйраевич")</f>
        <v>Гудиев Зелимхан Куйраевич</v>
      </c>
      <c r="N9" s="7"/>
      <c r="O9" s="7" t="str">
        <f ca="1">IFERROR(__xludf.DUMMYFUNCTION("""COMPUTED_VALUE"""),"Типовой")</f>
        <v>Типовой</v>
      </c>
      <c r="P9" s="7" t="str">
        <f ca="1">IFERROR(__xludf.DUMMYFUNCTION("""COMPUTED_VALUE"""),"Нет")</f>
        <v>Нет</v>
      </c>
      <c r="Q9" s="7" t="str">
        <f ca="1">IFERROR(__xludf.DUMMYFUNCTION("""COMPUTED_VALUE"""),"223-ФЗ")</f>
        <v>223-ФЗ</v>
      </c>
      <c r="R9" s="7" t="str">
        <f ca="1">IFERROR(__xludf.DUMMYFUNCTION("""COMPUTED_VALUE"""),"Нет")</f>
        <v>Нет</v>
      </c>
      <c r="S9" s="7" t="str">
        <f ca="1">IFERROR(__xludf.DUMMYFUNCTION("""COMPUTED_VALUE"""),"Открытый конкурс")</f>
        <v>Открытый конкурс</v>
      </c>
      <c r="T9" s="7" t="str">
        <f ca="1">IFERROR(__xludf.DUMMYFUNCTION("""COMPUTED_VALUE"""),"Полностью YouTrackная")</f>
        <v>Полностью YouTrackная</v>
      </c>
      <c r="U9" s="7" t="str">
        <f ca="1">IFERROR(__xludf.DUMMYFUNCTION("""COMPUTED_VALUE"""),"Выполнение работ по капитальному ремонту, модернизации, реконструкции и 
(или) дооборудованию объектов коллекторного хозяйства")</f>
        <v>Выполнение работ по капитальному ремонту, модернизации, реконструкции и 
(или) дооборудованию объектов коллекторного хозяйства</v>
      </c>
      <c r="V9" s="10">
        <f ca="1">IFERROR(__xludf.DUMMYFUNCTION("""COMPUTED_VALUE"""),43976.6520023148)</f>
        <v>43976.652002314797</v>
      </c>
      <c r="W9" s="7">
        <f ca="1">IFERROR(__xludf.DUMMYFUNCTION("""COMPUTED_VALUE"""),0)</f>
        <v>0</v>
      </c>
      <c r="X9" s="16" t="str">
        <f ca="1">IFERROR(__xludf.DUMMYFUNCTION("""COMPUTED_VALUE"""),"26.22")</f>
        <v>26.22</v>
      </c>
      <c r="Y9" s="7" t="str">
        <f ca="1">IFERROR(__xludf.DUMMYFUNCTION("""COMPUTED_VALUE"""),"8.81")</f>
        <v>8.81</v>
      </c>
      <c r="Z9" s="7" t="str">
        <f ca="1">IFERROR(__xludf.DUMMYFUNCTION("""COMPUTED_VALUE"""),"9.33")</f>
        <v>9.33</v>
      </c>
      <c r="AA9" s="8">
        <f ca="1">IFERROR(__xludf.DUMMYFUNCTION("""COMPUTED_VALUE"""),44775)</f>
        <v>44775</v>
      </c>
      <c r="AB9" s="7" t="str">
        <f ca="1">IFERROR(__xludf.DUMMYFUNCTION("""COMPUTED_VALUE"""),"28.57")</f>
        <v>28.57</v>
      </c>
      <c r="AC9" s="7" t="str">
        <f ca="1">IFERROR(__xludf.DUMMYFUNCTION("""COMPUTED_VALUE"""),"144.95")</f>
        <v>144.95</v>
      </c>
      <c r="AD9" s="7" t="str">
        <f ca="1">IFERROR(__xludf.DUMMYFUNCTION("""COMPUTED_VALUE"""),"14.59")</f>
        <v>14.59</v>
      </c>
      <c r="AE9" s="7" t="str">
        <f ca="1">IFERROR(__xludf.DUMMYFUNCTION("""COMPUTED_VALUE"""),"13.61")</f>
        <v>13.61</v>
      </c>
      <c r="AF9" s="7" t="str">
        <f ca="1">IFERROR(__xludf.DUMMYFUNCTION("""COMPUTED_VALUE"""),"2.58")</f>
        <v>2.58</v>
      </c>
      <c r="AG9" s="7" t="str">
        <f ca="1">IFERROR(__xludf.DUMMYFUNCTION("""COMPUTED_VALUE"""),"4.32")</f>
        <v>4.32</v>
      </c>
      <c r="AH9" s="7" t="str">
        <f ca="1">IFERROR(__xludf.DUMMYFUNCTION("""COMPUTED_VALUE"""),"2020-08-18 23:09:39
2021-05-18 18:17:33")</f>
        <v>2020-08-18 23:09:39
2021-05-18 18:17:33</v>
      </c>
      <c r="AI9" s="10">
        <f ca="1">IFERROR(__xludf.DUMMYFUNCTION("""COMPUTED_VALUE"""),44349.7202777777)</f>
        <v>44349.720277777698</v>
      </c>
      <c r="AJ9" s="7">
        <f ca="1">IFERROR(__xludf.DUMMYFUNCTION("""COMPUTED_VALUE"""),255)</f>
        <v>255</v>
      </c>
    </row>
    <row r="10" spans="1:36" ht="204.75" x14ac:dyDescent="0.2">
      <c r="A10" s="7">
        <f ca="1">IFERROR(__xludf.DUMMYFUNCTION("""COMPUTED_VALUE"""),30)</f>
        <v>30</v>
      </c>
      <c r="B10" s="7" t="str">
        <f ca="1">IFERROR(__xludf.DUMMYFUNCTION("""COMPUTED_VALUE"""),"FR-52")</f>
        <v>FR-52</v>
      </c>
      <c r="C10" s="9" t="str">
        <f ca="1">IFERROR(__xludf.DUMMYFUNCTION("""COMPUTED_VALUE"""),"Выполнение работ по строительству и реконструкции объектов водоснабжения и 
водоотведения (канализации)")</f>
        <v>Выполнение работ по строительству и реконструкции объектов водоснабжения и 
водоотведения (канализации)</v>
      </c>
      <c r="D10" s="7" t="str">
        <f ca="1">IFERROR(__xludf.DUMMYFUNCTION("""COMPUTED_VALUE"""),"План по стандартизации")</f>
        <v>План по стандартизации</v>
      </c>
      <c r="E10" s="7">
        <f ca="1">IFERROR(__xludf.DUMMYFUNCTION("""COMPUTED_VALUE"""),2020)</f>
        <v>2020</v>
      </c>
      <c r="F10" s="7">
        <f ca="1">IFERROR(__xludf.DUMMYFUNCTION("""COMPUTED_VALUE"""),2)</f>
        <v>2</v>
      </c>
      <c r="G10" s="7" t="str">
        <f ca="1">IFERROR(__xludf.DUMMYFUNCTION("""COMPUTED_VALUE"""),"ТТЗ")</f>
        <v>ТТЗ</v>
      </c>
      <c r="H10" s="7" t="str">
        <f ca="1">IFERROR(__xludf.DUMMYFUNCTION("""COMPUTED_VALUE"""),"Завершено")</f>
        <v>Завершено</v>
      </c>
      <c r="I10" s="7">
        <f ca="1">IFERROR(__xludf.DUMMYFUNCTION("""COMPUTED_VALUE"""),1)</f>
        <v>1</v>
      </c>
      <c r="J10" s="7">
        <f ca="1">IFERROR(__xludf.DUMMYFUNCTION("""COMPUTED_VALUE"""),2)</f>
        <v>2</v>
      </c>
      <c r="K10" s="7" t="str">
        <f ca="1">IFERROR(__xludf.DUMMYFUNCTION("""COMPUTED_VALUE"""),"Уфаркина Наталья Геннадьевна")</f>
        <v>Уфаркина Наталья Геннадьевна</v>
      </c>
      <c r="L10" s="7" t="str">
        <f ca="1">IFERROR(__xludf.DUMMYFUNCTION("""COMPUTED_VALUE"""),"Уфаркина Наталья Геннадьевна")</f>
        <v>Уфаркина Наталья Геннадьевна</v>
      </c>
      <c r="M10" s="7" t="str">
        <f ca="1">IFERROR(__xludf.DUMMYFUNCTION("""COMPUTED_VALUE"""),"Гудиев Зелимхан Куйраевич")</f>
        <v>Гудиев Зелимхан Куйраевич</v>
      </c>
      <c r="N10" s="7"/>
      <c r="O10" s="7" t="str">
        <f ca="1">IFERROR(__xludf.DUMMYFUNCTION("""COMPUTED_VALUE"""),"Типовой")</f>
        <v>Типовой</v>
      </c>
      <c r="P10" s="7" t="str">
        <f ca="1">IFERROR(__xludf.DUMMYFUNCTION("""COMPUTED_VALUE"""),"Нет")</f>
        <v>Нет</v>
      </c>
      <c r="Q10" s="7" t="str">
        <f ca="1">IFERROR(__xludf.DUMMYFUNCTION("""COMPUTED_VALUE"""),"223-ФЗ")</f>
        <v>223-ФЗ</v>
      </c>
      <c r="R10" s="7" t="str">
        <f ca="1">IFERROR(__xludf.DUMMYFUNCTION("""COMPUTED_VALUE"""),"Нет")</f>
        <v>Нет</v>
      </c>
      <c r="S10" s="7" t="str">
        <f ca="1">IFERROR(__xludf.DUMMYFUNCTION("""COMPUTED_VALUE"""),"Открытый конкурс / Электронный аукцион")</f>
        <v>Открытый конкурс / Электронный аукцион</v>
      </c>
      <c r="T10" s="7" t="str">
        <f ca="1">IFERROR(__xludf.DUMMYFUNCTION("""COMPUTED_VALUE"""),"Полностью YouTrackная")</f>
        <v>Полностью YouTrackная</v>
      </c>
      <c r="U10" s="7" t="str">
        <f ca="1">IFERROR(__xludf.DUMMYFUNCTION("""COMPUTED_VALUE"""),"Выполнение работ по строительству и реконструкции объектов водоснабжения и 
водоотведения (канализации)")</f>
        <v>Выполнение работ по строительству и реконструкции объектов водоснабжения и 
водоотведения (канализации)</v>
      </c>
      <c r="V10" s="10">
        <f ca="1">IFERROR(__xludf.DUMMYFUNCTION("""COMPUTED_VALUE"""),43976.7563888888)</f>
        <v>43976.756388888803</v>
      </c>
      <c r="W10" s="7">
        <f ca="1">IFERROR(__xludf.DUMMYFUNCTION("""COMPUTED_VALUE"""),0)</f>
        <v>0</v>
      </c>
      <c r="X10" s="16" t="str">
        <f ca="1">IFERROR(__xludf.DUMMYFUNCTION("""COMPUTED_VALUE"""),"2.34")</f>
        <v>2.34</v>
      </c>
      <c r="Y10" s="7" t="str">
        <f ca="1">IFERROR(__xludf.DUMMYFUNCTION("""COMPUTED_VALUE"""),"13.44")</f>
        <v>13.44</v>
      </c>
      <c r="Z10" s="8">
        <f ca="1">IFERROR(__xludf.DUMMYFUNCTION("""COMPUTED_VALUE"""),44654)</f>
        <v>44654</v>
      </c>
      <c r="AA10" s="8">
        <f ca="1">IFERROR(__xludf.DUMMYFUNCTION("""COMPUTED_VALUE"""),44653)</f>
        <v>44653</v>
      </c>
      <c r="AB10" s="7" t="str">
        <f ca="1">IFERROR(__xludf.DUMMYFUNCTION("""COMPUTED_VALUE"""),"99.72")</f>
        <v>99.72</v>
      </c>
      <c r="AC10" s="7" t="str">
        <f ca="1">IFERROR(__xludf.DUMMYFUNCTION("""COMPUTED_VALUE"""),"64.07")</f>
        <v>64.07</v>
      </c>
      <c r="AD10" s="8">
        <f ca="1">IFERROR(__xludf.DUMMYFUNCTION("""COMPUTED_VALUE"""),44749)</f>
        <v>44749</v>
      </c>
      <c r="AE10" s="7" t="str">
        <f ca="1">IFERROR(__xludf.DUMMYFUNCTION("""COMPUTED_VALUE"""),"22.19")</f>
        <v>22.19</v>
      </c>
      <c r="AF10" s="7" t="str">
        <f ca="1">IFERROR(__xludf.DUMMYFUNCTION("""COMPUTED_VALUE"""),"3.72")</f>
        <v>3.72</v>
      </c>
      <c r="AG10" s="8">
        <f ca="1">IFERROR(__xludf.DUMMYFUNCTION("""COMPUTED_VALUE"""),44594)</f>
        <v>44594</v>
      </c>
      <c r="AH10" s="10">
        <f ca="1">IFERROR(__xludf.DUMMYFUNCTION("""COMPUTED_VALUE"""),44257.4805208333)</f>
        <v>44257.480520833298</v>
      </c>
      <c r="AI10" s="10">
        <f ca="1">IFERROR(__xludf.DUMMYFUNCTION("""COMPUTED_VALUE"""),44298.414074074)</f>
        <v>44298.414074073997</v>
      </c>
      <c r="AJ10" s="7">
        <f ca="1">IFERROR(__xludf.DUMMYFUNCTION("""COMPUTED_VALUE"""),220)</f>
        <v>220</v>
      </c>
    </row>
    <row r="11" spans="1:36" ht="110.25" x14ac:dyDescent="0.2">
      <c r="A11" s="7">
        <f ca="1">IFERROR(__xludf.DUMMYFUNCTION("""COMPUTED_VALUE"""),31)</f>
        <v>31</v>
      </c>
      <c r="B11" s="7" t="str">
        <f ca="1">IFERROR(__xludf.DUMMYFUNCTION("""COMPUTED_VALUE"""),"FR-53")</f>
        <v>FR-53</v>
      </c>
      <c r="C11" s="9" t="str">
        <f ca="1">IFERROR(__xludf.DUMMYFUNCTION("""COMPUTED_VALUE"""),"Поставка рассады, семян, саженцев, щепы декоративной")</f>
        <v>Поставка рассады, семян, саженцев, щепы декоративной</v>
      </c>
      <c r="D11" s="7" t="str">
        <f ca="1">IFERROR(__xludf.DUMMYFUNCTION("""COMPUTED_VALUE"""),"План по стандартизации")</f>
        <v>План по стандартизации</v>
      </c>
      <c r="E11" s="7">
        <f ca="1">IFERROR(__xludf.DUMMYFUNCTION("""COMPUTED_VALUE"""),2020)</f>
        <v>2020</v>
      </c>
      <c r="F11" s="7">
        <f ca="1">IFERROR(__xludf.DUMMYFUNCTION("""COMPUTED_VALUE"""),3)</f>
        <v>3</v>
      </c>
      <c r="G11" s="7" t="str">
        <f ca="1">IFERROR(__xludf.DUMMYFUNCTION("""COMPUTED_VALUE"""),"ТТЗ")</f>
        <v>ТТЗ</v>
      </c>
      <c r="H11" s="7" t="str">
        <f ca="1">IFERROR(__xludf.DUMMYFUNCTION("""COMPUTED_VALUE"""),"Завершено")</f>
        <v>Завершено</v>
      </c>
      <c r="I11" s="7">
        <f ca="1">IFERROR(__xludf.DUMMYFUNCTION("""COMPUTED_VALUE"""),4)</f>
        <v>4</v>
      </c>
      <c r="J11" s="7">
        <f ca="1">IFERROR(__xludf.DUMMYFUNCTION("""COMPUTED_VALUE"""),1)</f>
        <v>1</v>
      </c>
      <c r="K11" s="7"/>
      <c r="L11" s="7" t="str">
        <f ca="1">IFERROR(__xludf.DUMMYFUNCTION("""COMPUTED_VALUE"""),"Уфаркина Наталья Геннадьевна")</f>
        <v>Уфаркина Наталья Геннадьевна</v>
      </c>
      <c r="M11" s="7" t="str">
        <f ca="1">IFERROR(__xludf.DUMMYFUNCTION("""COMPUTED_VALUE"""),"Гудиев Зелимхан Куйраевич")</f>
        <v>Гудиев Зелимхан Куйраевич</v>
      </c>
      <c r="N11" s="7"/>
      <c r="O11" s="7" t="str">
        <f ca="1">IFERROR(__xludf.DUMMYFUNCTION("""COMPUTED_VALUE"""),"Типовой")</f>
        <v>Типовой</v>
      </c>
      <c r="P11" s="7" t="str">
        <f ca="1">IFERROR(__xludf.DUMMYFUNCTION("""COMPUTED_VALUE"""),"Да")</f>
        <v>Да</v>
      </c>
      <c r="Q11" s="7" t="str">
        <f ca="1">IFERROR(__xludf.DUMMYFUNCTION("""COMPUTED_VALUE"""),"Нет")</f>
        <v>Нет</v>
      </c>
      <c r="R11" s="7" t="str">
        <f ca="1">IFERROR(__xludf.DUMMYFUNCTION("""COMPUTED_VALUE"""),"Нет")</f>
        <v>Нет</v>
      </c>
      <c r="S11" s="7" t="str">
        <f ca="1">IFERROR(__xludf.DUMMYFUNCTION("""COMPUTED_VALUE"""),"Электронный аукцион")</f>
        <v>Электронный аукцион</v>
      </c>
      <c r="T11" s="7" t="str">
        <f ca="1">IFERROR(__xludf.DUMMYFUNCTION("""COMPUTED_VALUE"""),"Полностью YouTrackная")</f>
        <v>Полностью YouTrackная</v>
      </c>
      <c r="U11" s="7" t="str">
        <f ca="1">IFERROR(__xludf.DUMMYFUNCTION("""COMPUTED_VALUE"""),"Поставка рассады, семян, саженцев, щепы декоративной")</f>
        <v>Поставка рассады, семян, саженцев, щепы декоративной</v>
      </c>
      <c r="V11" s="10">
        <f ca="1">IFERROR(__xludf.DUMMYFUNCTION("""COMPUTED_VALUE"""),43976.7593171296)</f>
        <v>43976.759317129603</v>
      </c>
      <c r="W11" s="7">
        <f ca="1">IFERROR(__xludf.DUMMYFUNCTION("""COMPUTED_VALUE"""),0)</f>
        <v>0</v>
      </c>
      <c r="X11" s="16" t="str">
        <f ca="1">IFERROR(__xludf.DUMMYFUNCTION("""COMPUTED_VALUE"""),"77.07")</f>
        <v>77.07</v>
      </c>
      <c r="Y11" s="7" t="str">
        <f ca="1">IFERROR(__xludf.DUMMYFUNCTION("""COMPUTED_VALUE"""),"8.41")</f>
        <v>8.41</v>
      </c>
      <c r="Z11" s="7" t="str">
        <f ca="1">IFERROR(__xludf.DUMMYFUNCTION("""COMPUTED_VALUE"""),"12.24")</f>
        <v>12.24</v>
      </c>
      <c r="AA11" s="7" t="str">
        <f ca="1">IFERROR(__xludf.DUMMYFUNCTION("""COMPUTED_VALUE"""),"1.39")</f>
        <v>1.39</v>
      </c>
      <c r="AB11" s="7" t="str">
        <f ca="1">IFERROR(__xludf.DUMMYFUNCTION("""COMPUTED_VALUE"""),"40.01")</f>
        <v>40.01</v>
      </c>
      <c r="AC11" s="11">
        <f ca="1">IFERROR(__xludf.DUMMYFUNCTION("""COMPUTED_VALUE"""),44695)</f>
        <v>44695</v>
      </c>
      <c r="AD11" s="11">
        <f ca="1">IFERROR(__xludf.DUMMYFUNCTION("""COMPUTED_VALUE"""),44912)</f>
        <v>44912</v>
      </c>
      <c r="AE11" s="8">
        <f ca="1">IFERROR(__xludf.DUMMYFUNCTION("""COMPUTED_VALUE"""),44566)</f>
        <v>44566</v>
      </c>
      <c r="AF11" s="7" t="str">
        <f ca="1">IFERROR(__xludf.DUMMYFUNCTION("""COMPUTED_VALUE"""),"2.25")</f>
        <v>2.25</v>
      </c>
      <c r="AG11" s="7" t="str">
        <f ca="1">IFERROR(__xludf.DUMMYFUNCTION("""COMPUTED_VALUE"""),"4.99")</f>
        <v>4.99</v>
      </c>
      <c r="AH11" s="10">
        <f ca="1">IFERROR(__xludf.DUMMYFUNCTION("""COMPUTED_VALUE"""),44225.5024421296)</f>
        <v>44225.502442129597</v>
      </c>
      <c r="AI11" s="10">
        <f ca="1">IFERROR(__xludf.DUMMYFUNCTION("""COMPUTED_VALUE"""),44243.7544328703)</f>
        <v>44243.754432870301</v>
      </c>
      <c r="AJ11" s="7">
        <f ca="1">IFERROR(__xludf.DUMMYFUNCTION("""COMPUTED_VALUE"""),183)</f>
        <v>183</v>
      </c>
    </row>
    <row r="12" spans="1:36" ht="220.5" x14ac:dyDescent="0.2">
      <c r="A12" s="7">
        <f ca="1">IFERROR(__xludf.DUMMYFUNCTION("""COMPUTED_VALUE"""),32)</f>
        <v>32</v>
      </c>
      <c r="B12" s="7" t="str">
        <f ca="1">IFERROR(__xludf.DUMMYFUNCTION("""COMPUTED_VALUE"""),"FR-55")</f>
        <v>FR-55</v>
      </c>
      <c r="C12" s="9" t="str">
        <f ca="1">IFERROR(__xludf.DUMMYFUNCTION("""COMPUTED_VALUE"""),"Выполнение работ по текущему ремонту конструктивных элементов зданий, 
относящихся к общему имуществу многоквартирных домов")</f>
        <v>Выполнение работ по текущему ремонту конструктивных элементов зданий, 
относящихся к общему имуществу многоквартирных домов</v>
      </c>
      <c r="D12" s="7" t="str">
        <f ca="1">IFERROR(__xludf.DUMMYFUNCTION("""COMPUTED_VALUE"""),"План по стандартизации")</f>
        <v>План по стандартизации</v>
      </c>
      <c r="E12" s="7">
        <f ca="1">IFERROR(__xludf.DUMMYFUNCTION("""COMPUTED_VALUE"""),2020)</f>
        <v>2020</v>
      </c>
      <c r="F12" s="7">
        <f ca="1">IFERROR(__xludf.DUMMYFUNCTION("""COMPUTED_VALUE"""),2)</f>
        <v>2</v>
      </c>
      <c r="G12" s="7" t="str">
        <f ca="1">IFERROR(__xludf.DUMMYFUNCTION("""COMPUTED_VALUE"""),"ТТЗ")</f>
        <v>ТТЗ</v>
      </c>
      <c r="H12" s="7" t="str">
        <f ca="1">IFERROR(__xludf.DUMMYFUNCTION("""COMPUTED_VALUE"""),"Завершено")</f>
        <v>Завершено</v>
      </c>
      <c r="I12" s="7">
        <f ca="1">IFERROR(__xludf.DUMMYFUNCTION("""COMPUTED_VALUE"""),4)</f>
        <v>4</v>
      </c>
      <c r="J12" s="7">
        <f ca="1">IFERROR(__xludf.DUMMYFUNCTION("""COMPUTED_VALUE"""),1)</f>
        <v>1</v>
      </c>
      <c r="K12" s="7" t="str">
        <f ca="1">IFERROR(__xludf.DUMMYFUNCTION("""COMPUTED_VALUE"""),"Першина Дарья Валерьевна")</f>
        <v>Першина Дарья Валерьевна</v>
      </c>
      <c r="L12" s="7" t="str">
        <f ca="1">IFERROR(__xludf.DUMMYFUNCTION("""COMPUTED_VALUE"""),"Уфаркина Наталья Геннадьевна")</f>
        <v>Уфаркина Наталья Геннадьевна</v>
      </c>
      <c r="M12" s="7" t="str">
        <f ca="1">IFERROR(__xludf.DUMMYFUNCTION("""COMPUTED_VALUE"""),"Гудиев Зелимхан Куйраевич")</f>
        <v>Гудиев Зелимхан Куйраевич</v>
      </c>
      <c r="N12" s="7"/>
      <c r="O12" s="7" t="str">
        <f ca="1">IFERROR(__xludf.DUMMYFUNCTION("""COMPUTED_VALUE"""),"Типовой")</f>
        <v>Типовой</v>
      </c>
      <c r="P12" s="7" t="str">
        <f ca="1">IFERROR(__xludf.DUMMYFUNCTION("""COMPUTED_VALUE"""),"Нет")</f>
        <v>Нет</v>
      </c>
      <c r="Q12" s="7" t="str">
        <f ca="1">IFERROR(__xludf.DUMMYFUNCTION("""COMPUTED_VALUE"""),"44-ФЗ / 223-ФЗ")</f>
        <v>44-ФЗ / 223-ФЗ</v>
      </c>
      <c r="R12" s="7" t="str">
        <f ca="1">IFERROR(__xludf.DUMMYFUNCTION("""COMPUTED_VALUE"""),"Нет")</f>
        <v>Нет</v>
      </c>
      <c r="S12" s="7" t="str">
        <f ca="1">IFERROR(__xludf.DUMMYFUNCTION("""COMPUTED_VALUE"""),"Открытый конкурс / Электронный аукцион")</f>
        <v>Открытый конкурс / Электронный аукцион</v>
      </c>
      <c r="T12" s="7" t="str">
        <f ca="1">IFERROR(__xludf.DUMMYFUNCTION("""COMPUTED_VALUE"""),"Полностью YouTrackная")</f>
        <v>Полностью YouTrackная</v>
      </c>
      <c r="U12" s="7" t="str">
        <f ca="1">IFERROR(__xludf.DUMMYFUNCTION("""COMPUTED_VALUE"""),"Выполнение работ по текущему ремонту конструктивных элементов зданий, 
относящихся к общему имуществу многоквартирных домов")</f>
        <v>Выполнение работ по текущему ремонту конструктивных элементов зданий, 
относящихся к общему имуществу многоквартирных домов</v>
      </c>
      <c r="V12" s="10">
        <f ca="1">IFERROR(__xludf.DUMMYFUNCTION("""COMPUTED_VALUE"""),43977.4900231481)</f>
        <v>43977.490023148101</v>
      </c>
      <c r="W12" s="7">
        <f ca="1">IFERROR(__xludf.DUMMYFUNCTION("""COMPUTED_VALUE"""),0)</f>
        <v>0</v>
      </c>
      <c r="X12" s="16" t="str">
        <f ca="1">IFERROR(__xludf.DUMMYFUNCTION("""COMPUTED_VALUE"""),"18.47")</f>
        <v>18.47</v>
      </c>
      <c r="Y12" s="7" t="str">
        <f ca="1">IFERROR(__xludf.DUMMYFUNCTION("""COMPUTED_VALUE"""),"1.41")</f>
        <v>1.41</v>
      </c>
      <c r="Z12" s="7" t="str">
        <f ca="1">IFERROR(__xludf.DUMMYFUNCTION("""COMPUTED_VALUE"""),"11.71")</f>
        <v>11.71</v>
      </c>
      <c r="AA12" s="8">
        <f ca="1">IFERROR(__xludf.DUMMYFUNCTION("""COMPUTED_VALUE"""),44626)</f>
        <v>44626</v>
      </c>
      <c r="AB12" s="7" t="str">
        <f ca="1">IFERROR(__xludf.DUMMYFUNCTION("""COMPUTED_VALUE"""),"68.14")</f>
        <v>68.14</v>
      </c>
      <c r="AC12" s="7" t="str">
        <f ca="1">IFERROR(__xludf.DUMMYFUNCTION("""COMPUTED_VALUE"""),"31.33")</f>
        <v>31.33</v>
      </c>
      <c r="AD12" s="8">
        <f ca="1">IFERROR(__xludf.DUMMYFUNCTION("""COMPUTED_VALUE"""),44720)</f>
        <v>44720</v>
      </c>
      <c r="AE12" s="11">
        <f ca="1">IFERROR(__xludf.DUMMYFUNCTION("""COMPUTED_VALUE"""),44810)</f>
        <v>44810</v>
      </c>
      <c r="AF12" s="7" t="str">
        <f ca="1">IFERROR(__xludf.DUMMYFUNCTION("""COMPUTED_VALUE"""),"1.25")</f>
        <v>1.25</v>
      </c>
      <c r="AG12" s="7" t="str">
        <f ca="1">IFERROR(__xludf.DUMMYFUNCTION("""COMPUTED_VALUE"""),"4.35")</f>
        <v>4.35</v>
      </c>
      <c r="AH12" s="10">
        <f ca="1">IFERROR(__xludf.DUMMYFUNCTION("""COMPUTED_VALUE"""),44182.6522685185)</f>
        <v>44182.652268518497</v>
      </c>
      <c r="AI12" s="10">
        <f ca="1">IFERROR(__xludf.DUMMYFUNCTION("""COMPUTED_VALUE"""),44209.1400462963)</f>
        <v>44209.140046296299</v>
      </c>
      <c r="AJ12" s="7">
        <f ca="1">IFERROR(__xludf.DUMMYFUNCTION("""COMPUTED_VALUE"""),158)</f>
        <v>158</v>
      </c>
    </row>
    <row r="13" spans="1:36" ht="126" x14ac:dyDescent="0.2">
      <c r="A13" s="7">
        <f ca="1">IFERROR(__xludf.DUMMYFUNCTION("""COMPUTED_VALUE"""),33)</f>
        <v>33</v>
      </c>
      <c r="B13" s="7" t="str">
        <f ca="1">IFERROR(__xludf.DUMMYFUNCTION("""COMPUTED_VALUE"""),"FR-57")</f>
        <v>FR-57</v>
      </c>
      <c r="C13" s="9" t="str">
        <f ca="1">IFERROR(__xludf.DUMMYFUNCTION("""COMPUTED_VALUE"""),"Поставка эскалаторов, оборудования и комплектующих к ним")</f>
        <v>Поставка эскалаторов, оборудования и комплектующих к ним</v>
      </c>
      <c r="D13" s="7" t="str">
        <f ca="1">IFERROR(__xludf.DUMMYFUNCTION("""COMPUTED_VALUE"""),"План по стандартизации")</f>
        <v>План по стандартизации</v>
      </c>
      <c r="E13" s="7">
        <f ca="1">IFERROR(__xludf.DUMMYFUNCTION("""COMPUTED_VALUE"""),2020)</f>
        <v>2020</v>
      </c>
      <c r="F13" s="7">
        <f ca="1">IFERROR(__xludf.DUMMYFUNCTION("""COMPUTED_VALUE"""),2)</f>
        <v>2</v>
      </c>
      <c r="G13" s="7" t="str">
        <f ca="1">IFERROR(__xludf.DUMMYFUNCTION("""COMPUTED_VALUE"""),"ТТЗ")</f>
        <v>ТТЗ</v>
      </c>
      <c r="H13" s="7" t="str">
        <f ca="1">IFERROR(__xludf.DUMMYFUNCTION("""COMPUTED_VALUE"""),"Завершено")</f>
        <v>Завершено</v>
      </c>
      <c r="I13" s="7">
        <f ca="1">IFERROR(__xludf.DUMMYFUNCTION("""COMPUTED_VALUE"""),5)</f>
        <v>5</v>
      </c>
      <c r="J13" s="7">
        <f ca="1">IFERROR(__xludf.DUMMYFUNCTION("""COMPUTED_VALUE"""),6)</f>
        <v>6</v>
      </c>
      <c r="K13" s="7" t="str">
        <f ca="1">IFERROR(__xludf.DUMMYFUNCTION("""COMPUTED_VALUE"""),"Воробьев Вадим Владимирович")</f>
        <v>Воробьев Вадим Владимирович</v>
      </c>
      <c r="L13" s="7" t="str">
        <f ca="1">IFERROR(__xludf.DUMMYFUNCTION("""COMPUTED_VALUE"""),"Уфаркина Наталья Геннадьевна")</f>
        <v>Уфаркина Наталья Геннадьевна</v>
      </c>
      <c r="M13" s="7" t="str">
        <f ca="1">IFERROR(__xludf.DUMMYFUNCTION("""COMPUTED_VALUE"""),"Гудиев Зелимхан Куйраевич")</f>
        <v>Гудиев Зелимхан Куйраевич</v>
      </c>
      <c r="N13" s="7"/>
      <c r="O13" s="7"/>
      <c r="P13" s="7"/>
      <c r="Q13" s="7"/>
      <c r="R13" s="7"/>
      <c r="S13" s="7"/>
      <c r="T13" s="7" t="str">
        <f ca="1">IFERROR(__xludf.DUMMYFUNCTION("""COMPUTED_VALUE"""),"Полностью YouTrackная")</f>
        <v>Полностью YouTrackная</v>
      </c>
      <c r="U13" s="7" t="str">
        <f ca="1">IFERROR(__xludf.DUMMYFUNCTION("""COMPUTED_VALUE"""),"Поставка эскалаторов, оборудования и комплектующих к ним")</f>
        <v>Поставка эскалаторов, оборудования и комплектующих к ним</v>
      </c>
      <c r="V13" s="10">
        <f ca="1">IFERROR(__xludf.DUMMYFUNCTION("""COMPUTED_VALUE"""),43977.9131828703)</f>
        <v>43977.913182870303</v>
      </c>
      <c r="W13" s="7"/>
      <c r="X13" s="16" t="str">
        <f ca="1">IFERROR(__xludf.DUMMYFUNCTION("""COMPUTED_VALUE"""),"2.83")</f>
        <v>2.83</v>
      </c>
      <c r="Y13" s="7" t="str">
        <f ca="1">IFERROR(__xludf.DUMMYFUNCTION("""COMPUTED_VALUE"""),"39.48")</f>
        <v>39.48</v>
      </c>
      <c r="Z13" s="7" t="str">
        <f ca="1">IFERROR(__xludf.DUMMYFUNCTION("""COMPUTED_VALUE"""),"13.51")</f>
        <v>13.51</v>
      </c>
      <c r="AA13" s="7" t="str">
        <f ca="1">IFERROR(__xludf.DUMMYFUNCTION("""COMPUTED_VALUE"""),"5.92")</f>
        <v>5.92</v>
      </c>
      <c r="AB13" s="7" t="str">
        <f ca="1">IFERROR(__xludf.DUMMYFUNCTION("""COMPUTED_VALUE"""),"91.34")</f>
        <v>91.34</v>
      </c>
      <c r="AC13" s="7" t="str">
        <f ca="1">IFERROR(__xludf.DUMMYFUNCTION("""COMPUTED_VALUE"""),"33.6")</f>
        <v>33.6</v>
      </c>
      <c r="AD13" s="7" t="str">
        <f ca="1">IFERROR(__xludf.DUMMYFUNCTION("""COMPUTED_VALUE"""),"45.11")</f>
        <v>45.11</v>
      </c>
      <c r="AE13" s="11">
        <f ca="1">IFERROR(__xludf.DUMMYFUNCTION("""COMPUTED_VALUE"""),44910)</f>
        <v>44910</v>
      </c>
      <c r="AF13" s="7" t="str">
        <f ca="1">IFERROR(__xludf.DUMMYFUNCTION("""COMPUTED_VALUE"""),"1.64")</f>
        <v>1.64</v>
      </c>
      <c r="AG13" s="7" t="str">
        <f ca="1">IFERROR(__xludf.DUMMYFUNCTION("""COMPUTED_VALUE"""),"4.35")</f>
        <v>4.35</v>
      </c>
      <c r="AH13" s="10">
        <f ca="1">IFERROR(__xludf.DUMMYFUNCTION("""COMPUTED_VALUE"""),44315.7007291666)</f>
        <v>44315.700729166601</v>
      </c>
      <c r="AI13" s="10">
        <f ca="1">IFERROR(__xludf.DUMMYFUNCTION("""COMPUTED_VALUE"""),44348.8040972222)</f>
        <v>44348.804097222201</v>
      </c>
      <c r="AJ13" s="7">
        <f ca="1">IFERROR(__xludf.DUMMYFUNCTION("""COMPUTED_VALUE"""),254)</f>
        <v>254</v>
      </c>
    </row>
    <row r="14" spans="1:36" ht="220.5" x14ac:dyDescent="0.2">
      <c r="A14" s="7">
        <f ca="1">IFERROR(__xludf.DUMMYFUNCTION("""COMPUTED_VALUE"""),34)</f>
        <v>34</v>
      </c>
      <c r="B14" s="7" t="str">
        <f ca="1">IFERROR(__xludf.DUMMYFUNCTION("""COMPUTED_VALUE"""),"FR-58")</f>
        <v>FR-58</v>
      </c>
      <c r="C14" s="9" t="str">
        <f ca="1">IFERROR(__xludf.DUMMYFUNCTION("""COMPUTED_VALUE"""),"Оказание услуг по техническому обслуживанию и текущему ремонту охранного 
оборудования и систем видеонаблюдения")</f>
        <v>Оказание услуг по техническому обслуживанию и текущему ремонту охранного 
оборудования и систем видеонаблюдения</v>
      </c>
      <c r="D14" s="7" t="str">
        <f ca="1">IFERROR(__xludf.DUMMYFUNCTION("""COMPUTED_VALUE"""),"План по стандартизации")</f>
        <v>План по стандартизации</v>
      </c>
      <c r="E14" s="7">
        <f ca="1">IFERROR(__xludf.DUMMYFUNCTION("""COMPUTED_VALUE"""),2020)</f>
        <v>2020</v>
      </c>
      <c r="F14" s="7">
        <f ca="1">IFERROR(__xludf.DUMMYFUNCTION("""COMPUTED_VALUE"""),2)</f>
        <v>2</v>
      </c>
      <c r="G14" s="7" t="str">
        <f ca="1">IFERROR(__xludf.DUMMYFUNCTION("""COMPUTED_VALUE"""),"ТТЗ")</f>
        <v>ТТЗ</v>
      </c>
      <c r="H14" s="7" t="str">
        <f ca="1">IFERROR(__xludf.DUMMYFUNCTION("""COMPUTED_VALUE"""),"Завершено")</f>
        <v>Завершено</v>
      </c>
      <c r="I14" s="7">
        <f ca="1">IFERROR(__xludf.DUMMYFUNCTION("""COMPUTED_VALUE"""),0)</f>
        <v>0</v>
      </c>
      <c r="J14" s="7">
        <f ca="1">IFERROR(__xludf.DUMMYFUNCTION("""COMPUTED_VALUE"""),2)</f>
        <v>2</v>
      </c>
      <c r="K14" s="7"/>
      <c r="L14" s="7" t="str">
        <f ca="1">IFERROR(__xludf.DUMMYFUNCTION("""COMPUTED_VALUE"""),"Уфаркина Наталья Геннадьевна")</f>
        <v>Уфаркина Наталья Геннадьевна</v>
      </c>
      <c r="M14" s="7" t="str">
        <f ca="1">IFERROR(__xludf.DUMMYFUNCTION("""COMPUTED_VALUE"""),"Гудиев Зелимхан Куйраевич")</f>
        <v>Гудиев Зелимхан Куйраевич</v>
      </c>
      <c r="N14" s="7"/>
      <c r="O14" s="7" t="str">
        <f ca="1">IFERROR(__xludf.DUMMYFUNCTION("""COMPUTED_VALUE"""),"Типовой")</f>
        <v>Типовой</v>
      </c>
      <c r="P14" s="7" t="str">
        <f ca="1">IFERROR(__xludf.DUMMYFUNCTION("""COMPUTED_VALUE"""),"Нет")</f>
        <v>Нет</v>
      </c>
      <c r="Q14" s="7" t="str">
        <f ca="1">IFERROR(__xludf.DUMMYFUNCTION("""COMPUTED_VALUE"""),"44-ФЗ / 223-ФЗ")</f>
        <v>44-ФЗ / 223-ФЗ</v>
      </c>
      <c r="R14" s="7" t="str">
        <f ca="1">IFERROR(__xludf.DUMMYFUNCTION("""COMPUTED_VALUE"""),"Нет")</f>
        <v>Нет</v>
      </c>
      <c r="S14" s="7" t="str">
        <f ca="1">IFERROR(__xludf.DUMMYFUNCTION("""COMPUTED_VALUE"""),"Открытый конкурс")</f>
        <v>Открытый конкурс</v>
      </c>
      <c r="T14" s="7" t="str">
        <f ca="1">IFERROR(__xludf.DUMMYFUNCTION("""COMPUTED_VALUE"""),"Полностью YouTrackная")</f>
        <v>Полностью YouTrackная</v>
      </c>
      <c r="U14" s="7" t="str">
        <f ca="1">IFERROR(__xludf.DUMMYFUNCTION("""COMPUTED_VALUE"""),"Оказание услуг по техническому обслуживанию и текущему ремонту охранного 
оборудования и систем видеонаблюдения")</f>
        <v>Оказание услуг по техническому обслуживанию и текущему ремонту охранного 
оборудования и систем видеонаблюдения</v>
      </c>
      <c r="V14" s="10">
        <f ca="1">IFERROR(__xludf.DUMMYFUNCTION("""COMPUTED_VALUE"""),43978.7277083333)</f>
        <v>43978.727708333303</v>
      </c>
      <c r="W14" s="7"/>
      <c r="X14" s="16" t="str">
        <f ca="1">IFERROR(__xludf.DUMMYFUNCTION("""COMPUTED_VALUE"""),"1.99")</f>
        <v>1.99</v>
      </c>
      <c r="Y14" s="7" t="str">
        <f ca="1">IFERROR(__xludf.DUMMYFUNCTION("""COMPUTED_VALUE"""),"15.87")</f>
        <v>15.87</v>
      </c>
      <c r="Z14" s="7"/>
      <c r="AA14" s="7" t="str">
        <f ca="1">IFERROR(__xludf.DUMMYFUNCTION("""COMPUTED_VALUE"""),"3.93")</f>
        <v>3.93</v>
      </c>
      <c r="AB14" s="7" t="str">
        <f ca="1">IFERROR(__xludf.DUMMYFUNCTION("""COMPUTED_VALUE"""),"161.51")</f>
        <v>161.51</v>
      </c>
      <c r="AC14" s="7" t="str">
        <f ca="1">IFERROR(__xludf.DUMMYFUNCTION("""COMPUTED_VALUE"""),"24.34")</f>
        <v>24.34</v>
      </c>
      <c r="AD14" s="8">
        <f ca="1">IFERROR(__xludf.DUMMYFUNCTION("""COMPUTED_VALUE"""),44659)</f>
        <v>44659</v>
      </c>
      <c r="AE14" s="7" t="str">
        <f ca="1">IFERROR(__xludf.DUMMYFUNCTION("""COMPUTED_VALUE"""),"30.43")</f>
        <v>30.43</v>
      </c>
      <c r="AF14" s="7" t="str">
        <f ca="1">IFERROR(__xludf.DUMMYFUNCTION("""COMPUTED_VALUE"""),"1.64")</f>
        <v>1.64</v>
      </c>
      <c r="AG14" s="11">
        <f ca="1">IFERROR(__xludf.DUMMYFUNCTION("""COMPUTED_VALUE"""),44565)</f>
        <v>44565</v>
      </c>
      <c r="AH14" s="10">
        <f ca="1">IFERROR(__xludf.DUMMYFUNCTION("""COMPUTED_VALUE"""),44294.3931944444)</f>
        <v>44294.393194444398</v>
      </c>
      <c r="AI14" s="10">
        <f ca="1">IFERROR(__xludf.DUMMYFUNCTION("""COMPUTED_VALUE"""),44348.5577662037)</f>
        <v>44348.557766203703</v>
      </c>
      <c r="AJ14" s="7">
        <f ca="1">IFERROR(__xludf.DUMMYFUNCTION("""COMPUTED_VALUE"""),253)</f>
        <v>253</v>
      </c>
    </row>
    <row r="15" spans="1:36" ht="78.75" x14ac:dyDescent="0.2">
      <c r="A15" s="7">
        <f ca="1">IFERROR(__xludf.DUMMYFUNCTION("""COMPUTED_VALUE"""),36)</f>
        <v>36</v>
      </c>
      <c r="B15" s="7" t="str">
        <f ca="1">IFERROR(__xludf.DUMMYFUNCTION("""COMPUTED_VALUE"""),"FR-61")</f>
        <v>FR-61</v>
      </c>
      <c r="C15" s="9" t="str">
        <f ca="1">IFERROR(__xludf.DUMMYFUNCTION("""COMPUTED_VALUE"""),"Поставка остановочных павильонов")</f>
        <v>Поставка остановочных павильонов</v>
      </c>
      <c r="D15" s="7" t="str">
        <f ca="1">IFERROR(__xludf.DUMMYFUNCTION("""COMPUTED_VALUE"""),"План по стандартизации")</f>
        <v>План по стандартизации</v>
      </c>
      <c r="E15" s="7">
        <f ca="1">IFERROR(__xludf.DUMMYFUNCTION("""COMPUTED_VALUE"""),2020)</f>
        <v>2020</v>
      </c>
      <c r="F15" s="7">
        <f ca="1">IFERROR(__xludf.DUMMYFUNCTION("""COMPUTED_VALUE"""),2)</f>
        <v>2</v>
      </c>
      <c r="G15" s="7" t="str">
        <f ca="1">IFERROR(__xludf.DUMMYFUNCTION("""COMPUTED_VALUE"""),"ТТЗ")</f>
        <v>ТТЗ</v>
      </c>
      <c r="H15" s="7" t="str">
        <f ca="1">IFERROR(__xludf.DUMMYFUNCTION("""COMPUTED_VALUE"""),"Завершено")</f>
        <v>Завершено</v>
      </c>
      <c r="I15" s="7">
        <f ca="1">IFERROR(__xludf.DUMMYFUNCTION("""COMPUTED_VALUE"""),2)</f>
        <v>2</v>
      </c>
      <c r="J15" s="7">
        <f ca="1">IFERROR(__xludf.DUMMYFUNCTION("""COMPUTED_VALUE"""),1)</f>
        <v>1</v>
      </c>
      <c r="K15" s="7"/>
      <c r="L15" s="7" t="str">
        <f ca="1">IFERROR(__xludf.DUMMYFUNCTION("""COMPUTED_VALUE"""),"Давлиев Ильнар Газинурович")</f>
        <v>Давлиев Ильнар Газинурович</v>
      </c>
      <c r="M15" s="7" t="str">
        <f ca="1">IFERROR(__xludf.DUMMYFUNCTION("""COMPUTED_VALUE"""),"Чурсина Мария Вячеславовна")</f>
        <v>Чурсина Мария Вячеславовна</v>
      </c>
      <c r="N15" s="7"/>
      <c r="O15" s="7" t="str">
        <f ca="1">IFERROR(__xludf.DUMMYFUNCTION("""COMPUTED_VALUE"""),"Типовой")</f>
        <v>Типовой</v>
      </c>
      <c r="P15" s="7" t="str">
        <f ca="1">IFERROR(__xludf.DUMMYFUNCTION("""COMPUTED_VALUE"""),"Нет")</f>
        <v>Нет</v>
      </c>
      <c r="Q15" s="7" t="str">
        <f ca="1">IFERROR(__xludf.DUMMYFUNCTION("""COMPUTED_VALUE"""),"Нет")</f>
        <v>Нет</v>
      </c>
      <c r="R15" s="7" t="str">
        <f ca="1">IFERROR(__xludf.DUMMYFUNCTION("""COMPUTED_VALUE"""),"Нет")</f>
        <v>Нет</v>
      </c>
      <c r="S15" s="7" t="str">
        <f ca="1">IFERROR(__xludf.DUMMYFUNCTION("""COMPUTED_VALUE"""),"Электронный аукцион")</f>
        <v>Электронный аукцион</v>
      </c>
      <c r="T15" s="7" t="str">
        <f ca="1">IFERROR(__xludf.DUMMYFUNCTION("""COMPUTED_VALUE"""),"Полностью YouTrackная")</f>
        <v>Полностью YouTrackная</v>
      </c>
      <c r="U15" s="7" t="str">
        <f ca="1">IFERROR(__xludf.DUMMYFUNCTION("""COMPUTED_VALUE"""),"Поставка остановочных павильонов")</f>
        <v>Поставка остановочных павильонов</v>
      </c>
      <c r="V15" s="10">
        <f ca="1">IFERROR(__xludf.DUMMYFUNCTION("""COMPUTED_VALUE"""),43983.7180671296)</f>
        <v>43983.718067129601</v>
      </c>
      <c r="W15" s="7" t="str">
        <f ca="1">IFERROR(__xludf.DUMMYFUNCTION("""COMPUTED_VALUE"""),"2.64")</f>
        <v>2.64</v>
      </c>
      <c r="X15" s="16" t="str">
        <f ca="1">IFERROR(__xludf.DUMMYFUNCTION("""COMPUTED_VALUE"""),"6.18")</f>
        <v>6.18</v>
      </c>
      <c r="Y15" s="7" t="str">
        <f ca="1">IFERROR(__xludf.DUMMYFUNCTION("""COMPUTED_VALUE"""),"8.26")</f>
        <v>8.26</v>
      </c>
      <c r="Z15" s="7" t="str">
        <f ca="1">IFERROR(__xludf.DUMMYFUNCTION("""COMPUTED_VALUE"""),"11.82")</f>
        <v>11.82</v>
      </c>
      <c r="AA15" s="7" t="str">
        <f ca="1">IFERROR(__xludf.DUMMYFUNCTION("""COMPUTED_VALUE"""),"1.75")</f>
        <v>1.75</v>
      </c>
      <c r="AB15" s="7" t="str">
        <f ca="1">IFERROR(__xludf.DUMMYFUNCTION("""COMPUTED_VALUE"""),"59.75")</f>
        <v>59.75</v>
      </c>
      <c r="AC15" s="7" t="str">
        <f ca="1">IFERROR(__xludf.DUMMYFUNCTION("""COMPUTED_VALUE"""),"32.51")</f>
        <v>32.51</v>
      </c>
      <c r="AD15" s="7" t="str">
        <f ca="1">IFERROR(__xludf.DUMMYFUNCTION("""COMPUTED_VALUE"""),"5.23")</f>
        <v>5.23</v>
      </c>
      <c r="AE15" s="7" t="str">
        <f ca="1">IFERROR(__xludf.DUMMYFUNCTION("""COMPUTED_VALUE"""),"3.88")</f>
        <v>3.88</v>
      </c>
      <c r="AF15" s="7">
        <f ca="1">IFERROR(__xludf.DUMMYFUNCTION("""COMPUTED_VALUE"""),2)</f>
        <v>2</v>
      </c>
      <c r="AG15" s="7" t="str">
        <f ca="1">IFERROR(__xludf.DUMMYFUNCTION("""COMPUTED_VALUE"""),"3.73")</f>
        <v>3.73</v>
      </c>
      <c r="AH15" s="10">
        <f ca="1">IFERROR(__xludf.DUMMYFUNCTION("""COMPUTED_VALUE"""),44165.8406134259)</f>
        <v>44165.840613425898</v>
      </c>
      <c r="AI15" s="10">
        <f ca="1">IFERROR(__xludf.DUMMYFUNCTION("""COMPUTED_VALUE"""),44179.4563773148)</f>
        <v>44179.456377314797</v>
      </c>
      <c r="AJ15" s="7">
        <f ca="1">IFERROR(__xludf.DUMMYFUNCTION("""COMPUTED_VALUE"""),135)</f>
        <v>135</v>
      </c>
    </row>
    <row r="16" spans="1:36" ht="141.75" x14ac:dyDescent="0.2">
      <c r="A16" s="7">
        <f ca="1">IFERROR(__xludf.DUMMYFUNCTION("""COMPUTED_VALUE"""),37)</f>
        <v>37</v>
      </c>
      <c r="B16" s="7" t="str">
        <f ca="1">IFERROR(__xludf.DUMMYFUNCTION("""COMPUTED_VALUE"""),"FR-62")</f>
        <v>FR-62</v>
      </c>
      <c r="C16" s="9" t="str">
        <f ca="1">IFERROR(__xludf.DUMMYFUNCTION("""COMPUTED_VALUE"""),"Поставка самоспасателей для индивидуальной защиты органов дыхания и зрения")</f>
        <v>Поставка самоспасателей для индивидуальной защиты органов дыхания и зрения</v>
      </c>
      <c r="D16" s="7" t="str">
        <f ca="1">IFERROR(__xludf.DUMMYFUNCTION("""COMPUTED_VALUE"""),"План по стандартизации")</f>
        <v>План по стандартизации</v>
      </c>
      <c r="E16" s="7">
        <f ca="1">IFERROR(__xludf.DUMMYFUNCTION("""COMPUTED_VALUE"""),2020)</f>
        <v>2020</v>
      </c>
      <c r="F16" s="7">
        <f ca="1">IFERROR(__xludf.DUMMYFUNCTION("""COMPUTED_VALUE"""),2)</f>
        <v>2</v>
      </c>
      <c r="G16" s="7" t="str">
        <f ca="1">IFERROR(__xludf.DUMMYFUNCTION("""COMPUTED_VALUE"""),"ТТЗ")</f>
        <v>ТТЗ</v>
      </c>
      <c r="H16" s="7" t="str">
        <f ca="1">IFERROR(__xludf.DUMMYFUNCTION("""COMPUTED_VALUE"""),"Завершено")</f>
        <v>Завершено</v>
      </c>
      <c r="I16" s="7">
        <f ca="1">IFERROR(__xludf.DUMMYFUNCTION("""COMPUTED_VALUE"""),1)</f>
        <v>1</v>
      </c>
      <c r="J16" s="7">
        <f ca="1">IFERROR(__xludf.DUMMYFUNCTION("""COMPUTED_VALUE"""),1)</f>
        <v>1</v>
      </c>
      <c r="K16" s="7" t="str">
        <f ca="1">IFERROR(__xludf.DUMMYFUNCTION("""COMPUTED_VALUE"""),"Бибилашвили Надежда Михайловна")</f>
        <v>Бибилашвили Надежда Михайловна</v>
      </c>
      <c r="L16" s="7" t="str">
        <f ca="1">IFERROR(__xludf.DUMMYFUNCTION("""COMPUTED_VALUE"""),"Давлиев Ильнар Газинурович")</f>
        <v>Давлиев Ильнар Газинурович</v>
      </c>
      <c r="M16" s="7" t="str">
        <f ca="1">IFERROR(__xludf.DUMMYFUNCTION("""COMPUTED_VALUE"""),"Чурсина Мария Вячеславовна")</f>
        <v>Чурсина Мария Вячеславовна</v>
      </c>
      <c r="N16" s="7"/>
      <c r="O16" s="7" t="str">
        <f ca="1">IFERROR(__xludf.DUMMYFUNCTION("""COMPUTED_VALUE"""),"Типовой")</f>
        <v>Типовой</v>
      </c>
      <c r="P16" s="7" t="str">
        <f ca="1">IFERROR(__xludf.DUMMYFUNCTION("""COMPUTED_VALUE"""),"Нет")</f>
        <v>Нет</v>
      </c>
      <c r="Q16" s="7" t="str">
        <f ca="1">IFERROR(__xludf.DUMMYFUNCTION("""COMPUTED_VALUE"""),"Нет")</f>
        <v>Нет</v>
      </c>
      <c r="R16" s="7" t="str">
        <f ca="1">IFERROR(__xludf.DUMMYFUNCTION("""COMPUTED_VALUE"""),"Нет")</f>
        <v>Нет</v>
      </c>
      <c r="S16" s="7" t="str">
        <f ca="1">IFERROR(__xludf.DUMMYFUNCTION("""COMPUTED_VALUE"""),"Электронный аукцион")</f>
        <v>Электронный аукцион</v>
      </c>
      <c r="T16" s="7" t="str">
        <f ca="1">IFERROR(__xludf.DUMMYFUNCTION("""COMPUTED_VALUE"""),"Полностью YouTrackная")</f>
        <v>Полностью YouTrackная</v>
      </c>
      <c r="U16" s="7" t="str">
        <f ca="1">IFERROR(__xludf.DUMMYFUNCTION("""COMPUTED_VALUE"""),"Поставка самоспасателей для индивидуальной защиты органов дыхания и зрения")</f>
        <v>Поставка самоспасателей для индивидуальной защиты органов дыхания и зрения</v>
      </c>
      <c r="V16" s="10">
        <f ca="1">IFERROR(__xludf.DUMMYFUNCTION("""COMPUTED_VALUE"""),43983.719375)</f>
        <v>43983.719375000001</v>
      </c>
      <c r="W16" s="7" t="str">
        <f ca="1">IFERROR(__xludf.DUMMYFUNCTION("""COMPUTED_VALUE"""),"2.64")</f>
        <v>2.64</v>
      </c>
      <c r="X16" s="16" t="str">
        <f ca="1">IFERROR(__xludf.DUMMYFUNCTION("""COMPUTED_VALUE"""),"5.42")</f>
        <v>5.42</v>
      </c>
      <c r="Y16" s="11">
        <f ca="1">IFERROR(__xludf.DUMMYFUNCTION("""COMPUTED_VALUE"""),44806)</f>
        <v>44806</v>
      </c>
      <c r="Z16" s="8">
        <f ca="1">IFERROR(__xludf.DUMMYFUNCTION("""COMPUTED_VALUE"""),44722)</f>
        <v>44722</v>
      </c>
      <c r="AA16" s="7" t="str">
        <f ca="1">IFERROR(__xludf.DUMMYFUNCTION("""COMPUTED_VALUE"""),"1.54")</f>
        <v>1.54</v>
      </c>
      <c r="AB16" s="7" t="str">
        <f ca="1">IFERROR(__xludf.DUMMYFUNCTION("""COMPUTED_VALUE"""),"35.86")</f>
        <v>35.86</v>
      </c>
      <c r="AC16" s="7" t="str">
        <f ca="1">IFERROR(__xludf.DUMMYFUNCTION("""COMPUTED_VALUE"""),"12.84")</f>
        <v>12.84</v>
      </c>
      <c r="AD16" s="7" t="str">
        <f ca="1">IFERROR(__xludf.DUMMYFUNCTION("""COMPUTED_VALUE"""),"24.99")</f>
        <v>24.99</v>
      </c>
      <c r="AE16" s="7" t="str">
        <f ca="1">IFERROR(__xludf.DUMMYFUNCTION("""COMPUTED_VALUE"""),"7.52")</f>
        <v>7.52</v>
      </c>
      <c r="AF16" s="8">
        <f ca="1">IFERROR(__xludf.DUMMYFUNCTION("""COMPUTED_VALUE"""),44655)</f>
        <v>44655</v>
      </c>
      <c r="AG16" s="7" t="str">
        <f ca="1">IFERROR(__xludf.DUMMYFUNCTION("""COMPUTED_VALUE"""),"7.85")</f>
        <v>7.85</v>
      </c>
      <c r="AH16" s="10">
        <f ca="1">IFERROR(__xludf.DUMMYFUNCTION("""COMPUTED_VALUE"""),44118.9760185185)</f>
        <v>44118.9760185185</v>
      </c>
      <c r="AI16" s="10">
        <f ca="1">IFERROR(__xludf.DUMMYFUNCTION("""COMPUTED_VALUE"""),44147.3840393518)</f>
        <v>44147.384039351797</v>
      </c>
      <c r="AJ16" s="7">
        <f ca="1">IFERROR(__xludf.DUMMYFUNCTION("""COMPUTED_VALUE"""),113)</f>
        <v>113</v>
      </c>
    </row>
    <row r="17" spans="1:36" ht="47.25" x14ac:dyDescent="0.2">
      <c r="A17" s="7">
        <f ca="1">IFERROR(__xludf.DUMMYFUNCTION("""COMPUTED_VALUE"""),38)</f>
        <v>38</v>
      </c>
      <c r="B17" s="7" t="str">
        <f ca="1">IFERROR(__xludf.DUMMYFUNCTION("""COMPUTED_VALUE"""),"FR-69")</f>
        <v>FR-69</v>
      </c>
      <c r="C17" s="9" t="str">
        <f ca="1">IFERROR(__xludf.DUMMYFUNCTION("""COMPUTED_VALUE"""),"Поставка проездных билетов")</f>
        <v>Поставка проездных билетов</v>
      </c>
      <c r="D17" s="7" t="str">
        <f ca="1">IFERROR(__xludf.DUMMYFUNCTION("""COMPUTED_VALUE"""),"План по стандартизации")</f>
        <v>План по стандартизации</v>
      </c>
      <c r="E17" s="7">
        <f ca="1">IFERROR(__xludf.DUMMYFUNCTION("""COMPUTED_VALUE"""),2019)</f>
        <v>2019</v>
      </c>
      <c r="F17" s="7">
        <f ca="1">IFERROR(__xludf.DUMMYFUNCTION("""COMPUTED_VALUE"""),4)</f>
        <v>4</v>
      </c>
      <c r="G17" s="7" t="str">
        <f ca="1">IFERROR(__xludf.DUMMYFUNCTION("""COMPUTED_VALUE"""),"ТТЗ")</f>
        <v>ТТЗ</v>
      </c>
      <c r="H17" s="7" t="str">
        <f ca="1">IFERROR(__xludf.DUMMYFUNCTION("""COMPUTED_VALUE"""),"Завершено")</f>
        <v>Завершено</v>
      </c>
      <c r="I17" s="7">
        <f ca="1">IFERROR(__xludf.DUMMYFUNCTION("""COMPUTED_VALUE"""),0)</f>
        <v>0</v>
      </c>
      <c r="J17" s="7">
        <f ca="1">IFERROR(__xludf.DUMMYFUNCTION("""COMPUTED_VALUE"""),0)</f>
        <v>0</v>
      </c>
      <c r="K17" s="7"/>
      <c r="L17" s="7" t="str">
        <f ca="1">IFERROR(__xludf.DUMMYFUNCTION("""COMPUTED_VALUE"""),"Уфаркина Наталья Геннадьевна")</f>
        <v>Уфаркина Наталья Геннадьевна</v>
      </c>
      <c r="M17" s="7" t="str">
        <f ca="1">IFERROR(__xludf.DUMMYFUNCTION("""COMPUTED_VALUE"""),"Гудиев Зелимхан Куйраевич")</f>
        <v>Гудиев Зелимхан Куйраевич</v>
      </c>
      <c r="N17" s="7"/>
      <c r="O17" s="7" t="str">
        <f ca="1">IFERROR(__xludf.DUMMYFUNCTION("""COMPUTED_VALUE"""),"Типовой")</f>
        <v>Типовой</v>
      </c>
      <c r="P17" s="7" t="str">
        <f ca="1">IFERROR(__xludf.DUMMYFUNCTION("""COMPUTED_VALUE"""),"Да")</f>
        <v>Да</v>
      </c>
      <c r="Q17" s="7" t="str">
        <f ca="1">IFERROR(__xludf.DUMMYFUNCTION("""COMPUTED_VALUE"""),"Нет")</f>
        <v>Нет</v>
      </c>
      <c r="R17" s="7" t="str">
        <f ca="1">IFERROR(__xludf.DUMMYFUNCTION("""COMPUTED_VALUE"""),"Нет")</f>
        <v>Нет</v>
      </c>
      <c r="S17" s="7" t="str">
        <f ca="1">IFERROR(__xludf.DUMMYFUNCTION("""COMPUTED_VALUE"""),"Электронный аукцион")</f>
        <v>Электронный аукцион</v>
      </c>
      <c r="T17" s="7"/>
      <c r="U17" s="7" t="str">
        <f ca="1">IFERROR(__xludf.DUMMYFUNCTION("""COMPUTED_VALUE"""),"Поставка проездных билетов")</f>
        <v>Поставка проездных билетов</v>
      </c>
      <c r="V17" s="10">
        <f ca="1">IFERROR(__xludf.DUMMYFUNCTION("""COMPUTED_VALUE"""),43987.4815625)</f>
        <v>43987.481562499997</v>
      </c>
      <c r="W17" s="7">
        <f ca="1">IFERROR(__xludf.DUMMYFUNCTION("""COMPUTED_VALUE"""),0)</f>
        <v>0</v>
      </c>
      <c r="X17" s="16" t="str">
        <f ca="1">IFERROR(__xludf.DUMMYFUNCTION("""COMPUTED_VALUE"""),"0.35")</f>
        <v>0.35</v>
      </c>
      <c r="Y17" s="7"/>
      <c r="Z17" s="7"/>
      <c r="AA17" s="7" t="str">
        <f ca="1">IFERROR(__xludf.DUMMYFUNCTION("""COMPUTED_VALUE"""),"0.03")</f>
        <v>0.03</v>
      </c>
      <c r="AB17" s="7" t="str">
        <f ca="1">IFERROR(__xludf.DUMMYFUNCTION("""COMPUTED_VALUE"""),"7.48")</f>
        <v>7.48</v>
      </c>
      <c r="AC17" s="7"/>
      <c r="AD17" s="7"/>
      <c r="AE17" s="7" t="str">
        <f ca="1">IFERROR(__xludf.DUMMYFUNCTION("""COMPUTED_VALUE"""),"17.45")</f>
        <v>17.45</v>
      </c>
      <c r="AF17" s="7" t="str">
        <f ca="1">IFERROR(__xludf.DUMMYFUNCTION("""COMPUTED_VALUE"""),"0.75")</f>
        <v>0.75</v>
      </c>
      <c r="AG17" s="8">
        <f ca="1">IFERROR(__xludf.DUMMYFUNCTION("""COMPUTED_VALUE"""),44806)</f>
        <v>44806</v>
      </c>
      <c r="AH17" s="10">
        <f ca="1">IFERROR(__xludf.DUMMYFUNCTION("""COMPUTED_VALUE"""),44000.3519907407)</f>
        <v>44000.351990740703</v>
      </c>
      <c r="AI17" s="10">
        <f ca="1">IFERROR(__xludf.DUMMYFUNCTION("""COMPUTED_VALUE"""),44028.6422569444)</f>
        <v>44028.642256944397</v>
      </c>
      <c r="AJ17" s="7">
        <f ca="1">IFERROR(__xludf.DUMMYFUNCTION("""COMPUTED_VALUE"""),28)</f>
        <v>28</v>
      </c>
    </row>
    <row r="18" spans="1:36" ht="94.5" x14ac:dyDescent="0.2">
      <c r="A18" s="7">
        <f ca="1">IFERROR(__xludf.DUMMYFUNCTION("""COMPUTED_VALUE"""),46)</f>
        <v>46</v>
      </c>
      <c r="B18" s="7" t="str">
        <f ca="1">IFERROR(__xludf.DUMMYFUNCTION("""COMPUTED_VALUE"""),"FR-78")</f>
        <v>FR-78</v>
      </c>
      <c r="C18" s="9" t="str">
        <f ca="1">IFERROR(__xludf.DUMMYFUNCTION("""COMPUTED_VALUE"""),"Оказание услуг по аренде автомобилей без водителей")</f>
        <v>Оказание услуг по аренде автомобилей без водителей</v>
      </c>
      <c r="D18" s="7" t="str">
        <f ca="1">IFERROR(__xludf.DUMMYFUNCTION("""COMPUTED_VALUE"""),"План по стандартизации")</f>
        <v>План по стандартизации</v>
      </c>
      <c r="E18" s="7">
        <f ca="1">IFERROR(__xludf.DUMMYFUNCTION("""COMPUTED_VALUE"""),2020)</f>
        <v>2020</v>
      </c>
      <c r="F18" s="7">
        <f ca="1">IFERROR(__xludf.DUMMYFUNCTION("""COMPUTED_VALUE"""),3)</f>
        <v>3</v>
      </c>
      <c r="G18" s="7" t="str">
        <f ca="1">IFERROR(__xludf.DUMMYFUNCTION("""COMPUTED_VALUE"""),"ТТЗ")</f>
        <v>ТТЗ</v>
      </c>
      <c r="H18" s="7" t="str">
        <f ca="1">IFERROR(__xludf.DUMMYFUNCTION("""COMPUTED_VALUE"""),"Завершено")</f>
        <v>Завершено</v>
      </c>
      <c r="I18" s="7">
        <f ca="1">IFERROR(__xludf.DUMMYFUNCTION("""COMPUTED_VALUE"""),4)</f>
        <v>4</v>
      </c>
      <c r="J18" s="7">
        <f ca="1">IFERROR(__xludf.DUMMYFUNCTION("""COMPUTED_VALUE"""),2)</f>
        <v>2</v>
      </c>
      <c r="K18" s="7" t="str">
        <f ca="1">IFERROR(__xludf.DUMMYFUNCTION("""COMPUTED_VALUE"""),"Бибилашвили Надежда Михайловна")</f>
        <v>Бибилашвили Надежда Михайловна</v>
      </c>
      <c r="L18" s="7" t="str">
        <f ca="1">IFERROR(__xludf.DUMMYFUNCTION("""COMPUTED_VALUE"""),"Давлиев Ильнар Газинурович")</f>
        <v>Давлиев Ильнар Газинурович</v>
      </c>
      <c r="M18" s="7" t="str">
        <f ca="1">IFERROR(__xludf.DUMMYFUNCTION("""COMPUTED_VALUE"""),"Чурсина Мария Вячеславовна")</f>
        <v>Чурсина Мария Вячеславовна</v>
      </c>
      <c r="N18" s="7"/>
      <c r="O18" s="7" t="str">
        <f ca="1">IFERROR(__xludf.DUMMYFUNCTION("""COMPUTED_VALUE"""),"Типовой")</f>
        <v>Типовой</v>
      </c>
      <c r="P18" s="7" t="str">
        <f ca="1">IFERROR(__xludf.DUMMYFUNCTION("""COMPUTED_VALUE"""),"Нет")</f>
        <v>Нет</v>
      </c>
      <c r="Q18" s="7" t="str">
        <f ca="1">IFERROR(__xludf.DUMMYFUNCTION("""COMPUTED_VALUE"""),"Нет")</f>
        <v>Нет</v>
      </c>
      <c r="R18" s="7" t="str">
        <f ca="1">IFERROR(__xludf.DUMMYFUNCTION("""COMPUTED_VALUE"""),"Нет")</f>
        <v>Нет</v>
      </c>
      <c r="S18" s="7" t="str">
        <f ca="1">IFERROR(__xludf.DUMMYFUNCTION("""COMPUTED_VALUE"""),"Электронный аукцион")</f>
        <v>Электронный аукцион</v>
      </c>
      <c r="T18" s="7" t="str">
        <f ca="1">IFERROR(__xludf.DUMMYFUNCTION("""COMPUTED_VALUE"""),"Полностью YouTrackная")</f>
        <v>Полностью YouTrackная</v>
      </c>
      <c r="U18" s="7" t="str">
        <f ca="1">IFERROR(__xludf.DUMMYFUNCTION("""COMPUTED_VALUE"""),"Оказание услуг по аренде автомобилей без водителей")</f>
        <v>Оказание услуг по аренде автомобилей без водителей</v>
      </c>
      <c r="V18" s="10">
        <f ca="1">IFERROR(__xludf.DUMMYFUNCTION("""COMPUTED_VALUE"""),43997.9569907407)</f>
        <v>43997.956990740699</v>
      </c>
      <c r="W18" s="7" t="str">
        <f ca="1">IFERROR(__xludf.DUMMYFUNCTION("""COMPUTED_VALUE"""),"21.53")</f>
        <v>21.53</v>
      </c>
      <c r="X18" s="16" t="str">
        <f ca="1">IFERROR(__xludf.DUMMYFUNCTION("""COMPUTED_VALUE"""),"28.96")</f>
        <v>28.96</v>
      </c>
      <c r="Y18" s="7" t="str">
        <f ca="1">IFERROR(__xludf.DUMMYFUNCTION("""COMPUTED_VALUE"""),"9.81")</f>
        <v>9.81</v>
      </c>
      <c r="Z18" s="11">
        <f ca="1">IFERROR(__xludf.DUMMYFUNCTION("""COMPUTED_VALUE"""),44687)</f>
        <v>44687</v>
      </c>
      <c r="AA18" s="7" t="str">
        <f ca="1">IFERROR(__xludf.DUMMYFUNCTION("""COMPUTED_VALUE"""),"0.03")</f>
        <v>0.03</v>
      </c>
      <c r="AB18" s="7" t="str">
        <f ca="1">IFERROR(__xludf.DUMMYFUNCTION("""COMPUTED_VALUE"""),"41.96")</f>
        <v>41.96</v>
      </c>
      <c r="AC18" s="8">
        <f ca="1">IFERROR(__xludf.DUMMYFUNCTION("""COMPUTED_VALUE"""),44577)</f>
        <v>44577</v>
      </c>
      <c r="AD18" s="8">
        <f ca="1">IFERROR(__xludf.DUMMYFUNCTION("""COMPUTED_VALUE"""),44717)</f>
        <v>44717</v>
      </c>
      <c r="AE18" s="7" t="str">
        <f ca="1">IFERROR(__xludf.DUMMYFUNCTION("""COMPUTED_VALUE"""),"8.73")</f>
        <v>8.73</v>
      </c>
      <c r="AF18" s="7" t="str">
        <f ca="1">IFERROR(__xludf.DUMMYFUNCTION("""COMPUTED_VALUE"""),"1.25")</f>
        <v>1.25</v>
      </c>
      <c r="AG18" s="7" t="str">
        <f ca="1">IFERROR(__xludf.DUMMYFUNCTION("""COMPUTED_VALUE"""),"4.34")</f>
        <v>4.34</v>
      </c>
      <c r="AH18" s="10">
        <f ca="1">IFERROR(__xludf.DUMMYFUNCTION("""COMPUTED_VALUE"""),44180.8224421296)</f>
        <v>44180.822442129604</v>
      </c>
      <c r="AI18" s="10">
        <f ca="1">IFERROR(__xludf.DUMMYFUNCTION("""COMPUTED_VALUE"""),44209.1399884259)</f>
        <v>44209.139988425901</v>
      </c>
      <c r="AJ18" s="7">
        <f ca="1">IFERROR(__xludf.DUMMYFUNCTION("""COMPUTED_VALUE"""),123)</f>
        <v>123</v>
      </c>
    </row>
    <row r="19" spans="1:36" ht="141.75" x14ac:dyDescent="0.2">
      <c r="A19" s="7">
        <f ca="1">IFERROR(__xludf.DUMMYFUNCTION("""COMPUTED_VALUE"""),51)</f>
        <v>51</v>
      </c>
      <c r="B19" s="7" t="str">
        <f ca="1">IFERROR(__xludf.DUMMYFUNCTION("""COMPUTED_VALUE"""),"FR-83")</f>
        <v>FR-83</v>
      </c>
      <c r="C19" s="9" t="str">
        <f ca="1">IFERROR(__xludf.DUMMYFUNCTION("""COMPUTED_VALUE"""),"Поставка люков смотровых колодцев и дождеприемников ливнесточных колодцев")</f>
        <v>Поставка люков смотровых колодцев и дождеприемников ливнесточных колодцев</v>
      </c>
      <c r="D19" s="7" t="str">
        <f ca="1">IFERROR(__xludf.DUMMYFUNCTION("""COMPUTED_VALUE"""),"План по стандартизации")</f>
        <v>План по стандартизации</v>
      </c>
      <c r="E19" s="7">
        <f ca="1">IFERROR(__xludf.DUMMYFUNCTION("""COMPUTED_VALUE"""),2020)</f>
        <v>2020</v>
      </c>
      <c r="F19" s="7">
        <f ca="1">IFERROR(__xludf.DUMMYFUNCTION("""COMPUTED_VALUE"""),2)</f>
        <v>2</v>
      </c>
      <c r="G19" s="7" t="str">
        <f ca="1">IFERROR(__xludf.DUMMYFUNCTION("""COMPUTED_VALUE"""),"ТТЗ")</f>
        <v>ТТЗ</v>
      </c>
      <c r="H19" s="7" t="str">
        <f ca="1">IFERROR(__xludf.DUMMYFUNCTION("""COMPUTED_VALUE"""),"Завершено")</f>
        <v>Завершено</v>
      </c>
      <c r="I19" s="7">
        <f ca="1">IFERROR(__xludf.DUMMYFUNCTION("""COMPUTED_VALUE"""),0)</f>
        <v>0</v>
      </c>
      <c r="J19" s="7">
        <f ca="1">IFERROR(__xludf.DUMMYFUNCTION("""COMPUTED_VALUE"""),0)</f>
        <v>0</v>
      </c>
      <c r="K19" s="7" t="str">
        <f ca="1">IFERROR(__xludf.DUMMYFUNCTION("""COMPUTED_VALUE"""),"Воробьев Вадим Владимирович")</f>
        <v>Воробьев Вадим Владимирович</v>
      </c>
      <c r="L19" s="7" t="str">
        <f ca="1">IFERROR(__xludf.DUMMYFUNCTION("""COMPUTED_VALUE"""),"Уфаркина Наталья Геннадьевна")</f>
        <v>Уфаркина Наталья Геннадьевна</v>
      </c>
      <c r="M19" s="7" t="str">
        <f ca="1">IFERROR(__xludf.DUMMYFUNCTION("""COMPUTED_VALUE"""),"Гудиев Зелимхан Куйраевич")</f>
        <v>Гудиев Зелимхан Куйраевич</v>
      </c>
      <c r="N19" s="7"/>
      <c r="O19" s="7" t="str">
        <f ca="1">IFERROR(__xludf.DUMMYFUNCTION("""COMPUTED_VALUE"""),"Типовой")</f>
        <v>Типовой</v>
      </c>
      <c r="P19" s="7"/>
      <c r="Q19" s="7" t="str">
        <f ca="1">IFERROR(__xludf.DUMMYFUNCTION("""COMPUTED_VALUE"""),"Нет")</f>
        <v>Нет</v>
      </c>
      <c r="R19" s="7" t="str">
        <f ca="1">IFERROR(__xludf.DUMMYFUNCTION("""COMPUTED_VALUE"""),"Нет")</f>
        <v>Нет</v>
      </c>
      <c r="S19" s="7" t="str">
        <f ca="1">IFERROR(__xludf.DUMMYFUNCTION("""COMPUTED_VALUE"""),"Электронный аукцион")</f>
        <v>Электронный аукцион</v>
      </c>
      <c r="T19" s="7" t="str">
        <f ca="1">IFERROR(__xludf.DUMMYFUNCTION("""COMPUTED_VALUE"""),"Полностью YouTrackная")</f>
        <v>Полностью YouTrackная</v>
      </c>
      <c r="U19" s="7" t="str">
        <f ca="1">IFERROR(__xludf.DUMMYFUNCTION("""COMPUTED_VALUE"""),"Поставка люков смотровых колодцев и дождеприемников ливнесточных колодцев")</f>
        <v>Поставка люков смотровых колодцев и дождеприемников ливнесточных колодцев</v>
      </c>
      <c r="V19" s="10">
        <f ca="1">IFERROR(__xludf.DUMMYFUNCTION("""COMPUTED_VALUE"""),44001.4703703703)</f>
        <v>44001.470370370298</v>
      </c>
      <c r="W19" s="7"/>
      <c r="X19" s="16" t="str">
        <f ca="1">IFERROR(__xludf.DUMMYFUNCTION("""COMPUTED_VALUE"""),"0.14")</f>
        <v>0.14</v>
      </c>
      <c r="Y19" s="7"/>
      <c r="Z19" s="7"/>
      <c r="AA19" s="7">
        <f ca="1">IFERROR(__xludf.DUMMYFUNCTION("""COMPUTED_VALUE"""),0)</f>
        <v>0</v>
      </c>
      <c r="AB19" s="7" t="str">
        <f ca="1">IFERROR(__xludf.DUMMYFUNCTION("""COMPUTED_VALUE"""),"3.76")</f>
        <v>3.76</v>
      </c>
      <c r="AC19" s="7"/>
      <c r="AD19" s="7" t="str">
        <f ca="1">IFERROR(__xludf.DUMMYFUNCTION("""COMPUTED_VALUE"""),"12.43")</f>
        <v>12.43</v>
      </c>
      <c r="AE19" s="7">
        <f ca="1">IFERROR(__xludf.DUMMYFUNCTION("""COMPUTED_VALUE"""),0)</f>
        <v>0</v>
      </c>
      <c r="AF19" s="7" t="str">
        <f ca="1">IFERROR(__xludf.DUMMYFUNCTION("""COMPUTED_VALUE"""),"0.75")</f>
        <v>0.75</v>
      </c>
      <c r="AG19" s="11">
        <f ca="1">IFERROR(__xludf.DUMMYFUNCTION("""COMPUTED_VALUE"""),44899)</f>
        <v>44899</v>
      </c>
      <c r="AH19" s="10">
        <f ca="1">IFERROR(__xludf.DUMMYFUNCTION("""COMPUTED_VALUE"""),44025.8019907406)</f>
        <v>44025.801990740598</v>
      </c>
      <c r="AI19" s="10">
        <f ca="1">IFERROR(__xludf.DUMMYFUNCTION("""COMPUTED_VALUE"""),44032.6747453703)</f>
        <v>44032.674745370299</v>
      </c>
      <c r="AJ19" s="7">
        <f ca="1">IFERROR(__xludf.DUMMYFUNCTION("""COMPUTED_VALUE"""),22)</f>
        <v>22</v>
      </c>
    </row>
    <row r="20" spans="1:36" ht="78.75" x14ac:dyDescent="0.2">
      <c r="A20" s="7">
        <f ca="1">IFERROR(__xludf.DUMMYFUNCTION("""COMPUTED_VALUE"""),52)</f>
        <v>52</v>
      </c>
      <c r="B20" s="7" t="str">
        <f ca="1">IFERROR(__xludf.DUMMYFUNCTION("""COMPUTED_VALUE"""),"FR-84")</f>
        <v>FR-84</v>
      </c>
      <c r="C20" s="9" t="str">
        <f ca="1">IFERROR(__xludf.DUMMYFUNCTION("""COMPUTED_VALUE"""),"Поставка мебели детской и ученической")</f>
        <v>Поставка мебели детской и ученической</v>
      </c>
      <c r="D20" s="7" t="str">
        <f ca="1">IFERROR(__xludf.DUMMYFUNCTION("""COMPUTED_VALUE"""),"План по стандартизации")</f>
        <v>План по стандартизации</v>
      </c>
      <c r="E20" s="7">
        <f ca="1">IFERROR(__xludf.DUMMYFUNCTION("""COMPUTED_VALUE"""),2020)</f>
        <v>2020</v>
      </c>
      <c r="F20" s="7">
        <f ca="1">IFERROR(__xludf.DUMMYFUNCTION("""COMPUTED_VALUE"""),3)</f>
        <v>3</v>
      </c>
      <c r="G20" s="7" t="str">
        <f ca="1">IFERROR(__xludf.DUMMYFUNCTION("""COMPUTED_VALUE"""),"ТТЗ")</f>
        <v>ТТЗ</v>
      </c>
      <c r="H20" s="7" t="str">
        <f ca="1">IFERROR(__xludf.DUMMYFUNCTION("""COMPUTED_VALUE"""),"Завершено")</f>
        <v>Завершено</v>
      </c>
      <c r="I20" s="7">
        <f ca="1">IFERROR(__xludf.DUMMYFUNCTION("""COMPUTED_VALUE"""),5)</f>
        <v>5</v>
      </c>
      <c r="J20" s="7">
        <f ca="1">IFERROR(__xludf.DUMMYFUNCTION("""COMPUTED_VALUE"""),2)</f>
        <v>2</v>
      </c>
      <c r="K20" s="7" t="str">
        <f ca="1">IFERROR(__xludf.DUMMYFUNCTION("""COMPUTED_VALUE"""),"Спицына Наталья Владимировна")</f>
        <v>Спицына Наталья Владимировна</v>
      </c>
      <c r="L20" s="7" t="str">
        <f ca="1">IFERROR(__xludf.DUMMYFUNCTION("""COMPUTED_VALUE"""),"Бутасова Светлана Валерьевна")</f>
        <v>Бутасова Светлана Валерьевна</v>
      </c>
      <c r="M20" s="7" t="str">
        <f ca="1">IFERROR(__xludf.DUMMYFUNCTION("""COMPUTED_VALUE"""),"Чурсина Мария Вячеславовна")</f>
        <v>Чурсина Мария Вячеславовна</v>
      </c>
      <c r="N20" s="7"/>
      <c r="O20" s="7" t="str">
        <f ca="1">IFERROR(__xludf.DUMMYFUNCTION("""COMPUTED_VALUE"""),"Типовой")</f>
        <v>Типовой</v>
      </c>
      <c r="P20" s="7"/>
      <c r="Q20" s="7"/>
      <c r="R20" s="7"/>
      <c r="S20" s="7"/>
      <c r="T20" s="7" t="str">
        <f ca="1">IFERROR(__xludf.DUMMYFUNCTION("""COMPUTED_VALUE"""),"Полностью YouTrackная")</f>
        <v>Полностью YouTrackная</v>
      </c>
      <c r="U20" s="7" t="str">
        <f ca="1">IFERROR(__xludf.DUMMYFUNCTION("""COMPUTED_VALUE"""),"Поставка мебели детской и ученической")</f>
        <v>Поставка мебели детской и ученической</v>
      </c>
      <c r="V20" s="10">
        <f ca="1">IFERROR(__xludf.DUMMYFUNCTION("""COMPUTED_VALUE"""),44008.7371296296)</f>
        <v>44008.737129629597</v>
      </c>
      <c r="W20" s="7" t="str">
        <f ca="1">IFERROR(__xludf.DUMMYFUNCTION("""COMPUTED_VALUE"""),"23.76")</f>
        <v>23.76</v>
      </c>
      <c r="X20" s="16" t="str">
        <f ca="1">IFERROR(__xludf.DUMMYFUNCTION("""COMPUTED_VALUE"""),"10.99")</f>
        <v>10.99</v>
      </c>
      <c r="Y20" s="7" t="str">
        <f ca="1">IFERROR(__xludf.DUMMYFUNCTION("""COMPUTED_VALUE"""),"12.72")</f>
        <v>12.72</v>
      </c>
      <c r="Z20" s="7" t="str">
        <f ca="1">IFERROR(__xludf.DUMMYFUNCTION("""COMPUTED_VALUE"""),"6.29")</f>
        <v>6.29</v>
      </c>
      <c r="AA20" s="7" t="str">
        <f ca="1">IFERROR(__xludf.DUMMYFUNCTION("""COMPUTED_VALUE"""),"11.38")</f>
        <v>11.38</v>
      </c>
      <c r="AB20" s="7" t="str">
        <f ca="1">IFERROR(__xludf.DUMMYFUNCTION("""COMPUTED_VALUE"""),"36.93")</f>
        <v>36.93</v>
      </c>
      <c r="AC20" s="11">
        <f ca="1">IFERROR(__xludf.DUMMYFUNCTION("""COMPUTED_VALUE"""),44710)</f>
        <v>44710</v>
      </c>
      <c r="AD20" s="7" t="str">
        <f ca="1">IFERROR(__xludf.DUMMYFUNCTION("""COMPUTED_VALUE"""),"3.49")</f>
        <v>3.49</v>
      </c>
      <c r="AE20" s="7" t="str">
        <f ca="1">IFERROR(__xludf.DUMMYFUNCTION("""COMPUTED_VALUE"""),"17.73")</f>
        <v>17.73</v>
      </c>
      <c r="AF20" s="7" t="str">
        <f ca="1">IFERROR(__xludf.DUMMYFUNCTION("""COMPUTED_VALUE"""),"2.25")</f>
        <v>2.25</v>
      </c>
      <c r="AG20" s="7" t="str">
        <f ca="1">IFERROR(__xludf.DUMMYFUNCTION("""COMPUTED_VALUE"""),"5.98")</f>
        <v>5.98</v>
      </c>
      <c r="AH20" s="10">
        <f ca="1">IFERROR(__xludf.DUMMYFUNCTION("""COMPUTED_VALUE"""),44208.7833680555)</f>
        <v>44208.783368055498</v>
      </c>
      <c r="AI20" s="10">
        <f ca="1">IFERROR(__xludf.DUMMYFUNCTION("""COMPUTED_VALUE"""),44244.7442592591)</f>
        <v>44244.744259259103</v>
      </c>
      <c r="AJ20" s="7">
        <f ca="1">IFERROR(__xludf.DUMMYFUNCTION("""COMPUTED_VALUE"""),137)</f>
        <v>137</v>
      </c>
    </row>
    <row r="21" spans="1:36" ht="110.25" x14ac:dyDescent="0.2">
      <c r="A21" s="7">
        <f ca="1">IFERROR(__xludf.DUMMYFUNCTION("""COMPUTED_VALUE"""),53)</f>
        <v>53</v>
      </c>
      <c r="B21" s="7" t="str">
        <f ca="1">IFERROR(__xludf.DUMMYFUNCTION("""COMPUTED_VALUE"""),"FR-85")</f>
        <v>FR-85</v>
      </c>
      <c r="C21" s="9" t="str">
        <f ca="1">IFERROR(__xludf.DUMMYFUNCTION("""COMPUTED_VALUE"""),"Поставка осветительных приборов и комплектующих к ним")</f>
        <v>Поставка осветительных приборов и комплектующих к ним</v>
      </c>
      <c r="D21" s="7" t="str">
        <f ca="1">IFERROR(__xludf.DUMMYFUNCTION("""COMPUTED_VALUE"""),"План по стандартизации")</f>
        <v>План по стандартизации</v>
      </c>
      <c r="E21" s="7">
        <f ca="1">IFERROR(__xludf.DUMMYFUNCTION("""COMPUTED_VALUE"""),2020)</f>
        <v>2020</v>
      </c>
      <c r="F21" s="7">
        <f ca="1">IFERROR(__xludf.DUMMYFUNCTION("""COMPUTED_VALUE"""),4)</f>
        <v>4</v>
      </c>
      <c r="G21" s="7" t="str">
        <f ca="1">IFERROR(__xludf.DUMMYFUNCTION("""COMPUTED_VALUE"""),"ТТЗ")</f>
        <v>ТТЗ</v>
      </c>
      <c r="H21" s="7" t="str">
        <f ca="1">IFERROR(__xludf.DUMMYFUNCTION("""COMPUTED_VALUE"""),"Завершено")</f>
        <v>Завершено</v>
      </c>
      <c r="I21" s="7">
        <f ca="1">IFERROR(__xludf.DUMMYFUNCTION("""COMPUTED_VALUE"""),17)</f>
        <v>17</v>
      </c>
      <c r="J21" s="7">
        <f ca="1">IFERROR(__xludf.DUMMYFUNCTION("""COMPUTED_VALUE"""),7)</f>
        <v>7</v>
      </c>
      <c r="K21" s="7" t="str">
        <f ca="1">IFERROR(__xludf.DUMMYFUNCTION("""COMPUTED_VALUE"""),"Куркина Наталья Витальевна")</f>
        <v>Куркина Наталья Витальевна</v>
      </c>
      <c r="L21" s="7" t="str">
        <f ca="1">IFERROR(__xludf.DUMMYFUNCTION("""COMPUTED_VALUE"""),"Бутасова Светлана Валерьевна")</f>
        <v>Бутасова Светлана Валерьевна</v>
      </c>
      <c r="M21" s="7" t="str">
        <f ca="1">IFERROR(__xludf.DUMMYFUNCTION("""COMPUTED_VALUE"""),"Чурсина Мария Вячеславовна")</f>
        <v>Чурсина Мария Вячеславовна</v>
      </c>
      <c r="N21" s="7"/>
      <c r="O21" s="7"/>
      <c r="P21" s="7"/>
      <c r="Q21" s="7"/>
      <c r="R21" s="7"/>
      <c r="S21" s="7"/>
      <c r="T21" s="7" t="str">
        <f ca="1">IFERROR(__xludf.DUMMYFUNCTION("""COMPUTED_VALUE"""),"Полностью YouTrackная")</f>
        <v>Полностью YouTrackная</v>
      </c>
      <c r="U21" s="7" t="str">
        <f ca="1">IFERROR(__xludf.DUMMYFUNCTION("""COMPUTED_VALUE"""),"Поставка осветительных приборов и комплектующих к ним")</f>
        <v>Поставка осветительных приборов и комплектующих к ним</v>
      </c>
      <c r="V21" s="10">
        <f ca="1">IFERROR(__xludf.DUMMYFUNCTION("""COMPUTED_VALUE"""),44011.4208449074)</f>
        <v>44011.420844907399</v>
      </c>
      <c r="W21" s="7">
        <f ca="1">IFERROR(__xludf.DUMMYFUNCTION("""COMPUTED_VALUE"""),83)</f>
        <v>83</v>
      </c>
      <c r="X21" s="16" t="str">
        <f ca="1">IFERROR(__xludf.DUMMYFUNCTION("""COMPUTED_VALUE"""),"30.28")</f>
        <v>30.28</v>
      </c>
      <c r="Y21" s="7" t="str">
        <f ca="1">IFERROR(__xludf.DUMMYFUNCTION("""COMPUTED_VALUE"""),"24.89")</f>
        <v>24.89</v>
      </c>
      <c r="Z21" s="11">
        <f ca="1">IFERROR(__xludf.DUMMYFUNCTION("""COMPUTED_VALUE"""),44790)</f>
        <v>44790</v>
      </c>
      <c r="AA21" s="7" t="str">
        <f ca="1">IFERROR(__xludf.DUMMYFUNCTION("""COMPUTED_VALUE"""),"3.27")</f>
        <v>3.27</v>
      </c>
      <c r="AB21" s="7" t="str">
        <f ca="1">IFERROR(__xludf.DUMMYFUNCTION("""COMPUTED_VALUE"""),"93.42")</f>
        <v>93.42</v>
      </c>
      <c r="AC21" s="7" t="str">
        <f ca="1">IFERROR(__xludf.DUMMYFUNCTION("""COMPUTED_VALUE"""),"38.98")</f>
        <v>38.98</v>
      </c>
      <c r="AD21" s="7" t="str">
        <f ca="1">IFERROR(__xludf.DUMMYFUNCTION("""COMPUTED_VALUE"""),"21.68")</f>
        <v>21.68</v>
      </c>
      <c r="AE21" s="7" t="str">
        <f ca="1">IFERROR(__xludf.DUMMYFUNCTION("""COMPUTED_VALUE"""),"7.72")</f>
        <v>7.72</v>
      </c>
      <c r="AF21" s="8">
        <f ca="1">IFERROR(__xludf.DUMMYFUNCTION("""COMPUTED_VALUE"""),44776)</f>
        <v>44776</v>
      </c>
      <c r="AG21" s="7" t="str">
        <f ca="1">IFERROR(__xludf.DUMMYFUNCTION("""COMPUTED_VALUE"""),"6.92")</f>
        <v>6.92</v>
      </c>
      <c r="AH21" s="10">
        <f ca="1">IFERROR(__xludf.DUMMYFUNCTION("""COMPUTED_VALUE"""),44466.7377662037)</f>
        <v>44466.737766203703</v>
      </c>
      <c r="AI21" s="10">
        <f ca="1">IFERROR(__xludf.DUMMYFUNCTION("""COMPUTED_VALUE"""),44490.457349537)</f>
        <v>44490.457349536999</v>
      </c>
      <c r="AJ21" s="7">
        <f ca="1">IFERROR(__xludf.DUMMYFUNCTION("""COMPUTED_VALUE"""),248)</f>
        <v>248</v>
      </c>
    </row>
    <row r="22" spans="1:36" ht="126" x14ac:dyDescent="0.2">
      <c r="A22" s="7">
        <f ca="1">IFERROR(__xludf.DUMMYFUNCTION("""COMPUTED_VALUE"""),57)</f>
        <v>57</v>
      </c>
      <c r="B22" s="7" t="str">
        <f ca="1">IFERROR(__xludf.DUMMYFUNCTION("""COMPUTED_VALUE"""),"FR-90")</f>
        <v>FR-90</v>
      </c>
      <c r="C22" s="9" t="str">
        <f ca="1">IFERROR(__xludf.DUMMYFUNCTION("""COMPUTED_VALUE"""),"Поставка дезинфицирующих средств медицинского назначения")</f>
        <v>Поставка дезинфицирующих средств медицинского назначения</v>
      </c>
      <c r="D22" s="7" t="str">
        <f ca="1">IFERROR(__xludf.DUMMYFUNCTION("""COMPUTED_VALUE"""),"Дорожная карта")</f>
        <v>Дорожная карта</v>
      </c>
      <c r="E22" s="7"/>
      <c r="F22" s="7"/>
      <c r="G22" s="7" t="str">
        <f ca="1">IFERROR(__xludf.DUMMYFUNCTION("""COMPUTED_VALUE"""),"ТТЗ")</f>
        <v>ТТЗ</v>
      </c>
      <c r="H22" s="7" t="str">
        <f ca="1">IFERROR(__xludf.DUMMYFUNCTION("""COMPUTED_VALUE"""),"Завершено")</f>
        <v>Завершено</v>
      </c>
      <c r="I22" s="7">
        <f ca="1">IFERROR(__xludf.DUMMYFUNCTION("""COMPUTED_VALUE"""),2)</f>
        <v>2</v>
      </c>
      <c r="J22" s="7">
        <f ca="1">IFERROR(__xludf.DUMMYFUNCTION("""COMPUTED_VALUE"""),3)</f>
        <v>3</v>
      </c>
      <c r="K22" s="7" t="str">
        <f ca="1">IFERROR(__xludf.DUMMYFUNCTION("""COMPUTED_VALUE"""),"Давлиев Ильнар Газинурович")</f>
        <v>Давлиев Ильнар Газинурович</v>
      </c>
      <c r="L22" s="7" t="str">
        <f ca="1">IFERROR(__xludf.DUMMYFUNCTION("""COMPUTED_VALUE"""),"Давлиев Ильнар Газинурович")</f>
        <v>Давлиев Ильнар Газинурович</v>
      </c>
      <c r="M22" s="7" t="str">
        <f ca="1">IFERROR(__xludf.DUMMYFUNCTION("""COMPUTED_VALUE"""),"Чурсина Мария Вячеславовна")</f>
        <v>Чурсина Мария Вячеславовна</v>
      </c>
      <c r="N22" s="7"/>
      <c r="O22" s="7" t="str">
        <f ca="1">IFERROR(__xludf.DUMMYFUNCTION("""COMPUTED_VALUE"""),"Типовой")</f>
        <v>Типовой</v>
      </c>
      <c r="P22" s="7"/>
      <c r="Q22" s="7"/>
      <c r="R22" s="7" t="str">
        <f ca="1">IFERROR(__xludf.DUMMYFUNCTION("""COMPUTED_VALUE"""),"Нет")</f>
        <v>Нет</v>
      </c>
      <c r="S22" s="7" t="str">
        <f ca="1">IFERROR(__xludf.DUMMYFUNCTION("""COMPUTED_VALUE"""),"Электронный аукцион")</f>
        <v>Электронный аукцион</v>
      </c>
      <c r="T22" s="7" t="str">
        <f ca="1">IFERROR(__xludf.DUMMYFUNCTION("""COMPUTED_VALUE"""),"Полностью YouTrackная")</f>
        <v>Полностью YouTrackная</v>
      </c>
      <c r="U22" s="7" t="str">
        <f ca="1">IFERROR(__xludf.DUMMYFUNCTION("""COMPUTED_VALUE"""),"Поставка дезинфицирующих средств медицинского назначения")</f>
        <v>Поставка дезинфицирующих средств медицинского назначения</v>
      </c>
      <c r="V22" s="10">
        <f ca="1">IFERROR(__xludf.DUMMYFUNCTION("""COMPUTED_VALUE"""),44015.4478703703)</f>
        <v>44015.447870370299</v>
      </c>
      <c r="W22" s="7" t="str">
        <f ca="1">IFERROR(__xludf.DUMMYFUNCTION("""COMPUTED_VALUE"""),"73.4")</f>
        <v>73.4</v>
      </c>
      <c r="X22" s="16"/>
      <c r="Y22" s="7" t="str">
        <f ca="1">IFERROR(__xludf.DUMMYFUNCTION("""COMPUTED_VALUE"""),"13.51")</f>
        <v>13.51</v>
      </c>
      <c r="Z22" s="7" t="str">
        <f ca="1">IFERROR(__xludf.DUMMYFUNCTION("""COMPUTED_VALUE"""),"4.52")</f>
        <v>4.52</v>
      </c>
      <c r="AA22" s="7" t="str">
        <f ca="1">IFERROR(__xludf.DUMMYFUNCTION("""COMPUTED_VALUE"""),"0.94")</f>
        <v>0.94</v>
      </c>
      <c r="AB22" s="7" t="str">
        <f ca="1">IFERROR(__xludf.DUMMYFUNCTION("""COMPUTED_VALUE"""),"23.67")</f>
        <v>23.67</v>
      </c>
      <c r="AC22" s="7" t="str">
        <f ca="1">IFERROR(__xludf.DUMMYFUNCTION("""COMPUTED_VALUE"""),"176.92")</f>
        <v>176.92</v>
      </c>
      <c r="AD22" s="7" t="str">
        <f ca="1">IFERROR(__xludf.DUMMYFUNCTION("""COMPUTED_VALUE"""),"5.36")</f>
        <v>5.36</v>
      </c>
      <c r="AE22" s="7" t="str">
        <f ca="1">IFERROR(__xludf.DUMMYFUNCTION("""COMPUTED_VALUE"""),"18.67")</f>
        <v>18.67</v>
      </c>
      <c r="AF22" s="8">
        <f ca="1">IFERROR(__xludf.DUMMYFUNCTION("""COMPUTED_VALUE"""),44776)</f>
        <v>44776</v>
      </c>
      <c r="AG22" s="8">
        <f ca="1">IFERROR(__xludf.DUMMYFUNCTION("""COMPUTED_VALUE"""),44725)</f>
        <v>44725</v>
      </c>
      <c r="AH22" s="10">
        <f ca="1">IFERROR(__xludf.DUMMYFUNCTION("""COMPUTED_VALUE"""),44449.785625)</f>
        <v>44449.785624999997</v>
      </c>
      <c r="AI22" s="10">
        <f ca="1">IFERROR(__xludf.DUMMYFUNCTION("""COMPUTED_VALUE"""),44498.5967592592)</f>
        <v>44498.596759259199</v>
      </c>
      <c r="AJ22" s="7">
        <f ca="1">IFERROR(__xludf.DUMMYFUNCTION("""COMPUTED_VALUE"""),260)</f>
        <v>260</v>
      </c>
    </row>
    <row r="23" spans="1:36" ht="78.75" x14ac:dyDescent="0.2">
      <c r="A23" s="7">
        <f ca="1">IFERROR(__xludf.DUMMYFUNCTION("""COMPUTED_VALUE"""),58)</f>
        <v>58</v>
      </c>
      <c r="B23" s="7" t="str">
        <f ca="1">IFERROR(__xludf.DUMMYFUNCTION("""COMPUTED_VALUE"""),"FR-91")</f>
        <v>FR-91</v>
      </c>
      <c r="C23" s="9" t="str">
        <f ca="1">IFERROR(__xludf.DUMMYFUNCTION("""COMPUTED_VALUE"""),"Поставка медицинского шовного материала")</f>
        <v>Поставка медицинского шовного материала</v>
      </c>
      <c r="D23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23" s="7">
        <f ca="1">IFERROR(__xludf.DUMMYFUNCTION("""COMPUTED_VALUE"""),2021)</f>
        <v>2021</v>
      </c>
      <c r="F23" s="7">
        <f ca="1">IFERROR(__xludf.DUMMYFUNCTION("""COMPUTED_VALUE"""),4)</f>
        <v>4</v>
      </c>
      <c r="G23" s="7" t="str">
        <f ca="1">IFERROR(__xludf.DUMMYFUNCTION("""COMPUTED_VALUE"""),"ТТЗ")</f>
        <v>ТТЗ</v>
      </c>
      <c r="H23" s="7" t="str">
        <f ca="1">IFERROR(__xludf.DUMMYFUNCTION("""COMPUTED_VALUE"""),"Загрузка в ЕАИСТ")</f>
        <v>Загрузка в ЕАИСТ</v>
      </c>
      <c r="I23" s="7">
        <f ca="1">IFERROR(__xludf.DUMMYFUNCTION("""COMPUTED_VALUE"""),5)</f>
        <v>5</v>
      </c>
      <c r="J23" s="7">
        <f ca="1">IFERROR(__xludf.DUMMYFUNCTION("""COMPUTED_VALUE"""),3)</f>
        <v>3</v>
      </c>
      <c r="K23" s="7" t="str">
        <f ca="1">IFERROR(__xludf.DUMMYFUNCTION("""COMPUTED_VALUE"""),"Давлиев Ильнар Газинурович")</f>
        <v>Давлиев Ильнар Газинурович</v>
      </c>
      <c r="L23" s="7" t="str">
        <f ca="1">IFERROR(__xludf.DUMMYFUNCTION("""COMPUTED_VALUE"""),"Давлиев Ильнар Газинурович")</f>
        <v>Давлиев Ильнар Газинурович</v>
      </c>
      <c r="M23" s="7" t="str">
        <f ca="1">IFERROR(__xludf.DUMMYFUNCTION("""COMPUTED_VALUE"""),"Чурсина Мария Вячеславовна")</f>
        <v>Чурсина Мария Вячеславовна</v>
      </c>
      <c r="N23" s="7"/>
      <c r="O23" s="7"/>
      <c r="P23" s="7" t="str">
        <f ca="1">IFERROR(__xludf.DUMMYFUNCTION("""COMPUTED_VALUE"""),"Нет")</f>
        <v>Нет</v>
      </c>
      <c r="Q23" s="7" t="str">
        <f ca="1">IFERROR(__xludf.DUMMYFUNCTION("""COMPUTED_VALUE"""),"Нет")</f>
        <v>Нет</v>
      </c>
      <c r="R23" s="7" t="str">
        <f ca="1">IFERROR(__xludf.DUMMYFUNCTION("""COMPUTED_VALUE"""),"Да")</f>
        <v>Да</v>
      </c>
      <c r="S23" s="7" t="str">
        <f ca="1">IFERROR(__xludf.DUMMYFUNCTION("""COMPUTED_VALUE"""),"Электронный аукцион")</f>
        <v>Электронный аукцион</v>
      </c>
      <c r="T23" s="7" t="str">
        <f ca="1">IFERROR(__xludf.DUMMYFUNCTION("""COMPUTED_VALUE"""),"Полностью YouTrackная")</f>
        <v>Полностью YouTrackная</v>
      </c>
      <c r="U23" s="7" t="str">
        <f ca="1">IFERROR(__xludf.DUMMYFUNCTION("""COMPUTED_VALUE"""),"Поставка медицинского шовного материала")</f>
        <v>Поставка медицинского шовного материала</v>
      </c>
      <c r="V23" s="10">
        <f ca="1">IFERROR(__xludf.DUMMYFUNCTION("""COMPUTED_VALUE"""),44015.4498726851)</f>
        <v>44015.449872685102</v>
      </c>
      <c r="W23" s="7" t="str">
        <f ca="1">IFERROR(__xludf.DUMMYFUNCTION("""COMPUTED_VALUE"""),"73.41")</f>
        <v>73.41</v>
      </c>
      <c r="X23" s="16"/>
      <c r="Y23" s="7" t="str">
        <f ca="1">IFERROR(__xludf.DUMMYFUNCTION("""COMPUTED_VALUE"""),"20.45")</f>
        <v>20.45</v>
      </c>
      <c r="Z23" s="7" t="str">
        <f ca="1">IFERROR(__xludf.DUMMYFUNCTION("""COMPUTED_VALUE"""),"8.54")</f>
        <v>8.54</v>
      </c>
      <c r="AA23" s="7" t="str">
        <f ca="1">IFERROR(__xludf.DUMMYFUNCTION("""COMPUTED_VALUE"""),"0.16")</f>
        <v>0.16</v>
      </c>
      <c r="AB23" s="8">
        <f ca="1">IFERROR(__xludf.DUMMYFUNCTION("""COMPUTED_VALUE"""),44677)</f>
        <v>44677</v>
      </c>
      <c r="AC23" s="7" t="str">
        <f ca="1">IFERROR(__xludf.DUMMYFUNCTION("""COMPUTED_VALUE"""),"255.65")</f>
        <v>255.65</v>
      </c>
      <c r="AD23" s="7" t="str">
        <f ca="1">IFERROR(__xludf.DUMMYFUNCTION("""COMPUTED_VALUE"""),"2.83")</f>
        <v>2.83</v>
      </c>
      <c r="AE23" s="7" t="str">
        <f ca="1">IFERROR(__xludf.DUMMYFUNCTION("""COMPUTED_VALUE"""),"18.98")</f>
        <v>18.98</v>
      </c>
      <c r="AF23" s="7">
        <f ca="1">IFERROR(__xludf.DUMMYFUNCTION("""COMPUTED_VALUE"""),1)</f>
        <v>1</v>
      </c>
      <c r="AG23" s="7" t="str">
        <f ca="1">IFERROR(__xludf.DUMMYFUNCTION("""COMPUTED_VALUE"""),"111.89")</f>
        <v>111.89</v>
      </c>
      <c r="AH23" s="10">
        <f ca="1">IFERROR(__xludf.DUMMYFUNCTION("""COMPUTED_VALUE"""),44586.5264583333)</f>
        <v>44586.526458333297</v>
      </c>
      <c r="AI23" s="7"/>
      <c r="AJ23" s="7">
        <f ca="1">IFERROR(__xludf.DUMMYFUNCTION("""COMPUTED_VALUE"""),445)</f>
        <v>445</v>
      </c>
    </row>
    <row r="24" spans="1:36" ht="141.75" x14ac:dyDescent="0.2">
      <c r="A24" s="7">
        <f ca="1">IFERROR(__xludf.DUMMYFUNCTION("""COMPUTED_VALUE"""),62)</f>
        <v>62</v>
      </c>
      <c r="B24" s="7" t="str">
        <f ca="1">IFERROR(__xludf.DUMMYFUNCTION("""COMPUTED_VALUE"""),"FR-95")</f>
        <v>FR-95</v>
      </c>
      <c r="C24" s="9" t="str">
        <f ca="1">IFERROR(__xludf.DUMMYFUNCTION("""COMPUTED_VALUE"""),"Поставка наборов для обеспечения длительного венозного доступа")</f>
        <v>Поставка наборов для обеспечения длительного венозного доступа</v>
      </c>
      <c r="D24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24" s="7">
        <f ca="1">IFERROR(__xludf.DUMMYFUNCTION("""COMPUTED_VALUE"""),2021)</f>
        <v>2021</v>
      </c>
      <c r="F24" s="7">
        <f ca="1">IFERROR(__xludf.DUMMYFUNCTION("""COMPUTED_VALUE"""),1)</f>
        <v>1</v>
      </c>
      <c r="G24" s="7" t="str">
        <f ca="1">IFERROR(__xludf.DUMMYFUNCTION("""COMPUTED_VALUE"""),"ТТЗ")</f>
        <v>ТТЗ</v>
      </c>
      <c r="H24" s="7" t="str">
        <f ca="1">IFERROR(__xludf.DUMMYFUNCTION("""COMPUTED_VALUE"""),"Завершено")</f>
        <v>Завершено</v>
      </c>
      <c r="I24" s="7">
        <f ca="1">IFERROR(__xludf.DUMMYFUNCTION("""COMPUTED_VALUE"""),0)</f>
        <v>0</v>
      </c>
      <c r="J24" s="7">
        <f ca="1">IFERROR(__xludf.DUMMYFUNCTION("""COMPUTED_VALUE"""),2)</f>
        <v>2</v>
      </c>
      <c r="K24" s="7" t="str">
        <f ca="1">IFERROR(__xludf.DUMMYFUNCTION("""COMPUTED_VALUE"""),"Давлиев Ильнар Газинурович")</f>
        <v>Давлиев Ильнар Газинурович</v>
      </c>
      <c r="L24" s="7" t="str">
        <f ca="1">IFERROR(__xludf.DUMMYFUNCTION("""COMPUTED_VALUE"""),"Давлиев Ильнар Газинурович")</f>
        <v>Давлиев Ильнар Газинурович</v>
      </c>
      <c r="M24" s="7" t="str">
        <f ca="1">IFERROR(__xludf.DUMMYFUNCTION("""COMPUTED_VALUE"""),"Чурсина Мария Вячеславовна")</f>
        <v>Чурсина Мария Вячеславовна</v>
      </c>
      <c r="N24" s="7"/>
      <c r="O24" s="7"/>
      <c r="P24" s="7"/>
      <c r="Q24" s="7"/>
      <c r="R24" s="7" t="str">
        <f ca="1">IFERROR(__xludf.DUMMYFUNCTION("""COMPUTED_VALUE"""),"Да")</f>
        <v>Да</v>
      </c>
      <c r="S24" s="7" t="str">
        <f ca="1">IFERROR(__xludf.DUMMYFUNCTION("""COMPUTED_VALUE"""),"Электронный аукцион")</f>
        <v>Электронный аукцион</v>
      </c>
      <c r="T24" s="7" t="str">
        <f ca="1">IFERROR(__xludf.DUMMYFUNCTION("""COMPUTED_VALUE"""),"Полностью YouTrackная")</f>
        <v>Полностью YouTrackная</v>
      </c>
      <c r="U24" s="7" t="str">
        <f ca="1">IFERROR(__xludf.DUMMYFUNCTION("""COMPUTED_VALUE"""),"Поставка наборов для обеспечения длительного венозного доступа")</f>
        <v>Поставка наборов для обеспечения длительного венозного доступа</v>
      </c>
      <c r="V24" s="10">
        <f ca="1">IFERROR(__xludf.DUMMYFUNCTION("""COMPUTED_VALUE"""),44015.4566319444)</f>
        <v>44015.456631944398</v>
      </c>
      <c r="W24" s="7" t="str">
        <f ca="1">IFERROR(__xludf.DUMMYFUNCTION("""COMPUTED_VALUE"""),"185.36")</f>
        <v>185.36</v>
      </c>
      <c r="X24" s="16" t="str">
        <f ca="1">IFERROR(__xludf.DUMMYFUNCTION("""COMPUTED_VALUE"""),"3.84")</f>
        <v>3.84</v>
      </c>
      <c r="Y24" s="11">
        <f ca="1">IFERROR(__xludf.DUMMYFUNCTION("""COMPUTED_VALUE"""),44562)</f>
        <v>44562</v>
      </c>
      <c r="Z24" s="7"/>
      <c r="AA24" s="7" t="str">
        <f ca="1">IFERROR(__xludf.DUMMYFUNCTION("""COMPUTED_VALUE"""),"0.07")</f>
        <v>0.07</v>
      </c>
      <c r="AB24" s="7" t="str">
        <f ca="1">IFERROR(__xludf.DUMMYFUNCTION("""COMPUTED_VALUE"""),"1.91")</f>
        <v>1.91</v>
      </c>
      <c r="AC24" s="11">
        <f ca="1">IFERROR(__xludf.DUMMYFUNCTION("""COMPUTED_VALUE"""),44570)</f>
        <v>44570</v>
      </c>
      <c r="AD24" s="7" t="str">
        <f ca="1">IFERROR(__xludf.DUMMYFUNCTION("""COMPUTED_VALUE"""),"4.83")</f>
        <v>4.83</v>
      </c>
      <c r="AE24" s="11">
        <f ca="1">IFERROR(__xludf.DUMMYFUNCTION("""COMPUTED_VALUE"""),44910)</f>
        <v>44910</v>
      </c>
      <c r="AF24" s="7" t="str">
        <f ca="1">IFERROR(__xludf.DUMMYFUNCTION("""COMPUTED_VALUE"""),"4.97")</f>
        <v>4.97</v>
      </c>
      <c r="AG24" s="7" t="str">
        <f ca="1">IFERROR(__xludf.DUMMYFUNCTION("""COMPUTED_VALUE"""),"36.12")</f>
        <v>36.12</v>
      </c>
      <c r="AH24" s="10">
        <f ca="1">IFERROR(__xludf.DUMMYFUNCTION("""COMPUTED_VALUE"""),44315.7007986111)</f>
        <v>44315.700798611098</v>
      </c>
      <c r="AI24" s="10">
        <f ca="1">IFERROR(__xludf.DUMMYFUNCTION("""COMPUTED_VALUE"""),44400.7716203703)</f>
        <v>44400.771620370302</v>
      </c>
      <c r="AJ24" s="7">
        <f ca="1">IFERROR(__xludf.DUMMYFUNCTION("""COMPUTED_VALUE"""),78)</f>
        <v>78</v>
      </c>
    </row>
    <row r="25" spans="1:36" ht="78.75" x14ac:dyDescent="0.2">
      <c r="A25" s="7">
        <f ca="1">IFERROR(__xludf.DUMMYFUNCTION("""COMPUTED_VALUE"""),63)</f>
        <v>63</v>
      </c>
      <c r="B25" s="7" t="str">
        <f ca="1">IFERROR(__xludf.DUMMYFUNCTION("""COMPUTED_VALUE"""),"FR-96")</f>
        <v>FR-96</v>
      </c>
      <c r="C25" s="9" t="str">
        <f ca="1">IFERROR(__xludf.DUMMYFUNCTION("""COMPUTED_VALUE"""),"Поставка перевязочных материалов")</f>
        <v>Поставка перевязочных материалов</v>
      </c>
      <c r="D25" s="7" t="str">
        <f ca="1">IFERROR(__xludf.DUMMYFUNCTION("""COMPUTED_VALUE"""),"План по стандартизации")</f>
        <v>План по стандартизации</v>
      </c>
      <c r="E25" s="7">
        <f ca="1">IFERROR(__xludf.DUMMYFUNCTION("""COMPUTED_VALUE"""),2021)</f>
        <v>2021</v>
      </c>
      <c r="F25" s="7">
        <f ca="1">IFERROR(__xludf.DUMMYFUNCTION("""COMPUTED_VALUE"""),3)</f>
        <v>3</v>
      </c>
      <c r="G25" s="7" t="str">
        <f ca="1">IFERROR(__xludf.DUMMYFUNCTION("""COMPUTED_VALUE"""),"ТТЗ")</f>
        <v>ТТЗ</v>
      </c>
      <c r="H25" s="7" t="str">
        <f ca="1">IFERROR(__xludf.DUMMYFUNCTION("""COMPUTED_VALUE"""),"Завершено")</f>
        <v>Завершено</v>
      </c>
      <c r="I25" s="7">
        <f ca="1">IFERROR(__xludf.DUMMYFUNCTION("""COMPUTED_VALUE"""),2)</f>
        <v>2</v>
      </c>
      <c r="J25" s="7">
        <f ca="1">IFERROR(__xludf.DUMMYFUNCTION("""COMPUTED_VALUE"""),1)</f>
        <v>1</v>
      </c>
      <c r="K25" s="7" t="str">
        <f ca="1">IFERROR(__xludf.DUMMYFUNCTION("""COMPUTED_VALUE"""),"Давлиев Ильнар Газинурович")</f>
        <v>Давлиев Ильнар Газинурович</v>
      </c>
      <c r="L25" s="7" t="str">
        <f ca="1">IFERROR(__xludf.DUMMYFUNCTION("""COMPUTED_VALUE"""),"Давлиев Ильнар Газинурович")</f>
        <v>Давлиев Ильнар Газинурович</v>
      </c>
      <c r="M25" s="7" t="str">
        <f ca="1">IFERROR(__xludf.DUMMYFUNCTION("""COMPUTED_VALUE"""),"Чурсина Мария Вячеславовна")</f>
        <v>Чурсина Мария Вячеславовна</v>
      </c>
      <c r="N25" s="7"/>
      <c r="O25" s="7" t="str">
        <f ca="1">IFERROR(__xludf.DUMMYFUNCTION("""COMPUTED_VALUE"""),"Типовой")</f>
        <v>Типовой</v>
      </c>
      <c r="P25" s="7"/>
      <c r="Q25" s="7"/>
      <c r="R25" s="7" t="str">
        <f ca="1">IFERROR(__xludf.DUMMYFUNCTION("""COMPUTED_VALUE"""),"Да")</f>
        <v>Да</v>
      </c>
      <c r="S25" s="7" t="str">
        <f ca="1">IFERROR(__xludf.DUMMYFUNCTION("""COMPUTED_VALUE"""),"Электронный аукцион")</f>
        <v>Электронный аукцион</v>
      </c>
      <c r="T25" s="7" t="str">
        <f ca="1">IFERROR(__xludf.DUMMYFUNCTION("""COMPUTED_VALUE"""),"Полностью YouTrackная")</f>
        <v>Полностью YouTrackная</v>
      </c>
      <c r="U25" s="7" t="str">
        <f ca="1">IFERROR(__xludf.DUMMYFUNCTION("""COMPUTED_VALUE"""),"Поставка перевязочных материалов")</f>
        <v>Поставка перевязочных материалов</v>
      </c>
      <c r="V25" s="10">
        <f ca="1">IFERROR(__xludf.DUMMYFUNCTION("""COMPUTED_VALUE"""),44015.4573032407)</f>
        <v>44015.457303240699</v>
      </c>
      <c r="W25" s="7" t="str">
        <f ca="1">IFERROR(__xludf.DUMMYFUNCTION("""COMPUTED_VALUE"""),"333.22")</f>
        <v>333.22</v>
      </c>
      <c r="X25" s="16" t="str">
        <f ca="1">IFERROR(__xludf.DUMMYFUNCTION("""COMPUTED_VALUE"""),"8.96")</f>
        <v>8.96</v>
      </c>
      <c r="Y25" s="7" t="str">
        <f ca="1">IFERROR(__xludf.DUMMYFUNCTION("""COMPUTED_VALUE"""),"3.26")</f>
        <v>3.26</v>
      </c>
      <c r="Z25" s="7" t="str">
        <f ca="1">IFERROR(__xludf.DUMMYFUNCTION("""COMPUTED_VALUE"""),"0.13")</f>
        <v>0.13</v>
      </c>
      <c r="AA25" s="7" t="str">
        <f ca="1">IFERROR(__xludf.DUMMYFUNCTION("""COMPUTED_VALUE"""),"0.06")</f>
        <v>0.06</v>
      </c>
      <c r="AB25" s="8">
        <f ca="1">IFERROR(__xludf.DUMMYFUNCTION("""COMPUTED_VALUE"""),44683)</f>
        <v>44683</v>
      </c>
      <c r="AC25" s="7" t="str">
        <f ca="1">IFERROR(__xludf.DUMMYFUNCTION("""COMPUTED_VALUE"""),"15.36")</f>
        <v>15.36</v>
      </c>
      <c r="AD25" s="7" t="str">
        <f ca="1">IFERROR(__xludf.DUMMYFUNCTION("""COMPUTED_VALUE"""),"3.93")</f>
        <v>3.93</v>
      </c>
      <c r="AE25" s="8">
        <f ca="1">IFERROR(__xludf.DUMMYFUNCTION("""COMPUTED_VALUE"""),44779)</f>
        <v>44779</v>
      </c>
      <c r="AF25" s="7">
        <f ca="1">IFERROR(__xludf.DUMMYFUNCTION("""COMPUTED_VALUE"""),0)</f>
        <v>0</v>
      </c>
      <c r="AG25" s="7" t="str">
        <f ca="1">IFERROR(__xludf.DUMMYFUNCTION("""COMPUTED_VALUE"""),"39.07")</f>
        <v>39.07</v>
      </c>
      <c r="AH25" s="10">
        <f ca="1">IFERROR(__xludf.DUMMYFUNCTION("""COMPUTED_VALUE"""),44550.420474537)</f>
        <v>44550.420474537001</v>
      </c>
      <c r="AI25" s="10">
        <f ca="1">IFERROR(__xludf.DUMMYFUNCTION("""COMPUTED_VALUE"""),44622.5686574074)</f>
        <v>44622.568657407399</v>
      </c>
      <c r="AJ25" s="7">
        <f ca="1">IFERROR(__xludf.DUMMYFUNCTION("""COMPUTED_VALUE"""),79)</f>
        <v>79</v>
      </c>
    </row>
    <row r="26" spans="1:36" ht="189" x14ac:dyDescent="0.2">
      <c r="A26" s="7">
        <f ca="1">IFERROR(__xludf.DUMMYFUNCTION("""COMPUTED_VALUE"""),64)</f>
        <v>64</v>
      </c>
      <c r="B26" s="7" t="str">
        <f ca="1">IFERROR(__xludf.DUMMYFUNCTION("""COMPUTED_VALUE"""),"FR-98")</f>
        <v>FR-98</v>
      </c>
      <c r="C26" s="9" t="str">
        <f ca="1">IFERROR(__xludf.DUMMYFUNCTION("""COMPUTED_VALUE"""),"Поставка расходных материалов для оборудования (производства Draeger, 
Medtronic (Covidien), Philips)")</f>
        <v>Поставка расходных материалов для оборудования (производства Draeger, 
Medtronic (Covidien), Philips)</v>
      </c>
      <c r="D26" s="7" t="str">
        <f ca="1">IFERROR(__xludf.DUMMYFUNCTION("""COMPUTED_VALUE"""),"План по стандартизации")</f>
        <v>План по стандартизации</v>
      </c>
      <c r="E26" s="7">
        <f ca="1">IFERROR(__xludf.DUMMYFUNCTION("""COMPUTED_VALUE"""),2021)</f>
        <v>2021</v>
      </c>
      <c r="F26" s="7">
        <f ca="1">IFERROR(__xludf.DUMMYFUNCTION("""COMPUTED_VALUE"""),3)</f>
        <v>3</v>
      </c>
      <c r="G26" s="7" t="str">
        <f ca="1">IFERROR(__xludf.DUMMYFUNCTION("""COMPUTED_VALUE"""),"ТТЗ")</f>
        <v>ТТЗ</v>
      </c>
      <c r="H26" s="7" t="str">
        <f ca="1">IFERROR(__xludf.DUMMYFUNCTION("""COMPUTED_VALUE"""),"Завершено")</f>
        <v>Завершено</v>
      </c>
      <c r="I26" s="7">
        <f ca="1">IFERROR(__xludf.DUMMYFUNCTION("""COMPUTED_VALUE"""),5)</f>
        <v>5</v>
      </c>
      <c r="J26" s="7">
        <f ca="1">IFERROR(__xludf.DUMMYFUNCTION("""COMPUTED_VALUE"""),1)</f>
        <v>1</v>
      </c>
      <c r="K26" s="7" t="str">
        <f ca="1">IFERROR(__xludf.DUMMYFUNCTION("""COMPUTED_VALUE"""),"Давлиев Ильнар Газинурович")</f>
        <v>Давлиев Ильнар Газинурович</v>
      </c>
      <c r="L26" s="7" t="str">
        <f ca="1">IFERROR(__xludf.DUMMYFUNCTION("""COMPUTED_VALUE"""),"Давлиев Ильнар Газинурович")</f>
        <v>Давлиев Ильнар Газинурович</v>
      </c>
      <c r="M26" s="7" t="str">
        <f ca="1">IFERROR(__xludf.DUMMYFUNCTION("""COMPUTED_VALUE"""),"Чурсина Мария Вячеславовна")</f>
        <v>Чурсина Мария Вячеславовна</v>
      </c>
      <c r="N26" s="7"/>
      <c r="O26" s="7" t="str">
        <f ca="1">IFERROR(__xludf.DUMMYFUNCTION("""COMPUTED_VALUE"""),"Типовой")</f>
        <v>Типовой</v>
      </c>
      <c r="P26" s="7"/>
      <c r="Q26" s="7"/>
      <c r="R26" s="7" t="str">
        <f ca="1">IFERROR(__xludf.DUMMYFUNCTION("""COMPUTED_VALUE"""),"Да")</f>
        <v>Да</v>
      </c>
      <c r="S26" s="7" t="str">
        <f ca="1">IFERROR(__xludf.DUMMYFUNCTION("""COMPUTED_VALUE"""),"Электронный аукцион")</f>
        <v>Электронный аукцион</v>
      </c>
      <c r="T26" s="7" t="str">
        <f ca="1">IFERROR(__xludf.DUMMYFUNCTION("""COMPUTED_VALUE"""),"Полностью YouTrackная")</f>
        <v>Полностью YouTrackная</v>
      </c>
      <c r="U26" s="7" t="str">
        <f ca="1">IFERROR(__xludf.DUMMYFUNCTION("""COMPUTED_VALUE"""),"Поставка расходных материалов для оборудования (производства Draeger, 
Medtronic (Covidien), Philips)")</f>
        <v>Поставка расходных материалов для оборудования (производства Draeger, 
Medtronic (Covidien), Philips)</v>
      </c>
      <c r="V26" s="10">
        <f ca="1">IFERROR(__xludf.DUMMYFUNCTION("""COMPUTED_VALUE"""),44015.4580555555)</f>
        <v>44015.4580555555</v>
      </c>
      <c r="W26" s="7">
        <f ca="1">IFERROR(__xludf.DUMMYFUNCTION("""COMPUTED_VALUE"""),303)</f>
        <v>303</v>
      </c>
      <c r="X26" s="17">
        <f ca="1">IFERROR(__xludf.DUMMYFUNCTION("""COMPUTED_VALUE"""),44657)</f>
        <v>44657</v>
      </c>
      <c r="Y26" s="7" t="str">
        <f ca="1">IFERROR(__xludf.DUMMYFUNCTION("""COMPUTED_VALUE"""),"8.92")</f>
        <v>8.92</v>
      </c>
      <c r="Z26" s="7" t="str">
        <f ca="1">IFERROR(__xludf.DUMMYFUNCTION("""COMPUTED_VALUE"""),"52.82")</f>
        <v>52.82</v>
      </c>
      <c r="AA26" s="7">
        <f ca="1">IFERROR(__xludf.DUMMYFUNCTION("""COMPUTED_VALUE"""),1)</f>
        <v>1</v>
      </c>
      <c r="AB26" s="11">
        <f ca="1">IFERROR(__xludf.DUMMYFUNCTION("""COMPUTED_VALUE"""),44588)</f>
        <v>44588</v>
      </c>
      <c r="AC26" s="8">
        <f ca="1">IFERROR(__xludf.DUMMYFUNCTION("""COMPUTED_VALUE"""),44636)</f>
        <v>44636</v>
      </c>
      <c r="AD26" s="7" t="str">
        <f ca="1">IFERROR(__xludf.DUMMYFUNCTION("""COMPUTED_VALUE"""),"3.29")</f>
        <v>3.29</v>
      </c>
      <c r="AE26" s="8">
        <f ca="1">IFERROR(__xludf.DUMMYFUNCTION("""COMPUTED_VALUE"""),44626)</f>
        <v>44626</v>
      </c>
      <c r="AF26" s="7" t="str">
        <f ca="1">IFERROR(__xludf.DUMMYFUNCTION("""COMPUTED_VALUE"""),"0.88")</f>
        <v>0.88</v>
      </c>
      <c r="AG26" s="8">
        <f ca="1">IFERROR(__xludf.DUMMYFUNCTION("""COMPUTED_VALUE"""),44781)</f>
        <v>44781</v>
      </c>
      <c r="AH26" s="10">
        <f ca="1">IFERROR(__xludf.DUMMYFUNCTION("""COMPUTED_VALUE"""),44631.6561689814)</f>
        <v>44631.656168981397</v>
      </c>
      <c r="AI26" s="10">
        <f ca="1">IFERROR(__xludf.DUMMYFUNCTION("""COMPUTED_VALUE"""),44652.6535416666)</f>
        <v>44652.653541666601</v>
      </c>
      <c r="AJ26" s="7">
        <f ca="1">IFERROR(__xludf.DUMMYFUNCTION("""COMPUTED_VALUE"""),130)</f>
        <v>130</v>
      </c>
    </row>
    <row r="27" spans="1:36" ht="141.75" x14ac:dyDescent="0.2">
      <c r="A27" s="7">
        <f ca="1">IFERROR(__xludf.DUMMYFUNCTION("""COMPUTED_VALUE"""),65)</f>
        <v>65</v>
      </c>
      <c r="B27" s="7" t="str">
        <f ca="1">IFERROR(__xludf.DUMMYFUNCTION("""COMPUTED_VALUE"""),"FR-99")</f>
        <v>FR-99</v>
      </c>
      <c r="C27" s="9" t="str">
        <f ca="1">IFERROR(__xludf.DUMMYFUNCTION("""COMPUTED_VALUE"""),"Поставка расходных материалов для комплексов роботизированных хирургических")</f>
        <v>Поставка расходных материалов для комплексов роботизированных хирургических</v>
      </c>
      <c r="D27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27" s="7">
        <f ca="1">IFERROR(__xludf.DUMMYFUNCTION("""COMPUTED_VALUE"""),2020)</f>
        <v>2020</v>
      </c>
      <c r="F27" s="7">
        <f ca="1">IFERROR(__xludf.DUMMYFUNCTION("""COMPUTED_VALUE"""),3)</f>
        <v>3</v>
      </c>
      <c r="G27" s="7" t="str">
        <f ca="1">IFERROR(__xludf.DUMMYFUNCTION("""COMPUTED_VALUE"""),"ТТЗ")</f>
        <v>ТТЗ</v>
      </c>
      <c r="H27" s="7" t="str">
        <f ca="1">IFERROR(__xludf.DUMMYFUNCTION("""COMPUTED_VALUE"""),"Завершено")</f>
        <v>Завершено</v>
      </c>
      <c r="I27" s="7">
        <f ca="1">IFERROR(__xludf.DUMMYFUNCTION("""COMPUTED_VALUE"""),3)</f>
        <v>3</v>
      </c>
      <c r="J27" s="7">
        <f ca="1">IFERROR(__xludf.DUMMYFUNCTION("""COMPUTED_VALUE"""),2)</f>
        <v>2</v>
      </c>
      <c r="K27" s="7" t="str">
        <f ca="1">IFERROR(__xludf.DUMMYFUNCTION("""COMPUTED_VALUE"""),"Давлиев Ильнар Газинурович")</f>
        <v>Давлиев Ильнар Газинурович</v>
      </c>
      <c r="L27" s="7" t="str">
        <f ca="1">IFERROR(__xludf.DUMMYFUNCTION("""COMPUTED_VALUE"""),"Осипенкова Елена Владимировна")</f>
        <v>Осипенкова Елена Владимировна</v>
      </c>
      <c r="M27" s="7" t="str">
        <f ca="1">IFERROR(__xludf.DUMMYFUNCTION("""COMPUTED_VALUE"""),"Чурсина Мария Вячеславовна")</f>
        <v>Чурсина Мария Вячеславовна</v>
      </c>
      <c r="N27" s="7"/>
      <c r="O27" s="7" t="str">
        <f ca="1">IFERROR(__xludf.DUMMYFUNCTION("""COMPUTED_VALUE"""),"Типовой")</f>
        <v>Типовой</v>
      </c>
      <c r="P27" s="7" t="str">
        <f ca="1">IFERROR(__xludf.DUMMYFUNCTION("""COMPUTED_VALUE"""),"Нет")</f>
        <v>Нет</v>
      </c>
      <c r="Q27" s="7" t="str">
        <f ca="1">IFERROR(__xludf.DUMMYFUNCTION("""COMPUTED_VALUE"""),"Нет")</f>
        <v>Нет</v>
      </c>
      <c r="R27" s="7" t="str">
        <f ca="1">IFERROR(__xludf.DUMMYFUNCTION("""COMPUTED_VALUE"""),"Нет")</f>
        <v>Нет</v>
      </c>
      <c r="S27" s="7" t="str">
        <f ca="1">IFERROR(__xludf.DUMMYFUNCTION("""COMPUTED_VALUE"""),"Электронный аукцион")</f>
        <v>Электронный аукцион</v>
      </c>
      <c r="T27" s="7" t="str">
        <f ca="1">IFERROR(__xludf.DUMMYFUNCTION("""COMPUTED_VALUE"""),"Полностью YouTrackная")</f>
        <v>Полностью YouTrackная</v>
      </c>
      <c r="U27" s="7" t="str">
        <f ca="1">IFERROR(__xludf.DUMMYFUNCTION("""COMPUTED_VALUE"""),"Поставка расходных материалов для комплексов роботизированных хирургических")</f>
        <v>Поставка расходных материалов для комплексов роботизированных хирургических</v>
      </c>
      <c r="V27" s="10">
        <f ca="1">IFERROR(__xludf.DUMMYFUNCTION("""COMPUTED_VALUE"""),44015.4584143518)</f>
        <v>44015.4584143518</v>
      </c>
      <c r="W27" s="7" t="str">
        <f ca="1">IFERROR(__xludf.DUMMYFUNCTION("""COMPUTED_VALUE"""),"30.45")</f>
        <v>30.45</v>
      </c>
      <c r="X27" s="16" t="str">
        <f ca="1">IFERROR(__xludf.DUMMYFUNCTION("""COMPUTED_VALUE"""),"6.32")</f>
        <v>6.32</v>
      </c>
      <c r="Y27" s="7" t="str">
        <f ca="1">IFERROR(__xludf.DUMMYFUNCTION("""COMPUTED_VALUE"""),"4.66")</f>
        <v>4.66</v>
      </c>
      <c r="Z27" s="7" t="str">
        <f ca="1">IFERROR(__xludf.DUMMYFUNCTION("""COMPUTED_VALUE"""),"2.86")</f>
        <v>2.86</v>
      </c>
      <c r="AA27" s="7" t="str">
        <f ca="1">IFERROR(__xludf.DUMMYFUNCTION("""COMPUTED_VALUE"""),"8.15")</f>
        <v>8.15</v>
      </c>
      <c r="AB27" s="7" t="str">
        <f ca="1">IFERROR(__xludf.DUMMYFUNCTION("""COMPUTED_VALUE"""),"19.66")</f>
        <v>19.66</v>
      </c>
      <c r="AC27" s="11">
        <f ca="1">IFERROR(__xludf.DUMMYFUNCTION("""COMPUTED_VALUE"""),44589)</f>
        <v>44589</v>
      </c>
      <c r="AD27" s="7" t="str">
        <f ca="1">IFERROR(__xludf.DUMMYFUNCTION("""COMPUTED_VALUE"""),"4.77")</f>
        <v>4.77</v>
      </c>
      <c r="AE27" s="11">
        <f ca="1">IFERROR(__xludf.DUMMYFUNCTION("""COMPUTED_VALUE"""),44624)</f>
        <v>44624</v>
      </c>
      <c r="AF27" s="7">
        <f ca="1">IFERROR(__xludf.DUMMYFUNCTION("""COMPUTED_VALUE"""),2)</f>
        <v>2</v>
      </c>
      <c r="AG27" s="7" t="str">
        <f ca="1">IFERROR(__xludf.DUMMYFUNCTION("""COMPUTED_VALUE"""),"8.68")</f>
        <v>8.68</v>
      </c>
      <c r="AH27" s="10">
        <f ca="1">IFERROR(__xludf.DUMMYFUNCTION("""COMPUTED_VALUE"""),44165.4305439814)</f>
        <v>44165.430543981398</v>
      </c>
      <c r="AI27" s="10">
        <f ca="1">IFERROR(__xludf.DUMMYFUNCTION("""COMPUTED_VALUE"""),44186.411886574)</f>
        <v>44186.411886574002</v>
      </c>
      <c r="AJ27" s="7">
        <f ca="1">IFERROR(__xludf.DUMMYFUNCTION("""COMPUTED_VALUE"""),89)</f>
        <v>89</v>
      </c>
    </row>
    <row r="28" spans="1:36" ht="78.75" x14ac:dyDescent="0.2">
      <c r="A28" s="7">
        <f ca="1">IFERROR(__xludf.DUMMYFUNCTION("""COMPUTED_VALUE"""),66)</f>
        <v>66</v>
      </c>
      <c r="B28" s="7" t="str">
        <f ca="1">IFERROR(__xludf.DUMMYFUNCTION("""COMPUTED_VALUE"""),"FR-100")</f>
        <v>FR-100</v>
      </c>
      <c r="C28" s="9" t="str">
        <f ca="1">IFERROR(__xludf.DUMMYFUNCTION("""COMPUTED_VALUE"""),"Поставка перчаток медицинских")</f>
        <v>Поставка перчаток медицинских</v>
      </c>
      <c r="D28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28" s="7">
        <f ca="1">IFERROR(__xludf.DUMMYFUNCTION("""COMPUTED_VALUE"""),2021)</f>
        <v>2021</v>
      </c>
      <c r="F28" s="7">
        <f ca="1">IFERROR(__xludf.DUMMYFUNCTION("""COMPUTED_VALUE"""),4)</f>
        <v>4</v>
      </c>
      <c r="G28" s="7" t="str">
        <f ca="1">IFERROR(__xludf.DUMMYFUNCTION("""COMPUTED_VALUE"""),"ТТЗ")</f>
        <v>ТТЗ</v>
      </c>
      <c r="H28" s="7" t="str">
        <f ca="1">IFERROR(__xludf.DUMMYFUNCTION("""COMPUTED_VALUE"""),"Завершено")</f>
        <v>Завершено</v>
      </c>
      <c r="I28" s="7">
        <f ca="1">IFERROR(__xludf.DUMMYFUNCTION("""COMPUTED_VALUE"""),2)</f>
        <v>2</v>
      </c>
      <c r="J28" s="7">
        <f ca="1">IFERROR(__xludf.DUMMYFUNCTION("""COMPUTED_VALUE"""),0)</f>
        <v>0</v>
      </c>
      <c r="K28" s="7" t="str">
        <f ca="1">IFERROR(__xludf.DUMMYFUNCTION("""COMPUTED_VALUE"""),"Давлиев Ильнар Газинурович")</f>
        <v>Давлиев Ильнар Газинурович</v>
      </c>
      <c r="L28" s="7" t="str">
        <f ca="1">IFERROR(__xludf.DUMMYFUNCTION("""COMPUTED_VALUE"""),"Давлиев Ильнар Газинурович")</f>
        <v>Давлиев Ильнар Газинурович</v>
      </c>
      <c r="M28" s="7" t="str">
        <f ca="1">IFERROR(__xludf.DUMMYFUNCTION("""COMPUTED_VALUE"""),"Чурсина Мария Вячеславовна")</f>
        <v>Чурсина Мария Вячеславовна</v>
      </c>
      <c r="N28" s="7"/>
      <c r="O28" s="7"/>
      <c r="P28" s="7"/>
      <c r="Q28" s="7"/>
      <c r="R28" s="7" t="str">
        <f ca="1">IFERROR(__xludf.DUMMYFUNCTION("""COMPUTED_VALUE"""),"Да")</f>
        <v>Да</v>
      </c>
      <c r="S28" s="7" t="str">
        <f ca="1">IFERROR(__xludf.DUMMYFUNCTION("""COMPUTED_VALUE"""),"Электронный аукцион")</f>
        <v>Электронный аукцион</v>
      </c>
      <c r="T28" s="7"/>
      <c r="U28" s="7" t="str">
        <f ca="1">IFERROR(__xludf.DUMMYFUNCTION("""COMPUTED_VALUE"""),"Поставка перчаток медицинских")</f>
        <v>Поставка перчаток медицинских</v>
      </c>
      <c r="V28" s="10">
        <f ca="1">IFERROR(__xludf.DUMMYFUNCTION("""COMPUTED_VALUE"""),44015.45875)</f>
        <v>44015.458749999998</v>
      </c>
      <c r="W28" s="7" t="str">
        <f ca="1">IFERROR(__xludf.DUMMYFUNCTION("""COMPUTED_VALUE"""),"342.18")</f>
        <v>342.18</v>
      </c>
      <c r="X28" s="16" t="str">
        <f ca="1">IFERROR(__xludf.DUMMYFUNCTION("""COMPUTED_VALUE"""),"8.87")</f>
        <v>8.87</v>
      </c>
      <c r="Y28" s="7"/>
      <c r="Z28" s="11">
        <f ca="1">IFERROR(__xludf.DUMMYFUNCTION("""COMPUTED_VALUE"""),44874)</f>
        <v>44874</v>
      </c>
      <c r="AA28" s="7" t="str">
        <f ca="1">IFERROR(__xludf.DUMMYFUNCTION("""COMPUTED_VALUE"""),"0.03")</f>
        <v>0.03</v>
      </c>
      <c r="AB28" s="7" t="str">
        <f ca="1">IFERROR(__xludf.DUMMYFUNCTION("""COMPUTED_VALUE"""),"8.95")</f>
        <v>8.95</v>
      </c>
      <c r="AC28" s="7" t="str">
        <f ca="1">IFERROR(__xludf.DUMMYFUNCTION("""COMPUTED_VALUE"""),"6.91")</f>
        <v>6.91</v>
      </c>
      <c r="AD28" s="8">
        <f ca="1">IFERROR(__xludf.DUMMYFUNCTION("""COMPUTED_VALUE"""),44603)</f>
        <v>44603</v>
      </c>
      <c r="AE28" s="7" t="str">
        <f ca="1">IFERROR(__xludf.DUMMYFUNCTION("""COMPUTED_VALUE"""),"18.98")</f>
        <v>18.98</v>
      </c>
      <c r="AF28" s="7">
        <f ca="1">IFERROR(__xludf.DUMMYFUNCTION("""COMPUTED_VALUE"""),1)</f>
        <v>1</v>
      </c>
      <c r="AG28" s="7" t="str">
        <f ca="1">IFERROR(__xludf.DUMMYFUNCTION("""COMPUTED_VALUE"""),"74.42")</f>
        <v>74.42</v>
      </c>
      <c r="AH28" s="10">
        <f ca="1">IFERROR(__xludf.DUMMYFUNCTION("""COMPUTED_VALUE"""),44586.5267824074)</f>
        <v>44586.526782407404</v>
      </c>
      <c r="AI28" s="10">
        <f ca="1">IFERROR(__xludf.DUMMYFUNCTION("""COMPUTED_VALUE"""),44727.9277430555)</f>
        <v>44727.927743055501</v>
      </c>
      <c r="AJ28" s="7">
        <f ca="1">IFERROR(__xludf.DUMMYFUNCTION("""COMPUTED_VALUE"""),139)</f>
        <v>139</v>
      </c>
    </row>
    <row r="29" spans="1:36" ht="157.5" x14ac:dyDescent="0.2">
      <c r="A29" s="7">
        <f ca="1">IFERROR(__xludf.DUMMYFUNCTION("""COMPUTED_VALUE"""),67)</f>
        <v>67</v>
      </c>
      <c r="B29" s="7" t="str">
        <f ca="1">IFERROR(__xludf.DUMMYFUNCTION("""COMPUTED_VALUE"""),"FR-101")</f>
        <v>FR-101</v>
      </c>
      <c r="C29" s="9" t="str">
        <f ca="1">IFERROR(__xludf.DUMMYFUNCTION("""COMPUTED_VALUE"""),"Поставка реагентов и расходных материалов для анализаторов закрытого типа")</f>
        <v>Поставка реагентов и расходных материалов для анализаторов закрытого типа</v>
      </c>
      <c r="D29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29" s="7">
        <f ca="1">IFERROR(__xludf.DUMMYFUNCTION("""COMPUTED_VALUE"""),2021)</f>
        <v>2021</v>
      </c>
      <c r="F29" s="7">
        <f ca="1">IFERROR(__xludf.DUMMYFUNCTION("""COMPUTED_VALUE"""),3)</f>
        <v>3</v>
      </c>
      <c r="G29" s="7" t="str">
        <f ca="1">IFERROR(__xludf.DUMMYFUNCTION("""COMPUTED_VALUE"""),"ТТЗ")</f>
        <v>ТТЗ</v>
      </c>
      <c r="H29" s="7" t="str">
        <f ca="1">IFERROR(__xludf.DUMMYFUNCTION("""COMPUTED_VALUE"""),"Загрузка в ЕАИСТ")</f>
        <v>Загрузка в ЕАИСТ</v>
      </c>
      <c r="I29" s="7">
        <f ca="1">IFERROR(__xludf.DUMMYFUNCTION("""COMPUTED_VALUE"""),1)</f>
        <v>1</v>
      </c>
      <c r="J29" s="7">
        <f ca="1">IFERROR(__xludf.DUMMYFUNCTION("""COMPUTED_VALUE"""),1)</f>
        <v>1</v>
      </c>
      <c r="K29" s="7" t="str">
        <f ca="1">IFERROR(__xludf.DUMMYFUNCTION("""COMPUTED_VALUE"""),"Давлиев Ильнар Газинурович")</f>
        <v>Давлиев Ильнар Газинурович</v>
      </c>
      <c r="L29" s="7" t="str">
        <f ca="1">IFERROR(__xludf.DUMMYFUNCTION("""COMPUTED_VALUE"""),"Давлиев Ильнар Газинурович")</f>
        <v>Давлиев Ильнар Газинурович</v>
      </c>
      <c r="M29" s="7" t="str">
        <f ca="1">IFERROR(__xludf.DUMMYFUNCTION("""COMPUTED_VALUE"""),"Чурсина Мария Вячеславовна")</f>
        <v>Чурсина Мария Вячеславовна</v>
      </c>
      <c r="N29" s="7"/>
      <c r="O29" s="7" t="str">
        <f ca="1">IFERROR(__xludf.DUMMYFUNCTION("""COMPUTED_VALUE"""),"Типовой")</f>
        <v>Типовой</v>
      </c>
      <c r="P29" s="7"/>
      <c r="Q29" s="7"/>
      <c r="R29" s="7" t="str">
        <f ca="1">IFERROR(__xludf.DUMMYFUNCTION("""COMPUTED_VALUE"""),"Нет")</f>
        <v>Нет</v>
      </c>
      <c r="S29" s="7" t="str">
        <f ca="1">IFERROR(__xludf.DUMMYFUNCTION("""COMPUTED_VALUE"""),"Электронный аукцион")</f>
        <v>Электронный аукцион</v>
      </c>
      <c r="T29" s="7" t="str">
        <f ca="1">IFERROR(__xludf.DUMMYFUNCTION("""COMPUTED_VALUE"""),"Полностью YouTrackная")</f>
        <v>Полностью YouTrackная</v>
      </c>
      <c r="U29" s="7" t="str">
        <f ca="1">IFERROR(__xludf.DUMMYFUNCTION("""COMPUTED_VALUE"""),"Поставка реагентов и расходных материалов для анализаторов закрытого типа")</f>
        <v>Поставка реагентов и расходных материалов для анализаторов закрытого типа</v>
      </c>
      <c r="V29" s="10">
        <f ca="1">IFERROR(__xludf.DUMMYFUNCTION("""COMPUTED_VALUE"""),44015.4591435185)</f>
        <v>44015.459143518499</v>
      </c>
      <c r="W29" s="7" t="str">
        <f ca="1">IFERROR(__xludf.DUMMYFUNCTION("""COMPUTED_VALUE"""),"231.67")</f>
        <v>231.67</v>
      </c>
      <c r="X29" s="16" t="str">
        <f ca="1">IFERROR(__xludf.DUMMYFUNCTION("""COMPUTED_VALUE"""),"5.31")</f>
        <v>5.31</v>
      </c>
      <c r="Y29" s="7" t="str">
        <f ca="1">IFERROR(__xludf.DUMMYFUNCTION("""COMPUTED_VALUE"""),"8.87")</f>
        <v>8.87</v>
      </c>
      <c r="Z29" s="7">
        <f ca="1">IFERROR(__xludf.DUMMYFUNCTION("""COMPUTED_VALUE"""),0)</f>
        <v>0</v>
      </c>
      <c r="AA29" s="7" t="str">
        <f ca="1">IFERROR(__xludf.DUMMYFUNCTION("""COMPUTED_VALUE"""),"0.27")</f>
        <v>0.27</v>
      </c>
      <c r="AB29" s="7" t="str">
        <f ca="1">IFERROR(__xludf.DUMMYFUNCTION("""COMPUTED_VALUE"""),"9.94")</f>
        <v>9.94</v>
      </c>
      <c r="AC29" s="7" t="str">
        <f ca="1">IFERROR(__xludf.DUMMYFUNCTION("""COMPUTED_VALUE"""),"14.94")</f>
        <v>14.94</v>
      </c>
      <c r="AD29" s="7" t="str">
        <f ca="1">IFERROR(__xludf.DUMMYFUNCTION("""COMPUTED_VALUE"""),"10.31")</f>
        <v>10.31</v>
      </c>
      <c r="AE29" s="7" t="str">
        <f ca="1">IFERROR(__xludf.DUMMYFUNCTION("""COMPUTED_VALUE"""),"12.77")</f>
        <v>12.77</v>
      </c>
      <c r="AF29" s="8">
        <f ca="1">IFERROR(__xludf.DUMMYFUNCTION("""COMPUTED_VALUE"""),44714)</f>
        <v>44714</v>
      </c>
      <c r="AG29" s="7" t="str">
        <f ca="1">IFERROR(__xludf.DUMMYFUNCTION("""COMPUTED_VALUE"""),"222.79")</f>
        <v>222.79</v>
      </c>
      <c r="AH29" s="10">
        <f ca="1">IFERROR(__xludf.DUMMYFUNCTION("""COMPUTED_VALUE"""),44426.7717824074)</f>
        <v>44426.771782407399</v>
      </c>
      <c r="AI29" s="7"/>
      <c r="AJ29" s="7">
        <f ca="1">IFERROR(__xludf.DUMMYFUNCTION("""COMPUTED_VALUE"""),286)</f>
        <v>286</v>
      </c>
    </row>
    <row r="30" spans="1:36" ht="126" x14ac:dyDescent="0.2">
      <c r="A30" s="7">
        <f ca="1">IFERROR(__xludf.DUMMYFUNCTION("""COMPUTED_VALUE"""),68)</f>
        <v>68</v>
      </c>
      <c r="B30" s="7" t="str">
        <f ca="1">IFERROR(__xludf.DUMMYFUNCTION("""COMPUTED_VALUE"""),"FR-102")</f>
        <v>FR-102</v>
      </c>
      <c r="C30" s="9" t="str">
        <f ca="1">IFERROR(__xludf.DUMMYFUNCTION("""COMPUTED_VALUE"""),"Поставка аппаратов сшивающих")</f>
        <v>Поставка аппаратов сшивающих</v>
      </c>
      <c r="D30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30" s="7">
        <f ca="1">IFERROR(__xludf.DUMMYFUNCTION("""COMPUTED_VALUE"""),2020)</f>
        <v>2020</v>
      </c>
      <c r="F30" s="7">
        <f ca="1">IFERROR(__xludf.DUMMYFUNCTION("""COMPUTED_VALUE"""),3)</f>
        <v>3</v>
      </c>
      <c r="G30" s="7" t="str">
        <f ca="1">IFERROR(__xludf.DUMMYFUNCTION("""COMPUTED_VALUE"""),"ТТЗ")</f>
        <v>ТТЗ</v>
      </c>
      <c r="H30" s="7" t="str">
        <f ca="1">IFERROR(__xludf.DUMMYFUNCTION("""COMPUTED_VALUE"""),"Завершено")</f>
        <v>Завершено</v>
      </c>
      <c r="I30" s="7">
        <f ca="1">IFERROR(__xludf.DUMMYFUNCTION("""COMPUTED_VALUE"""),3)</f>
        <v>3</v>
      </c>
      <c r="J30" s="7">
        <f ca="1">IFERROR(__xludf.DUMMYFUNCTION("""COMPUTED_VALUE"""),2)</f>
        <v>2</v>
      </c>
      <c r="K30" s="7" t="str">
        <f ca="1">IFERROR(__xludf.DUMMYFUNCTION("""COMPUTED_VALUE"""),"Давлиева Нигина Хикматджановна / Коровина Анна Анатольевна")</f>
        <v>Давлиева Нигина Хикматджановна / Коровина Анна Анатольевна</v>
      </c>
      <c r="L30" s="7" t="str">
        <f ca="1">IFERROR(__xludf.DUMMYFUNCTION("""COMPUTED_VALUE"""),"Осипенкова Елена Владимировна")</f>
        <v>Осипенкова Елена Владимировна</v>
      </c>
      <c r="M30" s="7" t="str">
        <f ca="1">IFERROR(__xludf.DUMMYFUNCTION("""COMPUTED_VALUE"""),"Чурсина Мария Вячеславовна")</f>
        <v>Чурсина Мария Вячеславовна</v>
      </c>
      <c r="N30" s="7"/>
      <c r="O30" s="7" t="str">
        <f ca="1">IFERROR(__xludf.DUMMYFUNCTION("""COMPUTED_VALUE"""),"Типовой")</f>
        <v>Типовой</v>
      </c>
      <c r="P30" s="7"/>
      <c r="Q30" s="7"/>
      <c r="R30" s="7" t="str">
        <f ca="1">IFERROR(__xludf.DUMMYFUNCTION("""COMPUTED_VALUE"""),"Нет")</f>
        <v>Нет</v>
      </c>
      <c r="S30" s="7" t="str">
        <f ca="1">IFERROR(__xludf.DUMMYFUNCTION("""COMPUTED_VALUE"""),"Электронный аукцион")</f>
        <v>Электронный аукцион</v>
      </c>
      <c r="T30" s="7" t="str">
        <f ca="1">IFERROR(__xludf.DUMMYFUNCTION("""COMPUTED_VALUE"""),"Полностью YouTrackная")</f>
        <v>Полностью YouTrackная</v>
      </c>
      <c r="U30" s="7" t="str">
        <f ca="1">IFERROR(__xludf.DUMMYFUNCTION("""COMPUTED_VALUE"""),"Поставка аппаратов сшивающих")</f>
        <v>Поставка аппаратов сшивающих</v>
      </c>
      <c r="V30" s="10">
        <f ca="1">IFERROR(__xludf.DUMMYFUNCTION("""COMPUTED_VALUE"""),44015.4603935185)</f>
        <v>44015.4603935185</v>
      </c>
      <c r="W30" s="7" t="str">
        <f ca="1">IFERROR(__xludf.DUMMYFUNCTION("""COMPUTED_VALUE"""),"39.36")</f>
        <v>39.36</v>
      </c>
      <c r="X30" s="16" t="str">
        <f ca="1">IFERROR(__xludf.DUMMYFUNCTION("""COMPUTED_VALUE"""),"5.41")</f>
        <v>5.41</v>
      </c>
      <c r="Y30" s="7" t="str">
        <f ca="1">IFERROR(__xludf.DUMMYFUNCTION("""COMPUTED_VALUE"""),"9.63")</f>
        <v>9.63</v>
      </c>
      <c r="Z30" s="7" t="str">
        <f ca="1">IFERROR(__xludf.DUMMYFUNCTION("""COMPUTED_VALUE"""),"3.77")</f>
        <v>3.77</v>
      </c>
      <c r="AA30" s="7" t="str">
        <f ca="1">IFERROR(__xludf.DUMMYFUNCTION("""COMPUTED_VALUE"""),"0.08")</f>
        <v>0.08</v>
      </c>
      <c r="AB30" s="7" t="str">
        <f ca="1">IFERROR(__xludf.DUMMYFUNCTION("""COMPUTED_VALUE"""),"17.99")</f>
        <v>17.99</v>
      </c>
      <c r="AC30" s="7">
        <f ca="1">IFERROR(__xludf.DUMMYFUNCTION("""COMPUTED_VALUE"""),22)</f>
        <v>22</v>
      </c>
      <c r="AD30" s="7" t="str">
        <f ca="1">IFERROR(__xludf.DUMMYFUNCTION("""COMPUTED_VALUE"""),"6.74")</f>
        <v>6.74</v>
      </c>
      <c r="AE30" s="11">
        <f ca="1">IFERROR(__xludf.DUMMYFUNCTION("""COMPUTED_VALUE"""),44624)</f>
        <v>44624</v>
      </c>
      <c r="AF30" s="7">
        <f ca="1">IFERROR(__xludf.DUMMYFUNCTION("""COMPUTED_VALUE"""),2)</f>
        <v>2</v>
      </c>
      <c r="AG30" s="8">
        <f ca="1">IFERROR(__xludf.DUMMYFUNCTION("""COMPUTED_VALUE"""),44613)</f>
        <v>44613</v>
      </c>
      <c r="AH30" s="10">
        <f ca="1">IFERROR(__xludf.DUMMYFUNCTION("""COMPUTED_VALUE"""),44165.4301967592)</f>
        <v>44165.430196759196</v>
      </c>
      <c r="AI30" s="10">
        <f ca="1">IFERROR(__xludf.DUMMYFUNCTION("""COMPUTED_VALUE"""),44210.7499652777)</f>
        <v>44210.749965277697</v>
      </c>
      <c r="AJ30" s="7">
        <f ca="1">IFERROR(__xludf.DUMMYFUNCTION("""COMPUTED_VALUE"""),92)</f>
        <v>92</v>
      </c>
    </row>
    <row r="31" spans="1:36" ht="189" x14ac:dyDescent="0.2">
      <c r="A31" s="7">
        <f ca="1">IFERROR(__xludf.DUMMYFUNCTION("""COMPUTED_VALUE"""),69)</f>
        <v>69</v>
      </c>
      <c r="B31" s="7" t="str">
        <f ca="1">IFERROR(__xludf.DUMMYFUNCTION("""COMPUTED_VALUE"""),"FR-103")</f>
        <v>FR-103</v>
      </c>
      <c r="C31" s="9" t="str">
        <f ca="1">IFERROR(__xludf.DUMMYFUNCTION("""COMPUTED_VALUE"""),"Поставка расходных материалов к генератору ультразвуковому 
электрохирургическому GEN11\GEN04")</f>
        <v>Поставка расходных материалов к генератору ультразвуковому 
электрохирургическому GEN11\GEN04</v>
      </c>
      <c r="D31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31" s="7">
        <f ca="1">IFERROR(__xludf.DUMMYFUNCTION("""COMPUTED_VALUE"""),2020)</f>
        <v>2020</v>
      </c>
      <c r="F31" s="7">
        <f ca="1">IFERROR(__xludf.DUMMYFUNCTION("""COMPUTED_VALUE"""),3)</f>
        <v>3</v>
      </c>
      <c r="G31" s="7" t="str">
        <f ca="1">IFERROR(__xludf.DUMMYFUNCTION("""COMPUTED_VALUE"""),"ТТЗ")</f>
        <v>ТТЗ</v>
      </c>
      <c r="H31" s="7" t="str">
        <f ca="1">IFERROR(__xludf.DUMMYFUNCTION("""COMPUTED_VALUE"""),"Завершено")</f>
        <v>Завершено</v>
      </c>
      <c r="I31" s="7">
        <f ca="1">IFERROR(__xludf.DUMMYFUNCTION("""COMPUTED_VALUE"""),0)</f>
        <v>0</v>
      </c>
      <c r="J31" s="7">
        <f ca="1">IFERROR(__xludf.DUMMYFUNCTION("""COMPUTED_VALUE"""),1)</f>
        <v>1</v>
      </c>
      <c r="K31" s="7" t="str">
        <f ca="1">IFERROR(__xludf.DUMMYFUNCTION("""COMPUTED_VALUE"""),"Коровина Анна Анатольевна / Степанян Марк Маратович")</f>
        <v>Коровина Анна Анатольевна / Степанян Марк Маратович</v>
      </c>
      <c r="L31" s="7" t="str">
        <f ca="1">IFERROR(__xludf.DUMMYFUNCTION("""COMPUTED_VALUE"""),"Осипенкова Елена Владимировна")</f>
        <v>Осипенкова Елена Владимировна</v>
      </c>
      <c r="M31" s="7" t="str">
        <f ca="1">IFERROR(__xludf.DUMMYFUNCTION("""COMPUTED_VALUE"""),"Чурсина Мария Вячеславовна")</f>
        <v>Чурсина Мария Вячеславовна</v>
      </c>
      <c r="N31" s="7"/>
      <c r="O31" s="7" t="str">
        <f ca="1">IFERROR(__xludf.DUMMYFUNCTION("""COMPUTED_VALUE"""),"Типовой")</f>
        <v>Типовой</v>
      </c>
      <c r="P31" s="7" t="str">
        <f ca="1">IFERROR(__xludf.DUMMYFUNCTION("""COMPUTED_VALUE"""),"Нет")</f>
        <v>Нет</v>
      </c>
      <c r="Q31" s="7"/>
      <c r="R31" s="7" t="str">
        <f ca="1">IFERROR(__xludf.DUMMYFUNCTION("""COMPUTED_VALUE"""),"Нет")</f>
        <v>Нет</v>
      </c>
      <c r="S31" s="7" t="str">
        <f ca="1">IFERROR(__xludf.DUMMYFUNCTION("""COMPUTED_VALUE"""),"Электронный аукцион")</f>
        <v>Электронный аукцион</v>
      </c>
      <c r="T31" s="7" t="str">
        <f ca="1">IFERROR(__xludf.DUMMYFUNCTION("""COMPUTED_VALUE"""),"Полностью YouTrackная")</f>
        <v>Полностью YouTrackная</v>
      </c>
      <c r="U31" s="7" t="str">
        <f ca="1">IFERROR(__xludf.DUMMYFUNCTION("""COMPUTED_VALUE"""),"Поставка расходных материалов к генератору ультразвуковому 
электрохирургическому GEN11\GEN04")</f>
        <v>Поставка расходных материалов к генератору ультразвуковому 
электрохирургическому GEN11\GEN04</v>
      </c>
      <c r="V31" s="10">
        <f ca="1">IFERROR(__xludf.DUMMYFUNCTION("""COMPUTED_VALUE"""),44015.461099537)</f>
        <v>44015.461099537002</v>
      </c>
      <c r="W31" s="7" t="str">
        <f ca="1">IFERROR(__xludf.DUMMYFUNCTION("""COMPUTED_VALUE"""),"38.48")</f>
        <v>38.48</v>
      </c>
      <c r="X31" s="17">
        <f ca="1">IFERROR(__xludf.DUMMYFUNCTION("""COMPUTED_VALUE"""),44616)</f>
        <v>44616</v>
      </c>
      <c r="Y31" s="7" t="str">
        <f ca="1">IFERROR(__xludf.DUMMYFUNCTION("""COMPUTED_VALUE"""),"3.57")</f>
        <v>3.57</v>
      </c>
      <c r="Z31" s="7"/>
      <c r="AA31" s="7" t="str">
        <f ca="1">IFERROR(__xludf.DUMMYFUNCTION("""COMPUTED_VALUE"""),"0.03")</f>
        <v>0.03</v>
      </c>
      <c r="AB31" s="7" t="str">
        <f ca="1">IFERROR(__xludf.DUMMYFUNCTION("""COMPUTED_VALUE"""),"6.23")</f>
        <v>6.23</v>
      </c>
      <c r="AC31" s="7" t="str">
        <f ca="1">IFERROR(__xludf.DUMMYFUNCTION("""COMPUTED_VALUE"""),"18.98")</f>
        <v>18.98</v>
      </c>
      <c r="AD31" s="7" t="str">
        <f ca="1">IFERROR(__xludf.DUMMYFUNCTION("""COMPUTED_VALUE"""),"3.24")</f>
        <v>3.24</v>
      </c>
      <c r="AE31" s="7" t="str">
        <f ca="1">IFERROR(__xludf.DUMMYFUNCTION("""COMPUTED_VALUE"""),"14.73")</f>
        <v>14.73</v>
      </c>
      <c r="AF31" s="7">
        <f ca="1">IFERROR(__xludf.DUMMYFUNCTION("""COMPUTED_VALUE"""),2)</f>
        <v>2</v>
      </c>
      <c r="AG31" s="7" t="str">
        <f ca="1">IFERROR(__xludf.DUMMYFUNCTION("""COMPUTED_VALUE"""),"8.82")</f>
        <v>8.82</v>
      </c>
      <c r="AH31" s="10">
        <f ca="1">IFERROR(__xludf.DUMMYFUNCTION("""COMPUTED_VALUE"""),44149.7995601851)</f>
        <v>44149.7995601851</v>
      </c>
      <c r="AI31" s="10">
        <f ca="1">IFERROR(__xludf.DUMMYFUNCTION("""COMPUTED_VALUE"""),44186.5476736111)</f>
        <v>44186.547673611101</v>
      </c>
      <c r="AJ31" s="7">
        <f ca="1">IFERROR(__xludf.DUMMYFUNCTION("""COMPUTED_VALUE"""),80)</f>
        <v>80</v>
      </c>
    </row>
    <row r="32" spans="1:36" ht="141.75" x14ac:dyDescent="0.2">
      <c r="A32" s="7">
        <f ca="1">IFERROR(__xludf.DUMMYFUNCTION("""COMPUTED_VALUE"""),70)</f>
        <v>70</v>
      </c>
      <c r="B32" s="7" t="str">
        <f ca="1">IFERROR(__xludf.DUMMYFUNCTION("""COMPUTED_VALUE"""),"FR-104")</f>
        <v>FR-104</v>
      </c>
      <c r="C32" s="9" t="str">
        <f ca="1">IFERROR(__xludf.DUMMYFUNCTION("""COMPUTED_VALUE"""),"Поставка инструментов эндоскопических однократного применения")</f>
        <v>Поставка инструментов эндоскопических однократного применения</v>
      </c>
      <c r="D32" s="7" t="str">
        <f ca="1">IFERROR(__xludf.DUMMYFUNCTION("""COMPUTED_VALUE"""),"Дорожная карта")</f>
        <v>Дорожная карта</v>
      </c>
      <c r="E32" s="7"/>
      <c r="F32" s="7"/>
      <c r="G32" s="7" t="str">
        <f ca="1">IFERROR(__xludf.DUMMYFUNCTION("""COMPUTED_VALUE"""),"ТТЗ")</f>
        <v>ТТЗ</v>
      </c>
      <c r="H32" s="7" t="str">
        <f ca="1">IFERROR(__xludf.DUMMYFUNCTION("""COMPUTED_VALUE"""),"Planned")</f>
        <v>Planned</v>
      </c>
      <c r="I32" s="7">
        <f ca="1">IFERROR(__xludf.DUMMYFUNCTION("""COMPUTED_VALUE"""),0)</f>
        <v>0</v>
      </c>
      <c r="J32" s="7">
        <f ca="1">IFERROR(__xludf.DUMMYFUNCTION("""COMPUTED_VALUE"""),0)</f>
        <v>0</v>
      </c>
      <c r="K32" s="7"/>
      <c r="L32" s="7" t="str">
        <f ca="1">IFERROR(__xludf.DUMMYFUNCTION("""COMPUTED_VALUE"""),"Давлиев Ильнар Газинурович")</f>
        <v>Давлиев Ильнар Газинурович</v>
      </c>
      <c r="M32" s="7" t="str">
        <f ca="1">IFERROR(__xludf.DUMMYFUNCTION("""COMPUTED_VALUE"""),"Чурсина Мария Вячеславовна")</f>
        <v>Чурсина Мария Вячеславовна</v>
      </c>
      <c r="N32" s="7"/>
      <c r="O32" s="7"/>
      <c r="P32" s="7"/>
      <c r="Q32" s="7"/>
      <c r="R32" s="7"/>
      <c r="S32" s="7"/>
      <c r="T32" s="7" t="str">
        <f ca="1">IFERROR(__xludf.DUMMYFUNCTION("""COMPUTED_VALUE"""),"Полностью YouTrackная")</f>
        <v>Полностью YouTrackная</v>
      </c>
      <c r="U32" s="7" t="str">
        <f ca="1">IFERROR(__xludf.DUMMYFUNCTION("""COMPUTED_VALUE"""),"Поставка инструментов эндоскопических однократного применения")</f>
        <v>Поставка инструментов эндоскопических однократного применения</v>
      </c>
      <c r="V32" s="10">
        <f ca="1">IFERROR(__xludf.DUMMYFUNCTION("""COMPUTED_VALUE"""),44015.4614699074)</f>
        <v>44015.461469907401</v>
      </c>
      <c r="W32" s="7"/>
      <c r="X32" s="16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>
        <f ca="1">IFERROR(__xludf.DUMMYFUNCTION("""COMPUTED_VALUE"""),0)</f>
        <v>0</v>
      </c>
    </row>
    <row r="33" spans="1:36" ht="141.75" x14ac:dyDescent="0.2">
      <c r="A33" s="7">
        <f ca="1">IFERROR(__xludf.DUMMYFUNCTION("""COMPUTED_VALUE"""),71)</f>
        <v>71</v>
      </c>
      <c r="B33" s="7" t="str">
        <f ca="1">IFERROR(__xludf.DUMMYFUNCTION("""COMPUTED_VALUE"""),"FR-105")</f>
        <v>FR-105</v>
      </c>
      <c r="C33" s="9" t="str">
        <f ca="1">IFERROR(__xludf.DUMMYFUNCTION("""COMPUTED_VALUE"""),"Поставка расходных материалов для парентерального и энтерального введения")</f>
        <v>Поставка расходных материалов для парентерального и энтерального введения</v>
      </c>
      <c r="D33" s="7" t="str">
        <f ca="1">IFERROR(__xludf.DUMMYFUNCTION("""COMPUTED_VALUE"""),"План по стандартизации")</f>
        <v>План по стандартизации</v>
      </c>
      <c r="E33" s="7">
        <f ca="1">IFERROR(__xludf.DUMMYFUNCTION("""COMPUTED_VALUE"""),2021)</f>
        <v>2021</v>
      </c>
      <c r="F33" s="7">
        <f ca="1">IFERROR(__xludf.DUMMYFUNCTION("""COMPUTED_VALUE"""),3)</f>
        <v>3</v>
      </c>
      <c r="G33" s="7" t="str">
        <f ca="1">IFERROR(__xludf.DUMMYFUNCTION("""COMPUTED_VALUE"""),"ТТЗ")</f>
        <v>ТТЗ</v>
      </c>
      <c r="H33" s="7" t="str">
        <f ca="1">IFERROR(__xludf.DUMMYFUNCTION("""COMPUTED_VALUE"""),"Завершено")</f>
        <v>Завершено</v>
      </c>
      <c r="I33" s="7">
        <f ca="1">IFERROR(__xludf.DUMMYFUNCTION("""COMPUTED_VALUE"""),0)</f>
        <v>0</v>
      </c>
      <c r="J33" s="7">
        <f ca="1">IFERROR(__xludf.DUMMYFUNCTION("""COMPUTED_VALUE"""),0)</f>
        <v>0</v>
      </c>
      <c r="K33" s="7" t="str">
        <f ca="1">IFERROR(__xludf.DUMMYFUNCTION("""COMPUTED_VALUE"""),"Давлиев Ильнар Газинурович")</f>
        <v>Давлиев Ильнар Газинурович</v>
      </c>
      <c r="L33" s="7" t="str">
        <f ca="1">IFERROR(__xludf.DUMMYFUNCTION("""COMPUTED_VALUE"""),"Давлиев Ильнар Газинурович")</f>
        <v>Давлиев Ильнар Газинурович</v>
      </c>
      <c r="M33" s="7" t="str">
        <f ca="1">IFERROR(__xludf.DUMMYFUNCTION("""COMPUTED_VALUE"""),"Чурсина Мария Вячеславовна")</f>
        <v>Чурсина Мария Вячеславовна</v>
      </c>
      <c r="N33" s="7"/>
      <c r="O33" s="7" t="str">
        <f ca="1">IFERROR(__xludf.DUMMYFUNCTION("""COMPUTED_VALUE"""),"Типовой / Федеральный")</f>
        <v>Типовой / Федеральный</v>
      </c>
      <c r="P33" s="7"/>
      <c r="Q33" s="7"/>
      <c r="R33" s="7" t="str">
        <f ca="1">IFERROR(__xludf.DUMMYFUNCTION("""COMPUTED_VALUE"""),"Да")</f>
        <v>Да</v>
      </c>
      <c r="S33" s="7" t="str">
        <f ca="1">IFERROR(__xludf.DUMMYFUNCTION("""COMPUTED_VALUE"""),"Электронный аукцион")</f>
        <v>Электронный аукцион</v>
      </c>
      <c r="T33" s="7" t="str">
        <f ca="1">IFERROR(__xludf.DUMMYFUNCTION("""COMPUTED_VALUE"""),"Полностью YouTrackная")</f>
        <v>Полностью YouTrackная</v>
      </c>
      <c r="U33" s="7" t="str">
        <f ca="1">IFERROR(__xludf.DUMMYFUNCTION("""COMPUTED_VALUE"""),"Поставка расходных материалов для парентерального и энтерального введения")</f>
        <v>Поставка расходных материалов для парентерального и энтерального введения</v>
      </c>
      <c r="V33" s="10">
        <f ca="1">IFERROR(__xludf.DUMMYFUNCTION("""COMPUTED_VALUE"""),44015.4619328703)</f>
        <v>44015.461932870297</v>
      </c>
      <c r="W33" s="7" t="str">
        <f ca="1">IFERROR(__xludf.DUMMYFUNCTION("""COMPUTED_VALUE"""),"321.43")</f>
        <v>321.43</v>
      </c>
      <c r="X33" s="16" t="str">
        <f ca="1">IFERROR(__xludf.DUMMYFUNCTION("""COMPUTED_VALUE"""),"9.71")</f>
        <v>9.71</v>
      </c>
      <c r="Y33" s="7"/>
      <c r="Z33" s="7"/>
      <c r="AA33" s="7" t="str">
        <f ca="1">IFERROR(__xludf.DUMMYFUNCTION("""COMPUTED_VALUE"""),"0.01")</f>
        <v>0.01</v>
      </c>
      <c r="AB33" s="8">
        <f ca="1">IFERROR(__xludf.DUMMYFUNCTION("""COMPUTED_VALUE"""),44750)</f>
        <v>44750</v>
      </c>
      <c r="AC33" s="7" t="str">
        <f ca="1">IFERROR(__xludf.DUMMYFUNCTION("""COMPUTED_VALUE"""),"8.96")</f>
        <v>8.96</v>
      </c>
      <c r="AD33" s="7" t="str">
        <f ca="1">IFERROR(__xludf.DUMMYFUNCTION("""COMPUTED_VALUE"""),"18.79")</f>
        <v>18.79</v>
      </c>
      <c r="AE33" s="8">
        <f ca="1">IFERROR(__xludf.DUMMYFUNCTION("""COMPUTED_VALUE"""),44779)</f>
        <v>44779</v>
      </c>
      <c r="AF33" s="7">
        <f ca="1">IFERROR(__xludf.DUMMYFUNCTION("""COMPUTED_VALUE"""),0)</f>
        <v>0</v>
      </c>
      <c r="AG33" s="7" t="str">
        <f ca="1">IFERROR(__xludf.DUMMYFUNCTION("""COMPUTED_VALUE"""),"37.4")</f>
        <v>37.4</v>
      </c>
      <c r="AH33" s="10">
        <f ca="1">IFERROR(__xludf.DUMMYFUNCTION("""COMPUTED_VALUE"""),44550.4205787037)</f>
        <v>44550.420578703699</v>
      </c>
      <c r="AI33" s="10">
        <f ca="1">IFERROR(__xludf.DUMMYFUNCTION("""COMPUTED_VALUE"""),44620.8993055555)</f>
        <v>44620.899305555497</v>
      </c>
      <c r="AJ33" s="7">
        <f ca="1">IFERROR(__xludf.DUMMYFUNCTION("""COMPUTED_VALUE"""),89)</f>
        <v>89</v>
      </c>
    </row>
    <row r="34" spans="1:36" ht="94.5" x14ac:dyDescent="0.2">
      <c r="A34" s="7">
        <f ca="1">IFERROR(__xludf.DUMMYFUNCTION("""COMPUTED_VALUE"""),72)</f>
        <v>72</v>
      </c>
      <c r="B34" s="7" t="str">
        <f ca="1">IFERROR(__xludf.DUMMYFUNCTION("""COMPUTED_VALUE"""),"FR-106")</f>
        <v>FR-106</v>
      </c>
      <c r="C34" s="9" t="str">
        <f ca="1">IFERROR(__xludf.DUMMYFUNCTION("""COMPUTED_VALUE"""),"Поставка расходных материалов для службы крови")</f>
        <v>Поставка расходных материалов для службы крови</v>
      </c>
      <c r="D34" s="7" t="str">
        <f ca="1">IFERROR(__xludf.DUMMYFUNCTION("""COMPUTED_VALUE"""),"Дорожная карта")</f>
        <v>Дорожная карта</v>
      </c>
      <c r="E34" s="7"/>
      <c r="F34" s="7"/>
      <c r="G34" s="7" t="str">
        <f ca="1">IFERROR(__xludf.DUMMYFUNCTION("""COMPUTED_VALUE"""),"ТТЗ")</f>
        <v>ТТЗ</v>
      </c>
      <c r="H34" s="7" t="str">
        <f ca="1">IFERROR(__xludf.DUMMYFUNCTION("""COMPUTED_VALUE"""),"Planned")</f>
        <v>Planned</v>
      </c>
      <c r="I34" s="7">
        <f ca="1">IFERROR(__xludf.DUMMYFUNCTION("""COMPUTED_VALUE"""),0)</f>
        <v>0</v>
      </c>
      <c r="J34" s="7">
        <f ca="1">IFERROR(__xludf.DUMMYFUNCTION("""COMPUTED_VALUE"""),0)</f>
        <v>0</v>
      </c>
      <c r="K34" s="7"/>
      <c r="L34" s="7" t="str">
        <f ca="1">IFERROR(__xludf.DUMMYFUNCTION("""COMPUTED_VALUE"""),"Давлиев Ильнар Газинурович")</f>
        <v>Давлиев Ильнар Газинурович</v>
      </c>
      <c r="M34" s="7" t="str">
        <f ca="1">IFERROR(__xludf.DUMMYFUNCTION("""COMPUTED_VALUE"""),"Чурсина Мария Вячеславовна")</f>
        <v>Чурсина Мария Вячеславовна</v>
      </c>
      <c r="N34" s="7"/>
      <c r="O34" s="7"/>
      <c r="P34" s="7"/>
      <c r="Q34" s="7"/>
      <c r="R34" s="7"/>
      <c r="S34" s="7"/>
      <c r="T34" s="7" t="str">
        <f ca="1">IFERROR(__xludf.DUMMYFUNCTION("""COMPUTED_VALUE"""),"Полностью YouTrackная")</f>
        <v>Полностью YouTrackная</v>
      </c>
      <c r="U34" s="7" t="str">
        <f ca="1">IFERROR(__xludf.DUMMYFUNCTION("""COMPUTED_VALUE"""),"Поставка расходных материалов для службы крови")</f>
        <v>Поставка расходных материалов для службы крови</v>
      </c>
      <c r="V34" s="10">
        <f ca="1">IFERROR(__xludf.DUMMYFUNCTION("""COMPUTED_VALUE"""),44015.4623148148)</f>
        <v>44015.462314814802</v>
      </c>
      <c r="W34" s="7"/>
      <c r="X34" s="16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>
        <f ca="1">IFERROR(__xludf.DUMMYFUNCTION("""COMPUTED_VALUE"""),0)</f>
        <v>0</v>
      </c>
    </row>
    <row r="35" spans="1:36" ht="63" x14ac:dyDescent="0.2">
      <c r="A35" s="7">
        <f ca="1">IFERROR(__xludf.DUMMYFUNCTION("""COMPUTED_VALUE"""),73)</f>
        <v>73</v>
      </c>
      <c r="B35" s="7" t="str">
        <f ca="1">IFERROR(__xludf.DUMMYFUNCTION("""COMPUTED_VALUE"""),"FR-107")</f>
        <v>FR-107</v>
      </c>
      <c r="C35" s="9" t="str">
        <f ca="1">IFERROR(__xludf.DUMMYFUNCTION("""COMPUTED_VALUE"""),"Поставка электрокардиостимуляторов")</f>
        <v>Поставка электрокардиостимуляторов</v>
      </c>
      <c r="D35" s="7" t="str">
        <f ca="1">IFERROR(__xludf.DUMMYFUNCTION("""COMPUTED_VALUE"""),"План по стандартизации")</f>
        <v>План по стандартизации</v>
      </c>
      <c r="E35" s="7">
        <f ca="1">IFERROR(__xludf.DUMMYFUNCTION("""COMPUTED_VALUE"""),2021)</f>
        <v>2021</v>
      </c>
      <c r="F35" s="7">
        <f ca="1">IFERROR(__xludf.DUMMYFUNCTION("""COMPUTED_VALUE"""),3)</f>
        <v>3</v>
      </c>
      <c r="G35" s="7" t="str">
        <f ca="1">IFERROR(__xludf.DUMMYFUNCTION("""COMPUTED_VALUE"""),"ТТЗ")</f>
        <v>ТТЗ</v>
      </c>
      <c r="H35" s="7" t="str">
        <f ca="1">IFERROR(__xludf.DUMMYFUNCTION("""COMPUTED_VALUE"""),"Завершено")</f>
        <v>Завершено</v>
      </c>
      <c r="I35" s="7">
        <f ca="1">IFERROR(__xludf.DUMMYFUNCTION("""COMPUTED_VALUE"""),1)</f>
        <v>1</v>
      </c>
      <c r="J35" s="7">
        <f ca="1">IFERROR(__xludf.DUMMYFUNCTION("""COMPUTED_VALUE"""),0)</f>
        <v>0</v>
      </c>
      <c r="K35" s="7" t="str">
        <f ca="1">IFERROR(__xludf.DUMMYFUNCTION("""COMPUTED_VALUE"""),"Давлиев Ильнар Газинурович")</f>
        <v>Давлиев Ильнар Газинурович</v>
      </c>
      <c r="L35" s="7" t="str">
        <f ca="1">IFERROR(__xludf.DUMMYFUNCTION("""COMPUTED_VALUE"""),"Давлиев Ильнар Газинурович")</f>
        <v>Давлиев Ильнар Газинурович</v>
      </c>
      <c r="M35" s="7" t="str">
        <f ca="1">IFERROR(__xludf.DUMMYFUNCTION("""COMPUTED_VALUE"""),"Чурсина Мария Вячеславовна")</f>
        <v>Чурсина Мария Вячеславовна</v>
      </c>
      <c r="N35" s="7"/>
      <c r="O35" s="7" t="str">
        <f ca="1">IFERROR(__xludf.DUMMYFUNCTION("""COMPUTED_VALUE"""),"Типовой / Федеральный")</f>
        <v>Типовой / Федеральный</v>
      </c>
      <c r="P35" s="7"/>
      <c r="Q35" s="7"/>
      <c r="R35" s="7" t="str">
        <f ca="1">IFERROR(__xludf.DUMMYFUNCTION("""COMPUTED_VALUE"""),"Да")</f>
        <v>Да</v>
      </c>
      <c r="S35" s="7" t="str">
        <f ca="1">IFERROR(__xludf.DUMMYFUNCTION("""COMPUTED_VALUE"""),"Электронный аукцион")</f>
        <v>Электронный аукцион</v>
      </c>
      <c r="T35" s="7" t="str">
        <f ca="1">IFERROR(__xludf.DUMMYFUNCTION("""COMPUTED_VALUE"""),"Полностью YouTrackная")</f>
        <v>Полностью YouTrackная</v>
      </c>
      <c r="U35" s="7" t="str">
        <f ca="1">IFERROR(__xludf.DUMMYFUNCTION("""COMPUTED_VALUE"""),"Поставка электрокардиостимуляторов")</f>
        <v>Поставка электрокардиостимуляторов</v>
      </c>
      <c r="V35" s="10">
        <f ca="1">IFERROR(__xludf.DUMMYFUNCTION("""COMPUTED_VALUE"""),44015.4636226851)</f>
        <v>44015.4636226851</v>
      </c>
      <c r="W35" s="7" t="str">
        <f ca="1">IFERROR(__xludf.DUMMYFUNCTION("""COMPUTED_VALUE"""),"319.15")</f>
        <v>319.15</v>
      </c>
      <c r="X35" s="16" t="str">
        <f ca="1">IFERROR(__xludf.DUMMYFUNCTION("""COMPUTED_VALUE"""),"4.54")</f>
        <v>4.54</v>
      </c>
      <c r="Y35" s="7"/>
      <c r="Z35" s="11">
        <f ca="1">IFERROR(__xludf.DUMMYFUNCTION("""COMPUTED_VALUE"""),44655)</f>
        <v>44655</v>
      </c>
      <c r="AA35" s="7" t="str">
        <f ca="1">IFERROR(__xludf.DUMMYFUNCTION("""COMPUTED_VALUE"""),"0.25")</f>
        <v>0.25</v>
      </c>
      <c r="AB35" s="7" t="str">
        <f ca="1">IFERROR(__xludf.DUMMYFUNCTION("""COMPUTED_VALUE"""),"10.59")</f>
        <v>10.59</v>
      </c>
      <c r="AC35" s="7" t="str">
        <f ca="1">IFERROR(__xludf.DUMMYFUNCTION("""COMPUTED_VALUE"""),"10.33")</f>
        <v>10.33</v>
      </c>
      <c r="AD35" s="11">
        <f ca="1">IFERROR(__xludf.DUMMYFUNCTION("""COMPUTED_VALUE"""),44759)</f>
        <v>44759</v>
      </c>
      <c r="AE35" s="8">
        <f ca="1">IFERROR(__xludf.DUMMYFUNCTION("""COMPUTED_VALUE"""),44779)</f>
        <v>44779</v>
      </c>
      <c r="AF35" s="7">
        <f ca="1">IFERROR(__xludf.DUMMYFUNCTION("""COMPUTED_VALUE"""),0)</f>
        <v>0</v>
      </c>
      <c r="AG35" s="8">
        <f ca="1">IFERROR(__xludf.DUMMYFUNCTION("""COMPUTED_VALUE"""),44612)</f>
        <v>44612</v>
      </c>
      <c r="AH35" s="10">
        <f ca="1">IFERROR(__xludf.DUMMYFUNCTION("""COMPUTED_VALUE"""),44550.4206597222)</f>
        <v>44550.4206597222</v>
      </c>
      <c r="AI35" s="10">
        <f ca="1">IFERROR(__xludf.DUMMYFUNCTION("""COMPUTED_VALUE"""),44594.5235300925)</f>
        <v>44594.523530092498</v>
      </c>
      <c r="AJ35" s="7">
        <f ca="1">IFERROR(__xludf.DUMMYFUNCTION("""COMPUTED_VALUE"""),74)</f>
        <v>74</v>
      </c>
    </row>
    <row r="36" spans="1:36" ht="189" x14ac:dyDescent="0.2">
      <c r="A36" s="7">
        <f ca="1">IFERROR(__xludf.DUMMYFUNCTION("""COMPUTED_VALUE"""),74)</f>
        <v>74</v>
      </c>
      <c r="B36" s="7" t="str">
        <f ca="1">IFERROR(__xludf.DUMMYFUNCTION("""COMPUTED_VALUE"""),"FR-108")</f>
        <v>FR-108</v>
      </c>
      <c r="C36" s="9" t="str">
        <f ca="1">IFERROR(__xludf.DUMMYFUNCTION("""COMPUTED_VALUE"""),"Поставка расходных материалов для заместительной почечной терапии и 
экстракорпоральной гемокоррекции")</f>
        <v>Поставка расходных материалов для заместительной почечной терапии и 
экстракорпоральной гемокоррекции</v>
      </c>
      <c r="D36" s="7" t="str">
        <f ca="1">IFERROR(__xludf.DUMMYFUNCTION("""COMPUTED_VALUE"""),"Дорожная карта")</f>
        <v>Дорожная карта</v>
      </c>
      <c r="E36" s="7"/>
      <c r="F36" s="7"/>
      <c r="G36" s="7" t="str">
        <f ca="1">IFERROR(__xludf.DUMMYFUNCTION("""COMPUTED_VALUE"""),"ТТЗ")</f>
        <v>ТТЗ</v>
      </c>
      <c r="H36" s="7" t="str">
        <f ca="1">IFERROR(__xludf.DUMMYFUNCTION("""COMPUTED_VALUE"""),"Planned")</f>
        <v>Planned</v>
      </c>
      <c r="I36" s="7">
        <f ca="1">IFERROR(__xludf.DUMMYFUNCTION("""COMPUTED_VALUE"""),0)</f>
        <v>0</v>
      </c>
      <c r="J36" s="7">
        <f ca="1">IFERROR(__xludf.DUMMYFUNCTION("""COMPUTED_VALUE"""),0)</f>
        <v>0</v>
      </c>
      <c r="K36" s="7"/>
      <c r="L36" s="7" t="str">
        <f ca="1">IFERROR(__xludf.DUMMYFUNCTION("""COMPUTED_VALUE"""),"Давлиев Ильнар Газинурович")</f>
        <v>Давлиев Ильнар Газинурович</v>
      </c>
      <c r="M36" s="7" t="str">
        <f ca="1">IFERROR(__xludf.DUMMYFUNCTION("""COMPUTED_VALUE"""),"Чурсина Мария Вячеславовна")</f>
        <v>Чурсина Мария Вячеславовна</v>
      </c>
      <c r="N36" s="7"/>
      <c r="O36" s="7"/>
      <c r="P36" s="7"/>
      <c r="Q36" s="7"/>
      <c r="R36" s="7"/>
      <c r="S36" s="7"/>
      <c r="T36" s="7" t="str">
        <f ca="1">IFERROR(__xludf.DUMMYFUNCTION("""COMPUTED_VALUE"""),"Полностью YouTrackная")</f>
        <v>Полностью YouTrackная</v>
      </c>
      <c r="U36" s="7" t="str">
        <f ca="1">IFERROR(__xludf.DUMMYFUNCTION("""COMPUTED_VALUE"""),"Поставка расходных материалов для заместительной почечной терапии и 
экстракорпоральной гемокоррекции")</f>
        <v>Поставка расходных материалов для заместительной почечной терапии и 
экстракорпоральной гемокоррекции</v>
      </c>
      <c r="V36" s="10">
        <f ca="1">IFERROR(__xludf.DUMMYFUNCTION("""COMPUTED_VALUE"""),44015.4659143518)</f>
        <v>44015.4659143518</v>
      </c>
      <c r="W36" s="7"/>
      <c r="X36" s="16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>
        <f ca="1">IFERROR(__xludf.DUMMYFUNCTION("""COMPUTED_VALUE"""),0)</f>
        <v>0</v>
      </c>
    </row>
    <row r="37" spans="1:36" ht="283.5" x14ac:dyDescent="0.2">
      <c r="A37" s="7">
        <f ca="1">IFERROR(__xludf.DUMMYFUNCTION("""COMPUTED_VALUE"""),76)</f>
        <v>76</v>
      </c>
      <c r="B37" s="7" t="str">
        <f ca="1">IFERROR(__xludf.DUMMYFUNCTION("""COMPUTED_VALUE"""),"FR-110")</f>
        <v>FR-110</v>
      </c>
      <c r="C37" s="9" t="str">
        <f ca="1">IFERROR(__xludf.DUMMYFUNCTION("""COMPUTED_VALUE"""),"Поставка инструментов, совместимых с оборудованием производства Karl Storz, 
Richard Wolf, Aesculap, Esculap, Gimmi и других производителей")</f>
        <v>Поставка инструментов, совместимых с оборудованием производства Karl Storz, 
Richard Wolf, Aesculap, Esculap, Gimmi и других производителей</v>
      </c>
      <c r="D37" s="7" t="str">
        <f ca="1">IFERROR(__xludf.DUMMYFUNCTION("""COMPUTED_VALUE"""),"План по стандартизации")</f>
        <v>План по стандартизации</v>
      </c>
      <c r="E37" s="7">
        <f ca="1">IFERROR(__xludf.DUMMYFUNCTION("""COMPUTED_VALUE"""),2021)</f>
        <v>2021</v>
      </c>
      <c r="F37" s="7">
        <f ca="1">IFERROR(__xludf.DUMMYFUNCTION("""COMPUTED_VALUE"""),3)</f>
        <v>3</v>
      </c>
      <c r="G37" s="7" t="str">
        <f ca="1">IFERROR(__xludf.DUMMYFUNCTION("""COMPUTED_VALUE"""),"ТТЗ")</f>
        <v>ТТЗ</v>
      </c>
      <c r="H37" s="7" t="str">
        <f ca="1">IFERROR(__xludf.DUMMYFUNCTION("""COMPUTED_VALUE"""),"Завершено")</f>
        <v>Завершено</v>
      </c>
      <c r="I37" s="7">
        <f ca="1">IFERROR(__xludf.DUMMYFUNCTION("""COMPUTED_VALUE"""),3)</f>
        <v>3</v>
      </c>
      <c r="J37" s="7">
        <f ca="1">IFERROR(__xludf.DUMMYFUNCTION("""COMPUTED_VALUE"""),2)</f>
        <v>2</v>
      </c>
      <c r="K37" s="7" t="str">
        <f ca="1">IFERROR(__xludf.DUMMYFUNCTION("""COMPUTED_VALUE"""),"Давлиев Ильнар Газинурович")</f>
        <v>Давлиев Ильнар Газинурович</v>
      </c>
      <c r="L37" s="7" t="str">
        <f ca="1">IFERROR(__xludf.DUMMYFUNCTION("""COMPUTED_VALUE"""),"Давлиев Ильнар Газинурович")</f>
        <v>Давлиев Ильнар Газинурович</v>
      </c>
      <c r="M37" s="7" t="str">
        <f ca="1">IFERROR(__xludf.DUMMYFUNCTION("""COMPUTED_VALUE"""),"Чурсина Мария Вячеславовна")</f>
        <v>Чурсина Мария Вячеславовна</v>
      </c>
      <c r="N37" s="7"/>
      <c r="O37" s="7"/>
      <c r="P37" s="7"/>
      <c r="Q37" s="7"/>
      <c r="R37" s="7" t="str">
        <f ca="1">IFERROR(__xludf.DUMMYFUNCTION("""COMPUTED_VALUE"""),"Да")</f>
        <v>Да</v>
      </c>
      <c r="S37" s="7"/>
      <c r="T37" s="7" t="str">
        <f ca="1">IFERROR(__xludf.DUMMYFUNCTION("""COMPUTED_VALUE"""),"Полностью YouTrackная")</f>
        <v>Полностью YouTrackная</v>
      </c>
      <c r="U37" s="7" t="str">
        <f ca="1">IFERROR(__xludf.DUMMYFUNCTION("""COMPUTED_VALUE"""),"Поставка инструментов, совместимых с оборудованием производства Karl Storz, 
Richard Wolf, Aesculap, Esculap, Gimmi и других производителей")</f>
        <v>Поставка инструментов, совместимых с оборудованием производства Karl Storz, 
Richard Wolf, Aesculap, Esculap, Gimmi и других производителей</v>
      </c>
      <c r="V37" s="10">
        <f ca="1">IFERROR(__xludf.DUMMYFUNCTION("""COMPUTED_VALUE"""),44015.4757986111)</f>
        <v>44015.4757986111</v>
      </c>
      <c r="W37" s="7" t="str">
        <f ca="1">IFERROR(__xludf.DUMMYFUNCTION("""COMPUTED_VALUE"""),"316.34")</f>
        <v>316.34</v>
      </c>
      <c r="X37" s="16" t="str">
        <f ca="1">IFERROR(__xludf.DUMMYFUNCTION("""COMPUTED_VALUE"""),"7.22")</f>
        <v>7.22</v>
      </c>
      <c r="Y37" s="7" t="str">
        <f ca="1">IFERROR(__xludf.DUMMYFUNCTION("""COMPUTED_VALUE"""),"11.59")</f>
        <v>11.59</v>
      </c>
      <c r="Z37" s="7">
        <f ca="1">IFERROR(__xludf.DUMMYFUNCTION("""COMPUTED_VALUE"""),7)</f>
        <v>7</v>
      </c>
      <c r="AA37" s="7" t="str">
        <f ca="1">IFERROR(__xludf.DUMMYFUNCTION("""COMPUTED_VALUE"""),"0.51")</f>
        <v>0.51</v>
      </c>
      <c r="AB37" s="7" t="str">
        <f ca="1">IFERROR(__xludf.DUMMYFUNCTION("""COMPUTED_VALUE"""),"24.97")</f>
        <v>24.97</v>
      </c>
      <c r="AC37" s="7" t="str">
        <f ca="1">IFERROR(__xludf.DUMMYFUNCTION("""COMPUTED_VALUE"""),"10.26")</f>
        <v>10.26</v>
      </c>
      <c r="AD37" s="7" t="str">
        <f ca="1">IFERROR(__xludf.DUMMYFUNCTION("""COMPUTED_VALUE"""),"9.16")</f>
        <v>9.16</v>
      </c>
      <c r="AE37" s="7" t="str">
        <f ca="1">IFERROR(__xludf.DUMMYFUNCTION("""COMPUTED_VALUE"""),"18.98")</f>
        <v>18.98</v>
      </c>
      <c r="AF37" s="7">
        <f ca="1">IFERROR(__xludf.DUMMYFUNCTION("""COMPUTED_VALUE"""),1)</f>
        <v>1</v>
      </c>
      <c r="AG37" s="7" t="str">
        <f ca="1">IFERROR(__xludf.DUMMYFUNCTION("""COMPUTED_VALUE"""),"26.26")</f>
        <v>26.26</v>
      </c>
      <c r="AH37" s="10">
        <f ca="1">IFERROR(__xludf.DUMMYFUNCTION("""COMPUTED_VALUE"""),44586.5270717592)</f>
        <v>44586.527071759199</v>
      </c>
      <c r="AI37" s="10">
        <f ca="1">IFERROR(__xludf.DUMMYFUNCTION("""COMPUTED_VALUE"""),44652.7673958333)</f>
        <v>44652.767395833303</v>
      </c>
      <c r="AJ37" s="7">
        <f ca="1">IFERROR(__xludf.DUMMYFUNCTION("""COMPUTED_VALUE"""),117)</f>
        <v>117</v>
      </c>
    </row>
    <row r="38" spans="1:36" ht="126" x14ac:dyDescent="0.2">
      <c r="A38" s="7">
        <f ca="1">IFERROR(__xludf.DUMMYFUNCTION("""COMPUTED_VALUE"""),77)</f>
        <v>77</v>
      </c>
      <c r="B38" s="7" t="str">
        <f ca="1">IFERROR(__xludf.DUMMYFUNCTION("""COMPUTED_VALUE"""),"FR-111")</f>
        <v>FR-111</v>
      </c>
      <c r="C38" s="9" t="str">
        <f ca="1">IFERROR(__xludf.DUMMYFUNCTION("""COMPUTED_VALUE"""),"Поставка расходных материалов для патологоанатомических отделений")</f>
        <v>Поставка расходных материалов для патологоанатомических отделений</v>
      </c>
      <c r="D38" s="7" t="str">
        <f ca="1">IFERROR(__xludf.DUMMYFUNCTION("""COMPUTED_VALUE"""),"Дорожная карта")</f>
        <v>Дорожная карта</v>
      </c>
      <c r="E38" s="7"/>
      <c r="F38" s="7"/>
      <c r="G38" s="7" t="str">
        <f ca="1">IFERROR(__xludf.DUMMYFUNCTION("""COMPUTED_VALUE"""),"ТТЗ")</f>
        <v>ТТЗ</v>
      </c>
      <c r="H38" s="7" t="str">
        <f ca="1">IFERROR(__xludf.DUMMYFUNCTION("""COMPUTED_VALUE"""),"Planned")</f>
        <v>Planned</v>
      </c>
      <c r="I38" s="7">
        <f ca="1">IFERROR(__xludf.DUMMYFUNCTION("""COMPUTED_VALUE"""),0)</f>
        <v>0</v>
      </c>
      <c r="J38" s="7">
        <f ca="1">IFERROR(__xludf.DUMMYFUNCTION("""COMPUTED_VALUE"""),0)</f>
        <v>0</v>
      </c>
      <c r="K38" s="7"/>
      <c r="L38" s="7" t="str">
        <f ca="1">IFERROR(__xludf.DUMMYFUNCTION("""COMPUTED_VALUE"""),"Давлиев Ильнар Газинурович")</f>
        <v>Давлиев Ильнар Газинурович</v>
      </c>
      <c r="M38" s="7" t="str">
        <f ca="1">IFERROR(__xludf.DUMMYFUNCTION("""COMPUTED_VALUE"""),"Чурсина Мария Вячеславовна")</f>
        <v>Чурсина Мария Вячеславовна</v>
      </c>
      <c r="N38" s="7"/>
      <c r="O38" s="7"/>
      <c r="P38" s="7"/>
      <c r="Q38" s="7"/>
      <c r="R38" s="7"/>
      <c r="S38" s="7"/>
      <c r="T38" s="7" t="str">
        <f ca="1">IFERROR(__xludf.DUMMYFUNCTION("""COMPUTED_VALUE"""),"Полностью YouTrackная")</f>
        <v>Полностью YouTrackная</v>
      </c>
      <c r="U38" s="7" t="str">
        <f ca="1">IFERROR(__xludf.DUMMYFUNCTION("""COMPUTED_VALUE"""),"Поставка расходных материалов для патологоанатомических отделений")</f>
        <v>Поставка расходных материалов для патологоанатомических отделений</v>
      </c>
      <c r="V38" s="10">
        <f ca="1">IFERROR(__xludf.DUMMYFUNCTION("""COMPUTED_VALUE"""),44015.4762384259)</f>
        <v>44015.476238425901</v>
      </c>
      <c r="W38" s="7"/>
      <c r="X38" s="16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>
        <f ca="1">IFERROR(__xludf.DUMMYFUNCTION("""COMPUTED_VALUE"""),0)</f>
        <v>0</v>
      </c>
    </row>
    <row r="39" spans="1:36" ht="267.75" x14ac:dyDescent="0.2">
      <c r="A39" s="7">
        <f ca="1">IFERROR(__xludf.DUMMYFUNCTION("""COMPUTED_VALUE"""),78)</f>
        <v>78</v>
      </c>
      <c r="B39" s="7" t="str">
        <f ca="1">IFERROR(__xludf.DUMMYFUNCTION("""COMPUTED_VALUE"""),"FR-112")</f>
        <v>FR-112</v>
      </c>
      <c r="C39" s="9" t="str">
        <f ca="1">IFERROR(__xludf.DUMMYFUNCTION("""COMPUTED_VALUE"""),"Поставка эндопротезов суставов для первичного эндопротезирования, 
эндопротезов суставов онкологических, ревизионных эндопротезов, костного 
цемента")</f>
        <v>Поставка эндопротезов суставов для первичного эндопротезирования, 
эндопротезов суставов онкологических, ревизионных эндопротезов, костного 
цемента</v>
      </c>
      <c r="D39" s="7" t="str">
        <f ca="1">IFERROR(__xludf.DUMMYFUNCTION("""COMPUTED_VALUE"""),"План по стандартизации")</f>
        <v>План по стандартизации</v>
      </c>
      <c r="E39" s="7">
        <f ca="1">IFERROR(__xludf.DUMMYFUNCTION("""COMPUTED_VALUE"""),2021)</f>
        <v>2021</v>
      </c>
      <c r="F39" s="7">
        <f ca="1">IFERROR(__xludf.DUMMYFUNCTION("""COMPUTED_VALUE"""),4)</f>
        <v>4</v>
      </c>
      <c r="G39" s="7" t="str">
        <f ca="1">IFERROR(__xludf.DUMMYFUNCTION("""COMPUTED_VALUE"""),"ТТЗ")</f>
        <v>ТТЗ</v>
      </c>
      <c r="H39" s="7" t="str">
        <f ca="1">IFERROR(__xludf.DUMMYFUNCTION("""COMPUTED_VALUE"""),"Завершено")</f>
        <v>Завершено</v>
      </c>
      <c r="I39" s="7">
        <f ca="1">IFERROR(__xludf.DUMMYFUNCTION("""COMPUTED_VALUE"""),0)</f>
        <v>0</v>
      </c>
      <c r="J39" s="7">
        <f ca="1">IFERROR(__xludf.DUMMYFUNCTION("""COMPUTED_VALUE"""),1)</f>
        <v>1</v>
      </c>
      <c r="K39" s="7" t="str">
        <f ca="1">IFERROR(__xludf.DUMMYFUNCTION("""COMPUTED_VALUE"""),"Давлиев Ильнар Газинурович")</f>
        <v>Давлиев Ильнар Газинурович</v>
      </c>
      <c r="L39" s="7" t="str">
        <f ca="1">IFERROR(__xludf.DUMMYFUNCTION("""COMPUTED_VALUE"""),"Давлиев Ильнар Газинурович")</f>
        <v>Давлиев Ильнар Газинурович</v>
      </c>
      <c r="M39" s="7" t="str">
        <f ca="1">IFERROR(__xludf.DUMMYFUNCTION("""COMPUTED_VALUE"""),"Чурсина Мария Вячеславовна")</f>
        <v>Чурсина Мария Вячеславовна</v>
      </c>
      <c r="N39" s="7"/>
      <c r="O39" s="7"/>
      <c r="P39" s="7"/>
      <c r="Q39" s="7"/>
      <c r="R39" s="7" t="str">
        <f ca="1">IFERROR(__xludf.DUMMYFUNCTION("""COMPUTED_VALUE"""),"Да")</f>
        <v>Да</v>
      </c>
      <c r="S39" s="7" t="str">
        <f ca="1">IFERROR(__xludf.DUMMYFUNCTION("""COMPUTED_VALUE"""),"Открытый конкурс / Электронный аукцион")</f>
        <v>Открытый конкурс / Электронный аукцион</v>
      </c>
      <c r="T39" s="7" t="str">
        <f ca="1">IFERROR(__xludf.DUMMYFUNCTION("""COMPUTED_VALUE"""),"Полностью YouTrackная")</f>
        <v>Полностью YouTrackная</v>
      </c>
      <c r="U39" s="7" t="str">
        <f ca="1">IFERROR(__xludf.DUMMYFUNCTION("""COMPUTED_VALUE"""),"Поставка эндопротезов суставов для первичного эндопротезирования, 
эндопротезов суставов онкологических, ревизионных эндопротезов, костного 
цемента")</f>
        <v>Поставка эндопротезов суставов для первичного эндопротезирования, 
эндопротезов суставов онкологических, ревизионных эндопротезов, костного 
цемента</v>
      </c>
      <c r="V39" s="10">
        <f ca="1">IFERROR(__xludf.DUMMYFUNCTION("""COMPUTED_VALUE"""),44015.4766203703)</f>
        <v>44015.476620370297</v>
      </c>
      <c r="W39" s="7" t="str">
        <f ca="1">IFERROR(__xludf.DUMMYFUNCTION("""COMPUTED_VALUE"""),"137.35")</f>
        <v>137.35</v>
      </c>
      <c r="X39" s="16" t="str">
        <f ca="1">IFERROR(__xludf.DUMMYFUNCTION("""COMPUTED_VALUE"""),"1.55")</f>
        <v>1.55</v>
      </c>
      <c r="Y39" s="7" t="str">
        <f ca="1">IFERROR(__xludf.DUMMYFUNCTION("""COMPUTED_VALUE"""),"2.19")</f>
        <v>2.19</v>
      </c>
      <c r="Z39" s="7"/>
      <c r="AA39" s="7" t="str">
        <f ca="1">IFERROR(__xludf.DUMMYFUNCTION("""COMPUTED_VALUE"""),"0.02")</f>
        <v>0.02</v>
      </c>
      <c r="AB39" s="7" t="str">
        <f ca="1">IFERROR(__xludf.DUMMYFUNCTION("""COMPUTED_VALUE"""),"34.93")</f>
        <v>34.93</v>
      </c>
      <c r="AC39" s="7" t="str">
        <f ca="1">IFERROR(__xludf.DUMMYFUNCTION("""COMPUTED_VALUE"""),"14.22")</f>
        <v>14.22</v>
      </c>
      <c r="AD39" s="7" t="str">
        <f ca="1">IFERROR(__xludf.DUMMYFUNCTION("""COMPUTED_VALUE"""),"14.97")</f>
        <v>14.97</v>
      </c>
      <c r="AE39" s="11">
        <f ca="1">IFERROR(__xludf.DUMMYFUNCTION("""COMPUTED_VALUE"""),44910)</f>
        <v>44910</v>
      </c>
      <c r="AF39" s="7" t="str">
        <f ca="1">IFERROR(__xludf.DUMMYFUNCTION("""COMPUTED_VALUE"""),"5.95")</f>
        <v>5.95</v>
      </c>
      <c r="AG39" s="7" t="str">
        <f ca="1">IFERROR(__xludf.DUMMYFUNCTION("""COMPUTED_VALUE"""),"36.83")</f>
        <v>36.83</v>
      </c>
      <c r="AH39" s="10">
        <f ca="1">IFERROR(__xludf.DUMMYFUNCTION("""COMPUTED_VALUE"""),44315.7009143518)</f>
        <v>44315.700914351801</v>
      </c>
      <c r="AI39" s="10">
        <f ca="1">IFERROR(__xludf.DUMMYFUNCTION("""COMPUTED_VALUE"""),44400.5969444444)</f>
        <v>44400.596944444398</v>
      </c>
      <c r="AJ39" s="7">
        <f ca="1">IFERROR(__xludf.DUMMYFUNCTION("""COMPUTED_VALUE"""),126)</f>
        <v>126</v>
      </c>
    </row>
    <row r="40" spans="1:36" ht="157.5" x14ac:dyDescent="0.2">
      <c r="A40" s="7">
        <f ca="1">IFERROR(__xludf.DUMMYFUNCTION("""COMPUTED_VALUE"""),79)</f>
        <v>79</v>
      </c>
      <c r="B40" s="7" t="str">
        <f ca="1">IFERROR(__xludf.DUMMYFUNCTION("""COMPUTED_VALUE"""),"FR-114")</f>
        <v>FR-114</v>
      </c>
      <c r="C40" s="9" t="str">
        <f ca="1">IFERROR(__xludf.DUMMYFUNCTION("""COMPUTED_VALUE"""),"Поставка расходных материалов для анестезиологии, реаниматологии и 
интенсивной терапии")</f>
        <v>Поставка расходных материалов для анестезиологии, реаниматологии и 
интенсивной терапии</v>
      </c>
      <c r="D40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40" s="7">
        <f ca="1">IFERROR(__xludf.DUMMYFUNCTION("""COMPUTED_VALUE"""),2021)</f>
        <v>2021</v>
      </c>
      <c r="F40" s="7">
        <f ca="1">IFERROR(__xludf.DUMMYFUNCTION("""COMPUTED_VALUE"""),1)</f>
        <v>1</v>
      </c>
      <c r="G40" s="7" t="str">
        <f ca="1">IFERROR(__xludf.DUMMYFUNCTION("""COMPUTED_VALUE"""),"ТТЗ")</f>
        <v>ТТЗ</v>
      </c>
      <c r="H40" s="7" t="str">
        <f ca="1">IFERROR(__xludf.DUMMYFUNCTION("""COMPUTED_VALUE"""),"Завершено")</f>
        <v>Завершено</v>
      </c>
      <c r="I40" s="7">
        <f ca="1">IFERROR(__xludf.DUMMYFUNCTION("""COMPUTED_VALUE"""),1)</f>
        <v>1</v>
      </c>
      <c r="J40" s="7">
        <f ca="1">IFERROR(__xludf.DUMMYFUNCTION("""COMPUTED_VALUE"""),1)</f>
        <v>1</v>
      </c>
      <c r="K40" s="7" t="str">
        <f ca="1">IFERROR(__xludf.DUMMYFUNCTION("""COMPUTED_VALUE"""),"Давлиев Ильнар Газинурович")</f>
        <v>Давлиев Ильнар Газинурович</v>
      </c>
      <c r="L40" s="7" t="str">
        <f ca="1">IFERROR(__xludf.DUMMYFUNCTION("""COMPUTED_VALUE"""),"Давлиев Ильнар Газинурович")</f>
        <v>Давлиев Ильнар Газинурович</v>
      </c>
      <c r="M40" s="7" t="str">
        <f ca="1">IFERROR(__xludf.DUMMYFUNCTION("""COMPUTED_VALUE"""),"Чурсина Мария Вячеславовна")</f>
        <v>Чурсина Мария Вячеславовна</v>
      </c>
      <c r="N40" s="7"/>
      <c r="O40" s="7" t="str">
        <f ca="1">IFERROR(__xludf.DUMMYFUNCTION("""COMPUTED_VALUE"""),"Типовой")</f>
        <v>Типовой</v>
      </c>
      <c r="P40" s="7"/>
      <c r="Q40" s="7"/>
      <c r="R40" s="7" t="str">
        <f ca="1">IFERROR(__xludf.DUMMYFUNCTION("""COMPUTED_VALUE"""),"Да")</f>
        <v>Да</v>
      </c>
      <c r="S40" s="7"/>
      <c r="T40" s="7" t="str">
        <f ca="1">IFERROR(__xludf.DUMMYFUNCTION("""COMPUTED_VALUE"""),"Полностью YouTrackная")</f>
        <v>Полностью YouTrackная</v>
      </c>
      <c r="U40" s="7" t="str">
        <f ca="1">IFERROR(__xludf.DUMMYFUNCTION("""COMPUTED_VALUE"""),"Поставка расходных материалов для анестезиологии, реаниматологии и 
интенсивной терапии.")</f>
        <v>Поставка расходных материалов для анестезиологии, реаниматологии и 
интенсивной терапии.</v>
      </c>
      <c r="V40" s="10">
        <f ca="1">IFERROR(__xludf.DUMMYFUNCTION("""COMPUTED_VALUE"""),44015.4773726851)</f>
        <v>44015.477372685098</v>
      </c>
      <c r="W40" s="7" t="str">
        <f ca="1">IFERROR(__xludf.DUMMYFUNCTION("""COMPUTED_VALUE"""),"137.35")</f>
        <v>137.35</v>
      </c>
      <c r="X40" s="16" t="str">
        <f ca="1">IFERROR(__xludf.DUMMYFUNCTION("""COMPUTED_VALUE"""),"1.55")</f>
        <v>1.55</v>
      </c>
      <c r="Y40" s="11">
        <f ca="1">IFERROR(__xludf.DUMMYFUNCTION("""COMPUTED_VALUE"""),44872)</f>
        <v>44872</v>
      </c>
      <c r="Z40" s="7" t="str">
        <f ca="1">IFERROR(__xludf.DUMMYFUNCTION("""COMPUTED_VALUE"""),"0.03")</f>
        <v>0.03</v>
      </c>
      <c r="AA40" s="7" t="str">
        <f ca="1">IFERROR(__xludf.DUMMYFUNCTION("""COMPUTED_VALUE"""),"0.87")</f>
        <v>0.87</v>
      </c>
      <c r="AB40" s="7" t="str">
        <f ca="1">IFERROR(__xludf.DUMMYFUNCTION("""COMPUTED_VALUE"""),"29.98")</f>
        <v>29.98</v>
      </c>
      <c r="AC40" s="7" t="str">
        <f ca="1">IFERROR(__xludf.DUMMYFUNCTION("""COMPUTED_VALUE"""),"17.47")</f>
        <v>17.47</v>
      </c>
      <c r="AD40" s="7" t="str">
        <f ca="1">IFERROR(__xludf.DUMMYFUNCTION("""COMPUTED_VALUE"""),"10.88")</f>
        <v>10.88</v>
      </c>
      <c r="AE40" s="11">
        <f ca="1">IFERROR(__xludf.DUMMYFUNCTION("""COMPUTED_VALUE"""),44910)</f>
        <v>44910</v>
      </c>
      <c r="AF40" s="7" t="str">
        <f ca="1">IFERROR(__xludf.DUMMYFUNCTION("""COMPUTED_VALUE"""),"5.95")</f>
        <v>5.95</v>
      </c>
      <c r="AG40" s="7" t="str">
        <f ca="1">IFERROR(__xludf.DUMMYFUNCTION("""COMPUTED_VALUE"""),"46.03")</f>
        <v>46.03</v>
      </c>
      <c r="AH40" s="10">
        <f ca="1">IFERROR(__xludf.DUMMYFUNCTION("""COMPUTED_VALUE"""),44315.7010069444)</f>
        <v>44315.7010069444</v>
      </c>
      <c r="AI40" s="10">
        <f ca="1">IFERROR(__xludf.DUMMYFUNCTION("""COMPUTED_VALUE"""),44413.7988773148)</f>
        <v>44413.798877314803</v>
      </c>
      <c r="AJ40" s="7">
        <f ca="1">IFERROR(__xludf.DUMMYFUNCTION("""COMPUTED_VALUE"""),135)</f>
        <v>135</v>
      </c>
    </row>
    <row r="41" spans="1:36" ht="173.25" x14ac:dyDescent="0.2">
      <c r="A41" s="7">
        <f ca="1">IFERROR(__xludf.DUMMYFUNCTION("""COMPUTED_VALUE"""),80)</f>
        <v>80</v>
      </c>
      <c r="B41" s="7" t="str">
        <f ca="1">IFERROR(__xludf.DUMMYFUNCTION("""COMPUTED_VALUE"""),"FR-115")</f>
        <v>FR-115</v>
      </c>
      <c r="C41" s="9" t="str">
        <f ca="1">IFERROR(__xludf.DUMMYFUNCTION("""COMPUTED_VALUE"""),"Поставка расходных материалов для рентген-эндоваскулярных методов 
диагностики и лечения")</f>
        <v>Поставка расходных материалов для рентген-эндоваскулярных методов 
диагностики и лечения</v>
      </c>
      <c r="D41" s="7" t="str">
        <f ca="1">IFERROR(__xludf.DUMMYFUNCTION("""COMPUTED_VALUE"""),"Дорожная карта")</f>
        <v>Дорожная карта</v>
      </c>
      <c r="E41" s="7"/>
      <c r="F41" s="7"/>
      <c r="G41" s="7" t="str">
        <f ca="1">IFERROR(__xludf.DUMMYFUNCTION("""COMPUTED_VALUE"""),"ТТЗ")</f>
        <v>ТТЗ</v>
      </c>
      <c r="H41" s="7" t="str">
        <f ca="1">IFERROR(__xludf.DUMMYFUNCTION("""COMPUTED_VALUE"""),"Planned")</f>
        <v>Planned</v>
      </c>
      <c r="I41" s="7">
        <f ca="1">IFERROR(__xludf.DUMMYFUNCTION("""COMPUTED_VALUE"""),0)</f>
        <v>0</v>
      </c>
      <c r="J41" s="7">
        <f ca="1">IFERROR(__xludf.DUMMYFUNCTION("""COMPUTED_VALUE"""),0)</f>
        <v>0</v>
      </c>
      <c r="K41" s="7"/>
      <c r="L41" s="7" t="str">
        <f ca="1">IFERROR(__xludf.DUMMYFUNCTION("""COMPUTED_VALUE"""),"Давлиев Ильнар Газинурович")</f>
        <v>Давлиев Ильнар Газинурович</v>
      </c>
      <c r="M41" s="7" t="str">
        <f ca="1">IFERROR(__xludf.DUMMYFUNCTION("""COMPUTED_VALUE"""),"Чурсина Мария Вячеславовна")</f>
        <v>Чурсина Мария Вячеславовна</v>
      </c>
      <c r="N41" s="7"/>
      <c r="O41" s="7"/>
      <c r="P41" s="7"/>
      <c r="Q41" s="7"/>
      <c r="R41" s="7"/>
      <c r="S41" s="7"/>
      <c r="T41" s="7" t="str">
        <f ca="1">IFERROR(__xludf.DUMMYFUNCTION("""COMPUTED_VALUE"""),"Полностью YouTrackная")</f>
        <v>Полностью YouTrackная</v>
      </c>
      <c r="U41" s="7" t="str">
        <f ca="1">IFERROR(__xludf.DUMMYFUNCTION("""COMPUTED_VALUE"""),"Поставка расходных материалов для рентген-эндоваскулярных методов 
диагностики и лечения")</f>
        <v>Поставка расходных материалов для рентген-эндоваскулярных методов 
диагностики и лечения</v>
      </c>
      <c r="V41" s="10">
        <f ca="1">IFERROR(__xludf.DUMMYFUNCTION("""COMPUTED_VALUE"""),44015.4778009259)</f>
        <v>44015.477800925903</v>
      </c>
      <c r="W41" s="7"/>
      <c r="X41" s="16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>
        <f ca="1">IFERROR(__xludf.DUMMYFUNCTION("""COMPUTED_VALUE"""),0)</f>
        <v>0</v>
      </c>
    </row>
    <row r="42" spans="1:36" ht="94.5" x14ac:dyDescent="0.2">
      <c r="A42" s="7">
        <f ca="1">IFERROR(__xludf.DUMMYFUNCTION("""COMPUTED_VALUE"""),81)</f>
        <v>81</v>
      </c>
      <c r="B42" s="7" t="str">
        <f ca="1">IFERROR(__xludf.DUMMYFUNCTION("""COMPUTED_VALUE"""),"FR-116")</f>
        <v>FR-116</v>
      </c>
      <c r="C42" s="9" t="str">
        <f ca="1">IFERROR(__xludf.DUMMYFUNCTION("""COMPUTED_VALUE"""),"Поставка расходных материалов для остеосинтеза")</f>
        <v>Поставка расходных материалов для остеосинтеза</v>
      </c>
      <c r="D42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42" s="7">
        <f ca="1">IFERROR(__xludf.DUMMYFUNCTION("""COMPUTED_VALUE"""),2021)</f>
        <v>2021</v>
      </c>
      <c r="F42" s="7">
        <f ca="1">IFERROR(__xludf.DUMMYFUNCTION("""COMPUTED_VALUE"""),1)</f>
        <v>1</v>
      </c>
      <c r="G42" s="7" t="str">
        <f ca="1">IFERROR(__xludf.DUMMYFUNCTION("""COMPUTED_VALUE"""),"ТТЗ")</f>
        <v>ТТЗ</v>
      </c>
      <c r="H42" s="7" t="str">
        <f ca="1">IFERROR(__xludf.DUMMYFUNCTION("""COMPUTED_VALUE"""),"Завершено")</f>
        <v>Завершено</v>
      </c>
      <c r="I42" s="7">
        <f ca="1">IFERROR(__xludf.DUMMYFUNCTION("""COMPUTED_VALUE"""),1)</f>
        <v>1</v>
      </c>
      <c r="J42" s="7">
        <f ca="1">IFERROR(__xludf.DUMMYFUNCTION("""COMPUTED_VALUE"""),1)</f>
        <v>1</v>
      </c>
      <c r="K42" s="7" t="str">
        <f ca="1">IFERROR(__xludf.DUMMYFUNCTION("""COMPUTED_VALUE"""),"Давлиев Ильнар Газинурович")</f>
        <v>Давлиев Ильнар Газинурович</v>
      </c>
      <c r="L42" s="7" t="str">
        <f ca="1">IFERROR(__xludf.DUMMYFUNCTION("""COMPUTED_VALUE"""),"Давлиев Ильнар Газинурович")</f>
        <v>Давлиев Ильнар Газинурович</v>
      </c>
      <c r="M42" s="7" t="str">
        <f ca="1">IFERROR(__xludf.DUMMYFUNCTION("""COMPUTED_VALUE"""),"Чурсина Мария Вячеславовна")</f>
        <v>Чурсина Мария Вячеславовна</v>
      </c>
      <c r="N42" s="7"/>
      <c r="O42" s="7"/>
      <c r="P42" s="7"/>
      <c r="Q42" s="7"/>
      <c r="R42" s="7"/>
      <c r="S42" s="7"/>
      <c r="T42" s="7" t="str">
        <f ca="1">IFERROR(__xludf.DUMMYFUNCTION("""COMPUTED_VALUE"""),"Полностью YouTrackная")</f>
        <v>Полностью YouTrackная</v>
      </c>
      <c r="U42" s="7" t="str">
        <f ca="1">IFERROR(__xludf.DUMMYFUNCTION("""COMPUTED_VALUE"""),"Поставка расходных материалов для остеосинтеза")</f>
        <v>Поставка расходных материалов для остеосинтеза</v>
      </c>
      <c r="V42" s="10">
        <f ca="1">IFERROR(__xludf.DUMMYFUNCTION("""COMPUTED_VALUE"""),44015.4781018518)</f>
        <v>44015.478101851797</v>
      </c>
      <c r="W42" s="7" t="str">
        <f ca="1">IFERROR(__xludf.DUMMYFUNCTION("""COMPUTED_VALUE"""),"184.98")</f>
        <v>184.98</v>
      </c>
      <c r="X42" s="17">
        <f ca="1">IFERROR(__xludf.DUMMYFUNCTION("""COMPUTED_VALUE"""),44717)</f>
        <v>44717</v>
      </c>
      <c r="Y42" s="7" t="str">
        <f ca="1">IFERROR(__xludf.DUMMYFUNCTION("""COMPUTED_VALUE"""),"0.9")</f>
        <v>0.9</v>
      </c>
      <c r="Z42" s="7" t="str">
        <f ca="1">IFERROR(__xludf.DUMMYFUNCTION("""COMPUTED_VALUE"""),"0.06")</f>
        <v>0.06</v>
      </c>
      <c r="AA42" s="7" t="str">
        <f ca="1">IFERROR(__xludf.DUMMYFUNCTION("""COMPUTED_VALUE"""),"0.15")</f>
        <v>0.15</v>
      </c>
      <c r="AB42" s="11">
        <f ca="1">IFERROR(__xludf.DUMMYFUNCTION("""COMPUTED_VALUE"""),44594)</f>
        <v>44594</v>
      </c>
      <c r="AC42" s="7">
        <f ca="1">IFERROR(__xludf.DUMMYFUNCTION("""COMPUTED_VALUE"""),9)</f>
        <v>9</v>
      </c>
      <c r="AD42" s="7" t="str">
        <f ca="1">IFERROR(__xludf.DUMMYFUNCTION("""COMPUTED_VALUE"""),"2.87")</f>
        <v>2.87</v>
      </c>
      <c r="AE42" s="11">
        <f ca="1">IFERROR(__xludf.DUMMYFUNCTION("""COMPUTED_VALUE"""),44910)</f>
        <v>44910</v>
      </c>
      <c r="AF42" s="7" t="str">
        <f ca="1">IFERROR(__xludf.DUMMYFUNCTION("""COMPUTED_VALUE"""),"5.95")</f>
        <v>5.95</v>
      </c>
      <c r="AG42" s="7" t="str">
        <f ca="1">IFERROR(__xludf.DUMMYFUNCTION("""COMPUTED_VALUE"""),"36.82")</f>
        <v>36.82</v>
      </c>
      <c r="AH42" s="10">
        <f ca="1">IFERROR(__xludf.DUMMYFUNCTION("""COMPUTED_VALUE"""),44315.7010763888)</f>
        <v>44315.701076388803</v>
      </c>
      <c r="AI42" s="10">
        <f ca="1">IFERROR(__xludf.DUMMYFUNCTION("""COMPUTED_VALUE"""),44400.592662037)</f>
        <v>44400.592662037001</v>
      </c>
      <c r="AJ42" s="7">
        <f ca="1">IFERROR(__xludf.DUMMYFUNCTION("""COMPUTED_VALUE"""),78)</f>
        <v>78</v>
      </c>
    </row>
    <row r="43" spans="1:36" ht="141.75" x14ac:dyDescent="0.2">
      <c r="A43" s="7">
        <f ca="1">IFERROR(__xludf.DUMMYFUNCTION("""COMPUTED_VALUE"""),82)</f>
        <v>82</v>
      </c>
      <c r="B43" s="7" t="str">
        <f ca="1">IFERROR(__xludf.DUMMYFUNCTION("""COMPUTED_VALUE"""),"FR-117")</f>
        <v>FR-117</v>
      </c>
      <c r="C43" s="9" t="str">
        <f ca="1">IFERROR(__xludf.DUMMYFUNCTION("""COMPUTED_VALUE"""),"Поставка расходных материалов для ухода за стомированными пациентами")</f>
        <v>Поставка расходных материалов для ухода за стомированными пациентами</v>
      </c>
      <c r="D43" s="7" t="str">
        <f ca="1">IFERROR(__xludf.DUMMYFUNCTION("""COMPUTED_VALUE"""),"План по стандартизации")</f>
        <v>План по стандартизации</v>
      </c>
      <c r="E43" s="7"/>
      <c r="F43" s="7"/>
      <c r="G43" s="7" t="str">
        <f ca="1">IFERROR(__xludf.DUMMYFUNCTION("""COMPUTED_VALUE"""),"ТТЗ")</f>
        <v>ТТЗ</v>
      </c>
      <c r="H43" s="7" t="str">
        <f ca="1">IFERROR(__xludf.DUMMYFUNCTION("""COMPUTED_VALUE"""),"Planned")</f>
        <v>Planned</v>
      </c>
      <c r="I43" s="7">
        <f ca="1">IFERROR(__xludf.DUMMYFUNCTION("""COMPUTED_VALUE"""),0)</f>
        <v>0</v>
      </c>
      <c r="J43" s="7">
        <f ca="1">IFERROR(__xludf.DUMMYFUNCTION("""COMPUTED_VALUE"""),0)</f>
        <v>0</v>
      </c>
      <c r="K43" s="7"/>
      <c r="L43" s="7" t="str">
        <f ca="1">IFERROR(__xludf.DUMMYFUNCTION("""COMPUTED_VALUE"""),"Давлиев Ильнар Газинурович")</f>
        <v>Давлиев Ильнар Газинурович</v>
      </c>
      <c r="M43" s="7" t="str">
        <f ca="1">IFERROR(__xludf.DUMMYFUNCTION("""COMPUTED_VALUE"""),"Чурсина Мария Вячеславовна")</f>
        <v>Чурсина Мария Вячеславовна</v>
      </c>
      <c r="N43" s="7"/>
      <c r="O43" s="7"/>
      <c r="P43" s="7"/>
      <c r="Q43" s="7"/>
      <c r="R43" s="7"/>
      <c r="S43" s="7"/>
      <c r="T43" s="7" t="str">
        <f ca="1">IFERROR(__xludf.DUMMYFUNCTION("""COMPUTED_VALUE"""),"Полностью YouTrackная")</f>
        <v>Полностью YouTrackная</v>
      </c>
      <c r="U43" s="7" t="str">
        <f ca="1">IFERROR(__xludf.DUMMYFUNCTION("""COMPUTED_VALUE"""),"Поставка расходных материалов для ухода за стомированными пациентами")</f>
        <v>Поставка расходных материалов для ухода за стомированными пациентами</v>
      </c>
      <c r="V43" s="10">
        <f ca="1">IFERROR(__xludf.DUMMYFUNCTION("""COMPUTED_VALUE"""),44015.4784259259)</f>
        <v>44015.478425925903</v>
      </c>
      <c r="W43" s="7"/>
      <c r="X43" s="16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>
        <f ca="1">IFERROR(__xludf.DUMMYFUNCTION("""COMPUTED_VALUE"""),0)</f>
        <v>0</v>
      </c>
    </row>
    <row r="44" spans="1:36" ht="78.75" x14ac:dyDescent="0.2">
      <c r="A44" s="7">
        <f ca="1">IFERROR(__xludf.DUMMYFUNCTION("""COMPUTED_VALUE"""),83)</f>
        <v>83</v>
      </c>
      <c r="B44" s="7" t="str">
        <f ca="1">IFERROR(__xludf.DUMMYFUNCTION("""COMPUTED_VALUE"""),"FR-118")</f>
        <v>FR-118</v>
      </c>
      <c r="C44" s="9" t="str">
        <f ca="1">IFERROR(__xludf.DUMMYFUNCTION("""COMPUTED_VALUE"""),"Поставка кресел-колясок для инвалидов")</f>
        <v>Поставка кресел-колясок для инвалидов</v>
      </c>
      <c r="D44" s="7" t="str">
        <f ca="1">IFERROR(__xludf.DUMMYFUNCTION("""COMPUTED_VALUE"""),"План по стандартизации")</f>
        <v>План по стандартизации</v>
      </c>
      <c r="E44" s="7">
        <f ca="1">IFERROR(__xludf.DUMMYFUNCTION("""COMPUTED_VALUE"""),2020)</f>
        <v>2020</v>
      </c>
      <c r="F44" s="7">
        <f ca="1">IFERROR(__xludf.DUMMYFUNCTION("""COMPUTED_VALUE"""),4)</f>
        <v>4</v>
      </c>
      <c r="G44" s="7" t="str">
        <f ca="1">IFERROR(__xludf.DUMMYFUNCTION("""COMPUTED_VALUE"""),"ТТЗ")</f>
        <v>ТТЗ</v>
      </c>
      <c r="H44" s="7" t="str">
        <f ca="1">IFERROR(__xludf.DUMMYFUNCTION("""COMPUTED_VALUE"""),"Завершено")</f>
        <v>Завершено</v>
      </c>
      <c r="I44" s="7">
        <f ca="1">IFERROR(__xludf.DUMMYFUNCTION("""COMPUTED_VALUE"""),1)</f>
        <v>1</v>
      </c>
      <c r="J44" s="7">
        <f ca="1">IFERROR(__xludf.DUMMYFUNCTION("""COMPUTED_VALUE"""),1)</f>
        <v>1</v>
      </c>
      <c r="K44" s="7" t="str">
        <f ca="1">IFERROR(__xludf.DUMMYFUNCTION("""COMPUTED_VALUE"""),"Воробьев Вадим Владимирович")</f>
        <v>Воробьев Вадим Владимирович</v>
      </c>
      <c r="L44" s="7" t="str">
        <f ca="1">IFERROR(__xludf.DUMMYFUNCTION("""COMPUTED_VALUE"""),"Уфаркина Наталья Геннадьевна")</f>
        <v>Уфаркина Наталья Геннадьевна</v>
      </c>
      <c r="M44" s="7" t="str">
        <f ca="1">IFERROR(__xludf.DUMMYFUNCTION("""COMPUTED_VALUE"""),"Гудиев Зелимхан Куйраевич")</f>
        <v>Гудиев Зелимхан Куйраевич</v>
      </c>
      <c r="N44" s="7"/>
      <c r="O44" s="7"/>
      <c r="P44" s="7"/>
      <c r="Q44" s="7"/>
      <c r="R44" s="7"/>
      <c r="S44" s="7"/>
      <c r="T44" s="7" t="str">
        <f ca="1">IFERROR(__xludf.DUMMYFUNCTION("""COMPUTED_VALUE"""),"Полностью YouTrackная")</f>
        <v>Полностью YouTrackная</v>
      </c>
      <c r="U44" s="7" t="str">
        <f ca="1">IFERROR(__xludf.DUMMYFUNCTION("""COMPUTED_VALUE"""),"Поставка кресел-колясок для инвалидов")</f>
        <v>Поставка кресел-колясок для инвалидов</v>
      </c>
      <c r="V44" s="10">
        <f ca="1">IFERROR(__xludf.DUMMYFUNCTION("""COMPUTED_VALUE"""),44015.5201967592)</f>
        <v>44015.5201967592</v>
      </c>
      <c r="W44" s="7">
        <f ca="1">IFERROR(__xludf.DUMMYFUNCTION("""COMPUTED_VALUE"""),0)</f>
        <v>0</v>
      </c>
      <c r="X44" s="18">
        <f ca="1">IFERROR(__xludf.DUMMYFUNCTION("""COMPUTED_VALUE"""),44867)</f>
        <v>44867</v>
      </c>
      <c r="Y44" s="7" t="str">
        <f ca="1">IFERROR(__xludf.DUMMYFUNCTION("""COMPUTED_VALUE"""),"28.41")</f>
        <v>28.41</v>
      </c>
      <c r="Z44" s="7" t="str">
        <f ca="1">IFERROR(__xludf.DUMMYFUNCTION("""COMPUTED_VALUE"""),"0.77")</f>
        <v>0.77</v>
      </c>
      <c r="AA44" s="8">
        <f ca="1">IFERROR(__xludf.DUMMYFUNCTION("""COMPUTED_VALUE"""),44743)</f>
        <v>44743</v>
      </c>
      <c r="AB44" s="7" t="str">
        <f ca="1">IFERROR(__xludf.DUMMYFUNCTION("""COMPUTED_VALUE"""),"17.59")</f>
        <v>17.59</v>
      </c>
      <c r="AC44" s="7" t="str">
        <f ca="1">IFERROR(__xludf.DUMMYFUNCTION("""COMPUTED_VALUE"""),"55.66")</f>
        <v>55.66</v>
      </c>
      <c r="AD44" s="7" t="str">
        <f ca="1">IFERROR(__xludf.DUMMYFUNCTION("""COMPUTED_VALUE"""),"12.54")</f>
        <v>12.54</v>
      </c>
      <c r="AE44" s="7" t="str">
        <f ca="1">IFERROR(__xludf.DUMMYFUNCTION("""COMPUTED_VALUE"""),"6.86")</f>
        <v>6.86</v>
      </c>
      <c r="AF44" s="7" t="str">
        <f ca="1">IFERROR(__xludf.DUMMYFUNCTION("""COMPUTED_VALUE"""),"1.25")</f>
        <v>1.25</v>
      </c>
      <c r="AG44" s="7" t="str">
        <f ca="1">IFERROR(__xludf.DUMMYFUNCTION("""COMPUTED_VALUE"""),"9.85")</f>
        <v>9.85</v>
      </c>
      <c r="AH44" s="10">
        <f ca="1">IFERROR(__xludf.DUMMYFUNCTION("""COMPUTED_VALUE"""),44182.6842361111)</f>
        <v>44182.684236111098</v>
      </c>
      <c r="AI44" s="10">
        <f ca="1">IFERROR(__xludf.DUMMYFUNCTION("""COMPUTED_VALUE"""),44216.6506018518)</f>
        <v>44216.650601851798</v>
      </c>
      <c r="AJ44" s="7">
        <f ca="1">IFERROR(__xludf.DUMMYFUNCTION("""COMPUTED_VALUE"""),136)</f>
        <v>136</v>
      </c>
    </row>
    <row r="45" spans="1:36" ht="141.75" x14ac:dyDescent="0.2">
      <c r="A45" s="7">
        <f ca="1">IFERROR(__xludf.DUMMYFUNCTION("""COMPUTED_VALUE"""),85)</f>
        <v>85</v>
      </c>
      <c r="B45" s="7" t="str">
        <f ca="1">IFERROR(__xludf.DUMMYFUNCTION("""COMPUTED_VALUE"""),"FR-121")</f>
        <v>FR-121</v>
      </c>
      <c r="C45" s="9" t="str">
        <f ca="1">IFERROR(__xludf.DUMMYFUNCTION("""COMPUTED_VALUE"""),"Выполнение работ по капитальному ремонту общего имущества многоквартирных 
домов")</f>
        <v>Выполнение работ по капитальному ремонту общего имущества многоквартирных 
домов</v>
      </c>
      <c r="D45" s="7" t="str">
        <f ca="1">IFERROR(__xludf.DUMMYFUNCTION("""COMPUTED_VALUE"""),"План по стандартизации")</f>
        <v>План по стандартизации</v>
      </c>
      <c r="E45" s="7">
        <f ca="1">IFERROR(__xludf.DUMMYFUNCTION("""COMPUTED_VALUE"""),2020)</f>
        <v>2020</v>
      </c>
      <c r="F45" s="7">
        <f ca="1">IFERROR(__xludf.DUMMYFUNCTION("""COMPUTED_VALUE"""),3)</f>
        <v>3</v>
      </c>
      <c r="G45" s="7" t="str">
        <f ca="1">IFERROR(__xludf.DUMMYFUNCTION("""COMPUTED_VALUE"""),"ТТЗ")</f>
        <v>ТТЗ</v>
      </c>
      <c r="H45" s="7" t="str">
        <f ca="1">IFERROR(__xludf.DUMMYFUNCTION("""COMPUTED_VALUE"""),"Завершено")</f>
        <v>Завершено</v>
      </c>
      <c r="I45" s="7">
        <f ca="1">IFERROR(__xludf.DUMMYFUNCTION("""COMPUTED_VALUE"""),4)</f>
        <v>4</v>
      </c>
      <c r="J45" s="7">
        <f ca="1">IFERROR(__xludf.DUMMYFUNCTION("""COMPUTED_VALUE"""),2)</f>
        <v>2</v>
      </c>
      <c r="K45" s="7" t="str">
        <f ca="1">IFERROR(__xludf.DUMMYFUNCTION("""COMPUTED_VALUE"""),"Першина Дарья Валерьевна")</f>
        <v>Першина Дарья Валерьевна</v>
      </c>
      <c r="L45" s="7" t="str">
        <f ca="1">IFERROR(__xludf.DUMMYFUNCTION("""COMPUTED_VALUE"""),"Уфаркина Наталья Геннадьевна")</f>
        <v>Уфаркина Наталья Геннадьевна</v>
      </c>
      <c r="M45" s="7" t="str">
        <f ca="1">IFERROR(__xludf.DUMMYFUNCTION("""COMPUTED_VALUE"""),"Гудиев Зелимхан Куйраевич")</f>
        <v>Гудиев Зелимхан Куйраевич</v>
      </c>
      <c r="N45" s="7"/>
      <c r="O45" s="7" t="str">
        <f ca="1">IFERROR(__xludf.DUMMYFUNCTION("""COMPUTED_VALUE"""),"Типовой")</f>
        <v>Типовой</v>
      </c>
      <c r="P45" s="7" t="str">
        <f ca="1">IFERROR(__xludf.DUMMYFUNCTION("""COMPUTED_VALUE"""),"Нет")</f>
        <v>Нет</v>
      </c>
      <c r="Q45" s="7" t="str">
        <f ca="1">IFERROR(__xludf.DUMMYFUNCTION("""COMPUTED_VALUE"""),"Нет")</f>
        <v>Нет</v>
      </c>
      <c r="R45" s="7" t="str">
        <f ca="1">IFERROR(__xludf.DUMMYFUNCTION("""COMPUTED_VALUE"""),"Нет")</f>
        <v>Нет</v>
      </c>
      <c r="S45" s="7" t="str">
        <f ca="1">IFERROR(__xludf.DUMMYFUNCTION("""COMPUTED_VALUE"""),"Электронный аукцион")</f>
        <v>Электронный аукцион</v>
      </c>
      <c r="T45" s="7" t="str">
        <f ca="1">IFERROR(__xludf.DUMMYFUNCTION("""COMPUTED_VALUE"""),"Полностью YouTrackная")</f>
        <v>Полностью YouTrackная</v>
      </c>
      <c r="U45" s="7" t="str">
        <f ca="1">IFERROR(__xludf.DUMMYFUNCTION("""COMPUTED_VALUE"""),"Выполнение работ по капитальному ремонту общего имущества многоквартирных 
домов")</f>
        <v>Выполнение работ по капитальному ремонту общего имущества многоквартирных 
домов</v>
      </c>
      <c r="V45" s="10">
        <f ca="1">IFERROR(__xludf.DUMMYFUNCTION("""COMPUTED_VALUE"""),44025.4348148148)</f>
        <v>44025.434814814798</v>
      </c>
      <c r="W45" s="7">
        <f ca="1">IFERROR(__xludf.DUMMYFUNCTION("""COMPUTED_VALUE"""),0)</f>
        <v>0</v>
      </c>
      <c r="X45" s="16" t="str">
        <f ca="1">IFERROR(__xludf.DUMMYFUNCTION("""COMPUTED_VALUE"""),"31.54")</f>
        <v>31.54</v>
      </c>
      <c r="Y45" s="7" t="str">
        <f ca="1">IFERROR(__xludf.DUMMYFUNCTION("""COMPUTED_VALUE"""),"9.53")</f>
        <v>9.53</v>
      </c>
      <c r="Z45" s="7" t="str">
        <f ca="1">IFERROR(__xludf.DUMMYFUNCTION("""COMPUTED_VALUE"""),"11.41")</f>
        <v>11.41</v>
      </c>
      <c r="AA45" s="7" t="str">
        <f ca="1">IFERROR(__xludf.DUMMYFUNCTION("""COMPUTED_VALUE"""),"7.15")</f>
        <v>7.15</v>
      </c>
      <c r="AB45" s="7" t="str">
        <f ca="1">IFERROR(__xludf.DUMMYFUNCTION("""COMPUTED_VALUE"""),"75.91")</f>
        <v>75.91</v>
      </c>
      <c r="AC45" s="7" t="str">
        <f ca="1">IFERROR(__xludf.DUMMYFUNCTION("""COMPUTED_VALUE"""),"19.13")</f>
        <v>19.13</v>
      </c>
      <c r="AD45" s="7" t="str">
        <f ca="1">IFERROR(__xludf.DUMMYFUNCTION("""COMPUTED_VALUE"""),"17.68")</f>
        <v>17.68</v>
      </c>
      <c r="AE45" s="7" t="str">
        <f ca="1">IFERROR(__xludf.DUMMYFUNCTION("""COMPUTED_VALUE"""),"7.88")</f>
        <v>7.88</v>
      </c>
      <c r="AF45" s="7" t="str">
        <f ca="1">IFERROR(__xludf.DUMMYFUNCTION("""COMPUTED_VALUE"""),"3.72")</f>
        <v>3.72</v>
      </c>
      <c r="AG45" s="7" t="str">
        <f ca="1">IFERROR(__xludf.DUMMYFUNCTION("""COMPUTED_VALUE"""),"0.31")</f>
        <v>0.31</v>
      </c>
      <c r="AH45" s="10">
        <f ca="1">IFERROR(__xludf.DUMMYFUNCTION("""COMPUTED_VALUE"""),44278.7920486111)</f>
        <v>44278.792048611103</v>
      </c>
      <c r="AI45" s="10">
        <f ca="1">IFERROR(__xludf.DUMMYFUNCTION("""COMPUTED_VALUE"""),44294.6998032407)</f>
        <v>44294.699803240699</v>
      </c>
      <c r="AJ45" s="7">
        <f ca="1">IFERROR(__xludf.DUMMYFUNCTION("""COMPUTED_VALUE"""),184)</f>
        <v>184</v>
      </c>
    </row>
    <row r="46" spans="1:36" ht="299.25" x14ac:dyDescent="0.2">
      <c r="A46" s="7">
        <f ca="1">IFERROR(__xludf.DUMMYFUNCTION("""COMPUTED_VALUE"""),87)</f>
        <v>87</v>
      </c>
      <c r="B46" s="7" t="str">
        <f ca="1">IFERROR(__xludf.DUMMYFUNCTION("""COMPUTED_VALUE"""),"FR-125")</f>
        <v>FR-125</v>
      </c>
      <c r="C46" s="9" t="str">
        <f ca="1">IFERROR(__xludf.DUMMYFUNCTION("""COMPUTED_VALUE"""),"Оказание услуг по техническому обслуживанию и текущему ремонту 
расширительных баков, линий связи и приборов подпитки систем отопления")</f>
        <v>Оказание услуг по техническому обслуживанию и текущему ремонту 
расширительных баков, линий связи и приборов подпитки систем отопления</v>
      </c>
      <c r="D46" s="7" t="str">
        <f ca="1">IFERROR(__xludf.DUMMYFUNCTION("""COMPUTED_VALUE"""),"План по стандартизации")</f>
        <v>План по стандартизации</v>
      </c>
      <c r="E46" s="7">
        <f ca="1">IFERROR(__xludf.DUMMYFUNCTION("""COMPUTED_VALUE"""),2020)</f>
        <v>2020</v>
      </c>
      <c r="F46" s="7">
        <f ca="1">IFERROR(__xludf.DUMMYFUNCTION("""COMPUTED_VALUE"""),3)</f>
        <v>3</v>
      </c>
      <c r="G46" s="7" t="str">
        <f ca="1">IFERROR(__xludf.DUMMYFUNCTION("""COMPUTED_VALUE"""),"ТТЗ")</f>
        <v>ТТЗ</v>
      </c>
      <c r="H46" s="7" t="str">
        <f ca="1">IFERROR(__xludf.DUMMYFUNCTION("""COMPUTED_VALUE"""),"Завершено")</f>
        <v>Завершено</v>
      </c>
      <c r="I46" s="7">
        <f ca="1">IFERROR(__xludf.DUMMYFUNCTION("""COMPUTED_VALUE"""),1)</f>
        <v>1</v>
      </c>
      <c r="J46" s="7">
        <f ca="1">IFERROR(__xludf.DUMMYFUNCTION("""COMPUTED_VALUE"""),0)</f>
        <v>0</v>
      </c>
      <c r="K46" s="7" t="str">
        <f ca="1">IFERROR(__xludf.DUMMYFUNCTION("""COMPUTED_VALUE"""),"Воробьев Вадим Владимирович")</f>
        <v>Воробьев Вадим Владимирович</v>
      </c>
      <c r="L46" s="7" t="str">
        <f ca="1">IFERROR(__xludf.DUMMYFUNCTION("""COMPUTED_VALUE"""),"Уфаркина Наталья Геннадьевна")</f>
        <v>Уфаркина Наталья Геннадьевна</v>
      </c>
      <c r="M46" s="7" t="str">
        <f ca="1">IFERROR(__xludf.DUMMYFUNCTION("""COMPUTED_VALUE"""),"Гудиев Зелимхан Куйраевич")</f>
        <v>Гудиев Зелимхан Куйраевич</v>
      </c>
      <c r="N46" s="7"/>
      <c r="O46" s="7"/>
      <c r="P46" s="7"/>
      <c r="Q46" s="7"/>
      <c r="R46" s="7"/>
      <c r="S46" s="7"/>
      <c r="T46" s="7" t="str">
        <f ca="1">IFERROR(__xludf.DUMMYFUNCTION("""COMPUTED_VALUE"""),"Полностью YouTrackная")</f>
        <v>Полностью YouTrackная</v>
      </c>
      <c r="U46" s="7" t="str">
        <f ca="1">IFERROR(__xludf.DUMMYFUNCTION("""COMPUTED_VALUE"""),"Оказание услуг по техническому обслуживанию и текущему ремонту тепловых 
сетей, расширительных баков, линий связи и приборов подпитки систем 
отопления")</f>
        <v>Оказание услуг по техническому обслуживанию и текущему ремонту тепловых 
сетей, расширительных баков, линий связи и приборов подпитки систем 
отопления</v>
      </c>
      <c r="V46" s="10">
        <f ca="1">IFERROR(__xludf.DUMMYFUNCTION("""COMPUTED_VALUE"""),44027.4497800925)</f>
        <v>44027.449780092502</v>
      </c>
      <c r="W46" s="7"/>
      <c r="X46" s="16" t="str">
        <f ca="1">IFERROR(__xludf.DUMMYFUNCTION("""COMPUTED_VALUE"""),"89.12")</f>
        <v>89.12</v>
      </c>
      <c r="Y46" s="7">
        <f ca="1">IFERROR(__xludf.DUMMYFUNCTION("""COMPUTED_VALUE"""),0)</f>
        <v>0</v>
      </c>
      <c r="Z46" s="11">
        <f ca="1">IFERROR(__xludf.DUMMYFUNCTION("""COMPUTED_VALUE"""),44775)</f>
        <v>44775</v>
      </c>
      <c r="AA46" s="7">
        <f ca="1">IFERROR(__xludf.DUMMYFUNCTION("""COMPUTED_VALUE"""),2)</f>
        <v>2</v>
      </c>
      <c r="AB46" s="7" t="str">
        <f ca="1">IFERROR(__xludf.DUMMYFUNCTION("""COMPUTED_VALUE"""),"8.37")</f>
        <v>8.37</v>
      </c>
      <c r="AC46" s="7" t="str">
        <f ca="1">IFERROR(__xludf.DUMMYFUNCTION("""COMPUTED_VALUE"""),"7.66")</f>
        <v>7.66</v>
      </c>
      <c r="AD46" s="11">
        <f ca="1">IFERROR(__xludf.DUMMYFUNCTION("""COMPUTED_VALUE"""),44920)</f>
        <v>44920</v>
      </c>
      <c r="AE46" s="8">
        <f ca="1">IFERROR(__xludf.DUMMYFUNCTION("""COMPUTED_VALUE"""),44566)</f>
        <v>44566</v>
      </c>
      <c r="AF46" s="7" t="str">
        <f ca="1">IFERROR(__xludf.DUMMYFUNCTION("""COMPUTED_VALUE"""),"2.25")</f>
        <v>2.25</v>
      </c>
      <c r="AG46" s="11">
        <f ca="1">IFERROR(__xludf.DUMMYFUNCTION("""COMPUTED_VALUE"""),44744)</f>
        <v>44744</v>
      </c>
      <c r="AH46" s="10">
        <f ca="1">IFERROR(__xludf.DUMMYFUNCTION("""COMPUTED_VALUE"""),44225.5026736111)</f>
        <v>44225.502673611103</v>
      </c>
      <c r="AI46" s="10">
        <f ca="1">IFERROR(__xludf.DUMMYFUNCTION("""COMPUTED_VALUE"""),44239.458761574)</f>
        <v>44239.458761574002</v>
      </c>
      <c r="AJ46" s="7">
        <f ca="1">IFERROR(__xludf.DUMMYFUNCTION("""COMPUTED_VALUE"""),146)</f>
        <v>146</v>
      </c>
    </row>
    <row r="47" spans="1:36" ht="126" x14ac:dyDescent="0.2">
      <c r="A47" s="7">
        <f ca="1">IFERROR(__xludf.DUMMYFUNCTION("""COMPUTED_VALUE"""),88)</f>
        <v>88</v>
      </c>
      <c r="B47" s="7" t="str">
        <f ca="1">IFERROR(__xludf.DUMMYFUNCTION("""COMPUTED_VALUE"""),"FR-126")</f>
        <v>FR-126</v>
      </c>
      <c r="C47" s="9" t="str">
        <f ca="1">IFERROR(__xludf.DUMMYFUNCTION("""COMPUTED_VALUE"""),"Оказание услуг по техническому обслуживанию и ремонту оргтехники")</f>
        <v>Оказание услуг по техническому обслуживанию и ремонту оргтехники</v>
      </c>
      <c r="D47" s="7" t="str">
        <f ca="1">IFERROR(__xludf.DUMMYFUNCTION("""COMPUTED_VALUE"""),"План по стандартизации")</f>
        <v>План по стандартизации</v>
      </c>
      <c r="E47" s="7">
        <f ca="1">IFERROR(__xludf.DUMMYFUNCTION("""COMPUTED_VALUE"""),2020)</f>
        <v>2020</v>
      </c>
      <c r="F47" s="7">
        <f ca="1">IFERROR(__xludf.DUMMYFUNCTION("""COMPUTED_VALUE"""),3)</f>
        <v>3</v>
      </c>
      <c r="G47" s="7" t="str">
        <f ca="1">IFERROR(__xludf.DUMMYFUNCTION("""COMPUTED_VALUE"""),"ТТЗ")</f>
        <v>ТТЗ</v>
      </c>
      <c r="H47" s="7" t="str">
        <f ca="1">IFERROR(__xludf.DUMMYFUNCTION("""COMPUTED_VALUE"""),"Завершено")</f>
        <v>Завершено</v>
      </c>
      <c r="I47" s="7">
        <f ca="1">IFERROR(__xludf.DUMMYFUNCTION("""COMPUTED_VALUE"""),2)</f>
        <v>2</v>
      </c>
      <c r="J47" s="7">
        <f ca="1">IFERROR(__xludf.DUMMYFUNCTION("""COMPUTED_VALUE"""),2)</f>
        <v>2</v>
      </c>
      <c r="K47" s="7" t="str">
        <f ca="1">IFERROR(__xludf.DUMMYFUNCTION("""COMPUTED_VALUE"""),"Уфаркина Наталья Геннадьевна")</f>
        <v>Уфаркина Наталья Геннадьевна</v>
      </c>
      <c r="L47" s="7" t="str">
        <f ca="1">IFERROR(__xludf.DUMMYFUNCTION("""COMPUTED_VALUE"""),"Уфаркина Наталья Геннадьевна")</f>
        <v>Уфаркина Наталья Геннадьевна</v>
      </c>
      <c r="M47" s="7" t="str">
        <f ca="1">IFERROR(__xludf.DUMMYFUNCTION("""COMPUTED_VALUE"""),"Гудиев Зелимхан Куйраевич")</f>
        <v>Гудиев Зелимхан Куйраевич</v>
      </c>
      <c r="N47" s="7"/>
      <c r="O47" s="7" t="str">
        <f ca="1">IFERROR(__xludf.DUMMYFUNCTION("""COMPUTED_VALUE"""),"Типовой")</f>
        <v>Типовой</v>
      </c>
      <c r="P47" s="7"/>
      <c r="Q47" s="7" t="str">
        <f ca="1">IFERROR(__xludf.DUMMYFUNCTION("""COMPUTED_VALUE"""),"Нет")</f>
        <v>Нет</v>
      </c>
      <c r="R47" s="7" t="str">
        <f ca="1">IFERROR(__xludf.DUMMYFUNCTION("""COMPUTED_VALUE"""),"Нет")</f>
        <v>Нет</v>
      </c>
      <c r="S47" s="7" t="str">
        <f ca="1">IFERROR(__xludf.DUMMYFUNCTION("""COMPUTED_VALUE"""),"Электронный аукцион")</f>
        <v>Электронный аукцион</v>
      </c>
      <c r="T47" s="7" t="str">
        <f ca="1">IFERROR(__xludf.DUMMYFUNCTION("""COMPUTED_VALUE"""),"Полностью YouTrackная")</f>
        <v>Полностью YouTrackная</v>
      </c>
      <c r="U47" s="7" t="str">
        <f ca="1">IFERROR(__xludf.DUMMYFUNCTION("""COMPUTED_VALUE"""),"Оказание услуг по техническому обслуживанию и ремонту оргтехники")</f>
        <v>Оказание услуг по техническому обслуживанию и ремонту оргтехники</v>
      </c>
      <c r="V47" s="10">
        <f ca="1">IFERROR(__xludf.DUMMYFUNCTION("""COMPUTED_VALUE"""),44027.5530671296)</f>
        <v>44027.5530671296</v>
      </c>
      <c r="W47" s="7"/>
      <c r="X47" s="16" t="str">
        <f ca="1">IFERROR(__xludf.DUMMYFUNCTION("""COMPUTED_VALUE"""),"39.31")</f>
        <v>39.31</v>
      </c>
      <c r="Y47" s="7" t="str">
        <f ca="1">IFERROR(__xludf.DUMMYFUNCTION("""COMPUTED_VALUE"""),"16.31")</f>
        <v>16.31</v>
      </c>
      <c r="Z47" s="7" t="str">
        <f ca="1">IFERROR(__xludf.DUMMYFUNCTION("""COMPUTED_VALUE"""),"2.49")</f>
        <v>2.49</v>
      </c>
      <c r="AA47" s="7" t="str">
        <f ca="1">IFERROR(__xludf.DUMMYFUNCTION("""COMPUTED_VALUE"""),"0.91")</f>
        <v>0.91</v>
      </c>
      <c r="AB47" s="7" t="str">
        <f ca="1">IFERROR(__xludf.DUMMYFUNCTION("""COMPUTED_VALUE"""),"124.06")</f>
        <v>124.06</v>
      </c>
      <c r="AC47" s="8">
        <f ca="1">IFERROR(__xludf.DUMMYFUNCTION("""COMPUTED_VALUE"""),44765)</f>
        <v>44765</v>
      </c>
      <c r="AD47" s="7" t="str">
        <f ca="1">IFERROR(__xludf.DUMMYFUNCTION("""COMPUTED_VALUE"""),"35.7")</f>
        <v>35.7</v>
      </c>
      <c r="AE47" s="7" t="str">
        <f ca="1">IFERROR(__xludf.DUMMYFUNCTION("""COMPUTED_VALUE"""),"13.31")</f>
        <v>13.31</v>
      </c>
      <c r="AF47" s="7" t="str">
        <f ca="1">IFERROR(__xludf.DUMMYFUNCTION("""COMPUTED_VALUE"""),"1.84")</f>
        <v>1.84</v>
      </c>
      <c r="AG47" s="7" t="str">
        <f ca="1">IFERROR(__xludf.DUMMYFUNCTION("""COMPUTED_VALUE"""),"5.16")</f>
        <v>5.16</v>
      </c>
      <c r="AH47" s="10">
        <f ca="1">IFERROR(__xludf.DUMMYFUNCTION("""COMPUTED_VALUE"""),44383.4067129629)</f>
        <v>44383.406712962897</v>
      </c>
      <c r="AI47" s="10">
        <f ca="1">IFERROR(__xludf.DUMMYFUNCTION("""COMPUTED_VALUE"""),44411.7098148148)</f>
        <v>44411.7098148148</v>
      </c>
      <c r="AJ47" s="7">
        <f ca="1">IFERROR(__xludf.DUMMYFUNCTION("""COMPUTED_VALUE"""),263)</f>
        <v>263</v>
      </c>
    </row>
    <row r="48" spans="1:36" ht="141.75" x14ac:dyDescent="0.2">
      <c r="A48" s="7">
        <f ca="1">IFERROR(__xludf.DUMMYFUNCTION("""COMPUTED_VALUE"""),89)</f>
        <v>89</v>
      </c>
      <c r="B48" s="7" t="str">
        <f ca="1">IFERROR(__xludf.DUMMYFUNCTION("""COMPUTED_VALUE"""),"FR-128")</f>
        <v>FR-128</v>
      </c>
      <c r="C48" s="9" t="str">
        <f ca="1">IFERROR(__xludf.DUMMYFUNCTION("""COMPUTED_VALUE"""),"Поставка топлива для реактивных двигателей и авиационного бензина")</f>
        <v>Поставка топлива для реактивных двигателей и авиационного бензина</v>
      </c>
      <c r="D48" s="7" t="str">
        <f ca="1">IFERROR(__xludf.DUMMYFUNCTION("""COMPUTED_VALUE"""),"План по стандартизации")</f>
        <v>План по стандартизации</v>
      </c>
      <c r="E48" s="7">
        <f ca="1">IFERROR(__xludf.DUMMYFUNCTION("""COMPUTED_VALUE"""),2020)</f>
        <v>2020</v>
      </c>
      <c r="F48" s="7">
        <f ca="1">IFERROR(__xludf.DUMMYFUNCTION("""COMPUTED_VALUE"""),3)</f>
        <v>3</v>
      </c>
      <c r="G48" s="7" t="str">
        <f ca="1">IFERROR(__xludf.DUMMYFUNCTION("""COMPUTED_VALUE"""),"СТЗ")</f>
        <v>СТЗ</v>
      </c>
      <c r="H48" s="7" t="str">
        <f ca="1">IFERROR(__xludf.DUMMYFUNCTION("""COMPUTED_VALUE"""),"Завершено")</f>
        <v>Завершено</v>
      </c>
      <c r="I48" s="7">
        <f ca="1">IFERROR(__xludf.DUMMYFUNCTION("""COMPUTED_VALUE"""),5)</f>
        <v>5</v>
      </c>
      <c r="J48" s="7">
        <f ca="1">IFERROR(__xludf.DUMMYFUNCTION("""COMPUTED_VALUE"""),1)</f>
        <v>1</v>
      </c>
      <c r="K48" s="7" t="str">
        <f ca="1">IFERROR(__xludf.DUMMYFUNCTION("""COMPUTED_VALUE"""),"Самойленко Антон Олегович")</f>
        <v>Самойленко Антон Олегович</v>
      </c>
      <c r="L48" s="7" t="str">
        <f ca="1">IFERROR(__xludf.DUMMYFUNCTION("""COMPUTED_VALUE"""),"Столянков Андрей Владиславович")</f>
        <v>Столянков Андрей Владиславович</v>
      </c>
      <c r="M48" s="7" t="str">
        <f ca="1">IFERROR(__xludf.DUMMYFUNCTION("""COMPUTED_VALUE"""),"Магамгазиев Расул Висхаджиевич")</f>
        <v>Магамгазиев Расул Висхаджиевич</v>
      </c>
      <c r="N48" s="7"/>
      <c r="O48" s="7"/>
      <c r="P48" s="7"/>
      <c r="Q48" s="7"/>
      <c r="R48" s="7"/>
      <c r="S48" s="7"/>
      <c r="T48" s="7" t="str">
        <f ca="1">IFERROR(__xludf.DUMMYFUNCTION("""COMPUTED_VALUE"""),"Полностью YouTrackная")</f>
        <v>Полностью YouTrackная</v>
      </c>
      <c r="U48" s="7" t="str">
        <f ca="1">IFERROR(__xludf.DUMMYFUNCTION("""COMPUTED_VALUE"""),"Поставка топлива для реактивных двигателей и авиационного бензина")</f>
        <v>Поставка топлива для реактивных двигателей и авиационного бензина</v>
      </c>
      <c r="V48" s="10">
        <f ca="1">IFERROR(__xludf.DUMMYFUNCTION("""COMPUTED_VALUE"""),44041.5800925925)</f>
        <v>44041.5800925925</v>
      </c>
      <c r="W48" s="7" t="str">
        <f ca="1">IFERROR(__xludf.DUMMYFUNCTION("""COMPUTED_VALUE"""),"0.98")</f>
        <v>0.98</v>
      </c>
      <c r="X48" s="16" t="str">
        <f ca="1">IFERROR(__xludf.DUMMYFUNCTION("""COMPUTED_VALUE"""),"0.29")</f>
        <v>0.29</v>
      </c>
      <c r="Y48" s="7" t="str">
        <f ca="1">IFERROR(__xludf.DUMMYFUNCTION("""COMPUTED_VALUE"""),"2.97")</f>
        <v>2.97</v>
      </c>
      <c r="Z48" s="7" t="str">
        <f ca="1">IFERROR(__xludf.DUMMYFUNCTION("""COMPUTED_VALUE"""),"44.37")</f>
        <v>44.37</v>
      </c>
      <c r="AA48" s="7" t="str">
        <f ca="1">IFERROR(__xludf.DUMMYFUNCTION("""COMPUTED_VALUE"""),"10.15")</f>
        <v>10.15</v>
      </c>
      <c r="AB48" s="7" t="str">
        <f ca="1">IFERROR(__xludf.DUMMYFUNCTION("""COMPUTED_VALUE"""),"35.2")</f>
        <v>35.2</v>
      </c>
      <c r="AC48" s="7" t="str">
        <f ca="1">IFERROR(__xludf.DUMMYFUNCTION("""COMPUTED_VALUE"""),"10.23")</f>
        <v>10.23</v>
      </c>
      <c r="AD48" s="7" t="str">
        <f ca="1">IFERROR(__xludf.DUMMYFUNCTION("""COMPUTED_VALUE"""),"20.74")</f>
        <v>20.74</v>
      </c>
      <c r="AE48" s="8">
        <f ca="1">IFERROR(__xludf.DUMMYFUNCTION("""COMPUTED_VALUE"""),44566)</f>
        <v>44566</v>
      </c>
      <c r="AF48" s="7"/>
      <c r="AG48" s="7" t="str">
        <f ca="1">IFERROR(__xludf.DUMMYFUNCTION("""COMPUTED_VALUE"""),"0.18")</f>
        <v>0.18</v>
      </c>
      <c r="AH48" s="10">
        <f ca="1">IFERROR(__xludf.DUMMYFUNCTION("""COMPUTED_VALUE"""),44225.5027546296)</f>
        <v>44225.502754629597</v>
      </c>
      <c r="AI48" s="10">
        <f ca="1">IFERROR(__xludf.DUMMYFUNCTION("""COMPUTED_VALUE"""),44232.6885300925)</f>
        <v>44232.688530092499</v>
      </c>
      <c r="AJ48" s="7">
        <f ca="1">IFERROR(__xludf.DUMMYFUNCTION("""COMPUTED_VALUE"""),128)</f>
        <v>128</v>
      </c>
    </row>
    <row r="49" spans="1:36" ht="110.25" x14ac:dyDescent="0.2">
      <c r="A49" s="7">
        <f ca="1">IFERROR(__xludf.DUMMYFUNCTION("""COMPUTED_VALUE"""),90)</f>
        <v>90</v>
      </c>
      <c r="B49" s="7" t="str">
        <f ca="1">IFERROR(__xludf.DUMMYFUNCTION("""COMPUTED_VALUE"""),"FR-131")</f>
        <v>FR-131</v>
      </c>
      <c r="C49" s="9" t="str">
        <f ca="1">IFERROR(__xludf.DUMMYFUNCTION("""COMPUTED_VALUE"""),"Поставка занавесей (включая драпировочные), штор для интерьеров")</f>
        <v>Поставка занавесей (включая драпировочные), штор для интерьеров</v>
      </c>
      <c r="D49" s="7" t="str">
        <f ca="1">IFERROR(__xludf.DUMMYFUNCTION("""COMPUTED_VALUE"""),"План по стандартизации")</f>
        <v>План по стандартизации</v>
      </c>
      <c r="E49" s="7">
        <f ca="1">IFERROR(__xludf.DUMMYFUNCTION("""COMPUTED_VALUE"""),2020)</f>
        <v>2020</v>
      </c>
      <c r="F49" s="7">
        <f ca="1">IFERROR(__xludf.DUMMYFUNCTION("""COMPUTED_VALUE"""),3)</f>
        <v>3</v>
      </c>
      <c r="G49" s="7" t="str">
        <f ca="1">IFERROR(__xludf.DUMMYFUNCTION("""COMPUTED_VALUE"""),"СТЗ")</f>
        <v>СТЗ</v>
      </c>
      <c r="H49" s="7" t="str">
        <f ca="1">IFERROR(__xludf.DUMMYFUNCTION("""COMPUTED_VALUE"""),"Завершено")</f>
        <v>Завершено</v>
      </c>
      <c r="I49" s="7">
        <f ca="1">IFERROR(__xludf.DUMMYFUNCTION("""COMPUTED_VALUE"""),6)</f>
        <v>6</v>
      </c>
      <c r="J49" s="7">
        <f ca="1">IFERROR(__xludf.DUMMYFUNCTION("""COMPUTED_VALUE"""),2)</f>
        <v>2</v>
      </c>
      <c r="K49" s="7" t="str">
        <f ca="1">IFERROR(__xludf.DUMMYFUNCTION("""COMPUTED_VALUE"""),"Долудо Юлия Борисовна")</f>
        <v>Долудо Юлия Борисовна</v>
      </c>
      <c r="L49" s="7" t="str">
        <f ca="1">IFERROR(__xludf.DUMMYFUNCTION("""COMPUTED_VALUE"""),"Столянков Андрей Владиславович")</f>
        <v>Столянков Андрей Владиславович</v>
      </c>
      <c r="M49" s="7" t="str">
        <f ca="1">IFERROR(__xludf.DUMMYFUNCTION("""COMPUTED_VALUE"""),"Магамгазиев Расул Висхаджиевич")</f>
        <v>Магамгазиев Расул Висхаджиевич</v>
      </c>
      <c r="N49" s="7"/>
      <c r="O49" s="7"/>
      <c r="P49" s="7"/>
      <c r="Q49" s="7"/>
      <c r="R49" s="7"/>
      <c r="S49" s="7"/>
      <c r="T49" s="7" t="str">
        <f ca="1">IFERROR(__xludf.DUMMYFUNCTION("""COMPUTED_VALUE"""),"Полностью YouTrackная")</f>
        <v>Полностью YouTrackная</v>
      </c>
      <c r="U49" s="7" t="str">
        <f ca="1">IFERROR(__xludf.DUMMYFUNCTION("""COMPUTED_VALUE"""),"Поставка занавесей (включая драпировочные), штор для интерьеров")</f>
        <v>Поставка занавесей (включая драпировочные), штор для интерьеров</v>
      </c>
      <c r="V49" s="10">
        <f ca="1">IFERROR(__xludf.DUMMYFUNCTION("""COMPUTED_VALUE"""),44060.4847337962)</f>
        <v>44060.484733796198</v>
      </c>
      <c r="W49" s="7" t="str">
        <f ca="1">IFERROR(__xludf.DUMMYFUNCTION("""COMPUTED_VALUE"""),"7.45")</f>
        <v>7.45</v>
      </c>
      <c r="X49" s="16" t="str">
        <f ca="1">IFERROR(__xludf.DUMMYFUNCTION("""COMPUTED_VALUE"""),"10.17")</f>
        <v>10.17</v>
      </c>
      <c r="Y49" s="7" t="str">
        <f ca="1">IFERROR(__xludf.DUMMYFUNCTION("""COMPUTED_VALUE"""),"3.74")</f>
        <v>3.74</v>
      </c>
      <c r="Z49" s="7" t="str">
        <f ca="1">IFERROR(__xludf.DUMMYFUNCTION("""COMPUTED_VALUE"""),"10.85")</f>
        <v>10.85</v>
      </c>
      <c r="AA49" s="11">
        <f ca="1">IFERROR(__xludf.DUMMYFUNCTION("""COMPUTED_VALUE"""),44626)</f>
        <v>44626</v>
      </c>
      <c r="AB49" s="7" t="str">
        <f ca="1">IFERROR(__xludf.DUMMYFUNCTION("""COMPUTED_VALUE"""),"46.1")</f>
        <v>46.1</v>
      </c>
      <c r="AC49" s="7" t="str">
        <f ca="1">IFERROR(__xludf.DUMMYFUNCTION("""COMPUTED_VALUE"""),"11.41")</f>
        <v>11.41</v>
      </c>
      <c r="AD49" s="7">
        <f ca="1">IFERROR(__xludf.DUMMYFUNCTION("""COMPUTED_VALUE"""),16)</f>
        <v>16</v>
      </c>
      <c r="AE49" s="8">
        <f ca="1">IFERROR(__xludf.DUMMYFUNCTION("""COMPUTED_VALUE"""),44566)</f>
        <v>44566</v>
      </c>
      <c r="AF49" s="7"/>
      <c r="AG49" s="11">
        <f ca="1">IFERROR(__xludf.DUMMYFUNCTION("""COMPUTED_VALUE"""),44806)</f>
        <v>44806</v>
      </c>
      <c r="AH49" s="10">
        <f ca="1">IFERROR(__xludf.DUMMYFUNCTION("""COMPUTED_VALUE"""),44225.5028356481)</f>
        <v>44225.502835648098</v>
      </c>
      <c r="AI49" s="10">
        <f ca="1">IFERROR(__xludf.DUMMYFUNCTION("""COMPUTED_VALUE"""),44237.4087847222)</f>
        <v>44237.408784722204</v>
      </c>
      <c r="AJ49" s="7">
        <f ca="1">IFERROR(__xludf.DUMMYFUNCTION("""COMPUTED_VALUE"""),113)</f>
        <v>113</v>
      </c>
    </row>
    <row r="50" spans="1:36" ht="63" x14ac:dyDescent="0.2">
      <c r="A50" s="7">
        <f ca="1">IFERROR(__xludf.DUMMYFUNCTION("""COMPUTED_VALUE"""),91)</f>
        <v>91</v>
      </c>
      <c r="B50" s="7" t="str">
        <f ca="1">IFERROR(__xludf.DUMMYFUNCTION("""COMPUTED_VALUE"""),"FR-132")</f>
        <v>FR-132</v>
      </c>
      <c r="C50" s="9" t="str">
        <f ca="1">IFERROR(__xludf.DUMMYFUNCTION("""COMPUTED_VALUE"""),"Поставка бытовой электроники")</f>
        <v>Поставка бытовой электроники</v>
      </c>
      <c r="D50" s="7" t="str">
        <f ca="1">IFERROR(__xludf.DUMMYFUNCTION("""COMPUTED_VALUE"""),"План по стандартизации")</f>
        <v>План по стандартизации</v>
      </c>
      <c r="E50" s="7">
        <f ca="1">IFERROR(__xludf.DUMMYFUNCTION("""COMPUTED_VALUE"""),2020)</f>
        <v>2020</v>
      </c>
      <c r="F50" s="7">
        <f ca="1">IFERROR(__xludf.DUMMYFUNCTION("""COMPUTED_VALUE"""),3)</f>
        <v>3</v>
      </c>
      <c r="G50" s="7" t="str">
        <f ca="1">IFERROR(__xludf.DUMMYFUNCTION("""COMPUTED_VALUE"""),"СТЗ")</f>
        <v>СТЗ</v>
      </c>
      <c r="H50" s="7" t="str">
        <f ca="1">IFERROR(__xludf.DUMMYFUNCTION("""COMPUTED_VALUE"""),"Завершено")</f>
        <v>Завершено</v>
      </c>
      <c r="I50" s="7">
        <f ca="1">IFERROR(__xludf.DUMMYFUNCTION("""COMPUTED_VALUE"""),4)</f>
        <v>4</v>
      </c>
      <c r="J50" s="7">
        <f ca="1">IFERROR(__xludf.DUMMYFUNCTION("""COMPUTED_VALUE"""),3)</f>
        <v>3</v>
      </c>
      <c r="K50" s="7" t="str">
        <f ca="1">IFERROR(__xludf.DUMMYFUNCTION("""COMPUTED_VALUE"""),"Баранов Алексей Александрович")</f>
        <v>Баранов Алексей Александрович</v>
      </c>
      <c r="L50" s="7" t="str">
        <f ca="1">IFERROR(__xludf.DUMMYFUNCTION("""COMPUTED_VALUE"""),"Столянков Андрей Владиславович")</f>
        <v>Столянков Андрей Владиславович</v>
      </c>
      <c r="M50" s="7" t="str">
        <f ca="1">IFERROR(__xludf.DUMMYFUNCTION("""COMPUTED_VALUE"""),"Магамгазиев Расул Висхаджиевич")</f>
        <v>Магамгазиев Расул Висхаджиевич</v>
      </c>
      <c r="N50" s="7"/>
      <c r="O50" s="7"/>
      <c r="P50" s="7"/>
      <c r="Q50" s="7"/>
      <c r="R50" s="7"/>
      <c r="S50" s="7"/>
      <c r="T50" s="7" t="str">
        <f ca="1">IFERROR(__xludf.DUMMYFUNCTION("""COMPUTED_VALUE"""),"Полностью YouTrackная")</f>
        <v>Полностью YouTrackная</v>
      </c>
      <c r="U50" s="7" t="str">
        <f ca="1">IFERROR(__xludf.DUMMYFUNCTION("""COMPUTED_VALUE"""),"Поставка бытовой электроники")</f>
        <v>Поставка бытовой электроники</v>
      </c>
      <c r="V50" s="10">
        <f ca="1">IFERROR(__xludf.DUMMYFUNCTION("""COMPUTED_VALUE"""),44060.4883912037)</f>
        <v>44060.488391203697</v>
      </c>
      <c r="W50" s="7" t="str">
        <f ca="1">IFERROR(__xludf.DUMMYFUNCTION("""COMPUTED_VALUE"""),"7.18")</f>
        <v>7.18</v>
      </c>
      <c r="X50" s="16" t="str">
        <f ca="1">IFERROR(__xludf.DUMMYFUNCTION("""COMPUTED_VALUE"""),"3.21")</f>
        <v>3.21</v>
      </c>
      <c r="Y50" s="8">
        <f ca="1">IFERROR(__xludf.DUMMYFUNCTION("""COMPUTED_VALUE"""),44686)</f>
        <v>44686</v>
      </c>
      <c r="Z50" s="7" t="str">
        <f ca="1">IFERROR(__xludf.DUMMYFUNCTION("""COMPUTED_VALUE"""),"3.96")</f>
        <v>3.96</v>
      </c>
      <c r="AA50" s="7" t="str">
        <f ca="1">IFERROR(__xludf.DUMMYFUNCTION("""COMPUTED_VALUE"""),"10.87")</f>
        <v>10.87</v>
      </c>
      <c r="AB50" s="7" t="str">
        <f ca="1">IFERROR(__xludf.DUMMYFUNCTION("""COMPUTED_VALUE"""),"40.74")</f>
        <v>40.74</v>
      </c>
      <c r="AC50" s="7" t="str">
        <f ca="1">IFERROR(__xludf.DUMMYFUNCTION("""COMPUTED_VALUE"""),"10.83")</f>
        <v>10.83</v>
      </c>
      <c r="AD50" s="7" t="str">
        <f ca="1">IFERROR(__xludf.DUMMYFUNCTION("""COMPUTED_VALUE"""),"3.49")</f>
        <v>3.49</v>
      </c>
      <c r="AE50" s="7" t="str">
        <f ca="1">IFERROR(__xludf.DUMMYFUNCTION("""COMPUTED_VALUE"""),"8.73")</f>
        <v>8.73</v>
      </c>
      <c r="AF50" s="7"/>
      <c r="AG50" s="7" t="str">
        <f ca="1">IFERROR(__xludf.DUMMYFUNCTION("""COMPUTED_VALUE"""),"0.2")</f>
        <v>0.2</v>
      </c>
      <c r="AH50" s="10">
        <f ca="1">IFERROR(__xludf.DUMMYFUNCTION("""COMPUTED_VALUE"""),44180.818761574)</f>
        <v>44180.818761574003</v>
      </c>
      <c r="AI50" s="10">
        <f ca="1">IFERROR(__xludf.DUMMYFUNCTION("""COMPUTED_VALUE"""),44193.747662037)</f>
        <v>44193.747662037</v>
      </c>
      <c r="AJ50" s="7">
        <f ca="1">IFERROR(__xludf.DUMMYFUNCTION("""COMPUTED_VALUE"""),87)</f>
        <v>87</v>
      </c>
    </row>
    <row r="51" spans="1:36" ht="63" x14ac:dyDescent="0.2">
      <c r="A51" s="7">
        <f ca="1">IFERROR(__xludf.DUMMYFUNCTION("""COMPUTED_VALUE"""),92)</f>
        <v>92</v>
      </c>
      <c r="B51" s="7" t="str">
        <f ca="1">IFERROR(__xludf.DUMMYFUNCTION("""COMPUTED_VALUE"""),"FR-133")</f>
        <v>FR-133</v>
      </c>
      <c r="C51" s="9" t="str">
        <f ca="1">IFERROR(__xludf.DUMMYFUNCTION("""COMPUTED_VALUE"""),"Поставка бытовой одежды и обуви")</f>
        <v>Поставка бытовой одежды и обуви</v>
      </c>
      <c r="D51" s="7" t="str">
        <f ca="1">IFERROR(__xludf.DUMMYFUNCTION("""COMPUTED_VALUE"""),"План по стандартизации")</f>
        <v>План по стандартизации</v>
      </c>
      <c r="E51" s="7">
        <f ca="1">IFERROR(__xludf.DUMMYFUNCTION("""COMPUTED_VALUE"""),2020)</f>
        <v>2020</v>
      </c>
      <c r="F51" s="7">
        <f ca="1">IFERROR(__xludf.DUMMYFUNCTION("""COMPUTED_VALUE"""),3)</f>
        <v>3</v>
      </c>
      <c r="G51" s="7" t="str">
        <f ca="1">IFERROR(__xludf.DUMMYFUNCTION("""COMPUTED_VALUE"""),"СТЗ")</f>
        <v>СТЗ</v>
      </c>
      <c r="H51" s="7" t="str">
        <f ca="1">IFERROR(__xludf.DUMMYFUNCTION("""COMPUTED_VALUE"""),"Завершено")</f>
        <v>Завершено</v>
      </c>
      <c r="I51" s="7">
        <f ca="1">IFERROR(__xludf.DUMMYFUNCTION("""COMPUTED_VALUE"""),6)</f>
        <v>6</v>
      </c>
      <c r="J51" s="7">
        <f ca="1">IFERROR(__xludf.DUMMYFUNCTION("""COMPUTED_VALUE"""),1)</f>
        <v>1</v>
      </c>
      <c r="K51" s="7" t="str">
        <f ca="1">IFERROR(__xludf.DUMMYFUNCTION("""COMPUTED_VALUE"""),"Долудо Юлия Борисовна")</f>
        <v>Долудо Юлия Борисовна</v>
      </c>
      <c r="L51" s="7" t="str">
        <f ca="1">IFERROR(__xludf.DUMMYFUNCTION("""COMPUTED_VALUE"""),"Столянков Андрей Владиславович")</f>
        <v>Столянков Андрей Владиславович</v>
      </c>
      <c r="M51" s="7" t="str">
        <f ca="1">IFERROR(__xludf.DUMMYFUNCTION("""COMPUTED_VALUE"""),"Магамгазиев Расул Висхаджиевич")</f>
        <v>Магамгазиев Расул Висхаджиевич</v>
      </c>
      <c r="N51" s="7"/>
      <c r="O51" s="7"/>
      <c r="P51" s="7"/>
      <c r="Q51" s="7"/>
      <c r="R51" s="7"/>
      <c r="S51" s="7"/>
      <c r="T51" s="7" t="str">
        <f ca="1">IFERROR(__xludf.DUMMYFUNCTION("""COMPUTED_VALUE"""),"Полностью YouTrackная")</f>
        <v>Полностью YouTrackная</v>
      </c>
      <c r="U51" s="7" t="str">
        <f ca="1">IFERROR(__xludf.DUMMYFUNCTION("""COMPUTED_VALUE"""),"Поставка бытовой одежды и обуви")</f>
        <v>Поставка бытовой одежды и обуви</v>
      </c>
      <c r="V51" s="10">
        <f ca="1">IFERROR(__xludf.DUMMYFUNCTION("""COMPUTED_VALUE"""),44060.4905324074)</f>
        <v>44060.490532407399</v>
      </c>
      <c r="W51" s="7" t="str">
        <f ca="1">IFERROR(__xludf.DUMMYFUNCTION("""COMPUTED_VALUE"""),"7.48")</f>
        <v>7.48</v>
      </c>
      <c r="X51" s="18">
        <f ca="1">IFERROR(__xludf.DUMMYFUNCTION("""COMPUTED_VALUE"""),44814)</f>
        <v>44814</v>
      </c>
      <c r="Y51" s="7" t="str">
        <f ca="1">IFERROR(__xludf.DUMMYFUNCTION("""COMPUTED_VALUE"""),"4.25")</f>
        <v>4.25</v>
      </c>
      <c r="Z51" s="7" t="str">
        <f ca="1">IFERROR(__xludf.DUMMYFUNCTION("""COMPUTED_VALUE"""),"9.19")</f>
        <v>9.19</v>
      </c>
      <c r="AA51" s="7" t="str">
        <f ca="1">IFERROR(__xludf.DUMMYFUNCTION("""COMPUTED_VALUE"""),"10.28")</f>
        <v>10.28</v>
      </c>
      <c r="AB51" s="7" t="str">
        <f ca="1">IFERROR(__xludf.DUMMYFUNCTION("""COMPUTED_VALUE"""),"83.64")</f>
        <v>83.64</v>
      </c>
      <c r="AC51" s="7" t="str">
        <f ca="1">IFERROR(__xludf.DUMMYFUNCTION("""COMPUTED_VALUE"""),"19.56")</f>
        <v>19.56</v>
      </c>
      <c r="AD51" s="7">
        <f ca="1">IFERROR(__xludf.DUMMYFUNCTION("""COMPUTED_VALUE"""),2)</f>
        <v>2</v>
      </c>
      <c r="AE51" s="7" t="str">
        <f ca="1">IFERROR(__xludf.DUMMYFUNCTION("""COMPUTED_VALUE"""),"7.88")</f>
        <v>7.88</v>
      </c>
      <c r="AF51" s="7"/>
      <c r="AG51" s="7" t="str">
        <f ca="1">IFERROR(__xludf.DUMMYFUNCTION("""COMPUTED_VALUE"""),"3.73")</f>
        <v>3.73</v>
      </c>
      <c r="AH51" s="10">
        <f ca="1">IFERROR(__xludf.DUMMYFUNCTION("""COMPUTED_VALUE"""),44278.7921412037)</f>
        <v>44278.792141203703</v>
      </c>
      <c r="AI51" s="10">
        <f ca="1">IFERROR(__xludf.DUMMYFUNCTION("""COMPUTED_VALUE"""),44294.3991435185)</f>
        <v>44294.399143518502</v>
      </c>
      <c r="AJ51" s="7">
        <f ca="1">IFERROR(__xludf.DUMMYFUNCTION("""COMPUTED_VALUE"""),152)</f>
        <v>152</v>
      </c>
    </row>
    <row r="52" spans="1:36" ht="220.5" x14ac:dyDescent="0.2">
      <c r="A52" s="7">
        <f ca="1">IFERROR(__xludf.DUMMYFUNCTION("""COMPUTED_VALUE"""),93)</f>
        <v>93</v>
      </c>
      <c r="B52" s="7" t="str">
        <f ca="1">IFERROR(__xludf.DUMMYFUNCTION("""COMPUTED_VALUE"""),"FR-135")</f>
        <v>FR-135</v>
      </c>
      <c r="C52" s="9" t="str">
        <f ca="1">IFERROR(__xludf.DUMMYFUNCTION("""COMPUTED_VALUE"""),"Поставка учебного оборудования для музыкального класса, закупаемого в 
рамках проекта «Техносфера современной школы»")</f>
        <v>Поставка учебного оборудования для музыкального класса, закупаемого в 
рамках проекта «Техносфера современной школы»</v>
      </c>
      <c r="D52" s="7" t="str">
        <f ca="1">IFERROR(__xludf.DUMMYFUNCTION("""COMPUTED_VALUE"""),"План по стандартизации")</f>
        <v>План по стандартизации</v>
      </c>
      <c r="E52" s="7">
        <f ca="1">IFERROR(__xludf.DUMMYFUNCTION("""COMPUTED_VALUE"""),2020)</f>
        <v>2020</v>
      </c>
      <c r="F52" s="7">
        <f ca="1">IFERROR(__xludf.DUMMYFUNCTION("""COMPUTED_VALUE"""),3)</f>
        <v>3</v>
      </c>
      <c r="G52" s="7" t="str">
        <f ca="1">IFERROR(__xludf.DUMMYFUNCTION("""COMPUTED_VALUE"""),"ТТЗ")</f>
        <v>ТТЗ</v>
      </c>
      <c r="H52" s="7" t="str">
        <f ca="1">IFERROR(__xludf.DUMMYFUNCTION("""COMPUTED_VALUE"""),"Завершено")</f>
        <v>Завершено</v>
      </c>
      <c r="I52" s="7">
        <f ca="1">IFERROR(__xludf.DUMMYFUNCTION("""COMPUTED_VALUE"""),1)</f>
        <v>1</v>
      </c>
      <c r="J52" s="7">
        <f ca="1">IFERROR(__xludf.DUMMYFUNCTION("""COMPUTED_VALUE"""),2)</f>
        <v>2</v>
      </c>
      <c r="K52" s="7" t="str">
        <f ca="1">IFERROR(__xludf.DUMMYFUNCTION("""COMPUTED_VALUE"""),"Куркина Наталья Витальевна")</f>
        <v>Куркина Наталья Витальевна</v>
      </c>
      <c r="L52" s="7" t="str">
        <f ca="1">IFERROR(__xludf.DUMMYFUNCTION("""COMPUTED_VALUE"""),"Бутасова Светлана Валерьевна")</f>
        <v>Бутасова Светлана Валерьевна</v>
      </c>
      <c r="M52" s="7" t="str">
        <f ca="1">IFERROR(__xludf.DUMMYFUNCTION("""COMPUTED_VALUE"""),"Гудиев Зелимхан Куйраевич")</f>
        <v>Гудиев Зелимхан Куйраевич</v>
      </c>
      <c r="N52" s="7"/>
      <c r="O52" s="7"/>
      <c r="P52" s="7"/>
      <c r="Q52" s="7"/>
      <c r="R52" s="7"/>
      <c r="S52" s="7" t="str">
        <f ca="1">IFERROR(__xludf.DUMMYFUNCTION("""COMPUTED_VALUE"""),"Электронный аукцион")</f>
        <v>Электронный аукцион</v>
      </c>
      <c r="T52" s="7" t="str">
        <f ca="1">IFERROR(__xludf.DUMMYFUNCTION("""COMPUTED_VALUE"""),"Полностью YouTrackная")</f>
        <v>Полностью YouTrackная</v>
      </c>
      <c r="U52" s="7" t="str">
        <f ca="1">IFERROR(__xludf.DUMMYFUNCTION("""COMPUTED_VALUE"""),"Поставка учебного оборудования для музыкального класса, закупаемого в 
рамках проекта «Техносфера современной школы»")</f>
        <v>Поставка учебного оборудования для музыкального класса, закупаемого в 
рамках проекта «Техносфера современной школы»</v>
      </c>
      <c r="V52" s="10">
        <f ca="1">IFERROR(__xludf.DUMMYFUNCTION("""COMPUTED_VALUE"""),44060.5855902777)</f>
        <v>44060.585590277697</v>
      </c>
      <c r="W52" s="7" t="str">
        <f ca="1">IFERROR(__xludf.DUMMYFUNCTION("""COMPUTED_VALUE"""),"0.02")</f>
        <v>0.02</v>
      </c>
      <c r="X52" s="16"/>
      <c r="Y52" s="7" t="str">
        <f ca="1">IFERROR(__xludf.DUMMYFUNCTION("""COMPUTED_VALUE"""),"13.69")</f>
        <v>13.69</v>
      </c>
      <c r="Z52" s="7" t="str">
        <f ca="1">IFERROR(__xludf.DUMMYFUNCTION("""COMPUTED_VALUE"""),"0.08")</f>
        <v>0.08</v>
      </c>
      <c r="AA52" s="7" t="str">
        <f ca="1">IFERROR(__xludf.DUMMYFUNCTION("""COMPUTED_VALUE"""),"3.22")</f>
        <v>3.22</v>
      </c>
      <c r="AB52" s="7" t="str">
        <f ca="1">IFERROR(__xludf.DUMMYFUNCTION("""COMPUTED_VALUE"""),"21.93")</f>
        <v>21.93</v>
      </c>
      <c r="AC52" s="7" t="str">
        <f ca="1">IFERROR(__xludf.DUMMYFUNCTION("""COMPUTED_VALUE"""),"23.92")</f>
        <v>23.92</v>
      </c>
      <c r="AD52" s="11">
        <f ca="1">IFERROR(__xludf.DUMMYFUNCTION("""COMPUTED_VALUE"""),44656)</f>
        <v>44656</v>
      </c>
      <c r="AE52" s="7" t="str">
        <f ca="1">IFERROR(__xludf.DUMMYFUNCTION("""COMPUTED_VALUE"""),"25.71")</f>
        <v>25.71</v>
      </c>
      <c r="AF52" s="7" t="str">
        <f ca="1">IFERROR(__xludf.DUMMYFUNCTION("""COMPUTED_VALUE"""),"1.25")</f>
        <v>1.25</v>
      </c>
      <c r="AG52" s="11">
        <f ca="1">IFERROR(__xludf.DUMMYFUNCTION("""COMPUTED_VALUE"""),44870)</f>
        <v>44870</v>
      </c>
      <c r="AH52" s="7" t="str">
        <f ca="1">IFERROR(__xludf.DUMMYFUNCTION("""COMPUTED_VALUE"""),"2020-11-14 19:11:33
2020-12-07 16:15:44")</f>
        <v>2020-11-14 19:11:33
2020-12-07 16:15:44</v>
      </c>
      <c r="AI52" s="10">
        <f ca="1">IFERROR(__xludf.DUMMYFUNCTION("""COMPUTED_VALUE"""),44209.9101041666)</f>
        <v>44209.9101041666</v>
      </c>
      <c r="AJ52" s="7">
        <f ca="1">IFERROR(__xludf.DUMMYFUNCTION("""COMPUTED_VALUE"""),100)</f>
        <v>100</v>
      </c>
    </row>
    <row r="53" spans="1:36" ht="126" x14ac:dyDescent="0.2">
      <c r="A53" s="7">
        <f ca="1">IFERROR(__xludf.DUMMYFUNCTION("""COMPUTED_VALUE"""),94)</f>
        <v>94</v>
      </c>
      <c r="B53" s="7" t="str">
        <f ca="1">IFERROR(__xludf.DUMMYFUNCTION("""COMPUTED_VALUE"""),"FR-136")</f>
        <v>FR-136</v>
      </c>
      <c r="C53" s="9" t="str">
        <f ca="1">IFERROR(__xludf.DUMMYFUNCTION("""COMPUTED_VALUE"""),"Оказание услуг по предоставлению доступа к программным продуктам")</f>
        <v>Оказание услуг по предоставлению доступа к программным продуктам</v>
      </c>
      <c r="D53" s="7" t="str">
        <f ca="1">IFERROR(__xludf.DUMMYFUNCTION("""COMPUTED_VALUE"""),"План по стандартизации")</f>
        <v>План по стандартизации</v>
      </c>
      <c r="E53" s="7">
        <f ca="1">IFERROR(__xludf.DUMMYFUNCTION("""COMPUTED_VALUE"""),2020)</f>
        <v>2020</v>
      </c>
      <c r="F53" s="7">
        <f ca="1">IFERROR(__xludf.DUMMYFUNCTION("""COMPUTED_VALUE"""),3)</f>
        <v>3</v>
      </c>
      <c r="G53" s="7" t="str">
        <f ca="1">IFERROR(__xludf.DUMMYFUNCTION("""COMPUTED_VALUE"""),"СТЗ")</f>
        <v>СТЗ</v>
      </c>
      <c r="H53" s="7" t="str">
        <f ca="1">IFERROR(__xludf.DUMMYFUNCTION("""COMPUTED_VALUE"""),"Завершено")</f>
        <v>Завершено</v>
      </c>
      <c r="I53" s="7">
        <f ca="1">IFERROR(__xludf.DUMMYFUNCTION("""COMPUTED_VALUE"""),2)</f>
        <v>2</v>
      </c>
      <c r="J53" s="7">
        <f ca="1">IFERROR(__xludf.DUMMYFUNCTION("""COMPUTED_VALUE"""),0)</f>
        <v>0</v>
      </c>
      <c r="K53" s="7" t="str">
        <f ca="1">IFERROR(__xludf.DUMMYFUNCTION("""COMPUTED_VALUE"""),"Самойленко Антон Олегович")</f>
        <v>Самойленко Антон Олегович</v>
      </c>
      <c r="L53" s="7" t="str">
        <f ca="1">IFERROR(__xludf.DUMMYFUNCTION("""COMPUTED_VALUE"""),"Столянков Андрей Владиславович")</f>
        <v>Столянков Андрей Владиславович</v>
      </c>
      <c r="M53" s="7" t="str">
        <f ca="1">IFERROR(__xludf.DUMMYFUNCTION("""COMPUTED_VALUE"""),"Магамгазиев Расул Висхаджиевич")</f>
        <v>Магамгазиев Расул Висхаджиевич</v>
      </c>
      <c r="N53" s="7"/>
      <c r="O53" s="7"/>
      <c r="P53" s="7"/>
      <c r="Q53" s="7"/>
      <c r="R53" s="7"/>
      <c r="S53" s="7"/>
      <c r="T53" s="7" t="str">
        <f ca="1">IFERROR(__xludf.DUMMYFUNCTION("""COMPUTED_VALUE"""),"Полностью YouTrackная")</f>
        <v>Полностью YouTrackная</v>
      </c>
      <c r="U53" s="7" t="str">
        <f ca="1">IFERROR(__xludf.DUMMYFUNCTION("""COMPUTED_VALUE"""),"Оказание услуг по предоставлению доступа к программным продуктам")</f>
        <v>Оказание услуг по предоставлению доступа к программным продуктам</v>
      </c>
      <c r="V53" s="10">
        <f ca="1">IFERROR(__xludf.DUMMYFUNCTION("""COMPUTED_VALUE"""),44061.4891550925)</f>
        <v>44061.489155092502</v>
      </c>
      <c r="W53" s="8">
        <f ca="1">IFERROR(__xludf.DUMMYFUNCTION("""COMPUTED_VALUE"""),44652)</f>
        <v>44652</v>
      </c>
      <c r="X53" s="16">
        <f ca="1">IFERROR(__xludf.DUMMYFUNCTION("""COMPUTED_VALUE"""),0)</f>
        <v>0</v>
      </c>
      <c r="Y53" s="7"/>
      <c r="Z53" s="11">
        <f ca="1">IFERROR(__xludf.DUMMYFUNCTION("""COMPUTED_VALUE"""),44807)</f>
        <v>44807</v>
      </c>
      <c r="AA53" s="7">
        <f ca="1">IFERROR(__xludf.DUMMYFUNCTION("""COMPUTED_VALUE"""),20)</f>
        <v>20</v>
      </c>
      <c r="AB53" s="7" t="str">
        <f ca="1">IFERROR(__xludf.DUMMYFUNCTION("""COMPUTED_VALUE"""),"100.17")</f>
        <v>100.17</v>
      </c>
      <c r="AC53" s="7" t="str">
        <f ca="1">IFERROR(__xludf.DUMMYFUNCTION("""COMPUTED_VALUE"""),"18.88")</f>
        <v>18.88</v>
      </c>
      <c r="AD53" s="7" t="str">
        <f ca="1">IFERROR(__xludf.DUMMYFUNCTION("""COMPUTED_VALUE"""),"2.31")</f>
        <v>2.31</v>
      </c>
      <c r="AE53" s="7" t="str">
        <f ca="1">IFERROR(__xludf.DUMMYFUNCTION("""COMPUTED_VALUE"""),"7.88")</f>
        <v>7.88</v>
      </c>
      <c r="AF53" s="7"/>
      <c r="AG53" s="7" t="str">
        <f ca="1">IFERROR(__xludf.DUMMYFUNCTION("""COMPUTED_VALUE"""),"0.04")</f>
        <v>0.04</v>
      </c>
      <c r="AH53" s="10">
        <f ca="1">IFERROR(__xludf.DUMMYFUNCTION("""COMPUTED_VALUE"""),44278.7924537037)</f>
        <v>44278.792453703703</v>
      </c>
      <c r="AI53" s="10">
        <f ca="1">IFERROR(__xludf.DUMMYFUNCTION("""COMPUTED_VALUE"""),44288.7049421296)</f>
        <v>44288.704942129603</v>
      </c>
      <c r="AJ53" s="7">
        <f ca="1">IFERROR(__xludf.DUMMYFUNCTION("""COMPUTED_VALUE"""),153)</f>
        <v>153</v>
      </c>
    </row>
    <row r="54" spans="1:36" ht="94.5" x14ac:dyDescent="0.2">
      <c r="A54" s="7">
        <f ca="1">IFERROR(__xludf.DUMMYFUNCTION("""COMPUTED_VALUE"""),95)</f>
        <v>95</v>
      </c>
      <c r="B54" s="7" t="str">
        <f ca="1">IFERROR(__xludf.DUMMYFUNCTION("""COMPUTED_VALUE"""),"FR-137")</f>
        <v>FR-137</v>
      </c>
      <c r="C54" s="9" t="str">
        <f ca="1">IFERROR(__xludf.DUMMYFUNCTION("""COMPUTED_VALUE"""),"Поставка товаров для благоустройства территории")</f>
        <v>Поставка товаров для благоустройства территории</v>
      </c>
      <c r="D54" s="7" t="str">
        <f ca="1">IFERROR(__xludf.DUMMYFUNCTION("""COMPUTED_VALUE"""),"План по стандартизации")</f>
        <v>План по стандартизации</v>
      </c>
      <c r="E54" s="7">
        <f ca="1">IFERROR(__xludf.DUMMYFUNCTION("""COMPUTED_VALUE"""),2020)</f>
        <v>2020</v>
      </c>
      <c r="F54" s="7">
        <f ca="1">IFERROR(__xludf.DUMMYFUNCTION("""COMPUTED_VALUE"""),4)</f>
        <v>4</v>
      </c>
      <c r="G54" s="7" t="str">
        <f ca="1">IFERROR(__xludf.DUMMYFUNCTION("""COMPUTED_VALUE"""),"ТТЗ")</f>
        <v>ТТЗ</v>
      </c>
      <c r="H54" s="7" t="str">
        <f ca="1">IFERROR(__xludf.DUMMYFUNCTION("""COMPUTED_VALUE"""),"Завершено")</f>
        <v>Завершено</v>
      </c>
      <c r="I54" s="7">
        <f ca="1">IFERROR(__xludf.DUMMYFUNCTION("""COMPUTED_VALUE"""),7)</f>
        <v>7</v>
      </c>
      <c r="J54" s="7">
        <f ca="1">IFERROR(__xludf.DUMMYFUNCTION("""COMPUTED_VALUE"""),4)</f>
        <v>4</v>
      </c>
      <c r="K54" s="7" t="str">
        <f ca="1">IFERROR(__xludf.DUMMYFUNCTION("""COMPUTED_VALUE"""),"Клюева Ангелина Эдуардовна")</f>
        <v>Клюева Ангелина Эдуардовна</v>
      </c>
      <c r="L54" s="7" t="str">
        <f ca="1">IFERROR(__xludf.DUMMYFUNCTION("""COMPUTED_VALUE"""),"Минин Александр Валерьевич")</f>
        <v>Минин Александр Валерьевич</v>
      </c>
      <c r="M54" s="7" t="str">
        <f ca="1">IFERROR(__xludf.DUMMYFUNCTION("""COMPUTED_VALUE"""),"Чурсина Мария Вячеславовна")</f>
        <v>Чурсина Мария Вячеславовна</v>
      </c>
      <c r="N54" s="7"/>
      <c r="O54" s="7"/>
      <c r="P54" s="7"/>
      <c r="Q54" s="7"/>
      <c r="R54" s="7"/>
      <c r="S54" s="7"/>
      <c r="T54" s="7" t="str">
        <f ca="1">IFERROR(__xludf.DUMMYFUNCTION("""COMPUTED_VALUE"""),"Полностью YouTrackная")</f>
        <v>Полностью YouTrackная</v>
      </c>
      <c r="U54" s="7" t="str">
        <f ca="1">IFERROR(__xludf.DUMMYFUNCTION("""COMPUTED_VALUE"""),"Поставка товаров для благоустройства территории")</f>
        <v>Поставка товаров для благоустройства территории</v>
      </c>
      <c r="V54" s="10">
        <f ca="1">IFERROR(__xludf.DUMMYFUNCTION("""COMPUTED_VALUE"""),44067.4661921296)</f>
        <v>44067.466192129599</v>
      </c>
      <c r="W54" s="7" t="str">
        <f ca="1">IFERROR(__xludf.DUMMYFUNCTION("""COMPUTED_VALUE"""),"48.25")</f>
        <v>48.25</v>
      </c>
      <c r="X54" s="16" t="str">
        <f ca="1">IFERROR(__xludf.DUMMYFUNCTION("""COMPUTED_VALUE"""),"31.09")</f>
        <v>31.09</v>
      </c>
      <c r="Y54" s="7" t="str">
        <f ca="1">IFERROR(__xludf.DUMMYFUNCTION("""COMPUTED_VALUE"""),"13.32")</f>
        <v>13.32</v>
      </c>
      <c r="Z54" s="7" t="str">
        <f ca="1">IFERROR(__xludf.DUMMYFUNCTION("""COMPUTED_VALUE"""),"21.63")</f>
        <v>21.63</v>
      </c>
      <c r="AA54" s="7" t="str">
        <f ca="1">IFERROR(__xludf.DUMMYFUNCTION("""COMPUTED_VALUE"""),"0.39")</f>
        <v>0.39</v>
      </c>
      <c r="AB54" s="7" t="str">
        <f ca="1">IFERROR(__xludf.DUMMYFUNCTION("""COMPUTED_VALUE"""),"93.45")</f>
        <v>93.45</v>
      </c>
      <c r="AC54" s="7" t="str">
        <f ca="1">IFERROR(__xludf.DUMMYFUNCTION("""COMPUTED_VALUE"""),"60.12")</f>
        <v>60.12</v>
      </c>
      <c r="AD54" s="7" t="str">
        <f ca="1">IFERROR(__xludf.DUMMYFUNCTION("""COMPUTED_VALUE"""),"2.99")</f>
        <v>2.99</v>
      </c>
      <c r="AE54" s="7" t="str">
        <f ca="1">IFERROR(__xludf.DUMMYFUNCTION("""COMPUTED_VALUE"""),"9.75")</f>
        <v>9.75</v>
      </c>
      <c r="AF54" s="8">
        <f ca="1">IFERROR(__xludf.DUMMYFUNCTION("""COMPUTED_VALUE"""),44776)</f>
        <v>44776</v>
      </c>
      <c r="AG54" s="7" t="str">
        <f ca="1">IFERROR(__xludf.DUMMYFUNCTION("""COMPUTED_VALUE"""),"6.31")</f>
        <v>6.31</v>
      </c>
      <c r="AH54" s="10">
        <f ca="1">IFERROR(__xludf.DUMMYFUNCTION("""COMPUTED_VALUE"""),44462.7054282407)</f>
        <v>44462.705428240697</v>
      </c>
      <c r="AI54" s="10">
        <f ca="1">IFERROR(__xludf.DUMMYFUNCTION("""COMPUTED_VALUE"""),44489.8472106481)</f>
        <v>44489.847210648099</v>
      </c>
      <c r="AJ54" s="7">
        <f ca="1">IFERROR(__xludf.DUMMYFUNCTION("""COMPUTED_VALUE"""),242)</f>
        <v>242</v>
      </c>
    </row>
    <row r="55" spans="1:36" ht="330.75" x14ac:dyDescent="0.2">
      <c r="A55" s="7">
        <f ca="1">IFERROR(__xludf.DUMMYFUNCTION("""COMPUTED_VALUE"""),96)</f>
        <v>96</v>
      </c>
      <c r="B55" s="7" t="str">
        <f ca="1">IFERROR(__xludf.DUMMYFUNCTION("""COMPUTED_VALUE"""),"FR-138")</f>
        <v>FR-138</v>
      </c>
      <c r="C55" s="9" t="str">
        <f ca="1">IFERROR(__xludf.DUMMYFUNCTION("""COMPUTED_VALUE"""),"Выполнение работ по содержанию (очистке, обезжириванию, промывке, 
дезинфекции, гидроизоляции) и видеодиагностике внутренней поверхности 
асбестоцементного ствола мусоропровода")</f>
        <v>Выполнение работ по содержанию (очистке, обезжириванию, промывке, 
дезинфекции, гидроизоляции) и видеодиагностике внутренней поверхности 
асбестоцементного ствола мусоропровода</v>
      </c>
      <c r="D55" s="7" t="str">
        <f ca="1">IFERROR(__xludf.DUMMYFUNCTION("""COMPUTED_VALUE"""),"План по стандартизации")</f>
        <v>План по стандартизации</v>
      </c>
      <c r="E55" s="7">
        <f ca="1">IFERROR(__xludf.DUMMYFUNCTION("""COMPUTED_VALUE"""),2020)</f>
        <v>2020</v>
      </c>
      <c r="F55" s="7">
        <f ca="1">IFERROR(__xludf.DUMMYFUNCTION("""COMPUTED_VALUE"""),4)</f>
        <v>4</v>
      </c>
      <c r="G55" s="7" t="str">
        <f ca="1">IFERROR(__xludf.DUMMYFUNCTION("""COMPUTED_VALUE"""),"ТТЗ")</f>
        <v>ТТЗ</v>
      </c>
      <c r="H55" s="7" t="str">
        <f ca="1">IFERROR(__xludf.DUMMYFUNCTION("""COMPUTED_VALUE"""),"Завершено")</f>
        <v>Завершено</v>
      </c>
      <c r="I55" s="7">
        <f ca="1">IFERROR(__xludf.DUMMYFUNCTION("""COMPUTED_VALUE"""),2)</f>
        <v>2</v>
      </c>
      <c r="J55" s="7">
        <f ca="1">IFERROR(__xludf.DUMMYFUNCTION("""COMPUTED_VALUE"""),2)</f>
        <v>2</v>
      </c>
      <c r="K55" s="7" t="str">
        <f ca="1">IFERROR(__xludf.DUMMYFUNCTION("""COMPUTED_VALUE"""),"Бибилашвили Надежда Михайловна")</f>
        <v>Бибилашвили Надежда Михайловна</v>
      </c>
      <c r="L55" s="7" t="str">
        <f ca="1">IFERROR(__xludf.DUMMYFUNCTION("""COMPUTED_VALUE"""),"Давлиев Ильнар Газинурович")</f>
        <v>Давлиев Ильнар Газинурович</v>
      </c>
      <c r="M55" s="7" t="str">
        <f ca="1">IFERROR(__xludf.DUMMYFUNCTION("""COMPUTED_VALUE"""),"Чурсина Мария Вячеславовна")</f>
        <v>Чурсина Мария Вячеславовна</v>
      </c>
      <c r="N55" s="7"/>
      <c r="O55" s="7" t="str">
        <f ca="1">IFERROR(__xludf.DUMMYFUNCTION("""COMPUTED_VALUE"""),"Типовой")</f>
        <v>Типовой</v>
      </c>
      <c r="P55" s="7" t="str">
        <f ca="1">IFERROR(__xludf.DUMMYFUNCTION("""COMPUTED_VALUE"""),"Нет")</f>
        <v>Нет</v>
      </c>
      <c r="Q55" s="7"/>
      <c r="R55" s="7" t="str">
        <f ca="1">IFERROR(__xludf.DUMMYFUNCTION("""COMPUTED_VALUE"""),"Нет")</f>
        <v>Нет</v>
      </c>
      <c r="S55" s="7"/>
      <c r="T55" s="7" t="str">
        <f ca="1">IFERROR(__xludf.DUMMYFUNCTION("""COMPUTED_VALUE"""),"Полностью YouTrackная")</f>
        <v>Полностью YouTrackная</v>
      </c>
      <c r="U55" s="7" t="str">
        <f ca="1">IFERROR(__xludf.DUMMYFUNCTION("""COMPUTED_VALUE"""),"Выполнение работ по содержанию (очистке, обезжириванию, промывке, 
дезинфекции, гидроизоляции) и видеодиагностике внутренней поверхности 
асбестоцементного ствола мусоропровода")</f>
        <v>Выполнение работ по содержанию (очистке, обезжириванию, промывке, 
дезинфекции, гидроизоляции) и видеодиагностике внутренней поверхности 
асбестоцементного ствола мусоропровода</v>
      </c>
      <c r="V55" s="10">
        <f ca="1">IFERROR(__xludf.DUMMYFUNCTION("""COMPUTED_VALUE"""),44111.4596064814)</f>
        <v>44111.459606481403</v>
      </c>
      <c r="W55" s="7"/>
      <c r="X55" s="16" t="str">
        <f ca="1">IFERROR(__xludf.DUMMYFUNCTION("""COMPUTED_VALUE"""),"26.41")</f>
        <v>26.41</v>
      </c>
      <c r="Y55" s="7" t="str">
        <f ca="1">IFERROR(__xludf.DUMMYFUNCTION("""COMPUTED_VALUE"""),"67.14")</f>
        <v>67.14</v>
      </c>
      <c r="Z55" s="7" t="str">
        <f ca="1">IFERROR(__xludf.DUMMYFUNCTION("""COMPUTED_VALUE"""),"1.65")</f>
        <v>1.65</v>
      </c>
      <c r="AA55" s="7" t="str">
        <f ca="1">IFERROR(__xludf.DUMMYFUNCTION("""COMPUTED_VALUE"""),"0.08")</f>
        <v>0.08</v>
      </c>
      <c r="AB55" s="7" t="str">
        <f ca="1">IFERROR(__xludf.DUMMYFUNCTION("""COMPUTED_VALUE"""),"26.56")</f>
        <v>26.56</v>
      </c>
      <c r="AC55" s="7" t="str">
        <f ca="1">IFERROR(__xludf.DUMMYFUNCTION("""COMPUTED_VALUE"""),"174.21")</f>
        <v>174.21</v>
      </c>
      <c r="AD55" s="8">
        <f ca="1">IFERROR(__xludf.DUMMYFUNCTION("""COMPUTED_VALUE"""),44584)</f>
        <v>44584</v>
      </c>
      <c r="AE55" s="7" t="str">
        <f ca="1">IFERROR(__xludf.DUMMYFUNCTION("""COMPUTED_VALUE"""),"18.98")</f>
        <v>18.98</v>
      </c>
      <c r="AF55" s="7">
        <f ca="1">IFERROR(__xludf.DUMMYFUNCTION("""COMPUTED_VALUE"""),1)</f>
        <v>1</v>
      </c>
      <c r="AG55" s="7" t="str">
        <f ca="1">IFERROR(__xludf.DUMMYFUNCTION("""COMPUTED_VALUE"""),"7.93")</f>
        <v>7.93</v>
      </c>
      <c r="AH55" s="10">
        <f ca="1">IFERROR(__xludf.DUMMYFUNCTION("""COMPUTED_VALUE"""),44586.5274305555)</f>
        <v>44586.527430555499</v>
      </c>
      <c r="AI55" s="10">
        <f ca="1">IFERROR(__xludf.DUMMYFUNCTION("""COMPUTED_VALUE"""),44625.4415277777)</f>
        <v>44625.441527777701</v>
      </c>
      <c r="AJ55" s="7">
        <f ca="1">IFERROR(__xludf.DUMMYFUNCTION("""COMPUTED_VALUE"""),348)</f>
        <v>348</v>
      </c>
    </row>
    <row r="56" spans="1:36" ht="94.5" x14ac:dyDescent="0.2">
      <c r="A56" s="7">
        <f ca="1">IFERROR(__xludf.DUMMYFUNCTION("""COMPUTED_VALUE"""),97)</f>
        <v>97</v>
      </c>
      <c r="B56" s="7" t="str">
        <f ca="1">IFERROR(__xludf.DUMMYFUNCTION("""COMPUTED_VALUE"""),"FR-139")</f>
        <v>FR-139</v>
      </c>
      <c r="C56" s="9" t="str">
        <f ca="1">IFERROR(__xludf.DUMMYFUNCTION("""COMPUTED_VALUE"""),"Поставка технических средств реабилитации для инвалидов")</f>
        <v>Поставка технических средств реабилитации для инвалидов</v>
      </c>
      <c r="D56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56" s="7">
        <f ca="1">IFERROR(__xludf.DUMMYFUNCTION("""COMPUTED_VALUE"""),2020)</f>
        <v>2020</v>
      </c>
      <c r="F56" s="7">
        <f ca="1">IFERROR(__xludf.DUMMYFUNCTION("""COMPUTED_VALUE"""),4)</f>
        <v>4</v>
      </c>
      <c r="G56" s="7" t="str">
        <f ca="1">IFERROR(__xludf.DUMMYFUNCTION("""COMPUTED_VALUE"""),"ТТЗ")</f>
        <v>ТТЗ</v>
      </c>
      <c r="H56" s="7" t="str">
        <f ca="1">IFERROR(__xludf.DUMMYFUNCTION("""COMPUTED_VALUE"""),"Загрузка в ЕАИСТ")</f>
        <v>Загрузка в ЕАИСТ</v>
      </c>
      <c r="I56" s="7">
        <f ca="1">IFERROR(__xludf.DUMMYFUNCTION("""COMPUTED_VALUE"""),9)</f>
        <v>9</v>
      </c>
      <c r="J56" s="7">
        <f ca="1">IFERROR(__xludf.DUMMYFUNCTION("""COMPUTED_VALUE"""),4)</f>
        <v>4</v>
      </c>
      <c r="K56" s="7" t="str">
        <f ca="1">IFERROR(__xludf.DUMMYFUNCTION("""COMPUTED_VALUE"""),"Уфаркина Наталья Геннадьевна")</f>
        <v>Уфаркина Наталья Геннадьевна</v>
      </c>
      <c r="L56" s="7" t="str">
        <f ca="1">IFERROR(__xludf.DUMMYFUNCTION("""COMPUTED_VALUE"""),"Уфаркина Наталья Геннадьевна")</f>
        <v>Уфаркина Наталья Геннадьевна</v>
      </c>
      <c r="M56" s="7" t="str">
        <f ca="1">IFERROR(__xludf.DUMMYFUNCTION("""COMPUTED_VALUE"""),"Гудиев Зелимхан Куйраевич")</f>
        <v>Гудиев Зелимхан Куйраевич</v>
      </c>
      <c r="N56" s="7"/>
      <c r="O56" s="7" t="str">
        <f ca="1">IFERROR(__xludf.DUMMYFUNCTION("""COMPUTED_VALUE"""),"Федеральный")</f>
        <v>Федеральный</v>
      </c>
      <c r="P56" s="7" t="str">
        <f ca="1">IFERROR(__xludf.DUMMYFUNCTION("""COMPUTED_VALUE"""),"Нет")</f>
        <v>Нет</v>
      </c>
      <c r="Q56" s="7" t="str">
        <f ca="1">IFERROR(__xludf.DUMMYFUNCTION("""COMPUTED_VALUE"""),"Нет")</f>
        <v>Нет</v>
      </c>
      <c r="R56" s="7" t="str">
        <f ca="1">IFERROR(__xludf.DUMMYFUNCTION("""COMPUTED_VALUE"""),"Да")</f>
        <v>Да</v>
      </c>
      <c r="S56" s="7" t="str">
        <f ca="1">IFERROR(__xludf.DUMMYFUNCTION("""COMPUTED_VALUE"""),"Электронный аукцион")</f>
        <v>Электронный аукцион</v>
      </c>
      <c r="T56" s="7" t="str">
        <f ca="1">IFERROR(__xludf.DUMMYFUNCTION("""COMPUTED_VALUE"""),"Полностью YouTrackная / В ГАУИ")</f>
        <v>Полностью YouTrackная / В ГАУИ</v>
      </c>
      <c r="U56" s="7" t="str">
        <f ca="1">IFERROR(__xludf.DUMMYFUNCTION("""COMPUTED_VALUE"""),"Поставка технических средств реабилитации для инвалидов")</f>
        <v>Поставка технических средств реабилитации для инвалидов</v>
      </c>
      <c r="V56" s="10">
        <f ca="1">IFERROR(__xludf.DUMMYFUNCTION("""COMPUTED_VALUE"""),44111.7285185185)</f>
        <v>44111.728518518503</v>
      </c>
      <c r="W56" s="7">
        <f ca="1">IFERROR(__xludf.DUMMYFUNCTION("""COMPUTED_VALUE"""),0)</f>
        <v>0</v>
      </c>
      <c r="X56" s="16" t="str">
        <f ca="1">IFERROR(__xludf.DUMMYFUNCTION("""COMPUTED_VALUE"""),"22.53")</f>
        <v>22.53</v>
      </c>
      <c r="Y56" s="7" t="str">
        <f ca="1">IFERROR(__xludf.DUMMYFUNCTION("""COMPUTED_VALUE"""),"67.48")</f>
        <v>67.48</v>
      </c>
      <c r="Z56" s="7" t="str">
        <f ca="1">IFERROR(__xludf.DUMMYFUNCTION("""COMPUTED_VALUE"""),"17.91")</f>
        <v>17.91</v>
      </c>
      <c r="AA56" s="11">
        <f ca="1">IFERROR(__xludf.DUMMYFUNCTION("""COMPUTED_VALUE"""),44775)</f>
        <v>44775</v>
      </c>
      <c r="AB56" s="7" t="str">
        <f ca="1">IFERROR(__xludf.DUMMYFUNCTION("""COMPUTED_VALUE"""),"69.68")</f>
        <v>69.68</v>
      </c>
      <c r="AC56" s="7" t="str">
        <f ca="1">IFERROR(__xludf.DUMMYFUNCTION("""COMPUTED_VALUE"""),"92.23")</f>
        <v>92.23</v>
      </c>
      <c r="AD56" s="8">
        <f ca="1">IFERROR(__xludf.DUMMYFUNCTION("""COMPUTED_VALUE"""),44738)</f>
        <v>44738</v>
      </c>
      <c r="AE56" s="8">
        <f ca="1">IFERROR(__xludf.DUMMYFUNCTION("""COMPUTED_VALUE"""),44779)</f>
        <v>44779</v>
      </c>
      <c r="AF56" s="7">
        <f ca="1">IFERROR(__xludf.DUMMYFUNCTION("""COMPUTED_VALUE"""),0)</f>
        <v>0</v>
      </c>
      <c r="AG56" s="7" t="str">
        <f ca="1">IFERROR(__xludf.DUMMYFUNCTION("""COMPUTED_VALUE"""),"145.89")</f>
        <v>145.89</v>
      </c>
      <c r="AH56" s="10">
        <f ca="1">IFERROR(__xludf.DUMMYFUNCTION("""COMPUTED_VALUE"""),44550.4207523148)</f>
        <v>44550.4207523148</v>
      </c>
      <c r="AI56" s="7"/>
      <c r="AJ56" s="7">
        <f ca="1">IFERROR(__xludf.DUMMYFUNCTION("""COMPUTED_VALUE"""),451)</f>
        <v>451</v>
      </c>
    </row>
    <row r="57" spans="1:36" ht="126" x14ac:dyDescent="0.2">
      <c r="A57" s="7">
        <f ca="1">IFERROR(__xludf.DUMMYFUNCTION("""COMPUTED_VALUE"""),98)</f>
        <v>98</v>
      </c>
      <c r="B57" s="7" t="str">
        <f ca="1">IFERROR(__xludf.DUMMYFUNCTION("""COMPUTED_VALUE"""),"FR-140")</f>
        <v>FR-140</v>
      </c>
      <c r="C57" s="9" t="str">
        <f ca="1">IFERROR(__xludf.DUMMYFUNCTION("""COMPUTED_VALUE"""),"Оказание услуг по технической эксплуатации водосточной сети")</f>
        <v>Оказание услуг по технической эксплуатации водосточной сети</v>
      </c>
      <c r="D57" s="7" t="str">
        <f ca="1">IFERROR(__xludf.DUMMYFUNCTION("""COMPUTED_VALUE"""),"План по стандартизации")</f>
        <v>План по стандартизации</v>
      </c>
      <c r="E57" s="7">
        <f ca="1">IFERROR(__xludf.DUMMYFUNCTION("""COMPUTED_VALUE"""),2020)</f>
        <v>2020</v>
      </c>
      <c r="F57" s="7">
        <f ca="1">IFERROR(__xludf.DUMMYFUNCTION("""COMPUTED_VALUE"""),4)</f>
        <v>4</v>
      </c>
      <c r="G57" s="7" t="str">
        <f ca="1">IFERROR(__xludf.DUMMYFUNCTION("""COMPUTED_VALUE"""),"ТТЗ")</f>
        <v>ТТЗ</v>
      </c>
      <c r="H57" s="7" t="str">
        <f ca="1">IFERROR(__xludf.DUMMYFUNCTION("""COMPUTED_VALUE"""),"Завершено")</f>
        <v>Завершено</v>
      </c>
      <c r="I57" s="7">
        <f ca="1">IFERROR(__xludf.DUMMYFUNCTION("""COMPUTED_VALUE"""),4)</f>
        <v>4</v>
      </c>
      <c r="J57" s="7">
        <f ca="1">IFERROR(__xludf.DUMMYFUNCTION("""COMPUTED_VALUE"""),2)</f>
        <v>2</v>
      </c>
      <c r="K57" s="7" t="str">
        <f ca="1">IFERROR(__xludf.DUMMYFUNCTION("""COMPUTED_VALUE"""),"Долгих Татьяна Витальевна / Морунов Олег Александрович")</f>
        <v>Долгих Татьяна Витальевна / Морунов Олег Александрович</v>
      </c>
      <c r="L57" s="7" t="str">
        <f ca="1">IFERROR(__xludf.DUMMYFUNCTION("""COMPUTED_VALUE"""),"Осипенкова Елена Владимировна")</f>
        <v>Осипенкова Елена Владимировна</v>
      </c>
      <c r="M57" s="7" t="str">
        <f ca="1">IFERROR(__xludf.DUMMYFUNCTION("""COMPUTED_VALUE"""),"Чурсина Мария Вячеславовна")</f>
        <v>Чурсина Мария Вячеславовна</v>
      </c>
      <c r="N57" s="7"/>
      <c r="O57" s="7" t="str">
        <f ca="1">IFERROR(__xludf.DUMMYFUNCTION("""COMPUTED_VALUE"""),"Типовой")</f>
        <v>Типовой</v>
      </c>
      <c r="P57" s="7" t="str">
        <f ca="1">IFERROR(__xludf.DUMMYFUNCTION("""COMPUTED_VALUE"""),"Нет")</f>
        <v>Нет</v>
      </c>
      <c r="Q57" s="7" t="str">
        <f ca="1">IFERROR(__xludf.DUMMYFUNCTION("""COMPUTED_VALUE"""),"223-ФЗ")</f>
        <v>223-ФЗ</v>
      </c>
      <c r="R57" s="7" t="str">
        <f ca="1">IFERROR(__xludf.DUMMYFUNCTION("""COMPUTED_VALUE"""),"Нет")</f>
        <v>Нет</v>
      </c>
      <c r="S57" s="7" t="str">
        <f ca="1">IFERROR(__xludf.DUMMYFUNCTION("""COMPUTED_VALUE"""),"Открытый конкурс")</f>
        <v>Открытый конкурс</v>
      </c>
      <c r="T57" s="7" t="str">
        <f ca="1">IFERROR(__xludf.DUMMYFUNCTION("""COMPUTED_VALUE"""),"Полностью YouTrackная")</f>
        <v>Полностью YouTrackная</v>
      </c>
      <c r="U57" s="7" t="str">
        <f ca="1">IFERROR(__xludf.DUMMYFUNCTION("""COMPUTED_VALUE"""),"Оказание услуг по технической эксплуатации водосточной сети")</f>
        <v>Оказание услуг по технической эксплуатации водосточной сети</v>
      </c>
      <c r="V57" s="10">
        <f ca="1">IFERROR(__xludf.DUMMYFUNCTION("""COMPUTED_VALUE"""),44119.4401273148)</f>
        <v>44119.440127314803</v>
      </c>
      <c r="W57" s="7" t="str">
        <f ca="1">IFERROR(__xludf.DUMMYFUNCTION("""COMPUTED_VALUE"""),"24.34")</f>
        <v>24.34</v>
      </c>
      <c r="X57" s="16" t="str">
        <f ca="1">IFERROR(__xludf.DUMMYFUNCTION("""COMPUTED_VALUE"""),"15.89")</f>
        <v>15.89</v>
      </c>
      <c r="Y57" s="7" t="str">
        <f ca="1">IFERROR(__xludf.DUMMYFUNCTION("""COMPUTED_VALUE"""),"13.64")</f>
        <v>13.64</v>
      </c>
      <c r="Z57" s="7" t="str">
        <f ca="1">IFERROR(__xludf.DUMMYFUNCTION("""COMPUTED_VALUE"""),"9.92")</f>
        <v>9.92</v>
      </c>
      <c r="AA57" s="7" t="str">
        <f ca="1">IFERROR(__xludf.DUMMYFUNCTION("""COMPUTED_VALUE"""),"0.31")</f>
        <v>0.31</v>
      </c>
      <c r="AB57" s="7" t="str">
        <f ca="1">IFERROR(__xludf.DUMMYFUNCTION("""COMPUTED_VALUE"""),"83.53")</f>
        <v>83.53</v>
      </c>
      <c r="AC57" s="7" t="str">
        <f ca="1">IFERROR(__xludf.DUMMYFUNCTION("""COMPUTED_VALUE"""),"17.35")</f>
        <v>17.35</v>
      </c>
      <c r="AD57" s="7" t="str">
        <f ca="1">IFERROR(__xludf.DUMMYFUNCTION("""COMPUTED_VALUE"""),"10.99")</f>
        <v>10.99</v>
      </c>
      <c r="AE57" s="11">
        <f ca="1">IFERROR(__xludf.DUMMYFUNCTION("""COMPUTED_VALUE"""),44633)</f>
        <v>44633</v>
      </c>
      <c r="AF57" s="7" t="str">
        <f ca="1">IFERROR(__xludf.DUMMYFUNCTION("""COMPUTED_VALUE"""),"1.84")</f>
        <v>1.84</v>
      </c>
      <c r="AG57" s="7" t="str">
        <f ca="1">IFERROR(__xludf.DUMMYFUNCTION("""COMPUTED_VALUE"""),"4.88")</f>
        <v>4.88</v>
      </c>
      <c r="AH57" s="10">
        <f ca="1">IFERROR(__xludf.DUMMYFUNCTION("""COMPUTED_VALUE"""),44383.4074768518)</f>
        <v>44383.407476851797</v>
      </c>
      <c r="AI57" s="10">
        <f ca="1">IFERROR(__xludf.DUMMYFUNCTION("""COMPUTED_VALUE"""),44411.4341203703)</f>
        <v>44411.434120370301</v>
      </c>
      <c r="AJ57" s="7">
        <f ca="1">IFERROR(__xludf.DUMMYFUNCTION("""COMPUTED_VALUE"""),172)</f>
        <v>172</v>
      </c>
    </row>
    <row r="58" spans="1:36" ht="110.25" x14ac:dyDescent="0.2">
      <c r="A58" s="7">
        <f ca="1">IFERROR(__xludf.DUMMYFUNCTION("""COMPUTED_VALUE"""),99)</f>
        <v>99</v>
      </c>
      <c r="B58" s="7" t="str">
        <f ca="1">IFERROR(__xludf.DUMMYFUNCTION("""COMPUTED_VALUE"""),"FR-141")</f>
        <v>FR-141</v>
      </c>
      <c r="C58" s="9" t="str">
        <f ca="1">IFERROR(__xludf.DUMMYFUNCTION("""COMPUTED_VALUE"""),"Выполнение работ по изготовлению форменной одежды")</f>
        <v>Выполнение работ по изготовлению форменной одежды</v>
      </c>
      <c r="D58" s="7" t="str">
        <f ca="1">IFERROR(__xludf.DUMMYFUNCTION("""COMPUTED_VALUE"""),"План по стандартизации")</f>
        <v>План по стандартизации</v>
      </c>
      <c r="E58" s="7">
        <f ca="1">IFERROR(__xludf.DUMMYFUNCTION("""COMPUTED_VALUE"""),2020)</f>
        <v>2020</v>
      </c>
      <c r="F58" s="7">
        <f ca="1">IFERROR(__xludf.DUMMYFUNCTION("""COMPUTED_VALUE"""),4)</f>
        <v>4</v>
      </c>
      <c r="G58" s="7" t="str">
        <f ca="1">IFERROR(__xludf.DUMMYFUNCTION("""COMPUTED_VALUE"""),"ТТЗ")</f>
        <v>ТТЗ</v>
      </c>
      <c r="H58" s="7" t="str">
        <f ca="1">IFERROR(__xludf.DUMMYFUNCTION("""COMPUTED_VALUE"""),"Завершено")</f>
        <v>Завершено</v>
      </c>
      <c r="I58" s="7">
        <f ca="1">IFERROR(__xludf.DUMMYFUNCTION("""COMPUTED_VALUE"""),5)</f>
        <v>5</v>
      </c>
      <c r="J58" s="7">
        <f ca="1">IFERROR(__xludf.DUMMYFUNCTION("""COMPUTED_VALUE"""),2)</f>
        <v>2</v>
      </c>
      <c r="K58" s="7" t="str">
        <f ca="1">IFERROR(__xludf.DUMMYFUNCTION("""COMPUTED_VALUE"""),"Коровина Анна Анатольевна / Морунов Олег Александрович")</f>
        <v>Коровина Анна Анатольевна / Морунов Олег Александрович</v>
      </c>
      <c r="L58" s="7" t="str">
        <f ca="1">IFERROR(__xludf.DUMMYFUNCTION("""COMPUTED_VALUE"""),"Осипенкова Елена Владимировна")</f>
        <v>Осипенкова Елена Владимировна</v>
      </c>
      <c r="M58" s="7" t="str">
        <f ca="1">IFERROR(__xludf.DUMMYFUNCTION("""COMPUTED_VALUE"""),"Чурсина Мария Вячеславовна")</f>
        <v>Чурсина Мария Вячеславовна</v>
      </c>
      <c r="N58" s="7"/>
      <c r="O58" s="7" t="str">
        <f ca="1">IFERROR(__xludf.DUMMYFUNCTION("""COMPUTED_VALUE"""),"Типовой")</f>
        <v>Типовой</v>
      </c>
      <c r="P58" s="7" t="str">
        <f ca="1">IFERROR(__xludf.DUMMYFUNCTION("""COMPUTED_VALUE"""),"Нет")</f>
        <v>Нет</v>
      </c>
      <c r="Q58" s="7" t="str">
        <f ca="1">IFERROR(__xludf.DUMMYFUNCTION("""COMPUTED_VALUE"""),"Нет")</f>
        <v>Нет</v>
      </c>
      <c r="R58" s="7" t="str">
        <f ca="1">IFERROR(__xludf.DUMMYFUNCTION("""COMPUTED_VALUE"""),"Нет")</f>
        <v>Нет</v>
      </c>
      <c r="S58" s="7" t="str">
        <f ca="1">IFERROR(__xludf.DUMMYFUNCTION("""COMPUTED_VALUE"""),"Электронный аукцион")</f>
        <v>Электронный аукцион</v>
      </c>
      <c r="T58" s="7" t="str">
        <f ca="1">IFERROR(__xludf.DUMMYFUNCTION("""COMPUTED_VALUE"""),"Полностью YouTrackная")</f>
        <v>Полностью YouTrackная</v>
      </c>
      <c r="U58" s="7" t="str">
        <f ca="1">IFERROR(__xludf.DUMMYFUNCTION("""COMPUTED_VALUE"""),"Выполнение работ по изготовлению форменной одежды")</f>
        <v>Выполнение работ по изготовлению форменной одежды</v>
      </c>
      <c r="V58" s="10">
        <f ca="1">IFERROR(__xludf.DUMMYFUNCTION("""COMPUTED_VALUE"""),44119.442511574)</f>
        <v>44119.442511574001</v>
      </c>
      <c r="W58" s="7" t="str">
        <f ca="1">IFERROR(__xludf.DUMMYFUNCTION("""COMPUTED_VALUE"""),"37.09")</f>
        <v>37.09</v>
      </c>
      <c r="X58" s="16" t="str">
        <f ca="1">IFERROR(__xludf.DUMMYFUNCTION("""COMPUTED_VALUE"""),"5.41")</f>
        <v>5.41</v>
      </c>
      <c r="Y58" s="7" t="str">
        <f ca="1">IFERROR(__xludf.DUMMYFUNCTION("""COMPUTED_VALUE"""),"11.75")</f>
        <v>11.75</v>
      </c>
      <c r="Z58" s="11">
        <f ca="1">IFERROR(__xludf.DUMMYFUNCTION("""COMPUTED_VALUE"""),44611)</f>
        <v>44611</v>
      </c>
      <c r="AA58" s="7" t="str">
        <f ca="1">IFERROR(__xludf.DUMMYFUNCTION("""COMPUTED_VALUE"""),"0.82")</f>
        <v>0.82</v>
      </c>
      <c r="AB58" s="7" t="str">
        <f ca="1">IFERROR(__xludf.DUMMYFUNCTION("""COMPUTED_VALUE"""),"42.4")</f>
        <v>42.4</v>
      </c>
      <c r="AC58" s="7" t="str">
        <f ca="1">IFERROR(__xludf.DUMMYFUNCTION("""COMPUTED_VALUE"""),"23.59")</f>
        <v>23.59</v>
      </c>
      <c r="AD58" s="7" t="str">
        <f ca="1">IFERROR(__xludf.DUMMYFUNCTION("""COMPUTED_VALUE"""),"35.71")</f>
        <v>35.71</v>
      </c>
      <c r="AE58" s="11">
        <f ca="1">IFERROR(__xludf.DUMMYFUNCTION("""COMPUTED_VALUE"""),44633)</f>
        <v>44633</v>
      </c>
      <c r="AF58" s="7" t="str">
        <f ca="1">IFERROR(__xludf.DUMMYFUNCTION("""COMPUTED_VALUE"""),"1.84")</f>
        <v>1.84</v>
      </c>
      <c r="AG58" s="7" t="str">
        <f ca="1">IFERROR(__xludf.DUMMYFUNCTION("""COMPUTED_VALUE"""),"5.28")</f>
        <v>5.28</v>
      </c>
      <c r="AH58" s="10">
        <f ca="1">IFERROR(__xludf.DUMMYFUNCTION("""COMPUTED_VALUE"""),44383.4129629629)</f>
        <v>44383.412962962902</v>
      </c>
      <c r="AI58" s="10">
        <f ca="1">IFERROR(__xludf.DUMMYFUNCTION("""COMPUTED_VALUE"""),44411.8309027777)</f>
        <v>44411.8309027777</v>
      </c>
      <c r="AJ58" s="7">
        <f ca="1">IFERROR(__xludf.DUMMYFUNCTION("""COMPUTED_VALUE"""),159)</f>
        <v>159</v>
      </c>
    </row>
    <row r="59" spans="1:36" ht="94.5" x14ac:dyDescent="0.2">
      <c r="A59" s="7">
        <f ca="1">IFERROR(__xludf.DUMMYFUNCTION("""COMPUTED_VALUE"""),100)</f>
        <v>100</v>
      </c>
      <c r="B59" s="7" t="str">
        <f ca="1">IFERROR(__xludf.DUMMYFUNCTION("""COMPUTED_VALUE"""),"FR-142")</f>
        <v>FR-142</v>
      </c>
      <c r="C59" s="9" t="str">
        <f ca="1">IFERROR(__xludf.DUMMYFUNCTION("""COMPUTED_VALUE"""),"Поставка кухонного оборудования промышленного типа")</f>
        <v>Поставка кухонного оборудования промышленного типа</v>
      </c>
      <c r="D59" s="7" t="str">
        <f ca="1">IFERROR(__xludf.DUMMYFUNCTION("""COMPUTED_VALUE"""),"План по стандартизации")</f>
        <v>План по стандартизации</v>
      </c>
      <c r="E59" s="7">
        <f ca="1">IFERROR(__xludf.DUMMYFUNCTION("""COMPUTED_VALUE"""),2020)</f>
        <v>2020</v>
      </c>
      <c r="F59" s="7">
        <f ca="1">IFERROR(__xludf.DUMMYFUNCTION("""COMPUTED_VALUE"""),4)</f>
        <v>4</v>
      </c>
      <c r="G59" s="7" t="str">
        <f ca="1">IFERROR(__xludf.DUMMYFUNCTION("""COMPUTED_VALUE"""),"СТЗ")</f>
        <v>СТЗ</v>
      </c>
      <c r="H59" s="7" t="str">
        <f ca="1">IFERROR(__xludf.DUMMYFUNCTION("""COMPUTED_VALUE"""),"Завершено")</f>
        <v>Завершено</v>
      </c>
      <c r="I59" s="7">
        <f ca="1">IFERROR(__xludf.DUMMYFUNCTION("""COMPUTED_VALUE"""),4)</f>
        <v>4</v>
      </c>
      <c r="J59" s="7">
        <f ca="1">IFERROR(__xludf.DUMMYFUNCTION("""COMPUTED_VALUE"""),2)</f>
        <v>2</v>
      </c>
      <c r="K59" s="7" t="str">
        <f ca="1">IFERROR(__xludf.DUMMYFUNCTION("""COMPUTED_VALUE"""),"Плющева Наталия Михайловна")</f>
        <v>Плющева Наталия Михайловна</v>
      </c>
      <c r="L59" s="7" t="str">
        <f ca="1">IFERROR(__xludf.DUMMYFUNCTION("""COMPUTED_VALUE"""),"Столянков Андрей Владиславович")</f>
        <v>Столянков Андрей Владиславович</v>
      </c>
      <c r="M59" s="7" t="str">
        <f ca="1">IFERROR(__xludf.DUMMYFUNCTION("""COMPUTED_VALUE"""),"Магамгазиев Расул Висхаджиевич")</f>
        <v>Магамгазиев Расул Висхаджиевич</v>
      </c>
      <c r="N59" s="7"/>
      <c r="O59" s="7"/>
      <c r="P59" s="7"/>
      <c r="Q59" s="7"/>
      <c r="R59" s="7"/>
      <c r="S59" s="7"/>
      <c r="T59" s="7" t="str">
        <f ca="1">IFERROR(__xludf.DUMMYFUNCTION("""COMPUTED_VALUE"""),"Полностью YouTrackная")</f>
        <v>Полностью YouTrackная</v>
      </c>
      <c r="U59" s="7" t="str">
        <f ca="1">IFERROR(__xludf.DUMMYFUNCTION("""COMPUTED_VALUE"""),"Поставка кухонного оборудования промышленного типа")</f>
        <v>Поставка кухонного оборудования промышленного типа</v>
      </c>
      <c r="V59" s="10">
        <f ca="1">IFERROR(__xludf.DUMMYFUNCTION("""COMPUTED_VALUE"""),44123.395625)</f>
        <v>44123.395624999997</v>
      </c>
      <c r="W59" s="7" t="str">
        <f ca="1">IFERROR(__xludf.DUMMYFUNCTION("""COMPUTED_VALUE"""),"3.41")</f>
        <v>3.41</v>
      </c>
      <c r="X59" s="16" t="str">
        <f ca="1">IFERROR(__xludf.DUMMYFUNCTION("""COMPUTED_VALUE"""),"16.99")</f>
        <v>16.99</v>
      </c>
      <c r="Y59" s="7" t="str">
        <f ca="1">IFERROR(__xludf.DUMMYFUNCTION("""COMPUTED_VALUE"""),"8.76")</f>
        <v>8.76</v>
      </c>
      <c r="Z59" s="7" t="str">
        <f ca="1">IFERROR(__xludf.DUMMYFUNCTION("""COMPUTED_VALUE"""),"3.58")</f>
        <v>3.58</v>
      </c>
      <c r="AA59" s="11">
        <f ca="1">IFERROR(__xludf.DUMMYFUNCTION("""COMPUTED_VALUE"""),44875)</f>
        <v>44875</v>
      </c>
      <c r="AB59" s="11">
        <f ca="1">IFERROR(__xludf.DUMMYFUNCTION("""COMPUTED_VALUE"""),44635)</f>
        <v>44635</v>
      </c>
      <c r="AC59" s="8">
        <f ca="1">IFERROR(__xludf.DUMMYFUNCTION("""COMPUTED_VALUE"""),44724)</f>
        <v>44724</v>
      </c>
      <c r="AD59" s="7" t="str">
        <f ca="1">IFERROR(__xludf.DUMMYFUNCTION("""COMPUTED_VALUE"""),"32.18")</f>
        <v>32.18</v>
      </c>
      <c r="AE59" s="7" t="str">
        <f ca="1">IFERROR(__xludf.DUMMYFUNCTION("""COMPUTED_VALUE"""),"7.88")</f>
        <v>7.88</v>
      </c>
      <c r="AF59" s="7"/>
      <c r="AG59" s="7" t="str">
        <f ca="1">IFERROR(__xludf.DUMMYFUNCTION("""COMPUTED_VALUE"""),"0.09")</f>
        <v>0.09</v>
      </c>
      <c r="AH59" s="10">
        <f ca="1">IFERROR(__xludf.DUMMYFUNCTION("""COMPUTED_VALUE"""),44278.7925925925)</f>
        <v>44278.792592592501</v>
      </c>
      <c r="AI59" s="10">
        <f ca="1">IFERROR(__xludf.DUMMYFUNCTION("""COMPUTED_VALUE"""),44288.7626851851)</f>
        <v>44288.762685185102</v>
      </c>
      <c r="AJ59" s="7">
        <f ca="1">IFERROR(__xludf.DUMMYFUNCTION("""COMPUTED_VALUE"""),107)</f>
        <v>107</v>
      </c>
    </row>
    <row r="60" spans="1:36" ht="78.75" x14ac:dyDescent="0.2">
      <c r="A60" s="7">
        <f ca="1">IFERROR(__xludf.DUMMYFUNCTION("""COMPUTED_VALUE"""),101)</f>
        <v>101</v>
      </c>
      <c r="B60" s="7" t="str">
        <f ca="1">IFERROR(__xludf.DUMMYFUNCTION("""COMPUTED_VALUE"""),"FR-143")</f>
        <v>FR-143</v>
      </c>
      <c r="C60" s="9" t="str">
        <f ca="1">IFERROR(__xludf.DUMMYFUNCTION("""COMPUTED_VALUE"""),"Поставка профессиональных швейных машин")</f>
        <v>Поставка профессиональных швейных машин</v>
      </c>
      <c r="D60" s="7" t="str">
        <f ca="1">IFERROR(__xludf.DUMMYFUNCTION("""COMPUTED_VALUE"""),"План по стандартизации")</f>
        <v>План по стандартизации</v>
      </c>
      <c r="E60" s="7">
        <f ca="1">IFERROR(__xludf.DUMMYFUNCTION("""COMPUTED_VALUE"""),2020)</f>
        <v>2020</v>
      </c>
      <c r="F60" s="7">
        <f ca="1">IFERROR(__xludf.DUMMYFUNCTION("""COMPUTED_VALUE"""),4)</f>
        <v>4</v>
      </c>
      <c r="G60" s="7" t="str">
        <f ca="1">IFERROR(__xludf.DUMMYFUNCTION("""COMPUTED_VALUE"""),"СТЗ")</f>
        <v>СТЗ</v>
      </c>
      <c r="H60" s="7" t="str">
        <f ca="1">IFERROR(__xludf.DUMMYFUNCTION("""COMPUTED_VALUE"""),"Завершено")</f>
        <v>Завершено</v>
      </c>
      <c r="I60" s="7">
        <f ca="1">IFERROR(__xludf.DUMMYFUNCTION("""COMPUTED_VALUE"""),4)</f>
        <v>4</v>
      </c>
      <c r="J60" s="7">
        <f ca="1">IFERROR(__xludf.DUMMYFUNCTION("""COMPUTED_VALUE"""),1)</f>
        <v>1</v>
      </c>
      <c r="K60" s="7" t="str">
        <f ca="1">IFERROR(__xludf.DUMMYFUNCTION("""COMPUTED_VALUE"""),"Кузнецова Ирина Валентиновна")</f>
        <v>Кузнецова Ирина Валентиновна</v>
      </c>
      <c r="L60" s="7" t="str">
        <f ca="1">IFERROR(__xludf.DUMMYFUNCTION("""COMPUTED_VALUE"""),"Столянков Андрей Владиславович")</f>
        <v>Столянков Андрей Владиславович</v>
      </c>
      <c r="M60" s="7" t="str">
        <f ca="1">IFERROR(__xludf.DUMMYFUNCTION("""COMPUTED_VALUE"""),"Магамгазиев Расул Висхаджиевич")</f>
        <v>Магамгазиев Расул Висхаджиевич</v>
      </c>
      <c r="N60" s="7"/>
      <c r="O60" s="7"/>
      <c r="P60" s="7"/>
      <c r="Q60" s="7"/>
      <c r="R60" s="7"/>
      <c r="S60" s="7"/>
      <c r="T60" s="7" t="str">
        <f ca="1">IFERROR(__xludf.DUMMYFUNCTION("""COMPUTED_VALUE"""),"Полностью YouTrackная")</f>
        <v>Полностью YouTrackная</v>
      </c>
      <c r="U60" s="7" t="str">
        <f ca="1">IFERROR(__xludf.DUMMYFUNCTION("""COMPUTED_VALUE"""),"Поставка профессиональных швейных машин")</f>
        <v>Поставка профессиональных швейных машин</v>
      </c>
      <c r="V60" s="10">
        <f ca="1">IFERROR(__xludf.DUMMYFUNCTION("""COMPUTED_VALUE"""),44123.3972800925)</f>
        <v>44123.397280092497</v>
      </c>
      <c r="W60" s="7" t="str">
        <f ca="1">IFERROR(__xludf.DUMMYFUNCTION("""COMPUTED_VALUE"""),"3.41")</f>
        <v>3.41</v>
      </c>
      <c r="X60" s="18">
        <f ca="1">IFERROR(__xludf.DUMMYFUNCTION("""COMPUTED_VALUE"""),44899)</f>
        <v>44899</v>
      </c>
      <c r="Y60" s="7" t="str">
        <f ca="1">IFERROR(__xludf.DUMMYFUNCTION("""COMPUTED_VALUE"""),"0.86")</f>
        <v>0.86</v>
      </c>
      <c r="Z60" s="7" t="str">
        <f ca="1">IFERROR(__xludf.DUMMYFUNCTION("""COMPUTED_VALUE"""),"7.87")</f>
        <v>7.87</v>
      </c>
      <c r="AA60" s="7" t="str">
        <f ca="1">IFERROR(__xludf.DUMMYFUNCTION("""COMPUTED_VALUE"""),"1.81")</f>
        <v>1.81</v>
      </c>
      <c r="AB60" s="7" t="str">
        <f ca="1">IFERROR(__xludf.DUMMYFUNCTION("""COMPUTED_VALUE"""),"11.24")</f>
        <v>11.24</v>
      </c>
      <c r="AC60" s="7" t="str">
        <f ca="1">IFERROR(__xludf.DUMMYFUNCTION("""COMPUTED_VALUE"""),"13.95")</f>
        <v>13.95</v>
      </c>
      <c r="AD60" s="7" t="str">
        <f ca="1">IFERROR(__xludf.DUMMYFUNCTION("""COMPUTED_VALUE"""),"23.85")</f>
        <v>23.85</v>
      </c>
      <c r="AE60" s="8">
        <f ca="1">IFERROR(__xludf.DUMMYFUNCTION("""COMPUTED_VALUE"""),44566)</f>
        <v>44566</v>
      </c>
      <c r="AF60" s="7"/>
      <c r="AG60" s="7" t="str">
        <f ca="1">IFERROR(__xludf.DUMMYFUNCTION("""COMPUTED_VALUE"""),"0.18")</f>
        <v>0.18</v>
      </c>
      <c r="AH60" s="10">
        <f ca="1">IFERROR(__xludf.DUMMYFUNCTION("""COMPUTED_VALUE"""),44225.5029050925)</f>
        <v>44225.5029050925</v>
      </c>
      <c r="AI60" s="10">
        <f ca="1">IFERROR(__xludf.DUMMYFUNCTION("""COMPUTED_VALUE"""),44232.6893055555)</f>
        <v>44232.689305555497</v>
      </c>
      <c r="AJ60" s="7">
        <f ca="1">IFERROR(__xludf.DUMMYFUNCTION("""COMPUTED_VALUE"""),69)</f>
        <v>69</v>
      </c>
    </row>
    <row r="61" spans="1:36" ht="63" x14ac:dyDescent="0.2">
      <c r="A61" s="7">
        <f ca="1">IFERROR(__xludf.DUMMYFUNCTION("""COMPUTED_VALUE"""),102)</f>
        <v>102</v>
      </c>
      <c r="B61" s="7" t="str">
        <f ca="1">IFERROR(__xludf.DUMMYFUNCTION("""COMPUTED_VALUE"""),"FR-144")</f>
        <v>FR-144</v>
      </c>
      <c r="C61" s="9" t="str">
        <f ca="1">IFERROR(__xludf.DUMMYFUNCTION("""COMPUTED_VALUE"""),"Поставка оконных блоков")</f>
        <v>Поставка оконных блоков</v>
      </c>
      <c r="D61" s="7" t="str">
        <f ca="1">IFERROR(__xludf.DUMMYFUNCTION("""COMPUTED_VALUE"""),"План по стандартизации")</f>
        <v>План по стандартизации</v>
      </c>
      <c r="E61" s="7">
        <f ca="1">IFERROR(__xludf.DUMMYFUNCTION("""COMPUTED_VALUE"""),2020)</f>
        <v>2020</v>
      </c>
      <c r="F61" s="7">
        <f ca="1">IFERROR(__xludf.DUMMYFUNCTION("""COMPUTED_VALUE"""),4)</f>
        <v>4</v>
      </c>
      <c r="G61" s="7" t="str">
        <f ca="1">IFERROR(__xludf.DUMMYFUNCTION("""COMPUTED_VALUE"""),"СТЗ")</f>
        <v>СТЗ</v>
      </c>
      <c r="H61" s="7" t="str">
        <f ca="1">IFERROR(__xludf.DUMMYFUNCTION("""COMPUTED_VALUE"""),"Завершено")</f>
        <v>Завершено</v>
      </c>
      <c r="I61" s="7">
        <f ca="1">IFERROR(__xludf.DUMMYFUNCTION("""COMPUTED_VALUE"""),1)</f>
        <v>1</v>
      </c>
      <c r="J61" s="7">
        <f ca="1">IFERROR(__xludf.DUMMYFUNCTION("""COMPUTED_VALUE"""),1)</f>
        <v>1</v>
      </c>
      <c r="K61" s="7" t="str">
        <f ca="1">IFERROR(__xludf.DUMMYFUNCTION("""COMPUTED_VALUE"""),"Кузнецова Ирина Валентиновна")</f>
        <v>Кузнецова Ирина Валентиновна</v>
      </c>
      <c r="L61" s="7" t="str">
        <f ca="1">IFERROR(__xludf.DUMMYFUNCTION("""COMPUTED_VALUE"""),"Столянков Андрей Владиславович")</f>
        <v>Столянков Андрей Владиславович</v>
      </c>
      <c r="M61" s="7" t="str">
        <f ca="1">IFERROR(__xludf.DUMMYFUNCTION("""COMPUTED_VALUE"""),"Магамгазиев Расул Висхаджиевич")</f>
        <v>Магамгазиев Расул Висхаджиевич</v>
      </c>
      <c r="N61" s="7"/>
      <c r="O61" s="7"/>
      <c r="P61" s="7"/>
      <c r="Q61" s="7"/>
      <c r="R61" s="7"/>
      <c r="S61" s="7"/>
      <c r="T61" s="7" t="str">
        <f ca="1">IFERROR(__xludf.DUMMYFUNCTION("""COMPUTED_VALUE"""),"Полностью YouTrackная")</f>
        <v>Полностью YouTrackная</v>
      </c>
      <c r="U61" s="7" t="str">
        <f ca="1">IFERROR(__xludf.DUMMYFUNCTION("""COMPUTED_VALUE"""),"Поставка оконных блоков")</f>
        <v>Поставка оконных блоков</v>
      </c>
      <c r="V61" s="10">
        <f ca="1">IFERROR(__xludf.DUMMYFUNCTION("""COMPUTED_VALUE"""),44123.3981828703)</f>
        <v>44123.398182870304</v>
      </c>
      <c r="W61" s="7" t="str">
        <f ca="1">IFERROR(__xludf.DUMMYFUNCTION("""COMPUTED_VALUE"""),"3.41")</f>
        <v>3.41</v>
      </c>
      <c r="X61" s="16" t="str">
        <f ca="1">IFERROR(__xludf.DUMMYFUNCTION("""COMPUTED_VALUE"""),"20.19")</f>
        <v>20.19</v>
      </c>
      <c r="Y61" s="7" t="str">
        <f ca="1">IFERROR(__xludf.DUMMYFUNCTION("""COMPUTED_VALUE"""),"6.95")</f>
        <v>6.95</v>
      </c>
      <c r="Z61" s="7" t="str">
        <f ca="1">IFERROR(__xludf.DUMMYFUNCTION("""COMPUTED_VALUE"""),"2.72")</f>
        <v>2.72</v>
      </c>
      <c r="AA61" s="8">
        <f ca="1">IFERROR(__xludf.DUMMYFUNCTION("""COMPUTED_VALUE"""),44685)</f>
        <v>44685</v>
      </c>
      <c r="AB61" s="7" t="str">
        <f ca="1">IFERROR(__xludf.DUMMYFUNCTION("""COMPUTED_VALUE"""),"15.24")</f>
        <v>15.24</v>
      </c>
      <c r="AC61" s="7" t="str">
        <f ca="1">IFERROR(__xludf.DUMMYFUNCTION("""COMPUTED_VALUE"""),"9.76")</f>
        <v>9.76</v>
      </c>
      <c r="AD61" s="7" t="str">
        <f ca="1">IFERROR(__xludf.DUMMYFUNCTION("""COMPUTED_VALUE"""),"4.78")</f>
        <v>4.78</v>
      </c>
      <c r="AE61" s="8">
        <f ca="1">IFERROR(__xludf.DUMMYFUNCTION("""COMPUTED_VALUE"""),44566)</f>
        <v>44566</v>
      </c>
      <c r="AF61" s="7"/>
      <c r="AG61" s="7" t="str">
        <f ca="1">IFERROR(__xludf.DUMMYFUNCTION("""COMPUTED_VALUE"""),"0.18")</f>
        <v>0.18</v>
      </c>
      <c r="AH61" s="10">
        <f ca="1">IFERROR(__xludf.DUMMYFUNCTION("""COMPUTED_VALUE"""),44225.5029976851)</f>
        <v>44225.5029976851</v>
      </c>
      <c r="AI61" s="10">
        <f ca="1">IFERROR(__xludf.DUMMYFUNCTION("""COMPUTED_VALUE"""),44232.6893402777)</f>
        <v>44232.689340277699</v>
      </c>
      <c r="AJ61" s="7">
        <f ca="1">IFERROR(__xludf.DUMMYFUNCTION("""COMPUTED_VALUE"""),69)</f>
        <v>69</v>
      </c>
    </row>
    <row r="62" spans="1:36" ht="78.75" x14ac:dyDescent="0.2">
      <c r="A62" s="7">
        <f ca="1">IFERROR(__xludf.DUMMYFUNCTION("""COMPUTED_VALUE"""),103)</f>
        <v>103</v>
      </c>
      <c r="B62" s="7" t="str">
        <f ca="1">IFERROR(__xludf.DUMMYFUNCTION("""COMPUTED_VALUE"""),"FR-145")</f>
        <v>FR-145</v>
      </c>
      <c r="C62" s="9" t="str">
        <f ca="1">IFERROR(__xludf.DUMMYFUNCTION("""COMPUTED_VALUE"""),"Поставка изоляционных материалов")</f>
        <v>Поставка изоляционных материалов</v>
      </c>
      <c r="D62" s="7" t="str">
        <f ca="1">IFERROR(__xludf.DUMMYFUNCTION("""COMPUTED_VALUE"""),"План по стандартизации")</f>
        <v>План по стандартизации</v>
      </c>
      <c r="E62" s="7">
        <f ca="1">IFERROR(__xludf.DUMMYFUNCTION("""COMPUTED_VALUE"""),2020)</f>
        <v>2020</v>
      </c>
      <c r="F62" s="7">
        <f ca="1">IFERROR(__xludf.DUMMYFUNCTION("""COMPUTED_VALUE"""),4)</f>
        <v>4</v>
      </c>
      <c r="G62" s="7" t="str">
        <f ca="1">IFERROR(__xludf.DUMMYFUNCTION("""COMPUTED_VALUE"""),"СТЗ")</f>
        <v>СТЗ</v>
      </c>
      <c r="H62" s="7" t="str">
        <f ca="1">IFERROR(__xludf.DUMMYFUNCTION("""COMPUTED_VALUE"""),"Завершено")</f>
        <v>Завершено</v>
      </c>
      <c r="I62" s="7">
        <f ca="1">IFERROR(__xludf.DUMMYFUNCTION("""COMPUTED_VALUE"""),3)</f>
        <v>3</v>
      </c>
      <c r="J62" s="7">
        <f ca="1">IFERROR(__xludf.DUMMYFUNCTION("""COMPUTED_VALUE"""),2)</f>
        <v>2</v>
      </c>
      <c r="K62" s="7" t="str">
        <f ca="1">IFERROR(__xludf.DUMMYFUNCTION("""COMPUTED_VALUE"""),"Кольчинская Татьяна Вячеславовна")</f>
        <v>Кольчинская Татьяна Вячеславовна</v>
      </c>
      <c r="L62" s="7" t="str">
        <f ca="1">IFERROR(__xludf.DUMMYFUNCTION("""COMPUTED_VALUE"""),"Столянков Андрей Владиславович")</f>
        <v>Столянков Андрей Владиславович</v>
      </c>
      <c r="M62" s="7" t="str">
        <f ca="1">IFERROR(__xludf.DUMMYFUNCTION("""COMPUTED_VALUE"""),"Магамгазиев Расул Висхаджиевич")</f>
        <v>Магамгазиев Расул Висхаджиевич</v>
      </c>
      <c r="N62" s="7"/>
      <c r="O62" s="7"/>
      <c r="P62" s="7"/>
      <c r="Q62" s="7"/>
      <c r="R62" s="7"/>
      <c r="S62" s="7"/>
      <c r="T62" s="7" t="str">
        <f ca="1">IFERROR(__xludf.DUMMYFUNCTION("""COMPUTED_VALUE"""),"Полностью YouTrackная")</f>
        <v>Полностью YouTrackная</v>
      </c>
      <c r="U62" s="7" t="str">
        <f ca="1">IFERROR(__xludf.DUMMYFUNCTION("""COMPUTED_VALUE"""),"Поставка изоляционных материалов")</f>
        <v>Поставка изоляционных материалов</v>
      </c>
      <c r="V62" s="10">
        <f ca="1">IFERROR(__xludf.DUMMYFUNCTION("""COMPUTED_VALUE"""),44123.3990972222)</f>
        <v>44123.399097222202</v>
      </c>
      <c r="W62" s="7" t="str">
        <f ca="1">IFERROR(__xludf.DUMMYFUNCTION("""COMPUTED_VALUE"""),"3.41")</f>
        <v>3.41</v>
      </c>
      <c r="X62" s="16" t="str">
        <f ca="1">IFERROR(__xludf.DUMMYFUNCTION("""COMPUTED_VALUE"""),"21.65")</f>
        <v>21.65</v>
      </c>
      <c r="Y62" s="7" t="str">
        <f ca="1">IFERROR(__xludf.DUMMYFUNCTION("""COMPUTED_VALUE"""),"5.83")</f>
        <v>5.83</v>
      </c>
      <c r="Z62" s="11">
        <f ca="1">IFERROR(__xludf.DUMMYFUNCTION("""COMPUTED_VALUE"""),44624)</f>
        <v>44624</v>
      </c>
      <c r="AA62" s="11">
        <f ca="1">IFERROR(__xludf.DUMMYFUNCTION("""COMPUTED_VALUE"""),44701)</f>
        <v>44701</v>
      </c>
      <c r="AB62" s="7" t="str">
        <f ca="1">IFERROR(__xludf.DUMMYFUNCTION("""COMPUTED_VALUE"""),"23.88")</f>
        <v>23.88</v>
      </c>
      <c r="AC62" s="7" t="str">
        <f ca="1">IFERROR(__xludf.DUMMYFUNCTION("""COMPUTED_VALUE"""),"13.77")</f>
        <v>13.77</v>
      </c>
      <c r="AD62" s="8">
        <f ca="1">IFERROR(__xludf.DUMMYFUNCTION("""COMPUTED_VALUE"""),44690)</f>
        <v>44690</v>
      </c>
      <c r="AE62" s="7" t="str">
        <f ca="1">IFERROR(__xludf.DUMMYFUNCTION("""COMPUTED_VALUE"""),"7.88")</f>
        <v>7.88</v>
      </c>
      <c r="AF62" s="7"/>
      <c r="AG62" s="7" t="str">
        <f ca="1">IFERROR(__xludf.DUMMYFUNCTION("""COMPUTED_VALUE"""),"0.12")</f>
        <v>0.12</v>
      </c>
      <c r="AH62" s="10">
        <f ca="1">IFERROR(__xludf.DUMMYFUNCTION("""COMPUTED_VALUE"""),44278.792662037)</f>
        <v>44278.792662036998</v>
      </c>
      <c r="AI62" s="10">
        <f ca="1">IFERROR(__xludf.DUMMYFUNCTION("""COMPUTED_VALUE"""),44288.7935648148)</f>
        <v>44288.793564814798</v>
      </c>
      <c r="AJ62" s="7">
        <f ca="1">IFERROR(__xludf.DUMMYFUNCTION("""COMPUTED_VALUE"""),107)</f>
        <v>107</v>
      </c>
    </row>
    <row r="63" spans="1:36" ht="63" x14ac:dyDescent="0.2">
      <c r="A63" s="7">
        <f ca="1">IFERROR(__xludf.DUMMYFUNCTION("""COMPUTED_VALUE"""),104)</f>
        <v>104</v>
      </c>
      <c r="B63" s="7" t="str">
        <f ca="1">IFERROR(__xludf.DUMMYFUNCTION("""COMPUTED_VALUE"""),"FR-146")</f>
        <v>FR-146</v>
      </c>
      <c r="C63" s="9" t="str">
        <f ca="1">IFERROR(__xludf.DUMMYFUNCTION("""COMPUTED_VALUE"""),"Поставка пиломатериалов")</f>
        <v>Поставка пиломатериалов</v>
      </c>
      <c r="D63" s="7" t="str">
        <f ca="1">IFERROR(__xludf.DUMMYFUNCTION("""COMPUTED_VALUE"""),"План по стандартизации")</f>
        <v>План по стандартизации</v>
      </c>
      <c r="E63" s="7">
        <f ca="1">IFERROR(__xludf.DUMMYFUNCTION("""COMPUTED_VALUE"""),2020)</f>
        <v>2020</v>
      </c>
      <c r="F63" s="7">
        <f ca="1">IFERROR(__xludf.DUMMYFUNCTION("""COMPUTED_VALUE"""),4)</f>
        <v>4</v>
      </c>
      <c r="G63" s="7" t="str">
        <f ca="1">IFERROR(__xludf.DUMMYFUNCTION("""COMPUTED_VALUE"""),"СТЗ")</f>
        <v>СТЗ</v>
      </c>
      <c r="H63" s="7" t="str">
        <f ca="1">IFERROR(__xludf.DUMMYFUNCTION("""COMPUTED_VALUE"""),"Завершено")</f>
        <v>Завершено</v>
      </c>
      <c r="I63" s="7">
        <f ca="1">IFERROR(__xludf.DUMMYFUNCTION("""COMPUTED_VALUE"""),4)</f>
        <v>4</v>
      </c>
      <c r="J63" s="7">
        <f ca="1">IFERROR(__xludf.DUMMYFUNCTION("""COMPUTED_VALUE"""),1)</f>
        <v>1</v>
      </c>
      <c r="K63" s="7" t="str">
        <f ca="1">IFERROR(__xludf.DUMMYFUNCTION("""COMPUTED_VALUE"""),"Долудо Юлия Борисовна")</f>
        <v>Долудо Юлия Борисовна</v>
      </c>
      <c r="L63" s="7" t="str">
        <f ca="1">IFERROR(__xludf.DUMMYFUNCTION("""COMPUTED_VALUE"""),"Столянков Андрей Владиславович")</f>
        <v>Столянков Андрей Владиславович</v>
      </c>
      <c r="M63" s="7" t="str">
        <f ca="1">IFERROR(__xludf.DUMMYFUNCTION("""COMPUTED_VALUE"""),"Магамгазиев Расул Висхаджиевич")</f>
        <v>Магамгазиев Расул Висхаджиевич</v>
      </c>
      <c r="N63" s="7"/>
      <c r="O63" s="7"/>
      <c r="P63" s="7"/>
      <c r="Q63" s="7"/>
      <c r="R63" s="7"/>
      <c r="S63" s="7"/>
      <c r="T63" s="7" t="str">
        <f ca="1">IFERROR(__xludf.DUMMYFUNCTION("""COMPUTED_VALUE"""),"Полностью YouTrackная")</f>
        <v>Полностью YouTrackная</v>
      </c>
      <c r="U63" s="7" t="str">
        <f ca="1">IFERROR(__xludf.DUMMYFUNCTION("""COMPUTED_VALUE"""),"Поставка пиломатериалов")</f>
        <v>Поставка пиломатериалов</v>
      </c>
      <c r="V63" s="10">
        <f ca="1">IFERROR(__xludf.DUMMYFUNCTION("""COMPUTED_VALUE"""),44123.4004861111)</f>
        <v>44123.400486111103</v>
      </c>
      <c r="W63" s="7" t="str">
        <f ca="1">IFERROR(__xludf.DUMMYFUNCTION("""COMPUTED_VALUE"""),"3.41")</f>
        <v>3.41</v>
      </c>
      <c r="X63" s="17">
        <f ca="1">IFERROR(__xludf.DUMMYFUNCTION("""COMPUTED_VALUE"""),44794)</f>
        <v>44794</v>
      </c>
      <c r="Y63" s="7" t="str">
        <f ca="1">IFERROR(__xludf.DUMMYFUNCTION("""COMPUTED_VALUE"""),"4.14")</f>
        <v>4.14</v>
      </c>
      <c r="Z63" s="7" t="str">
        <f ca="1">IFERROR(__xludf.DUMMYFUNCTION("""COMPUTED_VALUE"""),"2.32")</f>
        <v>2.32</v>
      </c>
      <c r="AA63" s="7" t="str">
        <f ca="1">IFERROR(__xludf.DUMMYFUNCTION("""COMPUTED_VALUE"""),"12.87")</f>
        <v>12.87</v>
      </c>
      <c r="AB63" s="7" t="str">
        <f ca="1">IFERROR(__xludf.DUMMYFUNCTION("""COMPUTED_VALUE"""),"27.38")</f>
        <v>27.38</v>
      </c>
      <c r="AC63" s="11">
        <f ca="1">IFERROR(__xludf.DUMMYFUNCTION("""COMPUTED_VALUE"""),44603)</f>
        <v>44603</v>
      </c>
      <c r="AD63" s="8">
        <f ca="1">IFERROR(__xludf.DUMMYFUNCTION("""COMPUTED_VALUE"""),44581)</f>
        <v>44581</v>
      </c>
      <c r="AE63" s="7" t="str">
        <f ca="1">IFERROR(__xludf.DUMMYFUNCTION("""COMPUTED_VALUE"""),"7.88")</f>
        <v>7.88</v>
      </c>
      <c r="AF63" s="7"/>
      <c r="AG63" s="7" t="str">
        <f ca="1">IFERROR(__xludf.DUMMYFUNCTION("""COMPUTED_VALUE"""),"0.86")</f>
        <v>0.86</v>
      </c>
      <c r="AH63" s="10">
        <f ca="1">IFERROR(__xludf.DUMMYFUNCTION("""COMPUTED_VALUE"""),44278.7927430555)</f>
        <v>44278.792743055499</v>
      </c>
      <c r="AI63" s="10">
        <f ca="1">IFERROR(__xludf.DUMMYFUNCTION("""COMPUTED_VALUE"""),44291.5265162037)</f>
        <v>44291.526516203703</v>
      </c>
      <c r="AJ63" s="7">
        <f ca="1">IFERROR(__xludf.DUMMYFUNCTION("""COMPUTED_VALUE"""),108)</f>
        <v>108</v>
      </c>
    </row>
    <row r="64" spans="1:36" ht="63" x14ac:dyDescent="0.2">
      <c r="A64" s="7">
        <f ca="1">IFERROR(__xludf.DUMMYFUNCTION("""COMPUTED_VALUE"""),105)</f>
        <v>105</v>
      </c>
      <c r="B64" s="7" t="str">
        <f ca="1">IFERROR(__xludf.DUMMYFUNCTION("""COMPUTED_VALUE"""),"FR-147")</f>
        <v>FR-147</v>
      </c>
      <c r="C64" s="9" t="str">
        <f ca="1">IFERROR(__xludf.DUMMYFUNCTION("""COMPUTED_VALUE"""),"Поставка лакокрасочных изделий")</f>
        <v>Поставка лакокрасочных изделий</v>
      </c>
      <c r="D64" s="7" t="str">
        <f ca="1">IFERROR(__xludf.DUMMYFUNCTION("""COMPUTED_VALUE"""),"План по стандартизации")</f>
        <v>План по стандартизации</v>
      </c>
      <c r="E64" s="7">
        <f ca="1">IFERROR(__xludf.DUMMYFUNCTION("""COMPUTED_VALUE"""),2020)</f>
        <v>2020</v>
      </c>
      <c r="F64" s="7">
        <f ca="1">IFERROR(__xludf.DUMMYFUNCTION("""COMPUTED_VALUE"""),4)</f>
        <v>4</v>
      </c>
      <c r="G64" s="7" t="str">
        <f ca="1">IFERROR(__xludf.DUMMYFUNCTION("""COMPUTED_VALUE"""),"СТЗ")</f>
        <v>СТЗ</v>
      </c>
      <c r="H64" s="7" t="str">
        <f ca="1">IFERROR(__xludf.DUMMYFUNCTION("""COMPUTED_VALUE"""),"Завершено")</f>
        <v>Завершено</v>
      </c>
      <c r="I64" s="7">
        <f ca="1">IFERROR(__xludf.DUMMYFUNCTION("""COMPUTED_VALUE"""),5)</f>
        <v>5</v>
      </c>
      <c r="J64" s="7">
        <f ca="1">IFERROR(__xludf.DUMMYFUNCTION("""COMPUTED_VALUE"""),1)</f>
        <v>1</v>
      </c>
      <c r="K64" s="7" t="str">
        <f ca="1">IFERROR(__xludf.DUMMYFUNCTION("""COMPUTED_VALUE"""),"Лепаев Иван Александрович")</f>
        <v>Лепаев Иван Александрович</v>
      </c>
      <c r="L64" s="7" t="str">
        <f ca="1">IFERROR(__xludf.DUMMYFUNCTION("""COMPUTED_VALUE"""),"Столянков Андрей Владиславович")</f>
        <v>Столянков Андрей Владиславович</v>
      </c>
      <c r="M64" s="7" t="str">
        <f ca="1">IFERROR(__xludf.DUMMYFUNCTION("""COMPUTED_VALUE"""),"Магамгазиев Расул Висхаджиевич")</f>
        <v>Магамгазиев Расул Висхаджиевич</v>
      </c>
      <c r="N64" s="7"/>
      <c r="O64" s="7"/>
      <c r="P64" s="7"/>
      <c r="Q64" s="7"/>
      <c r="R64" s="7"/>
      <c r="S64" s="7"/>
      <c r="T64" s="7" t="str">
        <f ca="1">IFERROR(__xludf.DUMMYFUNCTION("""COMPUTED_VALUE"""),"Полностью YouTrackная")</f>
        <v>Полностью YouTrackная</v>
      </c>
      <c r="U64" s="7" t="str">
        <f ca="1">IFERROR(__xludf.DUMMYFUNCTION("""COMPUTED_VALUE"""),"Поставка лакокрасочных изделий")</f>
        <v>Поставка лакокрасочных изделий</v>
      </c>
      <c r="V64" s="10">
        <f ca="1">IFERROR(__xludf.DUMMYFUNCTION("""COMPUTED_VALUE"""),44123.4014004629)</f>
        <v>44123.401400462899</v>
      </c>
      <c r="W64" s="7" t="str">
        <f ca="1">IFERROR(__xludf.DUMMYFUNCTION("""COMPUTED_VALUE"""),"3.41")</f>
        <v>3.41</v>
      </c>
      <c r="X64" s="16" t="str">
        <f ca="1">IFERROR(__xludf.DUMMYFUNCTION("""COMPUTED_VALUE"""),"20.66")</f>
        <v>20.66</v>
      </c>
      <c r="Y64" s="7" t="str">
        <f ca="1">IFERROR(__xludf.DUMMYFUNCTION("""COMPUTED_VALUE"""),"12.25")</f>
        <v>12.25</v>
      </c>
      <c r="Z64" s="7" t="str">
        <f ca="1">IFERROR(__xludf.DUMMYFUNCTION("""COMPUTED_VALUE"""),"8.59")</f>
        <v>8.59</v>
      </c>
      <c r="AA64" s="7" t="str">
        <f ca="1">IFERROR(__xludf.DUMMYFUNCTION("""COMPUTED_VALUE"""),"13.36")</f>
        <v>13.36</v>
      </c>
      <c r="AB64" s="7" t="str">
        <f ca="1">IFERROR(__xludf.DUMMYFUNCTION("""COMPUTED_VALUE"""),"29.86")</f>
        <v>29.86</v>
      </c>
      <c r="AC64" s="7" t="str">
        <f ca="1">IFERROR(__xludf.DUMMYFUNCTION("""COMPUTED_VALUE"""),"10.25")</f>
        <v>10.25</v>
      </c>
      <c r="AD64" s="8">
        <f ca="1">IFERROR(__xludf.DUMMYFUNCTION("""COMPUTED_VALUE"""),44596)</f>
        <v>44596</v>
      </c>
      <c r="AE64" s="7" t="str">
        <f ca="1">IFERROR(__xludf.DUMMYFUNCTION("""COMPUTED_VALUE"""),"7.88")</f>
        <v>7.88</v>
      </c>
      <c r="AF64" s="7"/>
      <c r="AG64" s="8">
        <f ca="1">IFERROR(__xludf.DUMMYFUNCTION("""COMPUTED_VALUE"""),44593)</f>
        <v>44593</v>
      </c>
      <c r="AH64" s="10">
        <f ca="1">IFERROR(__xludf.DUMMYFUNCTION("""COMPUTED_VALUE"""),44278.7928935185)</f>
        <v>44278.792893518497</v>
      </c>
      <c r="AI64" s="10">
        <f ca="1">IFERROR(__xludf.DUMMYFUNCTION("""COMPUTED_VALUE"""),44291.6900347222)</f>
        <v>44291.690034722204</v>
      </c>
      <c r="AJ64" s="7">
        <f ca="1">IFERROR(__xludf.DUMMYFUNCTION("""COMPUTED_VALUE"""),108)</f>
        <v>108</v>
      </c>
    </row>
    <row r="65" spans="1:36" ht="110.25" x14ac:dyDescent="0.2">
      <c r="A65" s="7">
        <f ca="1">IFERROR(__xludf.DUMMYFUNCTION("""COMPUTED_VALUE"""),106)</f>
        <v>106</v>
      </c>
      <c r="B65" s="7" t="str">
        <f ca="1">IFERROR(__xludf.DUMMYFUNCTION("""COMPUTED_VALUE"""),"FR-148")</f>
        <v>FR-148</v>
      </c>
      <c r="C65" s="9" t="str">
        <f ca="1">IFERROR(__xludf.DUMMYFUNCTION("""COMPUTED_VALUE"""),"Оказание услуг по добровольному страхованию имущества")</f>
        <v>Оказание услуг по добровольному страхованию имущества</v>
      </c>
      <c r="D65" s="7" t="str">
        <f ca="1">IFERROR(__xludf.DUMMYFUNCTION("""COMPUTED_VALUE"""),"План по стандартизации")</f>
        <v>План по стандартизации</v>
      </c>
      <c r="E65" s="7">
        <f ca="1">IFERROR(__xludf.DUMMYFUNCTION("""COMPUTED_VALUE"""),2020)</f>
        <v>2020</v>
      </c>
      <c r="F65" s="7">
        <f ca="1">IFERROR(__xludf.DUMMYFUNCTION("""COMPUTED_VALUE"""),4)</f>
        <v>4</v>
      </c>
      <c r="G65" s="7" t="str">
        <f ca="1">IFERROR(__xludf.DUMMYFUNCTION("""COMPUTED_VALUE"""),"СТЗ")</f>
        <v>СТЗ</v>
      </c>
      <c r="H65" s="7" t="str">
        <f ca="1">IFERROR(__xludf.DUMMYFUNCTION("""COMPUTED_VALUE"""),"Завершено")</f>
        <v>Завершено</v>
      </c>
      <c r="I65" s="7">
        <f ca="1">IFERROR(__xludf.DUMMYFUNCTION("""COMPUTED_VALUE"""),4)</f>
        <v>4</v>
      </c>
      <c r="J65" s="7">
        <f ca="1">IFERROR(__xludf.DUMMYFUNCTION("""COMPUTED_VALUE"""),1)</f>
        <v>1</v>
      </c>
      <c r="K65" s="7" t="str">
        <f ca="1">IFERROR(__xludf.DUMMYFUNCTION("""COMPUTED_VALUE"""),"Баранов Алексей Александрович")</f>
        <v>Баранов Алексей Александрович</v>
      </c>
      <c r="L65" s="7" t="str">
        <f ca="1">IFERROR(__xludf.DUMMYFUNCTION("""COMPUTED_VALUE"""),"Столянков Андрей Владиславович")</f>
        <v>Столянков Андрей Владиславович</v>
      </c>
      <c r="M65" s="7" t="str">
        <f ca="1">IFERROR(__xludf.DUMMYFUNCTION("""COMPUTED_VALUE"""),"Магамгазиев Расул Висхаджиевич")</f>
        <v>Магамгазиев Расул Висхаджиевич</v>
      </c>
      <c r="N65" s="7"/>
      <c r="O65" s="7"/>
      <c r="P65" s="7"/>
      <c r="Q65" s="7"/>
      <c r="R65" s="7"/>
      <c r="S65" s="7"/>
      <c r="T65" s="7" t="str">
        <f ca="1">IFERROR(__xludf.DUMMYFUNCTION("""COMPUTED_VALUE"""),"Полностью YouTrackная")</f>
        <v>Полностью YouTrackная</v>
      </c>
      <c r="U65" s="7" t="str">
        <f ca="1">IFERROR(__xludf.DUMMYFUNCTION("""COMPUTED_VALUE"""),"Оказание услуг по добровольному страхованию имущества")</f>
        <v>Оказание услуг по добровольному страхованию имущества</v>
      </c>
      <c r="V65" s="10">
        <f ca="1">IFERROR(__xludf.DUMMYFUNCTION("""COMPUTED_VALUE"""),44123.4023611111)</f>
        <v>44123.402361111097</v>
      </c>
      <c r="W65" s="7" t="str">
        <f ca="1">IFERROR(__xludf.DUMMYFUNCTION("""COMPUTED_VALUE"""),"3.41")</f>
        <v>3.41</v>
      </c>
      <c r="X65" s="16" t="str">
        <f ca="1">IFERROR(__xludf.DUMMYFUNCTION("""COMPUTED_VALUE"""),"4.79")</f>
        <v>4.79</v>
      </c>
      <c r="Y65" s="8">
        <f ca="1">IFERROR(__xludf.DUMMYFUNCTION("""COMPUTED_VALUE"""),44747)</f>
        <v>44747</v>
      </c>
      <c r="Z65" s="7" t="str">
        <f ca="1">IFERROR(__xludf.DUMMYFUNCTION("""COMPUTED_VALUE"""),"2.87")</f>
        <v>2.87</v>
      </c>
      <c r="AA65" s="7" t="str">
        <f ca="1">IFERROR(__xludf.DUMMYFUNCTION("""COMPUTED_VALUE"""),"2.43")</f>
        <v>2.43</v>
      </c>
      <c r="AB65" s="11">
        <f ca="1">IFERROR(__xludf.DUMMYFUNCTION("""COMPUTED_VALUE"""),44912)</f>
        <v>44912</v>
      </c>
      <c r="AC65" s="11">
        <f ca="1">IFERROR(__xludf.DUMMYFUNCTION("""COMPUTED_VALUE"""),44671)</f>
        <v>44671</v>
      </c>
      <c r="AD65" s="8">
        <f ca="1">IFERROR(__xludf.DUMMYFUNCTION("""COMPUTED_VALUE"""),44603)</f>
        <v>44603</v>
      </c>
      <c r="AE65" s="8">
        <f ca="1">IFERROR(__xludf.DUMMYFUNCTION("""COMPUTED_VALUE"""),44566)</f>
        <v>44566</v>
      </c>
      <c r="AF65" s="7"/>
      <c r="AG65" s="7" t="str">
        <f ca="1">IFERROR(__xludf.DUMMYFUNCTION("""COMPUTED_VALUE"""),"0.18")</f>
        <v>0.18</v>
      </c>
      <c r="AH65" s="10">
        <f ca="1">IFERROR(__xludf.DUMMYFUNCTION("""COMPUTED_VALUE"""),44225.5031134259)</f>
        <v>44225.503113425897</v>
      </c>
      <c r="AI65" s="10">
        <f ca="1">IFERROR(__xludf.DUMMYFUNCTION("""COMPUTED_VALUE"""),44232.6893634259)</f>
        <v>44232.689363425903</v>
      </c>
      <c r="AJ65" s="7">
        <f ca="1">IFERROR(__xludf.DUMMYFUNCTION("""COMPUTED_VALUE"""),69)</f>
        <v>69</v>
      </c>
    </row>
    <row r="66" spans="1:36" ht="126" x14ac:dyDescent="0.2">
      <c r="A66" s="7">
        <f ca="1">IFERROR(__xludf.DUMMYFUNCTION("""COMPUTED_VALUE"""),107)</f>
        <v>107</v>
      </c>
      <c r="B66" s="7" t="str">
        <f ca="1">IFERROR(__xludf.DUMMYFUNCTION("""COMPUTED_VALUE"""),"FR-149")</f>
        <v>FR-149</v>
      </c>
      <c r="C66" s="9" t="str">
        <f ca="1">IFERROR(__xludf.DUMMYFUNCTION("""COMPUTED_VALUE"""),"Оказание услуг по добровольному медицинскому страхованию")</f>
        <v>Оказание услуг по добровольному медицинскому страхованию</v>
      </c>
      <c r="D66" s="7" t="str">
        <f ca="1">IFERROR(__xludf.DUMMYFUNCTION("""COMPUTED_VALUE"""),"План по стандартизации")</f>
        <v>План по стандартизации</v>
      </c>
      <c r="E66" s="7">
        <f ca="1">IFERROR(__xludf.DUMMYFUNCTION("""COMPUTED_VALUE"""),2020)</f>
        <v>2020</v>
      </c>
      <c r="F66" s="7">
        <f ca="1">IFERROR(__xludf.DUMMYFUNCTION("""COMPUTED_VALUE"""),4)</f>
        <v>4</v>
      </c>
      <c r="G66" s="7" t="str">
        <f ca="1">IFERROR(__xludf.DUMMYFUNCTION("""COMPUTED_VALUE"""),"СТЗ")</f>
        <v>СТЗ</v>
      </c>
      <c r="H66" s="7" t="str">
        <f ca="1">IFERROR(__xludf.DUMMYFUNCTION("""COMPUTED_VALUE"""),"Завершено")</f>
        <v>Завершено</v>
      </c>
      <c r="I66" s="7">
        <f ca="1">IFERROR(__xludf.DUMMYFUNCTION("""COMPUTED_VALUE"""),2)</f>
        <v>2</v>
      </c>
      <c r="J66" s="7">
        <f ca="1">IFERROR(__xludf.DUMMYFUNCTION("""COMPUTED_VALUE"""),2)</f>
        <v>2</v>
      </c>
      <c r="K66" s="7" t="str">
        <f ca="1">IFERROR(__xludf.DUMMYFUNCTION("""COMPUTED_VALUE"""),"Баранов Алексей Александрович")</f>
        <v>Баранов Алексей Александрович</v>
      </c>
      <c r="L66" s="7" t="str">
        <f ca="1">IFERROR(__xludf.DUMMYFUNCTION("""COMPUTED_VALUE"""),"Столянков Андрей Владиславович")</f>
        <v>Столянков Андрей Владиславович</v>
      </c>
      <c r="M66" s="7" t="str">
        <f ca="1">IFERROR(__xludf.DUMMYFUNCTION("""COMPUTED_VALUE"""),"Магамгазиев Расул Висхаджиевич")</f>
        <v>Магамгазиев Расул Висхаджиевич</v>
      </c>
      <c r="N66" s="7"/>
      <c r="O66" s="7"/>
      <c r="P66" s="7"/>
      <c r="Q66" s="7"/>
      <c r="R66" s="7"/>
      <c r="S66" s="7"/>
      <c r="T66" s="7" t="str">
        <f ca="1">IFERROR(__xludf.DUMMYFUNCTION("""COMPUTED_VALUE"""),"Полностью YouTrackная")</f>
        <v>Полностью YouTrackная</v>
      </c>
      <c r="U66" s="7" t="str">
        <f ca="1">IFERROR(__xludf.DUMMYFUNCTION("""COMPUTED_VALUE"""),"Оказание услуг по добровольному медицинскому страхованию")</f>
        <v>Оказание услуг по добровольному медицинскому страхованию</v>
      </c>
      <c r="V66" s="10">
        <f ca="1">IFERROR(__xludf.DUMMYFUNCTION("""COMPUTED_VALUE"""),44123.4036226851)</f>
        <v>44123.403622685102</v>
      </c>
      <c r="W66" s="11">
        <f ca="1">IFERROR(__xludf.DUMMYFUNCTION("""COMPUTED_VALUE"""),44654)</f>
        <v>44654</v>
      </c>
      <c r="X66" s="16" t="str">
        <f ca="1">IFERROR(__xludf.DUMMYFUNCTION("""COMPUTED_VALUE"""),"3.77")</f>
        <v>3.77</v>
      </c>
      <c r="Y66" s="7" t="str">
        <f ca="1">IFERROR(__xludf.DUMMYFUNCTION("""COMPUTED_VALUE"""),"4.68")</f>
        <v>4.68</v>
      </c>
      <c r="Z66" s="7" t="str">
        <f ca="1">IFERROR(__xludf.DUMMYFUNCTION("""COMPUTED_VALUE"""),"0.82")</f>
        <v>0.82</v>
      </c>
      <c r="AA66" s="7" t="str">
        <f ca="1">IFERROR(__xludf.DUMMYFUNCTION("""COMPUTED_VALUE"""),"8.28")</f>
        <v>8.28</v>
      </c>
      <c r="AB66" s="7" t="str">
        <f ca="1">IFERROR(__xludf.DUMMYFUNCTION("""COMPUTED_VALUE"""),"19.22")</f>
        <v>19.22</v>
      </c>
      <c r="AC66" s="7" t="str">
        <f ca="1">IFERROR(__xludf.DUMMYFUNCTION("""COMPUTED_VALUE"""),"14.23")</f>
        <v>14.23</v>
      </c>
      <c r="AD66" s="7" t="str">
        <f ca="1">IFERROR(__xludf.DUMMYFUNCTION("""COMPUTED_VALUE"""),"12.69")</f>
        <v>12.69</v>
      </c>
      <c r="AE66" s="8">
        <f ca="1">IFERROR(__xludf.DUMMYFUNCTION("""COMPUTED_VALUE"""),44566)</f>
        <v>44566</v>
      </c>
      <c r="AF66" s="7"/>
      <c r="AG66" s="7" t="str">
        <f ca="1">IFERROR(__xludf.DUMMYFUNCTION("""COMPUTED_VALUE"""),"0.18")</f>
        <v>0.18</v>
      </c>
      <c r="AH66" s="10">
        <f ca="1">IFERROR(__xludf.DUMMYFUNCTION("""COMPUTED_VALUE"""),44225.5032291666)</f>
        <v>44225.503229166599</v>
      </c>
      <c r="AI66" s="10">
        <f ca="1">IFERROR(__xludf.DUMMYFUNCTION("""COMPUTED_VALUE"""),44232.689398148)</f>
        <v>44232.689398148003</v>
      </c>
      <c r="AJ66" s="7">
        <f ca="1">IFERROR(__xludf.DUMMYFUNCTION("""COMPUTED_VALUE"""),69)</f>
        <v>69</v>
      </c>
    </row>
    <row r="67" spans="1:36" ht="78.75" x14ac:dyDescent="0.2">
      <c r="A67" s="7">
        <f ca="1">IFERROR(__xludf.DUMMYFUNCTION("""COMPUTED_VALUE"""),108)</f>
        <v>108</v>
      </c>
      <c r="B67" s="7" t="str">
        <f ca="1">IFERROR(__xludf.DUMMYFUNCTION("""COMPUTED_VALUE"""),"FR-150")</f>
        <v>FR-150</v>
      </c>
      <c r="C67" s="9" t="str">
        <f ca="1">IFERROR(__xludf.DUMMYFUNCTION("""COMPUTED_VALUE"""),"Поставка труб и деталей трубопроводов")</f>
        <v>Поставка труб и деталей трубопроводов</v>
      </c>
      <c r="D67" s="7" t="str">
        <f ca="1">IFERROR(__xludf.DUMMYFUNCTION("""COMPUTED_VALUE"""),"План по стандартизации")</f>
        <v>План по стандартизации</v>
      </c>
      <c r="E67" s="7">
        <f ca="1">IFERROR(__xludf.DUMMYFUNCTION("""COMPUTED_VALUE"""),2020)</f>
        <v>2020</v>
      </c>
      <c r="F67" s="7">
        <f ca="1">IFERROR(__xludf.DUMMYFUNCTION("""COMPUTED_VALUE"""),4)</f>
        <v>4</v>
      </c>
      <c r="G67" s="7" t="str">
        <f ca="1">IFERROR(__xludf.DUMMYFUNCTION("""COMPUTED_VALUE"""),"ТТЗ")</f>
        <v>ТТЗ</v>
      </c>
      <c r="H67" s="7" t="str">
        <f ca="1">IFERROR(__xludf.DUMMYFUNCTION("""COMPUTED_VALUE"""),"Завершено")</f>
        <v>Завершено</v>
      </c>
      <c r="I67" s="7">
        <f ca="1">IFERROR(__xludf.DUMMYFUNCTION("""COMPUTED_VALUE"""),3)</f>
        <v>3</v>
      </c>
      <c r="J67" s="7">
        <f ca="1">IFERROR(__xludf.DUMMYFUNCTION("""COMPUTED_VALUE"""),4)</f>
        <v>4</v>
      </c>
      <c r="K67" s="7" t="str">
        <f ca="1">IFERROR(__xludf.DUMMYFUNCTION("""COMPUTED_VALUE"""),"Бутасова Светлана Валерьевна")</f>
        <v>Бутасова Светлана Валерьевна</v>
      </c>
      <c r="L67" s="7" t="str">
        <f ca="1">IFERROR(__xludf.DUMMYFUNCTION("""COMPUTED_VALUE"""),"Бутасова Светлана Валерьевна")</f>
        <v>Бутасова Светлана Валерьевна</v>
      </c>
      <c r="M67" s="7" t="str">
        <f ca="1">IFERROR(__xludf.DUMMYFUNCTION("""COMPUTED_VALUE"""),"Чурсина Мария Вячеславовна")</f>
        <v>Чурсина Мария Вячеславовна</v>
      </c>
      <c r="N67" s="7"/>
      <c r="O67" s="7" t="str">
        <f ca="1">IFERROR(__xludf.DUMMYFUNCTION("""COMPUTED_VALUE"""),"Типовой")</f>
        <v>Типовой</v>
      </c>
      <c r="P67" s="7"/>
      <c r="Q67" s="7" t="str">
        <f ca="1">IFERROR(__xludf.DUMMYFUNCTION("""COMPUTED_VALUE"""),"Нет")</f>
        <v>Нет</v>
      </c>
      <c r="R67" s="7" t="str">
        <f ca="1">IFERROR(__xludf.DUMMYFUNCTION("""COMPUTED_VALUE"""),"Нет")</f>
        <v>Нет</v>
      </c>
      <c r="S67" s="7" t="str">
        <f ca="1">IFERROR(__xludf.DUMMYFUNCTION("""COMPUTED_VALUE"""),"Электронный аукцион")</f>
        <v>Электронный аукцион</v>
      </c>
      <c r="T67" s="7" t="str">
        <f ca="1">IFERROR(__xludf.DUMMYFUNCTION("""COMPUTED_VALUE"""),"Полностью YouTrackная")</f>
        <v>Полностью YouTrackная</v>
      </c>
      <c r="U67" s="7" t="str">
        <f ca="1">IFERROR(__xludf.DUMMYFUNCTION("""COMPUTED_VALUE"""),"Поставка труб и деталей трубопроводов")</f>
        <v>Поставка труб и деталей трубопроводов</v>
      </c>
      <c r="V67" s="10">
        <f ca="1">IFERROR(__xludf.DUMMYFUNCTION("""COMPUTED_VALUE"""),44132.5930555555)</f>
        <v>44132.593055555502</v>
      </c>
      <c r="W67" s="7">
        <f ca="1">IFERROR(__xludf.DUMMYFUNCTION("""COMPUTED_VALUE"""),0)</f>
        <v>0</v>
      </c>
      <c r="X67" s="16" t="str">
        <f ca="1">IFERROR(__xludf.DUMMYFUNCTION("""COMPUTED_VALUE"""),"36.38")</f>
        <v>36.38</v>
      </c>
      <c r="Y67" s="11">
        <f ca="1">IFERROR(__xludf.DUMMYFUNCTION("""COMPUTED_VALUE"""),44915)</f>
        <v>44915</v>
      </c>
      <c r="Z67" s="11">
        <f ca="1">IFERROR(__xludf.DUMMYFUNCTION("""COMPUTED_VALUE"""),44718)</f>
        <v>44718</v>
      </c>
      <c r="AA67" s="7" t="str">
        <f ca="1">IFERROR(__xludf.DUMMYFUNCTION("""COMPUTED_VALUE"""),"1.84")</f>
        <v>1.84</v>
      </c>
      <c r="AB67" s="7" t="str">
        <f ca="1">IFERROR(__xludf.DUMMYFUNCTION("""COMPUTED_VALUE"""),"64.43")</f>
        <v>64.43</v>
      </c>
      <c r="AC67" s="7" t="str">
        <f ca="1">IFERROR(__xludf.DUMMYFUNCTION("""COMPUTED_VALUE"""),"31.93")</f>
        <v>31.93</v>
      </c>
      <c r="AD67" s="7" t="str">
        <f ca="1">IFERROR(__xludf.DUMMYFUNCTION("""COMPUTED_VALUE"""),"43.8")</f>
        <v>43.8</v>
      </c>
      <c r="AE67" s="7" t="str">
        <f ca="1">IFERROR(__xludf.DUMMYFUNCTION("""COMPUTED_VALUE"""),"5.86")</f>
        <v>5.86</v>
      </c>
      <c r="AF67" s="8">
        <f ca="1">IFERROR(__xludf.DUMMYFUNCTION("""COMPUTED_VALUE"""),44714)</f>
        <v>44714</v>
      </c>
      <c r="AG67" s="7" t="str">
        <f ca="1">IFERROR(__xludf.DUMMYFUNCTION("""COMPUTED_VALUE"""),"12.86")</f>
        <v>12.86</v>
      </c>
      <c r="AH67" s="10">
        <f ca="1">IFERROR(__xludf.DUMMYFUNCTION("""COMPUTED_VALUE"""),44435.6880671296)</f>
        <v>44435.688067129602</v>
      </c>
      <c r="AI67" s="10">
        <f ca="1">IFERROR(__xludf.DUMMYFUNCTION("""COMPUTED_VALUE"""),44466.4706828703)</f>
        <v>44466.470682870298</v>
      </c>
      <c r="AJ67" s="7">
        <f ca="1">IFERROR(__xludf.DUMMYFUNCTION("""COMPUTED_VALUE"""),226)</f>
        <v>226</v>
      </c>
    </row>
    <row r="68" spans="1:36" ht="173.25" x14ac:dyDescent="0.2">
      <c r="A68" s="7">
        <f ca="1">IFERROR(__xludf.DUMMYFUNCTION("""COMPUTED_VALUE"""),109)</f>
        <v>109</v>
      </c>
      <c r="B68" s="7" t="str">
        <f ca="1">IFERROR(__xludf.DUMMYFUNCTION("""COMPUTED_VALUE"""),"FR-151")</f>
        <v>FR-151</v>
      </c>
      <c r="C68" s="9" t="str">
        <f ca="1">IFERROR(__xludf.DUMMYFUNCTION("""COMPUTED_VALUE"""),"Оказание услуг по техническому обслуживанию оборудования плоскостных 
парковок")</f>
        <v>Оказание услуг по техническому обслуживанию оборудования плоскостных 
парковок</v>
      </c>
      <c r="D68" s="7" t="str">
        <f ca="1">IFERROR(__xludf.DUMMYFUNCTION("""COMPUTED_VALUE"""),"Поручение ДЭПиР или руководства")</f>
        <v>Поручение ДЭПиР или руководства</v>
      </c>
      <c r="E68" s="7"/>
      <c r="F68" s="7"/>
      <c r="G68" s="7" t="str">
        <f ca="1">IFERROR(__xludf.DUMMYFUNCTION("""COMPUTED_VALUE"""),"ТТЗ")</f>
        <v>ТТЗ</v>
      </c>
      <c r="H68" s="7" t="str">
        <f ca="1">IFERROR(__xludf.DUMMYFUNCTION("""COMPUTED_VALUE"""),"Завершено")</f>
        <v>Завершено</v>
      </c>
      <c r="I68" s="7">
        <f ca="1">IFERROR(__xludf.DUMMYFUNCTION("""COMPUTED_VALUE"""),1)</f>
        <v>1</v>
      </c>
      <c r="J68" s="7">
        <f ca="1">IFERROR(__xludf.DUMMYFUNCTION("""COMPUTED_VALUE"""),2)</f>
        <v>2</v>
      </c>
      <c r="K68" s="7" t="str">
        <f ca="1">IFERROR(__xludf.DUMMYFUNCTION("""COMPUTED_VALUE"""),"Чурсина Мария Вячеславовна")</f>
        <v>Чурсина Мария Вячеславовна</v>
      </c>
      <c r="L68" s="7" t="str">
        <f ca="1">IFERROR(__xludf.DUMMYFUNCTION("""COMPUTED_VALUE"""),"Минин Александр Валерьевич")</f>
        <v>Минин Александр Валерьевич</v>
      </c>
      <c r="M68" s="7" t="str">
        <f ca="1">IFERROR(__xludf.DUMMYFUNCTION("""COMPUTED_VALUE"""),"Чурсина Мария Вячеславовна")</f>
        <v>Чурсина Мария Вячеславовна</v>
      </c>
      <c r="N68" s="7"/>
      <c r="O68" s="7"/>
      <c r="P68" s="7"/>
      <c r="Q68" s="7" t="str">
        <f ca="1">IFERROR(__xludf.DUMMYFUNCTION("""COMPUTED_VALUE"""),"Нет")</f>
        <v>Нет</v>
      </c>
      <c r="R68" s="7" t="str">
        <f ca="1">IFERROR(__xludf.DUMMYFUNCTION("""COMPUTED_VALUE"""),"Нет")</f>
        <v>Нет</v>
      </c>
      <c r="S68" s="7" t="str">
        <f ca="1">IFERROR(__xludf.DUMMYFUNCTION("""COMPUTED_VALUE"""),"Электронный аукцион")</f>
        <v>Электронный аукцион</v>
      </c>
      <c r="T68" s="7" t="str">
        <f ca="1">IFERROR(__xludf.DUMMYFUNCTION("""COMPUTED_VALUE"""),"Полностью YouTrackная")</f>
        <v>Полностью YouTrackная</v>
      </c>
      <c r="U68" s="7" t="str">
        <f ca="1">IFERROR(__xludf.DUMMYFUNCTION("""COMPUTED_VALUE"""),"Оказание услуг по техническому обслуживанию оборудования плоскостных 
парковок")</f>
        <v>Оказание услуг по техническому обслуживанию оборудования плоскостных 
парковок</v>
      </c>
      <c r="V68" s="10">
        <f ca="1">IFERROR(__xludf.DUMMYFUNCTION("""COMPUTED_VALUE"""),44132.6119675925)</f>
        <v>44132.6119675925</v>
      </c>
      <c r="W68" s="7"/>
      <c r="X68" s="16" t="str">
        <f ca="1">IFERROR(__xludf.DUMMYFUNCTION("""COMPUTED_VALUE"""),"31.83")</f>
        <v>31.83</v>
      </c>
      <c r="Y68" s="7" t="str">
        <f ca="1">IFERROR(__xludf.DUMMYFUNCTION("""COMPUTED_VALUE"""),"7.76")</f>
        <v>7.76</v>
      </c>
      <c r="Z68" s="7" t="str">
        <f ca="1">IFERROR(__xludf.DUMMYFUNCTION("""COMPUTED_VALUE"""),"4.42")</f>
        <v>4.42</v>
      </c>
      <c r="AA68" s="7" t="str">
        <f ca="1">IFERROR(__xludf.DUMMYFUNCTION("""COMPUTED_VALUE"""),"0.4")</f>
        <v>0.4</v>
      </c>
      <c r="AB68" s="7" t="str">
        <f ca="1">IFERROR(__xludf.DUMMYFUNCTION("""COMPUTED_VALUE"""),"114.7")</f>
        <v>114.7</v>
      </c>
      <c r="AC68" s="8">
        <f ca="1">IFERROR(__xludf.DUMMYFUNCTION("""COMPUTED_VALUE"""),44634)</f>
        <v>44634</v>
      </c>
      <c r="AD68" s="8">
        <f ca="1">IFERROR(__xludf.DUMMYFUNCTION("""COMPUTED_VALUE"""),44617)</f>
        <v>44617</v>
      </c>
      <c r="AE68" s="7" t="str">
        <f ca="1">IFERROR(__xludf.DUMMYFUNCTION("""COMPUTED_VALUE"""),"12.77")</f>
        <v>12.77</v>
      </c>
      <c r="AF68" s="8">
        <f ca="1">IFERROR(__xludf.DUMMYFUNCTION("""COMPUTED_VALUE"""),44714)</f>
        <v>44714</v>
      </c>
      <c r="AG68" s="11">
        <f ca="1">IFERROR(__xludf.DUMMYFUNCTION("""COMPUTED_VALUE"""),44900)</f>
        <v>44900</v>
      </c>
      <c r="AH68" s="10">
        <f ca="1">IFERROR(__xludf.DUMMYFUNCTION("""COMPUTED_VALUE"""),44426.7773148148)</f>
        <v>44426.777314814797</v>
      </c>
      <c r="AI68" s="10">
        <f ca="1">IFERROR(__xludf.DUMMYFUNCTION("""COMPUTED_VALUE"""),44454.7301851851)</f>
        <v>44454.730185185101</v>
      </c>
      <c r="AJ68" s="7">
        <f ca="1">IFERROR(__xludf.DUMMYFUNCTION("""COMPUTED_VALUE"""),219)</f>
        <v>219</v>
      </c>
    </row>
    <row r="69" spans="1:36" ht="173.25" x14ac:dyDescent="0.2">
      <c r="A69" s="7">
        <f ca="1">IFERROR(__xludf.DUMMYFUNCTION("""COMPUTED_VALUE"""),110)</f>
        <v>110</v>
      </c>
      <c r="B69" s="7" t="str">
        <f ca="1">IFERROR(__xludf.DUMMYFUNCTION("""COMPUTED_VALUE"""),"FR-152")</f>
        <v>FR-152</v>
      </c>
      <c r="C69" s="9" t="str">
        <f ca="1">IFERROR(__xludf.DUMMYFUNCTION("""COMPUTED_VALUE"""),"Оказание услуг по проведению диспансеризации государственных гражданских 
служащих")</f>
        <v>Оказание услуг по проведению диспансеризации государственных гражданских 
служащих</v>
      </c>
      <c r="D69" s="7" t="str">
        <f ca="1">IFERROR(__xludf.DUMMYFUNCTION("""COMPUTED_VALUE"""),"План по стандартизации")</f>
        <v>План по стандартизации</v>
      </c>
      <c r="E69" s="7">
        <f ca="1">IFERROR(__xludf.DUMMYFUNCTION("""COMPUTED_VALUE"""),2020)</f>
        <v>2020</v>
      </c>
      <c r="F69" s="7">
        <f ca="1">IFERROR(__xludf.DUMMYFUNCTION("""COMPUTED_VALUE"""),4)</f>
        <v>4</v>
      </c>
      <c r="G69" s="7" t="str">
        <f ca="1">IFERROR(__xludf.DUMMYFUNCTION("""COMPUTED_VALUE"""),"СТЗ")</f>
        <v>СТЗ</v>
      </c>
      <c r="H69" s="7" t="str">
        <f ca="1">IFERROR(__xludf.DUMMYFUNCTION("""COMPUTED_VALUE"""),"Завершено")</f>
        <v>Завершено</v>
      </c>
      <c r="I69" s="7">
        <f ca="1">IFERROR(__xludf.DUMMYFUNCTION("""COMPUTED_VALUE"""),1)</f>
        <v>1</v>
      </c>
      <c r="J69" s="7">
        <f ca="1">IFERROR(__xludf.DUMMYFUNCTION("""COMPUTED_VALUE"""),0)</f>
        <v>0</v>
      </c>
      <c r="K69" s="7" t="str">
        <f ca="1">IFERROR(__xludf.DUMMYFUNCTION("""COMPUTED_VALUE"""),"Кузнецова Ирина Валентиновна")</f>
        <v>Кузнецова Ирина Валентиновна</v>
      </c>
      <c r="L69" s="7" t="str">
        <f ca="1">IFERROR(__xludf.DUMMYFUNCTION("""COMPUTED_VALUE"""),"Столянков Андрей Владиславович")</f>
        <v>Столянков Андрей Владиславович</v>
      </c>
      <c r="M69" s="7" t="str">
        <f ca="1">IFERROR(__xludf.DUMMYFUNCTION("""COMPUTED_VALUE"""),"Магамгазиев Расул Висхаджиевич")</f>
        <v>Магамгазиев Расул Висхаджиевич</v>
      </c>
      <c r="N69" s="7"/>
      <c r="O69" s="7"/>
      <c r="P69" s="7"/>
      <c r="Q69" s="7"/>
      <c r="R69" s="7"/>
      <c r="S69" s="7"/>
      <c r="T69" s="7" t="str">
        <f ca="1">IFERROR(__xludf.DUMMYFUNCTION("""COMPUTED_VALUE"""),"Полностью YouTrackная")</f>
        <v>Полностью YouTrackная</v>
      </c>
      <c r="U69" s="7" t="str">
        <f ca="1">IFERROR(__xludf.DUMMYFUNCTION("""COMPUTED_VALUE"""),"Оказание услуг по проведению диспансеризации государственных гражданских 
служащих")</f>
        <v>Оказание услуг по проведению диспансеризации государственных гражданских 
служащих</v>
      </c>
      <c r="V69" s="10">
        <f ca="1">IFERROR(__xludf.DUMMYFUNCTION("""COMPUTED_VALUE"""),44132.7550231481)</f>
        <v>44132.7550231481</v>
      </c>
      <c r="W69" s="7" t="str">
        <f ca="1">IFERROR(__xludf.DUMMYFUNCTION("""COMPUTED_VALUE"""),"4.24")</f>
        <v>4.24</v>
      </c>
      <c r="X69" s="16" t="str">
        <f ca="1">IFERROR(__xludf.DUMMYFUNCTION("""COMPUTED_VALUE"""),"16.92")</f>
        <v>16.92</v>
      </c>
      <c r="Y69" s="7"/>
      <c r="Z69" s="7" t="str">
        <f ca="1">IFERROR(__xludf.DUMMYFUNCTION("""COMPUTED_VALUE"""),"2.87")</f>
        <v>2.87</v>
      </c>
      <c r="AA69" s="7" t="str">
        <f ca="1">IFERROR(__xludf.DUMMYFUNCTION("""COMPUTED_VALUE"""),"44.66")</f>
        <v>44.66</v>
      </c>
      <c r="AB69" s="7" t="str">
        <f ca="1">IFERROR(__xludf.DUMMYFUNCTION("""COMPUTED_VALUE"""),"53.33")</f>
        <v>53.33</v>
      </c>
      <c r="AC69" s="7" t="str">
        <f ca="1">IFERROR(__xludf.DUMMYFUNCTION("""COMPUTED_VALUE"""),"8.93")</f>
        <v>8.93</v>
      </c>
      <c r="AD69" s="7" t="str">
        <f ca="1">IFERROR(__xludf.DUMMYFUNCTION("""COMPUTED_VALUE"""),"35.71")</f>
        <v>35.71</v>
      </c>
      <c r="AE69" s="11">
        <f ca="1">IFERROR(__xludf.DUMMYFUNCTION("""COMPUTED_VALUE"""),44633)</f>
        <v>44633</v>
      </c>
      <c r="AF69" s="7">
        <f ca="1">IFERROR(__xludf.DUMMYFUNCTION("""COMPUTED_VALUE"""),0)</f>
        <v>0</v>
      </c>
      <c r="AG69" s="7" t="str">
        <f ca="1">IFERROR(__xludf.DUMMYFUNCTION("""COMPUTED_VALUE"""),"0.92")</f>
        <v>0.92</v>
      </c>
      <c r="AH69" s="10">
        <f ca="1">IFERROR(__xludf.DUMMYFUNCTION("""COMPUTED_VALUE"""),44383.4133217592)</f>
        <v>44383.413321759203</v>
      </c>
      <c r="AI69" s="10">
        <f ca="1">IFERROR(__xludf.DUMMYFUNCTION("""COMPUTED_VALUE"""),44403.6329050925)</f>
        <v>44403.632905092498</v>
      </c>
      <c r="AJ69" s="7">
        <f ca="1">IFERROR(__xludf.DUMMYFUNCTION("""COMPUTED_VALUE"""),177)</f>
        <v>177</v>
      </c>
    </row>
    <row r="70" spans="1:36" ht="141.75" x14ac:dyDescent="0.2">
      <c r="A70" s="7">
        <f ca="1">IFERROR(__xludf.DUMMYFUNCTION("""COMPUTED_VALUE"""),111)</f>
        <v>111</v>
      </c>
      <c r="B70" s="7" t="str">
        <f ca="1">IFERROR(__xludf.DUMMYFUNCTION("""COMPUTED_VALUE"""),"FR-153")</f>
        <v>FR-153</v>
      </c>
      <c r="C70" s="9" t="str">
        <f ca="1">IFERROR(__xludf.DUMMYFUNCTION("""COMPUTED_VALUE"""),"Оказание услуг по добровольному страхованию от несчастных случаев и болезней")</f>
        <v>Оказание услуг по добровольному страхованию от несчастных случаев и болезней</v>
      </c>
      <c r="D70" s="7" t="str">
        <f ca="1">IFERROR(__xludf.DUMMYFUNCTION("""COMPUTED_VALUE"""),"План по стандартизации")</f>
        <v>План по стандартизации</v>
      </c>
      <c r="E70" s="7">
        <f ca="1">IFERROR(__xludf.DUMMYFUNCTION("""COMPUTED_VALUE"""),2020)</f>
        <v>2020</v>
      </c>
      <c r="F70" s="7">
        <f ca="1">IFERROR(__xludf.DUMMYFUNCTION("""COMPUTED_VALUE"""),4)</f>
        <v>4</v>
      </c>
      <c r="G70" s="7" t="str">
        <f ca="1">IFERROR(__xludf.DUMMYFUNCTION("""COMPUTED_VALUE"""),"СТЗ")</f>
        <v>СТЗ</v>
      </c>
      <c r="H70" s="7" t="str">
        <f ca="1">IFERROR(__xludf.DUMMYFUNCTION("""COMPUTED_VALUE"""),"Завершено")</f>
        <v>Завершено</v>
      </c>
      <c r="I70" s="7">
        <f ca="1">IFERROR(__xludf.DUMMYFUNCTION("""COMPUTED_VALUE"""),2)</f>
        <v>2</v>
      </c>
      <c r="J70" s="7">
        <f ca="1">IFERROR(__xludf.DUMMYFUNCTION("""COMPUTED_VALUE"""),0)</f>
        <v>0</v>
      </c>
      <c r="K70" s="7" t="str">
        <f ca="1">IFERROR(__xludf.DUMMYFUNCTION("""COMPUTED_VALUE"""),"Кузнецова Ирина Валентиновна")</f>
        <v>Кузнецова Ирина Валентиновна</v>
      </c>
      <c r="L70" s="7" t="str">
        <f ca="1">IFERROR(__xludf.DUMMYFUNCTION("""COMPUTED_VALUE"""),"Столянков Андрей Владиславович")</f>
        <v>Столянков Андрей Владиславович</v>
      </c>
      <c r="M70" s="7" t="str">
        <f ca="1">IFERROR(__xludf.DUMMYFUNCTION("""COMPUTED_VALUE"""),"Магамгазиев Расул Висхаджиевич")</f>
        <v>Магамгазиев Расул Висхаджиевич</v>
      </c>
      <c r="N70" s="7"/>
      <c r="O70" s="7"/>
      <c r="P70" s="7"/>
      <c r="Q70" s="7"/>
      <c r="R70" s="7"/>
      <c r="S70" s="7"/>
      <c r="T70" s="7" t="str">
        <f ca="1">IFERROR(__xludf.DUMMYFUNCTION("""COMPUTED_VALUE"""),"Полностью YouTrackная")</f>
        <v>Полностью YouTrackная</v>
      </c>
      <c r="U70" s="7" t="str">
        <f ca="1">IFERROR(__xludf.DUMMYFUNCTION("""COMPUTED_VALUE"""),"Оказание услуг по добровольному страхованию от несчастных случаев и болезней")</f>
        <v>Оказание услуг по добровольному страхованию от несчастных случаев и болезней</v>
      </c>
      <c r="V70" s="10">
        <f ca="1">IFERROR(__xludf.DUMMYFUNCTION("""COMPUTED_VALUE"""),44132.7572453703)</f>
        <v>44132.757245370303</v>
      </c>
      <c r="W70" s="7" t="str">
        <f ca="1">IFERROR(__xludf.DUMMYFUNCTION("""COMPUTED_VALUE"""),"4.24")</f>
        <v>4.24</v>
      </c>
      <c r="X70" s="16" t="str">
        <f ca="1">IFERROR(__xludf.DUMMYFUNCTION("""COMPUTED_VALUE"""),"4.87")</f>
        <v>4.87</v>
      </c>
      <c r="Y70" s="7"/>
      <c r="Z70" s="7" t="str">
        <f ca="1">IFERROR(__xludf.DUMMYFUNCTION("""COMPUTED_VALUE"""),"0.24")</f>
        <v>0.24</v>
      </c>
      <c r="AA70" s="7" t="str">
        <f ca="1">IFERROR(__xludf.DUMMYFUNCTION("""COMPUTED_VALUE"""),"1.72")</f>
        <v>1.72</v>
      </c>
      <c r="AB70" s="7" t="str">
        <f ca="1">IFERROR(__xludf.DUMMYFUNCTION("""COMPUTED_VALUE"""),"3.84")</f>
        <v>3.84</v>
      </c>
      <c r="AC70" s="8">
        <f ca="1">IFERROR(__xludf.DUMMYFUNCTION("""COMPUTED_VALUE"""),44754)</f>
        <v>44754</v>
      </c>
      <c r="AD70" s="8">
        <f ca="1">IFERROR(__xludf.DUMMYFUNCTION("""COMPUTED_VALUE"""),44748)</f>
        <v>44748</v>
      </c>
      <c r="AE70" s="7" t="str">
        <f ca="1">IFERROR(__xludf.DUMMYFUNCTION("""COMPUTED_VALUE"""),"8.73")</f>
        <v>8.73</v>
      </c>
      <c r="AF70" s="7"/>
      <c r="AG70" s="7" t="str">
        <f ca="1">IFERROR(__xludf.DUMMYFUNCTION("""COMPUTED_VALUE"""),"0.2")</f>
        <v>0.2</v>
      </c>
      <c r="AH70" s="10">
        <f ca="1">IFERROR(__xludf.DUMMYFUNCTION("""COMPUTED_VALUE"""),44180.8188541666)</f>
        <v>44180.818854166602</v>
      </c>
      <c r="AI70" s="10">
        <f ca="1">IFERROR(__xludf.DUMMYFUNCTION("""COMPUTED_VALUE"""),44193.7482060185)</f>
        <v>44193.748206018499</v>
      </c>
      <c r="AJ70" s="7">
        <f ca="1">IFERROR(__xludf.DUMMYFUNCTION("""COMPUTED_VALUE"""),38)</f>
        <v>38</v>
      </c>
    </row>
    <row r="71" spans="1:36" ht="63" x14ac:dyDescent="0.2">
      <c r="A71" s="7">
        <f ca="1">IFERROR(__xludf.DUMMYFUNCTION("""COMPUTED_VALUE"""),112)</f>
        <v>112</v>
      </c>
      <c r="B71" s="7" t="str">
        <f ca="1">IFERROR(__xludf.DUMMYFUNCTION("""COMPUTED_VALUE"""),"FR-154")</f>
        <v>FR-154</v>
      </c>
      <c r="C71" s="9" t="str">
        <f ca="1">IFERROR(__xludf.DUMMYFUNCTION("""COMPUTED_VALUE"""),"Поставка линолеума")</f>
        <v>Поставка линолеума</v>
      </c>
      <c r="D71" s="7" t="str">
        <f ca="1">IFERROR(__xludf.DUMMYFUNCTION("""COMPUTED_VALUE"""),"План по стандартизации")</f>
        <v>План по стандартизации</v>
      </c>
      <c r="E71" s="7">
        <f ca="1">IFERROR(__xludf.DUMMYFUNCTION("""COMPUTED_VALUE"""),2020)</f>
        <v>2020</v>
      </c>
      <c r="F71" s="7">
        <f ca="1">IFERROR(__xludf.DUMMYFUNCTION("""COMPUTED_VALUE"""),4)</f>
        <v>4</v>
      </c>
      <c r="G71" s="7" t="str">
        <f ca="1">IFERROR(__xludf.DUMMYFUNCTION("""COMPUTED_VALUE"""),"СТЗ")</f>
        <v>СТЗ</v>
      </c>
      <c r="H71" s="7" t="str">
        <f ca="1">IFERROR(__xludf.DUMMYFUNCTION("""COMPUTED_VALUE"""),"Завершено")</f>
        <v>Завершено</v>
      </c>
      <c r="I71" s="7">
        <f ca="1">IFERROR(__xludf.DUMMYFUNCTION("""COMPUTED_VALUE"""),2)</f>
        <v>2</v>
      </c>
      <c r="J71" s="7">
        <f ca="1">IFERROR(__xludf.DUMMYFUNCTION("""COMPUTED_VALUE"""),1)</f>
        <v>1</v>
      </c>
      <c r="K71" s="7" t="str">
        <f ca="1">IFERROR(__xludf.DUMMYFUNCTION("""COMPUTED_VALUE"""),"Самойленко Антон Олегович")</f>
        <v>Самойленко Антон Олегович</v>
      </c>
      <c r="L71" s="7" t="str">
        <f ca="1">IFERROR(__xludf.DUMMYFUNCTION("""COMPUTED_VALUE"""),"Столянков Андрей Владиславович")</f>
        <v>Столянков Андрей Владиславович</v>
      </c>
      <c r="M71" s="7" t="str">
        <f ca="1">IFERROR(__xludf.DUMMYFUNCTION("""COMPUTED_VALUE"""),"Магамгазиев Расул Висхаджиевич")</f>
        <v>Магамгазиев Расул Висхаджиевич</v>
      </c>
      <c r="N71" s="7"/>
      <c r="O71" s="7"/>
      <c r="P71" s="7"/>
      <c r="Q71" s="7"/>
      <c r="R71" s="7"/>
      <c r="S71" s="7"/>
      <c r="T71" s="7" t="str">
        <f ca="1">IFERROR(__xludf.DUMMYFUNCTION("""COMPUTED_VALUE"""),"Полностью YouTrackная")</f>
        <v>Полностью YouTrackная</v>
      </c>
      <c r="U71" s="7" t="str">
        <f ca="1">IFERROR(__xludf.DUMMYFUNCTION("""COMPUTED_VALUE"""),"Поставка линолеума")</f>
        <v>Поставка линолеума</v>
      </c>
      <c r="V71" s="10">
        <f ca="1">IFERROR(__xludf.DUMMYFUNCTION("""COMPUTED_VALUE"""),44132.7592824074)</f>
        <v>44132.759282407402</v>
      </c>
      <c r="W71" s="7" t="str">
        <f ca="1">IFERROR(__xludf.DUMMYFUNCTION("""COMPUTED_VALUE"""),"0.77")</f>
        <v>0.77</v>
      </c>
      <c r="X71" s="16" t="str">
        <f ca="1">IFERROR(__xludf.DUMMYFUNCTION("""COMPUTED_VALUE"""),"0.04")</f>
        <v>0.04</v>
      </c>
      <c r="Y71" s="7" t="str">
        <f ca="1">IFERROR(__xludf.DUMMYFUNCTION("""COMPUTED_VALUE"""),"1.87")</f>
        <v>1.87</v>
      </c>
      <c r="Z71" s="7">
        <f ca="1">IFERROR(__xludf.DUMMYFUNCTION("""COMPUTED_VALUE"""),2)</f>
        <v>2</v>
      </c>
      <c r="AA71" s="7" t="str">
        <f ca="1">IFERROR(__xludf.DUMMYFUNCTION("""COMPUTED_VALUE"""),"7.14")</f>
        <v>7.14</v>
      </c>
      <c r="AB71" s="7" t="str">
        <f ca="1">IFERROR(__xludf.DUMMYFUNCTION("""COMPUTED_VALUE"""),"9.24")</f>
        <v>9.24</v>
      </c>
      <c r="AC71" s="7" t="str">
        <f ca="1">IFERROR(__xludf.DUMMYFUNCTION("""COMPUTED_VALUE"""),"15.69")</f>
        <v>15.69</v>
      </c>
      <c r="AD71" s="7">
        <f ca="1">IFERROR(__xludf.DUMMYFUNCTION("""COMPUTED_VALUE"""),23)</f>
        <v>23</v>
      </c>
      <c r="AE71" s="8">
        <f ca="1">IFERROR(__xludf.DUMMYFUNCTION("""COMPUTED_VALUE"""),44566)</f>
        <v>44566</v>
      </c>
      <c r="AF71" s="7"/>
      <c r="AG71" s="7" t="str">
        <f ca="1">IFERROR(__xludf.DUMMYFUNCTION("""COMPUTED_VALUE"""),"0.18")</f>
        <v>0.18</v>
      </c>
      <c r="AH71" s="10">
        <f ca="1">IFERROR(__xludf.DUMMYFUNCTION("""COMPUTED_VALUE"""),44225.5033217592)</f>
        <v>44225.503321759199</v>
      </c>
      <c r="AI71" s="10">
        <f ca="1">IFERROR(__xludf.DUMMYFUNCTION("""COMPUTED_VALUE"""),44232.6894212962)</f>
        <v>44232.6894212962</v>
      </c>
      <c r="AJ71" s="7">
        <f ca="1">IFERROR(__xludf.DUMMYFUNCTION("""COMPUTED_VALUE"""),64)</f>
        <v>64</v>
      </c>
    </row>
    <row r="72" spans="1:36" ht="78.75" x14ac:dyDescent="0.2">
      <c r="A72" s="7">
        <f ca="1">IFERROR(__xludf.DUMMYFUNCTION("""COMPUTED_VALUE"""),113)</f>
        <v>113</v>
      </c>
      <c r="B72" s="7" t="str">
        <f ca="1">IFERROR(__xludf.DUMMYFUNCTION("""COMPUTED_VALUE"""),"FR-155")</f>
        <v>FR-155</v>
      </c>
      <c r="C72" s="9" t="str">
        <f ca="1">IFERROR(__xludf.DUMMYFUNCTION("""COMPUTED_VALUE"""),"Поставка электрических водонагревателей")</f>
        <v>Поставка электрических водонагревателей</v>
      </c>
      <c r="D72" s="7" t="str">
        <f ca="1">IFERROR(__xludf.DUMMYFUNCTION("""COMPUTED_VALUE"""),"План по стандартизации")</f>
        <v>План по стандартизации</v>
      </c>
      <c r="E72" s="7">
        <f ca="1">IFERROR(__xludf.DUMMYFUNCTION("""COMPUTED_VALUE"""),2020)</f>
        <v>2020</v>
      </c>
      <c r="F72" s="7">
        <f ca="1">IFERROR(__xludf.DUMMYFUNCTION("""COMPUTED_VALUE"""),4)</f>
        <v>4</v>
      </c>
      <c r="G72" s="7" t="str">
        <f ca="1">IFERROR(__xludf.DUMMYFUNCTION("""COMPUTED_VALUE"""),"СТЗ")</f>
        <v>СТЗ</v>
      </c>
      <c r="H72" s="7" t="str">
        <f ca="1">IFERROR(__xludf.DUMMYFUNCTION("""COMPUTED_VALUE"""),"Завершено")</f>
        <v>Завершено</v>
      </c>
      <c r="I72" s="7">
        <f ca="1">IFERROR(__xludf.DUMMYFUNCTION("""COMPUTED_VALUE"""),1)</f>
        <v>1</v>
      </c>
      <c r="J72" s="7">
        <f ca="1">IFERROR(__xludf.DUMMYFUNCTION("""COMPUTED_VALUE"""),1)</f>
        <v>1</v>
      </c>
      <c r="K72" s="7" t="str">
        <f ca="1">IFERROR(__xludf.DUMMYFUNCTION("""COMPUTED_VALUE"""),"Баранов Алексей Александрович")</f>
        <v>Баранов Алексей Александрович</v>
      </c>
      <c r="L72" s="7" t="str">
        <f ca="1">IFERROR(__xludf.DUMMYFUNCTION("""COMPUTED_VALUE"""),"Столянков Андрей Владиславович")</f>
        <v>Столянков Андрей Владиславович</v>
      </c>
      <c r="M72" s="7" t="str">
        <f ca="1">IFERROR(__xludf.DUMMYFUNCTION("""COMPUTED_VALUE"""),"Магамгазиев Расул Висхаджиевич")</f>
        <v>Магамгазиев Расул Висхаджиевич</v>
      </c>
      <c r="N72" s="7"/>
      <c r="O72" s="7"/>
      <c r="P72" s="7"/>
      <c r="Q72" s="7"/>
      <c r="R72" s="7"/>
      <c r="S72" s="7"/>
      <c r="T72" s="7" t="str">
        <f ca="1">IFERROR(__xludf.DUMMYFUNCTION("""COMPUTED_VALUE"""),"Полностью YouTrackная")</f>
        <v>Полностью YouTrackная</v>
      </c>
      <c r="U72" s="7" t="str">
        <f ca="1">IFERROR(__xludf.DUMMYFUNCTION("""COMPUTED_VALUE"""),"Поставка электрических водонагревателей")</f>
        <v>Поставка электрических водонагревателей</v>
      </c>
      <c r="V72" s="10">
        <f ca="1">IFERROR(__xludf.DUMMYFUNCTION("""COMPUTED_VALUE"""),44132.7604513888)</f>
        <v>44132.7604513888</v>
      </c>
      <c r="W72" s="7" t="str">
        <f ca="1">IFERROR(__xludf.DUMMYFUNCTION("""COMPUTED_VALUE"""),"4.24")</f>
        <v>4.24</v>
      </c>
      <c r="X72" s="16" t="str">
        <f ca="1">IFERROR(__xludf.DUMMYFUNCTION("""COMPUTED_VALUE"""),"3.88")</f>
        <v>3.88</v>
      </c>
      <c r="Y72" s="7" t="str">
        <f ca="1">IFERROR(__xludf.DUMMYFUNCTION("""COMPUTED_VALUE"""),"3.72")</f>
        <v>3.72</v>
      </c>
      <c r="Z72" s="7" t="str">
        <f ca="1">IFERROR(__xludf.DUMMYFUNCTION("""COMPUTED_VALUE"""),"0.76")</f>
        <v>0.76</v>
      </c>
      <c r="AA72" s="11">
        <f ca="1">IFERROR(__xludf.DUMMYFUNCTION("""COMPUTED_VALUE"""),44776)</f>
        <v>44776</v>
      </c>
      <c r="AB72" s="7" t="str">
        <f ca="1">IFERROR(__xludf.DUMMYFUNCTION("""COMPUTED_VALUE"""),"8.23")</f>
        <v>8.23</v>
      </c>
      <c r="AC72" s="7" t="str">
        <f ca="1">IFERROR(__xludf.DUMMYFUNCTION("""COMPUTED_VALUE"""),"19.28")</f>
        <v>19.28</v>
      </c>
      <c r="AD72" s="7" t="str">
        <f ca="1">IFERROR(__xludf.DUMMYFUNCTION("""COMPUTED_VALUE"""),"15.84")</f>
        <v>15.84</v>
      </c>
      <c r="AE72" s="8">
        <f ca="1">IFERROR(__xludf.DUMMYFUNCTION("""COMPUTED_VALUE"""),44566)</f>
        <v>44566</v>
      </c>
      <c r="AF72" s="7"/>
      <c r="AG72" s="7" t="str">
        <f ca="1">IFERROR(__xludf.DUMMYFUNCTION("""COMPUTED_VALUE"""),"0.18")</f>
        <v>0.18</v>
      </c>
      <c r="AH72" s="10">
        <f ca="1">IFERROR(__xludf.DUMMYFUNCTION("""COMPUTED_VALUE"""),44225.5033912037)</f>
        <v>44225.503391203703</v>
      </c>
      <c r="AI72" s="10">
        <f ca="1">IFERROR(__xludf.DUMMYFUNCTION("""COMPUTED_VALUE"""),44232.6894560185)</f>
        <v>44232.689456018503</v>
      </c>
      <c r="AJ72" s="7">
        <f ca="1">IFERROR(__xludf.DUMMYFUNCTION("""COMPUTED_VALUE"""),61)</f>
        <v>61</v>
      </c>
    </row>
    <row r="73" spans="1:36" ht="78.75" x14ac:dyDescent="0.2">
      <c r="A73" s="7">
        <f ca="1">IFERROR(__xludf.DUMMYFUNCTION("""COMPUTED_VALUE"""),114)</f>
        <v>114</v>
      </c>
      <c r="B73" s="7" t="str">
        <f ca="1">IFERROR(__xludf.DUMMYFUNCTION("""COMPUTED_VALUE"""),"FR-156")</f>
        <v>FR-156</v>
      </c>
      <c r="C73" s="9" t="str">
        <f ca="1">IFERROR(__xludf.DUMMYFUNCTION("""COMPUTED_VALUE"""),"Поставка сборно-разборных конструкций")</f>
        <v>Поставка сборно-разборных конструкций</v>
      </c>
      <c r="D73" s="7" t="str">
        <f ca="1">IFERROR(__xludf.DUMMYFUNCTION("""COMPUTED_VALUE"""),"План по стандартизации")</f>
        <v>План по стандартизации</v>
      </c>
      <c r="E73" s="7">
        <f ca="1">IFERROR(__xludf.DUMMYFUNCTION("""COMPUTED_VALUE"""),2020)</f>
        <v>2020</v>
      </c>
      <c r="F73" s="7">
        <f ca="1">IFERROR(__xludf.DUMMYFUNCTION("""COMPUTED_VALUE"""),4)</f>
        <v>4</v>
      </c>
      <c r="G73" s="7" t="str">
        <f ca="1">IFERROR(__xludf.DUMMYFUNCTION("""COMPUTED_VALUE"""),"СТЗ")</f>
        <v>СТЗ</v>
      </c>
      <c r="H73" s="7" t="str">
        <f ca="1">IFERROR(__xludf.DUMMYFUNCTION("""COMPUTED_VALUE"""),"Завершено")</f>
        <v>Завершено</v>
      </c>
      <c r="I73" s="7">
        <f ca="1">IFERROR(__xludf.DUMMYFUNCTION("""COMPUTED_VALUE"""),8)</f>
        <v>8</v>
      </c>
      <c r="J73" s="7">
        <f ca="1">IFERROR(__xludf.DUMMYFUNCTION("""COMPUTED_VALUE"""),2)</f>
        <v>2</v>
      </c>
      <c r="K73" s="7" t="str">
        <f ca="1">IFERROR(__xludf.DUMMYFUNCTION("""COMPUTED_VALUE"""),"Баранов Алексей Александрович")</f>
        <v>Баранов Алексей Александрович</v>
      </c>
      <c r="L73" s="7" t="str">
        <f ca="1">IFERROR(__xludf.DUMMYFUNCTION("""COMPUTED_VALUE"""),"Столянков Андрей Владиславович")</f>
        <v>Столянков Андрей Владиславович</v>
      </c>
      <c r="M73" s="7" t="str">
        <f ca="1">IFERROR(__xludf.DUMMYFUNCTION("""COMPUTED_VALUE"""),"Магамгазиев Расул Висхаджиевич")</f>
        <v>Магамгазиев Расул Висхаджиевич</v>
      </c>
      <c r="N73" s="7"/>
      <c r="O73" s="7"/>
      <c r="P73" s="7"/>
      <c r="Q73" s="7"/>
      <c r="R73" s="7"/>
      <c r="S73" s="7"/>
      <c r="T73" s="7" t="str">
        <f ca="1">IFERROR(__xludf.DUMMYFUNCTION("""COMPUTED_VALUE"""),"Полностью YouTrackная")</f>
        <v>Полностью YouTrackная</v>
      </c>
      <c r="U73" s="7" t="str">
        <f ca="1">IFERROR(__xludf.DUMMYFUNCTION("""COMPUTED_VALUE"""),"Поставка сборно-разборных конструкций")</f>
        <v>Поставка сборно-разборных конструкций</v>
      </c>
      <c r="V73" s="10">
        <f ca="1">IFERROR(__xludf.DUMMYFUNCTION("""COMPUTED_VALUE"""),44132.7614004629)</f>
        <v>44132.761400462899</v>
      </c>
      <c r="W73" s="7" t="str">
        <f ca="1">IFERROR(__xludf.DUMMYFUNCTION("""COMPUTED_VALUE"""),"4.24")</f>
        <v>4.24</v>
      </c>
      <c r="X73" s="16" t="str">
        <f ca="1">IFERROR(__xludf.DUMMYFUNCTION("""COMPUTED_VALUE"""),"3.88")</f>
        <v>3.88</v>
      </c>
      <c r="Y73" s="7" t="str">
        <f ca="1">IFERROR(__xludf.DUMMYFUNCTION("""COMPUTED_VALUE"""),"6.52")</f>
        <v>6.52</v>
      </c>
      <c r="Z73" s="7" t="str">
        <f ca="1">IFERROR(__xludf.DUMMYFUNCTION("""COMPUTED_VALUE"""),"11.75")</f>
        <v>11.75</v>
      </c>
      <c r="AA73" s="7" t="str">
        <f ca="1">IFERROR(__xludf.DUMMYFUNCTION("""COMPUTED_VALUE"""),"14.76")</f>
        <v>14.76</v>
      </c>
      <c r="AB73" s="7" t="str">
        <f ca="1">IFERROR(__xludf.DUMMYFUNCTION("""COMPUTED_VALUE"""),"65.88")</f>
        <v>65.88</v>
      </c>
      <c r="AC73" s="7" t="str">
        <f ca="1">IFERROR(__xludf.DUMMYFUNCTION("""COMPUTED_VALUE"""),"15.83")</f>
        <v>15.83</v>
      </c>
      <c r="AD73" s="7" t="str">
        <f ca="1">IFERROR(__xludf.DUMMYFUNCTION("""COMPUTED_VALUE"""),"43.8")</f>
        <v>43.8</v>
      </c>
      <c r="AE73" s="11">
        <f ca="1">IFERROR(__xludf.DUMMYFUNCTION("""COMPUTED_VALUE"""),44633)</f>
        <v>44633</v>
      </c>
      <c r="AF73" s="7">
        <f ca="1">IFERROR(__xludf.DUMMYFUNCTION("""COMPUTED_VALUE"""),0)</f>
        <v>0</v>
      </c>
      <c r="AG73" s="7" t="str">
        <f ca="1">IFERROR(__xludf.DUMMYFUNCTION("""COMPUTED_VALUE"""),"0.92")</f>
        <v>0.92</v>
      </c>
      <c r="AH73" s="10">
        <f ca="1">IFERROR(__xludf.DUMMYFUNCTION("""COMPUTED_VALUE"""),44383.4134027777)</f>
        <v>44383.413402777704</v>
      </c>
      <c r="AI73" s="10">
        <f ca="1">IFERROR(__xludf.DUMMYFUNCTION("""COMPUTED_VALUE"""),44403.630474537)</f>
        <v>44403.630474537</v>
      </c>
      <c r="AJ73" s="7">
        <f ca="1">IFERROR(__xludf.DUMMYFUNCTION("""COMPUTED_VALUE"""),177)</f>
        <v>177</v>
      </c>
    </row>
    <row r="74" spans="1:36" ht="78.75" x14ac:dyDescent="0.2">
      <c r="A74" s="7">
        <f ca="1">IFERROR(__xludf.DUMMYFUNCTION("""COMPUTED_VALUE"""),115)</f>
        <v>115</v>
      </c>
      <c r="B74" s="7" t="str">
        <f ca="1">IFERROR(__xludf.DUMMYFUNCTION("""COMPUTED_VALUE"""),"FR-159")</f>
        <v>FR-159</v>
      </c>
      <c r="C74" s="9" t="str">
        <f ca="1">IFERROR(__xludf.DUMMYFUNCTION("""COMPUTED_VALUE"""),"Поставка музыкальных инструментов")</f>
        <v>Поставка музыкальных инструментов</v>
      </c>
      <c r="D74" s="7" t="str">
        <f ca="1">IFERROR(__xludf.DUMMYFUNCTION("""COMPUTED_VALUE"""),"План по стандартизации")</f>
        <v>План по стандартизации</v>
      </c>
      <c r="E74" s="7">
        <f ca="1">IFERROR(__xludf.DUMMYFUNCTION("""COMPUTED_VALUE"""),2020)</f>
        <v>2020</v>
      </c>
      <c r="F74" s="7">
        <f ca="1">IFERROR(__xludf.DUMMYFUNCTION("""COMPUTED_VALUE"""),4)</f>
        <v>4</v>
      </c>
      <c r="G74" s="7" t="str">
        <f ca="1">IFERROR(__xludf.DUMMYFUNCTION("""COMPUTED_VALUE"""),"СТЗ")</f>
        <v>СТЗ</v>
      </c>
      <c r="H74" s="7" t="str">
        <f ca="1">IFERROR(__xludf.DUMMYFUNCTION("""COMPUTED_VALUE"""),"Завершено")</f>
        <v>Завершено</v>
      </c>
      <c r="I74" s="7">
        <f ca="1">IFERROR(__xludf.DUMMYFUNCTION("""COMPUTED_VALUE"""),1)</f>
        <v>1</v>
      </c>
      <c r="J74" s="7">
        <f ca="1">IFERROR(__xludf.DUMMYFUNCTION("""COMPUTED_VALUE"""),1)</f>
        <v>1</v>
      </c>
      <c r="K74" s="7" t="str">
        <f ca="1">IFERROR(__xludf.DUMMYFUNCTION("""COMPUTED_VALUE"""),"Дергунов Дмитрий Александрович")</f>
        <v>Дергунов Дмитрий Александрович</v>
      </c>
      <c r="L74" s="7" t="str">
        <f ca="1">IFERROR(__xludf.DUMMYFUNCTION("""COMPUTED_VALUE"""),"Столянков Андрей Владиславович")</f>
        <v>Столянков Андрей Владиславович</v>
      </c>
      <c r="M74" s="7" t="str">
        <f ca="1">IFERROR(__xludf.DUMMYFUNCTION("""COMPUTED_VALUE"""),"Магамгазиев Расул Висхаджиевич")</f>
        <v>Магамгазиев Расул Висхаджиевич</v>
      </c>
      <c r="N74" s="7"/>
      <c r="O74" s="7"/>
      <c r="P74" s="7"/>
      <c r="Q74" s="7"/>
      <c r="R74" s="7"/>
      <c r="S74" s="7"/>
      <c r="T74" s="7" t="str">
        <f ca="1">IFERROR(__xludf.DUMMYFUNCTION("""COMPUTED_VALUE"""),"Полностью YouTrackная")</f>
        <v>Полностью YouTrackная</v>
      </c>
      <c r="U74" s="7" t="str">
        <f ca="1">IFERROR(__xludf.DUMMYFUNCTION("""COMPUTED_VALUE"""),"Поставка музыкальных инструментов")</f>
        <v>Поставка музыкальных инструментов</v>
      </c>
      <c r="V74" s="10">
        <f ca="1">IFERROR(__xludf.DUMMYFUNCTION("""COMPUTED_VALUE"""),44132.7669328703)</f>
        <v>44132.766932870298</v>
      </c>
      <c r="W74" s="7" t="str">
        <f ca="1">IFERROR(__xludf.DUMMYFUNCTION("""COMPUTED_VALUE"""),"4.23")</f>
        <v>4.23</v>
      </c>
      <c r="X74" s="16" t="str">
        <f ca="1">IFERROR(__xludf.DUMMYFUNCTION("""COMPUTED_VALUE"""),"30.46")</f>
        <v>30.46</v>
      </c>
      <c r="Y74" s="7" t="str">
        <f ca="1">IFERROR(__xludf.DUMMYFUNCTION("""COMPUTED_VALUE"""),"8.88")</f>
        <v>8.88</v>
      </c>
      <c r="Z74" s="7" t="str">
        <f ca="1">IFERROR(__xludf.DUMMYFUNCTION("""COMPUTED_VALUE"""),"1.97")</f>
        <v>1.97</v>
      </c>
      <c r="AA74" s="7" t="str">
        <f ca="1">IFERROR(__xludf.DUMMYFUNCTION("""COMPUTED_VALUE"""),"3.77")</f>
        <v>3.77</v>
      </c>
      <c r="AB74" s="7" t="str">
        <f ca="1">IFERROR(__xludf.DUMMYFUNCTION("""COMPUTED_VALUE"""),"45.45")</f>
        <v>45.45</v>
      </c>
      <c r="AC74" s="7" t="str">
        <f ca="1">IFERROR(__xludf.DUMMYFUNCTION("""COMPUTED_VALUE"""),"17.27")</f>
        <v>17.27</v>
      </c>
      <c r="AD74" s="7" t="str">
        <f ca="1">IFERROR(__xludf.DUMMYFUNCTION("""COMPUTED_VALUE"""),"9.91")</f>
        <v>9.91</v>
      </c>
      <c r="AE74" s="7" t="str">
        <f ca="1">IFERROR(__xludf.DUMMYFUNCTION("""COMPUTED_VALUE"""),"14.77")</f>
        <v>14.77</v>
      </c>
      <c r="AF74" s="7">
        <f ca="1">IFERROR(__xludf.DUMMYFUNCTION("""COMPUTED_VALUE"""),0)</f>
        <v>0</v>
      </c>
      <c r="AG74" s="7" t="str">
        <f ca="1">IFERROR(__xludf.DUMMYFUNCTION("""COMPUTED_VALUE"""),"0.2")</f>
        <v>0.2</v>
      </c>
      <c r="AH74" s="10">
        <f ca="1">IFERROR(__xludf.DUMMYFUNCTION("""COMPUTED_VALUE"""),44315.7011574074)</f>
        <v>44315.701157407399</v>
      </c>
      <c r="AI74" s="10">
        <f ca="1">IFERROR(__xludf.DUMMYFUNCTION("""COMPUTED_VALUE"""),44340.6715162037)</f>
        <v>44340.6715162037</v>
      </c>
      <c r="AJ74" s="7">
        <f ca="1">IFERROR(__xludf.DUMMYFUNCTION("""COMPUTED_VALUE"""),133)</f>
        <v>133</v>
      </c>
    </row>
    <row r="75" spans="1:36" ht="189" x14ac:dyDescent="0.2">
      <c r="A75" s="7">
        <f ca="1">IFERROR(__xludf.DUMMYFUNCTION("""COMPUTED_VALUE"""),116)</f>
        <v>116</v>
      </c>
      <c r="B75" s="7" t="str">
        <f ca="1">IFERROR(__xludf.DUMMYFUNCTION("""COMPUTED_VALUE"""),"FR-160")</f>
        <v>FR-160</v>
      </c>
      <c r="C75" s="9" t="str">
        <f ca="1">IFERROR(__xludf.DUMMYFUNCTION("""COMPUTED_VALUE"""),"Поставка снарядов, инвентаря и оборудования для занятий физкультурой и 
атлетикой в спортивных залах")</f>
        <v>Поставка снарядов, инвентаря и оборудования для занятий физкультурой и 
атлетикой в спортивных залах</v>
      </c>
      <c r="D75" s="7" t="str">
        <f ca="1">IFERROR(__xludf.DUMMYFUNCTION("""COMPUTED_VALUE"""),"План по стандартизации")</f>
        <v>План по стандартизации</v>
      </c>
      <c r="E75" s="7">
        <f ca="1">IFERROR(__xludf.DUMMYFUNCTION("""COMPUTED_VALUE"""),2020)</f>
        <v>2020</v>
      </c>
      <c r="F75" s="7">
        <f ca="1">IFERROR(__xludf.DUMMYFUNCTION("""COMPUTED_VALUE"""),4)</f>
        <v>4</v>
      </c>
      <c r="G75" s="7" t="str">
        <f ca="1">IFERROR(__xludf.DUMMYFUNCTION("""COMPUTED_VALUE"""),"СТЗ")</f>
        <v>СТЗ</v>
      </c>
      <c r="H75" s="7" t="str">
        <f ca="1">IFERROR(__xludf.DUMMYFUNCTION("""COMPUTED_VALUE"""),"Завершено")</f>
        <v>Завершено</v>
      </c>
      <c r="I75" s="7">
        <f ca="1">IFERROR(__xludf.DUMMYFUNCTION("""COMPUTED_VALUE"""),8)</f>
        <v>8</v>
      </c>
      <c r="J75" s="7">
        <f ca="1">IFERROR(__xludf.DUMMYFUNCTION("""COMPUTED_VALUE"""),1)</f>
        <v>1</v>
      </c>
      <c r="K75" s="7" t="str">
        <f ca="1">IFERROR(__xludf.DUMMYFUNCTION("""COMPUTED_VALUE"""),"Долудо Юлия Борисовна")</f>
        <v>Долудо Юлия Борисовна</v>
      </c>
      <c r="L75" s="7" t="str">
        <f ca="1">IFERROR(__xludf.DUMMYFUNCTION("""COMPUTED_VALUE"""),"Столянков Андрей Владиславович")</f>
        <v>Столянков Андрей Владиславович</v>
      </c>
      <c r="M75" s="7" t="str">
        <f ca="1">IFERROR(__xludf.DUMMYFUNCTION("""COMPUTED_VALUE"""),"Магамгазиев Расул Висхаджиевич")</f>
        <v>Магамгазиев Расул Висхаджиевич</v>
      </c>
      <c r="N75" s="7"/>
      <c r="O75" s="7"/>
      <c r="P75" s="7"/>
      <c r="Q75" s="7"/>
      <c r="R75" s="7"/>
      <c r="S75" s="7"/>
      <c r="T75" s="7" t="str">
        <f ca="1">IFERROR(__xludf.DUMMYFUNCTION("""COMPUTED_VALUE"""),"Полностью YouTrackная")</f>
        <v>Полностью YouTrackная</v>
      </c>
      <c r="U75" s="7" t="str">
        <f ca="1">IFERROR(__xludf.DUMMYFUNCTION("""COMPUTED_VALUE"""),"Поставка снарядов, инвентаря и оборудования для занятий физкультурой и 
атлетикой в спортивных залах")</f>
        <v>Поставка снарядов, инвентаря и оборудования для занятий физкультурой и 
атлетикой в спортивных залах</v>
      </c>
      <c r="V75" s="10">
        <f ca="1">IFERROR(__xludf.DUMMYFUNCTION("""COMPUTED_VALUE"""),44132.7709837963)</f>
        <v>44132.770983796298</v>
      </c>
      <c r="W75" s="7" t="str">
        <f ca="1">IFERROR(__xludf.DUMMYFUNCTION("""COMPUTED_VALUE"""),"4.23")</f>
        <v>4.23</v>
      </c>
      <c r="X75" s="16" t="str">
        <f ca="1">IFERROR(__xludf.DUMMYFUNCTION("""COMPUTED_VALUE"""),"31.48")</f>
        <v>31.48</v>
      </c>
      <c r="Y75" s="7" t="str">
        <f ca="1">IFERROR(__xludf.DUMMYFUNCTION("""COMPUTED_VALUE"""),"10.88")</f>
        <v>10.88</v>
      </c>
      <c r="Z75" s="7" t="str">
        <f ca="1">IFERROR(__xludf.DUMMYFUNCTION("""COMPUTED_VALUE"""),"18.75")</f>
        <v>18.75</v>
      </c>
      <c r="AA75" s="7" t="str">
        <f ca="1">IFERROR(__xludf.DUMMYFUNCTION("""COMPUTED_VALUE"""),"2.32")</f>
        <v>2.32</v>
      </c>
      <c r="AB75" s="7" t="str">
        <f ca="1">IFERROR(__xludf.DUMMYFUNCTION("""COMPUTED_VALUE"""),"71.24")</f>
        <v>71.24</v>
      </c>
      <c r="AC75" s="8">
        <f ca="1">IFERROR(__xludf.DUMMYFUNCTION("""COMPUTED_VALUE"""),44758)</f>
        <v>44758</v>
      </c>
      <c r="AD75" s="7" t="str">
        <f ca="1">IFERROR(__xludf.DUMMYFUNCTION("""COMPUTED_VALUE"""),"11.68")</f>
        <v>11.68</v>
      </c>
      <c r="AE75" s="11">
        <f ca="1">IFERROR(__xludf.DUMMYFUNCTION("""COMPUTED_VALUE"""),44633)</f>
        <v>44633</v>
      </c>
      <c r="AF75" s="7">
        <f ca="1">IFERROR(__xludf.DUMMYFUNCTION("""COMPUTED_VALUE"""),0)</f>
        <v>0</v>
      </c>
      <c r="AG75" s="7" t="str">
        <f ca="1">IFERROR(__xludf.DUMMYFUNCTION("""COMPUTED_VALUE"""),"2.93")</f>
        <v>2.93</v>
      </c>
      <c r="AH75" s="10">
        <f ca="1">IFERROR(__xludf.DUMMYFUNCTION("""COMPUTED_VALUE"""),44383.4134953703)</f>
        <v>44383.413495370303</v>
      </c>
      <c r="AI75" s="10">
        <f ca="1">IFERROR(__xludf.DUMMYFUNCTION("""COMPUTED_VALUE"""),44405.647037037)</f>
        <v>44405.647037037001</v>
      </c>
      <c r="AJ75" s="7">
        <f ca="1">IFERROR(__xludf.DUMMYFUNCTION("""COMPUTED_VALUE"""),179)</f>
        <v>179</v>
      </c>
    </row>
    <row r="76" spans="1:36" ht="110.25" x14ac:dyDescent="0.2">
      <c r="A76" s="7">
        <f ca="1">IFERROR(__xludf.DUMMYFUNCTION("""COMPUTED_VALUE"""),117)</f>
        <v>117</v>
      </c>
      <c r="B76" s="7" t="str">
        <f ca="1">IFERROR(__xludf.DUMMYFUNCTION("""COMPUTED_VALUE"""),"FR-161")</f>
        <v>FR-161</v>
      </c>
      <c r="C76" s="9" t="str">
        <f ca="1">IFERROR(__xludf.DUMMYFUNCTION("""COMPUTED_VALUE"""),"Оказание услуг по обязательному страхованию жизни и здоровья")</f>
        <v>Оказание услуг по обязательному страхованию жизни и здоровья</v>
      </c>
      <c r="D76" s="7" t="str">
        <f ca="1">IFERROR(__xludf.DUMMYFUNCTION("""COMPUTED_VALUE"""),"План по стандартизации")</f>
        <v>План по стандартизации</v>
      </c>
      <c r="E76" s="7">
        <f ca="1">IFERROR(__xludf.DUMMYFUNCTION("""COMPUTED_VALUE"""),2020)</f>
        <v>2020</v>
      </c>
      <c r="F76" s="7">
        <f ca="1">IFERROR(__xludf.DUMMYFUNCTION("""COMPUTED_VALUE"""),4)</f>
        <v>4</v>
      </c>
      <c r="G76" s="7" t="str">
        <f ca="1">IFERROR(__xludf.DUMMYFUNCTION("""COMPUTED_VALUE"""),"СТЗ")</f>
        <v>СТЗ</v>
      </c>
      <c r="H76" s="7" t="str">
        <f ca="1">IFERROR(__xludf.DUMMYFUNCTION("""COMPUTED_VALUE"""),"Завершено")</f>
        <v>Завершено</v>
      </c>
      <c r="I76" s="7">
        <f ca="1">IFERROR(__xludf.DUMMYFUNCTION("""COMPUTED_VALUE"""),1)</f>
        <v>1</v>
      </c>
      <c r="J76" s="7">
        <f ca="1">IFERROR(__xludf.DUMMYFUNCTION("""COMPUTED_VALUE"""),0)</f>
        <v>0</v>
      </c>
      <c r="K76" s="7" t="str">
        <f ca="1">IFERROR(__xludf.DUMMYFUNCTION("""COMPUTED_VALUE"""),"Кузнецова Ирина Валентиновна")</f>
        <v>Кузнецова Ирина Валентиновна</v>
      </c>
      <c r="L76" s="7" t="str">
        <f ca="1">IFERROR(__xludf.DUMMYFUNCTION("""COMPUTED_VALUE"""),"Столянков Андрей Владиславович")</f>
        <v>Столянков Андрей Владиславович</v>
      </c>
      <c r="M76" s="7" t="str">
        <f ca="1">IFERROR(__xludf.DUMMYFUNCTION("""COMPUTED_VALUE"""),"Магамгазиев Расул Висхаджиевич")</f>
        <v>Магамгазиев Расул Висхаджиевич</v>
      </c>
      <c r="N76" s="7"/>
      <c r="O76" s="7"/>
      <c r="P76" s="7"/>
      <c r="Q76" s="7"/>
      <c r="R76" s="7"/>
      <c r="S76" s="7"/>
      <c r="T76" s="7" t="str">
        <f ca="1">IFERROR(__xludf.DUMMYFUNCTION("""COMPUTED_VALUE"""),"Полностью YouTrackная")</f>
        <v>Полностью YouTrackная</v>
      </c>
      <c r="U76" s="7" t="str">
        <f ca="1">IFERROR(__xludf.DUMMYFUNCTION("""COMPUTED_VALUE"""),"Оказание услуг по обязательному страхованию жизни и здоровья")</f>
        <v>Оказание услуг по обязательному страхованию жизни и здоровья</v>
      </c>
      <c r="V76" s="10">
        <f ca="1">IFERROR(__xludf.DUMMYFUNCTION("""COMPUTED_VALUE"""),44132.7727662037)</f>
        <v>44132.7727662037</v>
      </c>
      <c r="W76" s="7" t="str">
        <f ca="1">IFERROR(__xludf.DUMMYFUNCTION("""COMPUTED_VALUE"""),"4.23")</f>
        <v>4.23</v>
      </c>
      <c r="X76" s="16" t="str">
        <f ca="1">IFERROR(__xludf.DUMMYFUNCTION("""COMPUTED_VALUE"""),"16.92")</f>
        <v>16.92</v>
      </c>
      <c r="Y76" s="7">
        <f ca="1">IFERROR(__xludf.DUMMYFUNCTION("""COMPUTED_VALUE"""),0)</f>
        <v>0</v>
      </c>
      <c r="Z76" s="7" t="str">
        <f ca="1">IFERROR(__xludf.DUMMYFUNCTION("""COMPUTED_VALUE"""),"0.22")</f>
        <v>0.22</v>
      </c>
      <c r="AA76" s="7" t="str">
        <f ca="1">IFERROR(__xludf.DUMMYFUNCTION("""COMPUTED_VALUE"""),"8.78")</f>
        <v>8.78</v>
      </c>
      <c r="AB76" s="7" t="str">
        <f ca="1">IFERROR(__xludf.DUMMYFUNCTION("""COMPUTED_VALUE"""),"3.89")</f>
        <v>3.89</v>
      </c>
      <c r="AC76" s="11">
        <f ca="1">IFERROR(__xludf.DUMMYFUNCTION("""COMPUTED_VALUE"""),44813)</f>
        <v>44813</v>
      </c>
      <c r="AD76" s="7" t="str">
        <f ca="1">IFERROR(__xludf.DUMMYFUNCTION("""COMPUTED_VALUE"""),"15.79")</f>
        <v>15.79</v>
      </c>
      <c r="AE76" s="8">
        <f ca="1">IFERROR(__xludf.DUMMYFUNCTION("""COMPUTED_VALUE"""),44566)</f>
        <v>44566</v>
      </c>
      <c r="AF76" s="7"/>
      <c r="AG76" s="7" t="str">
        <f ca="1">IFERROR(__xludf.DUMMYFUNCTION("""COMPUTED_VALUE"""),"0.18")</f>
        <v>0.18</v>
      </c>
      <c r="AH76" s="10">
        <f ca="1">IFERROR(__xludf.DUMMYFUNCTION("""COMPUTED_VALUE"""),44225.5034837962)</f>
        <v>44225.503483796201</v>
      </c>
      <c r="AI76" s="10">
        <f ca="1">IFERROR(__xludf.DUMMYFUNCTION("""COMPUTED_VALUE"""),44232.6894791666)</f>
        <v>44232.689479166598</v>
      </c>
      <c r="AJ76" s="7">
        <f ca="1">IFERROR(__xludf.DUMMYFUNCTION("""COMPUTED_VALUE"""),61)</f>
        <v>61</v>
      </c>
    </row>
    <row r="77" spans="1:36" ht="393.75" x14ac:dyDescent="0.2">
      <c r="A77" s="7">
        <f ca="1">IFERROR(__xludf.DUMMYFUNCTION("""COMPUTED_VALUE"""),118)</f>
        <v>118</v>
      </c>
      <c r="B77" s="7" t="str">
        <f ca="1">IFERROR(__xludf.DUMMYFUNCTION("""COMPUTED_VALUE"""),"FR-162")</f>
        <v>FR-162</v>
      </c>
      <c r="C77" s="9" t="str">
        <f ca="1">IFERROR(__xludf.DUMMYFUNCTION("""COMPUTED_VALUE"""),"Оказание услуг по безденежному оформлению и предоставлению 
гражданам-получателям социальных услуг из числа льготных категорий билетов 
на проезд междугородным авиационным транспортом к месту лечения")</f>
        <v>Оказание услуг по безденежному оформлению и предоставлению 
гражданам-получателям социальных услуг из числа льготных категорий билетов 
на проезд междугородным авиационным транспортом к месту лечения</v>
      </c>
      <c r="D77" s="7" t="str">
        <f ca="1">IFERROR(__xludf.DUMMYFUNCTION("""COMPUTED_VALUE"""),"План по стандартизации")</f>
        <v>План по стандартизации</v>
      </c>
      <c r="E77" s="7">
        <f ca="1">IFERROR(__xludf.DUMMYFUNCTION("""COMPUTED_VALUE"""),2020)</f>
        <v>2020</v>
      </c>
      <c r="F77" s="7">
        <f ca="1">IFERROR(__xludf.DUMMYFUNCTION("""COMPUTED_VALUE"""),4)</f>
        <v>4</v>
      </c>
      <c r="G77" s="7" t="str">
        <f ca="1">IFERROR(__xludf.DUMMYFUNCTION("""COMPUTED_VALUE"""),"ТТЗ")</f>
        <v>ТТЗ</v>
      </c>
      <c r="H77" s="7" t="str">
        <f ca="1">IFERROR(__xludf.DUMMYFUNCTION("""COMPUTED_VALUE"""),"Завершено")</f>
        <v>Завершено</v>
      </c>
      <c r="I77" s="7">
        <f ca="1">IFERROR(__xludf.DUMMYFUNCTION("""COMPUTED_VALUE"""),1)</f>
        <v>1</v>
      </c>
      <c r="J77" s="7">
        <f ca="1">IFERROR(__xludf.DUMMYFUNCTION("""COMPUTED_VALUE"""),5)</f>
        <v>5</v>
      </c>
      <c r="K77" s="7" t="str">
        <f ca="1">IFERROR(__xludf.DUMMYFUNCTION("""COMPUTED_VALUE"""),"Уфаркина Наталья Геннадьевна")</f>
        <v>Уфаркина Наталья Геннадьевна</v>
      </c>
      <c r="L77" s="7" t="str">
        <f ca="1">IFERROR(__xludf.DUMMYFUNCTION("""COMPUTED_VALUE"""),"Уфаркина Наталья Геннадьевна")</f>
        <v>Уфаркина Наталья Геннадьевна</v>
      </c>
      <c r="M77" s="7" t="str">
        <f ca="1">IFERROR(__xludf.DUMMYFUNCTION("""COMPUTED_VALUE"""),"Гудиев Зелимхан Куйраевич")</f>
        <v>Гудиев Зелимхан Куйраевич</v>
      </c>
      <c r="N77" s="7"/>
      <c r="O77" s="7" t="str">
        <f ca="1">IFERROR(__xludf.DUMMYFUNCTION("""COMPUTED_VALUE"""),"Типовой")</f>
        <v>Типовой</v>
      </c>
      <c r="P77" s="7"/>
      <c r="Q77" s="7" t="str">
        <f ca="1">IFERROR(__xludf.DUMMYFUNCTION("""COMPUTED_VALUE"""),"44-ФЗ")</f>
        <v>44-ФЗ</v>
      </c>
      <c r="R77" s="7" t="str">
        <f ca="1">IFERROR(__xludf.DUMMYFUNCTION("""COMPUTED_VALUE"""),"Нет")</f>
        <v>Нет</v>
      </c>
      <c r="S77" s="7" t="str">
        <f ca="1">IFERROR(__xludf.DUMMYFUNCTION("""COMPUTED_VALUE"""),"Открытый конкурс")</f>
        <v>Открытый конкурс</v>
      </c>
      <c r="T77" s="7" t="str">
        <f ca="1">IFERROR(__xludf.DUMMYFUNCTION("""COMPUTED_VALUE"""),"Полностью YouTrackная")</f>
        <v>Полностью YouTrackная</v>
      </c>
      <c r="U77" s="7" t="str">
        <f ca="1">IFERROR(__xludf.DUMMYFUNCTION("""COMPUTED_VALUE"""),"Оказание услуг по безденежному оформлению и предоставлению 
гражданам-получателям социальных услуг из числа льготных категорий билетов 
на проезд междугородным авиационным транспортом к месту лечения")</f>
        <v>Оказание услуг по безденежному оформлению и предоставлению 
гражданам-получателям социальных услуг из числа льготных категорий билетов 
на проезд междугородным авиационным транспортом к месту лечения</v>
      </c>
      <c r="V77" s="10">
        <f ca="1">IFERROR(__xludf.DUMMYFUNCTION("""COMPUTED_VALUE"""),44134.8748263888)</f>
        <v>44134.874826388797</v>
      </c>
      <c r="W77" s="7">
        <f ca="1">IFERROR(__xludf.DUMMYFUNCTION("""COMPUTED_VALUE"""),0)</f>
        <v>0</v>
      </c>
      <c r="X77" s="18">
        <f ca="1">IFERROR(__xludf.DUMMYFUNCTION("""COMPUTED_VALUE"""),44721)</f>
        <v>44721</v>
      </c>
      <c r="Y77" s="7" t="str">
        <f ca="1">IFERROR(__xludf.DUMMYFUNCTION("""COMPUTED_VALUE"""),"56.12")</f>
        <v>56.12</v>
      </c>
      <c r="Z77" s="7" t="str">
        <f ca="1">IFERROR(__xludf.DUMMYFUNCTION("""COMPUTED_VALUE"""),"1.92")</f>
        <v>1.92</v>
      </c>
      <c r="AA77" s="7" t="str">
        <f ca="1">IFERROR(__xludf.DUMMYFUNCTION("""COMPUTED_VALUE"""),"1.35")</f>
        <v>1.35</v>
      </c>
      <c r="AB77" s="7" t="str">
        <f ca="1">IFERROR(__xludf.DUMMYFUNCTION("""COMPUTED_VALUE"""),"82.53")</f>
        <v>82.53</v>
      </c>
      <c r="AC77" s="7" t="str">
        <f ca="1">IFERROR(__xludf.DUMMYFUNCTION("""COMPUTED_VALUE"""),"31.59")</f>
        <v>31.59</v>
      </c>
      <c r="AD77" s="7" t="str">
        <f ca="1">IFERROR(__xludf.DUMMYFUNCTION("""COMPUTED_VALUE"""),"15.76")</f>
        <v>15.76</v>
      </c>
      <c r="AE77" s="11">
        <f ca="1">IFERROR(__xludf.DUMMYFUNCTION("""COMPUTED_VALUE"""),44782)</f>
        <v>44782</v>
      </c>
      <c r="AF77" s="8">
        <f ca="1">IFERROR(__xludf.DUMMYFUNCTION("""COMPUTED_VALUE"""),44714)</f>
        <v>44714</v>
      </c>
      <c r="AG77" s="7" t="str">
        <f ca="1">IFERROR(__xludf.DUMMYFUNCTION("""COMPUTED_VALUE"""),"4.84")</f>
        <v>4.84</v>
      </c>
      <c r="AH77" s="10">
        <f ca="1">IFERROR(__xludf.DUMMYFUNCTION("""COMPUTED_VALUE"""),44431.7433796296)</f>
        <v>44431.743379629603</v>
      </c>
      <c r="AI77" s="10">
        <f ca="1">IFERROR(__xludf.DUMMYFUNCTION("""COMPUTED_VALUE"""),44454.451099537)</f>
        <v>44454.451099537</v>
      </c>
      <c r="AJ77" s="7">
        <f ca="1">IFERROR(__xludf.DUMMYFUNCTION("""COMPUTED_VALUE"""),216)</f>
        <v>216</v>
      </c>
    </row>
    <row r="78" spans="1:36" ht="63" x14ac:dyDescent="0.2">
      <c r="A78" s="7">
        <f ca="1">IFERROR(__xludf.DUMMYFUNCTION("""COMPUTED_VALUE"""),119)</f>
        <v>119</v>
      </c>
      <c r="B78" s="7" t="str">
        <f ca="1">IFERROR(__xludf.DUMMYFUNCTION("""COMPUTED_VALUE"""),"FR-163")</f>
        <v>FR-163</v>
      </c>
      <c r="C78" s="9" t="str">
        <f ca="1">IFERROR(__xludf.DUMMYFUNCTION("""COMPUTED_VALUE"""),"Поставка мототранспортных средств")</f>
        <v>Поставка мототранспортных средств</v>
      </c>
      <c r="D78" s="7" t="str">
        <f ca="1">IFERROR(__xludf.DUMMYFUNCTION("""COMPUTED_VALUE"""),"План по стандартизации")</f>
        <v>План по стандартизации</v>
      </c>
      <c r="E78" s="7">
        <f ca="1">IFERROR(__xludf.DUMMYFUNCTION("""COMPUTED_VALUE"""),2020)</f>
        <v>2020</v>
      </c>
      <c r="F78" s="7">
        <f ca="1">IFERROR(__xludf.DUMMYFUNCTION("""COMPUTED_VALUE"""),4)</f>
        <v>4</v>
      </c>
      <c r="G78" s="7" t="str">
        <f ca="1">IFERROR(__xludf.DUMMYFUNCTION("""COMPUTED_VALUE"""),"СТЗ")</f>
        <v>СТЗ</v>
      </c>
      <c r="H78" s="7" t="str">
        <f ca="1">IFERROR(__xludf.DUMMYFUNCTION("""COMPUTED_VALUE"""),"Завершено")</f>
        <v>Завершено</v>
      </c>
      <c r="I78" s="7">
        <f ca="1">IFERROR(__xludf.DUMMYFUNCTION("""COMPUTED_VALUE"""),2)</f>
        <v>2</v>
      </c>
      <c r="J78" s="7">
        <f ca="1">IFERROR(__xludf.DUMMYFUNCTION("""COMPUTED_VALUE"""),1)</f>
        <v>1</v>
      </c>
      <c r="K78" s="7" t="str">
        <f ca="1">IFERROR(__xludf.DUMMYFUNCTION("""COMPUTED_VALUE"""),"Кузнецова Анна Сергеевна")</f>
        <v>Кузнецова Анна Сергеевна</v>
      </c>
      <c r="L78" s="7" t="str">
        <f ca="1">IFERROR(__xludf.DUMMYFUNCTION("""COMPUTED_VALUE"""),"Столянков Андрей Владиславович")</f>
        <v>Столянков Андрей Владиславович</v>
      </c>
      <c r="M78" s="7" t="str">
        <f ca="1">IFERROR(__xludf.DUMMYFUNCTION("""COMPUTED_VALUE"""),"Магамгазиев Расул Висхаджиевич")</f>
        <v>Магамгазиев Расул Висхаджиевич</v>
      </c>
      <c r="N78" s="7"/>
      <c r="O78" s="7"/>
      <c r="P78" s="7"/>
      <c r="Q78" s="7"/>
      <c r="R78" s="7"/>
      <c r="S78" s="7"/>
      <c r="T78" s="7" t="str">
        <f ca="1">IFERROR(__xludf.DUMMYFUNCTION("""COMPUTED_VALUE"""),"Полностью YouTrackная")</f>
        <v>Полностью YouTrackная</v>
      </c>
      <c r="U78" s="7" t="str">
        <f ca="1">IFERROR(__xludf.DUMMYFUNCTION("""COMPUTED_VALUE"""),"Поставка мототранспортных средств")</f>
        <v>Поставка мототранспортных средств</v>
      </c>
      <c r="V78" s="10">
        <f ca="1">IFERROR(__xludf.DUMMYFUNCTION("""COMPUTED_VALUE"""),44140.5222106481)</f>
        <v>44140.522210648101</v>
      </c>
      <c r="W78" s="7" t="str">
        <f ca="1">IFERROR(__xludf.DUMMYFUNCTION("""COMPUTED_VALUE"""),"11.48")</f>
        <v>11.48</v>
      </c>
      <c r="X78" s="16"/>
      <c r="Y78" s="7" t="str">
        <f ca="1">IFERROR(__xludf.DUMMYFUNCTION("""COMPUTED_VALUE"""),"4.13")</f>
        <v>4.13</v>
      </c>
      <c r="Z78" s="7" t="str">
        <f ca="1">IFERROR(__xludf.DUMMYFUNCTION("""COMPUTED_VALUE"""),"2.85")</f>
        <v>2.85</v>
      </c>
      <c r="AA78" s="7" t="str">
        <f ca="1">IFERROR(__xludf.DUMMYFUNCTION("""COMPUTED_VALUE"""),"3.21")</f>
        <v>3.21</v>
      </c>
      <c r="AB78" s="7" t="str">
        <f ca="1">IFERROR(__xludf.DUMMYFUNCTION("""COMPUTED_VALUE"""),"36.38")</f>
        <v>36.38</v>
      </c>
      <c r="AC78" s="7" t="str">
        <f ca="1">IFERROR(__xludf.DUMMYFUNCTION("""COMPUTED_VALUE"""),"18.13")</f>
        <v>18.13</v>
      </c>
      <c r="AD78" s="8">
        <f ca="1">IFERROR(__xludf.DUMMYFUNCTION("""COMPUTED_VALUE"""),44818)</f>
        <v>44818</v>
      </c>
      <c r="AE78" s="7" t="str">
        <f ca="1">IFERROR(__xludf.DUMMYFUNCTION("""COMPUTED_VALUE"""),"7.88")</f>
        <v>7.88</v>
      </c>
      <c r="AF78" s="7"/>
      <c r="AG78" s="8">
        <f ca="1">IFERROR(__xludf.DUMMYFUNCTION("""COMPUTED_VALUE"""),44713)</f>
        <v>44713</v>
      </c>
      <c r="AH78" s="10">
        <f ca="1">IFERROR(__xludf.DUMMYFUNCTION("""COMPUTED_VALUE"""),44278.7930902777)</f>
        <v>44278.793090277701</v>
      </c>
      <c r="AI78" s="10">
        <f ca="1">IFERROR(__xludf.DUMMYFUNCTION("""COMPUTED_VALUE"""),44291.7297916666)</f>
        <v>44291.729791666599</v>
      </c>
      <c r="AJ78" s="7">
        <f ca="1">IFERROR(__xludf.DUMMYFUNCTION("""COMPUTED_VALUE"""),88)</f>
        <v>88</v>
      </c>
    </row>
    <row r="79" spans="1:36" ht="204.75" x14ac:dyDescent="0.2">
      <c r="A79" s="7">
        <f ca="1">IFERROR(__xludf.DUMMYFUNCTION("""COMPUTED_VALUE"""),120)</f>
        <v>120</v>
      </c>
      <c r="B79" s="7" t="str">
        <f ca="1">IFERROR(__xludf.DUMMYFUNCTION("""COMPUTED_VALUE"""),"FR-164")</f>
        <v>FR-164</v>
      </c>
      <c r="C79" s="9" t="str">
        <f ca="1">IFERROR(__xludf.DUMMYFUNCTION("""COMPUTED_VALUE"""),"Оказание услуг по консультационно-методологическому сопровождению систем по 
ведению учетной деятельности")</f>
        <v>Оказание услуг по консультационно-методологическому сопровождению систем по 
ведению учетной деятельности</v>
      </c>
      <c r="D79" s="7" t="str">
        <f ca="1">IFERROR(__xludf.DUMMYFUNCTION("""COMPUTED_VALUE"""),"План по стандартизации")</f>
        <v>План по стандартизации</v>
      </c>
      <c r="E79" s="7">
        <f ca="1">IFERROR(__xludf.DUMMYFUNCTION("""COMPUTED_VALUE"""),2020)</f>
        <v>2020</v>
      </c>
      <c r="F79" s="7">
        <f ca="1">IFERROR(__xludf.DUMMYFUNCTION("""COMPUTED_VALUE"""),4)</f>
        <v>4</v>
      </c>
      <c r="G79" s="7" t="str">
        <f ca="1">IFERROR(__xludf.DUMMYFUNCTION("""COMPUTED_VALUE"""),"ТТЗ")</f>
        <v>ТТЗ</v>
      </c>
      <c r="H79" s="7" t="str">
        <f ca="1">IFERROR(__xludf.DUMMYFUNCTION("""COMPUTED_VALUE"""),"Завершено")</f>
        <v>Завершено</v>
      </c>
      <c r="I79" s="7">
        <f ca="1">IFERROR(__xludf.DUMMYFUNCTION("""COMPUTED_VALUE"""),4)</f>
        <v>4</v>
      </c>
      <c r="J79" s="7">
        <f ca="1">IFERROR(__xludf.DUMMYFUNCTION("""COMPUTED_VALUE"""),3)</f>
        <v>3</v>
      </c>
      <c r="K79" s="7" t="str">
        <f ca="1">IFERROR(__xludf.DUMMYFUNCTION("""COMPUTED_VALUE"""),"Бибилашвили Надежда Михайловна")</f>
        <v>Бибилашвили Надежда Михайловна</v>
      </c>
      <c r="L79" s="7" t="str">
        <f ca="1">IFERROR(__xludf.DUMMYFUNCTION("""COMPUTED_VALUE"""),"Давлиев Ильнар Газинурович")</f>
        <v>Давлиев Ильнар Газинурович</v>
      </c>
      <c r="M79" s="7" t="str">
        <f ca="1">IFERROR(__xludf.DUMMYFUNCTION("""COMPUTED_VALUE"""),"Чурсина Мария Вячеславовна")</f>
        <v>Чурсина Мария Вячеславовна</v>
      </c>
      <c r="N79" s="7"/>
      <c r="O79" s="7" t="str">
        <f ca="1">IFERROR(__xludf.DUMMYFUNCTION("""COMPUTED_VALUE"""),"Типовой")</f>
        <v>Типовой</v>
      </c>
      <c r="P79" s="7" t="str">
        <f ca="1">IFERROR(__xludf.DUMMYFUNCTION("""COMPUTED_VALUE"""),"Нет")</f>
        <v>Нет</v>
      </c>
      <c r="Q79" s="7" t="str">
        <f ca="1">IFERROR(__xludf.DUMMYFUNCTION("""COMPUTED_VALUE"""),"44-ФЗ")</f>
        <v>44-ФЗ</v>
      </c>
      <c r="R79" s="7" t="str">
        <f ca="1">IFERROR(__xludf.DUMMYFUNCTION("""COMPUTED_VALUE"""),"Нет")</f>
        <v>Нет</v>
      </c>
      <c r="S79" s="7" t="str">
        <f ca="1">IFERROR(__xludf.DUMMYFUNCTION("""COMPUTED_VALUE"""),"Открытый конкурс / Электронный аукцион")</f>
        <v>Открытый конкурс / Электронный аукцион</v>
      </c>
      <c r="T79" s="7" t="str">
        <f ca="1">IFERROR(__xludf.DUMMYFUNCTION("""COMPUTED_VALUE"""),"Полностью YouTrackная")</f>
        <v>Полностью YouTrackная</v>
      </c>
      <c r="U79" s="7" t="str">
        <f ca="1">IFERROR(__xludf.DUMMYFUNCTION("""COMPUTED_VALUE"""),"Оказание услуг по консультационно-методологическому сопровождению систем по 
ведению учетной деятельности")</f>
        <v>Оказание услуг по консультационно-методологическому сопровождению систем по 
ведению учетной деятельности</v>
      </c>
      <c r="V79" s="10">
        <f ca="1">IFERROR(__xludf.DUMMYFUNCTION("""COMPUTED_VALUE"""),44140.6144328703)</f>
        <v>44140.614432870301</v>
      </c>
      <c r="W79" s="7">
        <f ca="1">IFERROR(__xludf.DUMMYFUNCTION("""COMPUTED_VALUE"""),0)</f>
        <v>0</v>
      </c>
      <c r="X79" s="16" t="str">
        <f ca="1">IFERROR(__xludf.DUMMYFUNCTION("""COMPUTED_VALUE"""),"6.26")</f>
        <v>6.26</v>
      </c>
      <c r="Y79" s="8">
        <f ca="1">IFERROR(__xludf.DUMMYFUNCTION("""COMPUTED_VALUE"""),44817)</f>
        <v>44817</v>
      </c>
      <c r="Z79" s="8">
        <f ca="1">IFERROR(__xludf.DUMMYFUNCTION("""COMPUTED_VALUE"""),44688)</f>
        <v>44688</v>
      </c>
      <c r="AA79" s="7" t="str">
        <f ca="1">IFERROR(__xludf.DUMMYFUNCTION("""COMPUTED_VALUE"""),"0.84")</f>
        <v>0.84</v>
      </c>
      <c r="AB79" s="7" t="str">
        <f ca="1">IFERROR(__xludf.DUMMYFUNCTION("""COMPUTED_VALUE"""),"99.08")</f>
        <v>99.08</v>
      </c>
      <c r="AC79" s="7" t="str">
        <f ca="1">IFERROR(__xludf.DUMMYFUNCTION("""COMPUTED_VALUE"""),"33.24")</f>
        <v>33.24</v>
      </c>
      <c r="AD79" s="7" t="str">
        <f ca="1">IFERROR(__xludf.DUMMYFUNCTION("""COMPUTED_VALUE"""),"3.58")</f>
        <v>3.58</v>
      </c>
      <c r="AE79" s="7" t="str">
        <f ca="1">IFERROR(__xludf.DUMMYFUNCTION("""COMPUTED_VALUE"""),"11.96")</f>
        <v>11.96</v>
      </c>
      <c r="AF79" s="7" t="str">
        <f ca="1">IFERROR(__xludf.DUMMYFUNCTION("""COMPUTED_VALUE"""),"1.84")</f>
        <v>1.84</v>
      </c>
      <c r="AG79" s="7" t="str">
        <f ca="1">IFERROR(__xludf.DUMMYFUNCTION("""COMPUTED_VALUE"""),"5.49")</f>
        <v>5.49</v>
      </c>
      <c r="AH79" s="10">
        <f ca="1">IFERROR(__xludf.DUMMYFUNCTION("""COMPUTED_VALUE"""),44384.7499884259)</f>
        <v>44384.749988425901</v>
      </c>
      <c r="AI79" s="10">
        <f ca="1">IFERROR(__xludf.DUMMYFUNCTION("""COMPUTED_VALUE"""),44412.0425462962)</f>
        <v>44412.042546296201</v>
      </c>
      <c r="AJ79" s="7">
        <f ca="1">IFERROR(__xludf.DUMMYFUNCTION("""COMPUTED_VALUE"""),183)</f>
        <v>183</v>
      </c>
    </row>
    <row r="80" spans="1:36" ht="126" x14ac:dyDescent="0.2">
      <c r="A80" s="7">
        <f ca="1">IFERROR(__xludf.DUMMYFUNCTION("""COMPUTED_VALUE"""),121)</f>
        <v>121</v>
      </c>
      <c r="B80" s="7" t="str">
        <f ca="1">IFERROR(__xludf.DUMMYFUNCTION("""COMPUTED_VALUE"""),"FR-168")</f>
        <v>FR-168</v>
      </c>
      <c r="C80" s="9" t="str">
        <f ca="1">IFERROR(__xludf.DUMMYFUNCTION("""COMPUTED_VALUE"""),"Оказание услуг по эксплуатации мобильных снегоплавильных установок")</f>
        <v>Оказание услуг по эксплуатации мобильных снегоплавильных установок</v>
      </c>
      <c r="D80" s="7" t="str">
        <f ca="1">IFERROR(__xludf.DUMMYFUNCTION("""COMPUTED_VALUE"""),"План по стандартизации")</f>
        <v>План по стандартизации</v>
      </c>
      <c r="E80" s="7">
        <f ca="1">IFERROR(__xludf.DUMMYFUNCTION("""COMPUTED_VALUE"""),2021)</f>
        <v>2021</v>
      </c>
      <c r="F80" s="7">
        <f ca="1">IFERROR(__xludf.DUMMYFUNCTION("""COMPUTED_VALUE"""),1)</f>
        <v>1</v>
      </c>
      <c r="G80" s="7" t="str">
        <f ca="1">IFERROR(__xludf.DUMMYFUNCTION("""COMPUTED_VALUE"""),"ТТЗ")</f>
        <v>ТТЗ</v>
      </c>
      <c r="H80" s="7" t="str">
        <f ca="1">IFERROR(__xludf.DUMMYFUNCTION("""COMPUTED_VALUE"""),"Завершено")</f>
        <v>Завершено</v>
      </c>
      <c r="I80" s="7">
        <f ca="1">IFERROR(__xludf.DUMMYFUNCTION("""COMPUTED_VALUE"""),10)</f>
        <v>10</v>
      </c>
      <c r="J80" s="7">
        <f ca="1">IFERROR(__xludf.DUMMYFUNCTION("""COMPUTED_VALUE"""),2)</f>
        <v>2</v>
      </c>
      <c r="K80" s="7" t="str">
        <f ca="1">IFERROR(__xludf.DUMMYFUNCTION("""COMPUTED_VALUE"""),"Бибилашвили Надежда Михайловна")</f>
        <v>Бибилашвили Надежда Михайловна</v>
      </c>
      <c r="L80" s="7" t="str">
        <f ca="1">IFERROR(__xludf.DUMMYFUNCTION("""COMPUTED_VALUE"""),"Давлиев Ильнар Газинурович")</f>
        <v>Давлиев Ильнар Газинурович</v>
      </c>
      <c r="M80" s="7" t="str">
        <f ca="1">IFERROR(__xludf.DUMMYFUNCTION("""COMPUTED_VALUE"""),"Чурсина Мария Вячеславовна")</f>
        <v>Чурсина Мария Вячеславовна</v>
      </c>
      <c r="N80" s="7"/>
      <c r="O80" s="7" t="str">
        <f ca="1">IFERROR(__xludf.DUMMYFUNCTION("""COMPUTED_VALUE"""),"Типовой")</f>
        <v>Типовой</v>
      </c>
      <c r="P80" s="7"/>
      <c r="Q80" s="7" t="str">
        <f ca="1">IFERROR(__xludf.DUMMYFUNCTION("""COMPUTED_VALUE"""),"223-ФЗ")</f>
        <v>223-ФЗ</v>
      </c>
      <c r="R80" s="7" t="str">
        <f ca="1">IFERROR(__xludf.DUMMYFUNCTION("""COMPUTED_VALUE"""),"Нет")</f>
        <v>Нет</v>
      </c>
      <c r="S80" s="7" t="str">
        <f ca="1">IFERROR(__xludf.DUMMYFUNCTION("""COMPUTED_VALUE"""),"Электронный аукцион")</f>
        <v>Электронный аукцион</v>
      </c>
      <c r="T80" s="7" t="str">
        <f ca="1">IFERROR(__xludf.DUMMYFUNCTION("""COMPUTED_VALUE"""),"Полностью YouTrackная")</f>
        <v>Полностью YouTrackная</v>
      </c>
      <c r="U80" s="7" t="str">
        <f ca="1">IFERROR(__xludf.DUMMYFUNCTION("""COMPUTED_VALUE"""),"Оказание услуг по эксплуатации мобильных снегоплавильных установок")</f>
        <v>Оказание услуг по эксплуатации мобильных снегоплавильных установок</v>
      </c>
      <c r="V80" s="10">
        <f ca="1">IFERROR(__xludf.DUMMYFUNCTION("""COMPUTED_VALUE"""),44235.3850578702)</f>
        <v>44235.385057870197</v>
      </c>
      <c r="W80" s="7">
        <f ca="1">IFERROR(__xludf.DUMMYFUNCTION("""COMPUTED_VALUE"""),0)</f>
        <v>0</v>
      </c>
      <c r="X80" s="16" t="str">
        <f ca="1">IFERROR(__xludf.DUMMYFUNCTION("""COMPUTED_VALUE"""),"23.34")</f>
        <v>23.34</v>
      </c>
      <c r="Y80" s="7">
        <f ca="1">IFERROR(__xludf.DUMMYFUNCTION("""COMPUTED_VALUE"""),8)</f>
        <v>8</v>
      </c>
      <c r="Z80" s="7" t="str">
        <f ca="1">IFERROR(__xludf.DUMMYFUNCTION("""COMPUTED_VALUE"""),"19.26")</f>
        <v>19.26</v>
      </c>
      <c r="AA80" s="7" t="str">
        <f ca="1">IFERROR(__xludf.DUMMYFUNCTION("""COMPUTED_VALUE"""),"0.96")</f>
        <v>0.96</v>
      </c>
      <c r="AB80" s="7" t="str">
        <f ca="1">IFERROR(__xludf.DUMMYFUNCTION("""COMPUTED_VALUE"""),"88.42")</f>
        <v>88.42</v>
      </c>
      <c r="AC80" s="7" t="str">
        <f ca="1">IFERROR(__xludf.DUMMYFUNCTION("""COMPUTED_VALUE"""),"19.49")</f>
        <v>19.49</v>
      </c>
      <c r="AD80" s="7" t="str">
        <f ca="1">IFERROR(__xludf.DUMMYFUNCTION("""COMPUTED_VALUE"""),"39.57")</f>
        <v>39.57</v>
      </c>
      <c r="AE80" s="8">
        <f ca="1">IFERROR(__xludf.DUMMYFUNCTION("""COMPUTED_VALUE"""),44767)</f>
        <v>44767</v>
      </c>
      <c r="AF80" s="7">
        <f ca="1">IFERROR(__xludf.DUMMYFUNCTION("""COMPUTED_VALUE"""),0)</f>
        <v>0</v>
      </c>
      <c r="AG80" s="7" t="str">
        <f ca="1">IFERROR(__xludf.DUMMYFUNCTION("""COMPUTED_VALUE"""),"4.28")</f>
        <v>4.28</v>
      </c>
      <c r="AH80" s="10">
        <f ca="1">IFERROR(__xludf.DUMMYFUNCTION("""COMPUTED_VALUE"""),44523.4314236111)</f>
        <v>44523.431423611102</v>
      </c>
      <c r="AI80" s="10">
        <f ca="1">IFERROR(__xludf.DUMMYFUNCTION("""COMPUTED_VALUE"""),44572.7790509259)</f>
        <v>44572.779050925899</v>
      </c>
      <c r="AJ80" s="7">
        <f ca="1">IFERROR(__xludf.DUMMYFUNCTION("""COMPUTED_VALUE"""),228)</f>
        <v>228</v>
      </c>
    </row>
    <row r="81" spans="1:36" ht="94.5" x14ac:dyDescent="0.2">
      <c r="A81" s="7">
        <f ca="1">IFERROR(__xludf.DUMMYFUNCTION("""COMPUTED_VALUE"""),122)</f>
        <v>122</v>
      </c>
      <c r="B81" s="7" t="str">
        <f ca="1">IFERROR(__xludf.DUMMYFUNCTION("""COMPUTED_VALUE"""),"FR-169")</f>
        <v>FR-169</v>
      </c>
      <c r="C81" s="9" t="str">
        <f ca="1">IFERROR(__xludf.DUMMYFUNCTION("""COMPUTED_VALUE"""),"Оказание услуг по обеспечению авиабилетами")</f>
        <v>Оказание услуг по обеспечению авиабилетами</v>
      </c>
      <c r="D81" s="7" t="str">
        <f ca="1">IFERROR(__xludf.DUMMYFUNCTION("""COMPUTED_VALUE"""),"План по стандартизации")</f>
        <v>План по стандартизации</v>
      </c>
      <c r="E81" s="7">
        <f ca="1">IFERROR(__xludf.DUMMYFUNCTION("""COMPUTED_VALUE"""),2021)</f>
        <v>2021</v>
      </c>
      <c r="F81" s="7">
        <f ca="1">IFERROR(__xludf.DUMMYFUNCTION("""COMPUTED_VALUE"""),3)</f>
        <v>3</v>
      </c>
      <c r="G81" s="7" t="str">
        <f ca="1">IFERROR(__xludf.DUMMYFUNCTION("""COMPUTED_VALUE"""),"ТТЗ")</f>
        <v>ТТЗ</v>
      </c>
      <c r="H81" s="7" t="str">
        <f ca="1">IFERROR(__xludf.DUMMYFUNCTION("""COMPUTED_VALUE"""),"Завершено")</f>
        <v>Завершено</v>
      </c>
      <c r="I81" s="7">
        <f ca="1">IFERROR(__xludf.DUMMYFUNCTION("""COMPUTED_VALUE"""),8)</f>
        <v>8</v>
      </c>
      <c r="J81" s="7">
        <f ca="1">IFERROR(__xludf.DUMMYFUNCTION("""COMPUTED_VALUE"""),2)</f>
        <v>2</v>
      </c>
      <c r="K81" s="7" t="str">
        <f ca="1">IFERROR(__xludf.DUMMYFUNCTION("""COMPUTED_VALUE"""),"Клюева Ангелина Эдуардовна")</f>
        <v>Клюева Ангелина Эдуардовна</v>
      </c>
      <c r="L81" s="7" t="str">
        <f ca="1">IFERROR(__xludf.DUMMYFUNCTION("""COMPUTED_VALUE"""),"Минин Александр Валерьевич")</f>
        <v>Минин Александр Валерьевич</v>
      </c>
      <c r="M81" s="7" t="str">
        <f ca="1">IFERROR(__xludf.DUMMYFUNCTION("""COMPUTED_VALUE"""),"Чурсина Мария Вячеславовна")</f>
        <v>Чурсина Мария Вячеславовна</v>
      </c>
      <c r="N81" s="7"/>
      <c r="O81" s="7"/>
      <c r="P81" s="7"/>
      <c r="Q81" s="7"/>
      <c r="R81" s="7"/>
      <c r="S81" s="7"/>
      <c r="T81" s="7" t="str">
        <f ca="1">IFERROR(__xludf.DUMMYFUNCTION("""COMPUTED_VALUE"""),"Полностью YouTrackная")</f>
        <v>Полностью YouTrackная</v>
      </c>
      <c r="U81" s="7" t="str">
        <f ca="1">IFERROR(__xludf.DUMMYFUNCTION("""COMPUTED_VALUE"""),"Оказание услуг по обеспечению авиабилетами")</f>
        <v>Оказание услуг по обеспечению авиабилетами</v>
      </c>
      <c r="V81" s="10">
        <f ca="1">IFERROR(__xludf.DUMMYFUNCTION("""COMPUTED_VALUE"""),44239.481875)</f>
        <v>44239.481874999998</v>
      </c>
      <c r="W81" s="7" t="str">
        <f ca="1">IFERROR(__xludf.DUMMYFUNCTION("""COMPUTED_VALUE"""),"133.17")</f>
        <v>133.17</v>
      </c>
      <c r="X81" s="17">
        <f ca="1">IFERROR(__xludf.DUMMYFUNCTION("""COMPUTED_VALUE"""),44813)</f>
        <v>44813</v>
      </c>
      <c r="Y81" s="7" t="str">
        <f ca="1">IFERROR(__xludf.DUMMYFUNCTION("""COMPUTED_VALUE"""),"11.96")</f>
        <v>11.96</v>
      </c>
      <c r="Z81" s="7" t="str">
        <f ca="1">IFERROR(__xludf.DUMMYFUNCTION("""COMPUTED_VALUE"""),"9.41")</f>
        <v>9.41</v>
      </c>
      <c r="AA81" s="7" t="str">
        <f ca="1">IFERROR(__xludf.DUMMYFUNCTION("""COMPUTED_VALUE"""),"0.29")</f>
        <v>0.29</v>
      </c>
      <c r="AB81" s="7" t="str">
        <f ca="1">IFERROR(__xludf.DUMMYFUNCTION("""COMPUTED_VALUE"""),"43.49")</f>
        <v>43.49</v>
      </c>
      <c r="AC81" s="7" t="str">
        <f ca="1">IFERROR(__xludf.DUMMYFUNCTION("""COMPUTED_VALUE"""),"17.82")</f>
        <v>17.82</v>
      </c>
      <c r="AD81" s="7" t="str">
        <f ca="1">IFERROR(__xludf.DUMMYFUNCTION("""COMPUTED_VALUE"""),"8.81")</f>
        <v>8.81</v>
      </c>
      <c r="AE81" s="7" t="str">
        <f ca="1">IFERROR(__xludf.DUMMYFUNCTION("""COMPUTED_VALUE"""),"18.98")</f>
        <v>18.98</v>
      </c>
      <c r="AF81" s="7">
        <f ca="1">IFERROR(__xludf.DUMMYFUNCTION("""COMPUTED_VALUE"""),1)</f>
        <v>1</v>
      </c>
      <c r="AG81" s="7" t="str">
        <f ca="1">IFERROR(__xludf.DUMMYFUNCTION("""COMPUTED_VALUE"""),"0.18")</f>
        <v>0.18</v>
      </c>
      <c r="AH81" s="10">
        <f ca="1">IFERROR(__xludf.DUMMYFUNCTION("""COMPUTED_VALUE"""),44586.5277314814)</f>
        <v>44586.527731481401</v>
      </c>
      <c r="AI81" s="10">
        <f ca="1">IFERROR(__xludf.DUMMYFUNCTION("""COMPUTED_VALUE"""),44614.6826041666)</f>
        <v>44614.682604166599</v>
      </c>
      <c r="AJ81" s="7">
        <f ca="1">IFERROR(__xludf.DUMMYFUNCTION("""COMPUTED_VALUE"""),121)</f>
        <v>121</v>
      </c>
    </row>
    <row r="82" spans="1:36" ht="126" x14ac:dyDescent="0.2">
      <c r="A82" s="7">
        <f ca="1">IFERROR(__xludf.DUMMYFUNCTION("""COMPUTED_VALUE"""),123)</f>
        <v>123</v>
      </c>
      <c r="B82" s="7" t="str">
        <f ca="1">IFERROR(__xludf.DUMMYFUNCTION("""COMPUTED_VALUE"""),"FR-170")</f>
        <v>FR-170</v>
      </c>
      <c r="C82" s="9" t="str">
        <f ca="1">IFERROR(__xludf.DUMMYFUNCTION("""COMPUTED_VALUE"""),"Выполнение работ по капитальному ремонту подземных пешеходных переходов")</f>
        <v>Выполнение работ по капитальному ремонту подземных пешеходных переходов</v>
      </c>
      <c r="D82" s="7" t="str">
        <f ca="1">IFERROR(__xludf.DUMMYFUNCTION("""COMPUTED_VALUE"""),"План по стандартизации")</f>
        <v>План по стандартизации</v>
      </c>
      <c r="E82" s="7">
        <f ca="1">IFERROR(__xludf.DUMMYFUNCTION("""COMPUTED_VALUE"""),2021)</f>
        <v>2021</v>
      </c>
      <c r="F82" s="7">
        <f ca="1">IFERROR(__xludf.DUMMYFUNCTION("""COMPUTED_VALUE"""),4)</f>
        <v>4</v>
      </c>
      <c r="G82" s="7" t="str">
        <f ca="1">IFERROR(__xludf.DUMMYFUNCTION("""COMPUTED_VALUE"""),"ТТЗ")</f>
        <v>ТТЗ</v>
      </c>
      <c r="H82" s="7" t="str">
        <f ca="1">IFERROR(__xludf.DUMMYFUNCTION("""COMPUTED_VALUE"""),"Завершено")</f>
        <v>Завершено</v>
      </c>
      <c r="I82" s="7">
        <f ca="1">IFERROR(__xludf.DUMMYFUNCTION("""COMPUTED_VALUE"""),4)</f>
        <v>4</v>
      </c>
      <c r="J82" s="7">
        <f ca="1">IFERROR(__xludf.DUMMYFUNCTION("""COMPUTED_VALUE"""),1)</f>
        <v>1</v>
      </c>
      <c r="K82" s="7"/>
      <c r="L82" s="7" t="str">
        <f ca="1">IFERROR(__xludf.DUMMYFUNCTION("""COMPUTED_VALUE"""),"Минин Александр Валерьевич")</f>
        <v>Минин Александр Валерьевич</v>
      </c>
      <c r="M82" s="7" t="str">
        <f ca="1">IFERROR(__xludf.DUMMYFUNCTION("""COMPUTED_VALUE"""),"Чурсина Мария Вячеславовна")</f>
        <v>Чурсина Мария Вячеславовна</v>
      </c>
      <c r="N82" s="7"/>
      <c r="O82" s="7" t="str">
        <f ca="1">IFERROR(__xludf.DUMMYFUNCTION("""COMPUTED_VALUE"""),"Типовой")</f>
        <v>Типовой</v>
      </c>
      <c r="P82" s="7"/>
      <c r="Q82" s="7"/>
      <c r="R82" s="7" t="str">
        <f ca="1">IFERROR(__xludf.DUMMYFUNCTION("""COMPUTED_VALUE"""),"Нет")</f>
        <v>Нет</v>
      </c>
      <c r="S82" s="7" t="str">
        <f ca="1">IFERROR(__xludf.DUMMYFUNCTION("""COMPUTED_VALUE"""),"Электронный аукцион")</f>
        <v>Электронный аукцион</v>
      </c>
      <c r="T82" s="7" t="str">
        <f ca="1">IFERROR(__xludf.DUMMYFUNCTION("""COMPUTED_VALUE"""),"Полностью YouTrackная")</f>
        <v>Полностью YouTrackная</v>
      </c>
      <c r="U82" s="7" t="str">
        <f ca="1">IFERROR(__xludf.DUMMYFUNCTION("""COMPUTED_VALUE"""),"Выполнение работ по капитальному ремонту подземных пешеходных переходов")</f>
        <v>Выполнение работ по капитальному ремонту подземных пешеходных переходов</v>
      </c>
      <c r="V82" s="10">
        <f ca="1">IFERROR(__xludf.DUMMYFUNCTION("""COMPUTED_VALUE"""),44239.4830324074)</f>
        <v>44239.483032407399</v>
      </c>
      <c r="W82" s="7" t="str">
        <f ca="1">IFERROR(__xludf.DUMMYFUNCTION("""COMPUTED_VALUE"""),"153.97")</f>
        <v>153.97</v>
      </c>
      <c r="X82" s="16" t="str">
        <f ca="1">IFERROR(__xludf.DUMMYFUNCTION("""COMPUTED_VALUE"""),"41.13")</f>
        <v>41.13</v>
      </c>
      <c r="Y82" s="7" t="str">
        <f ca="1">IFERROR(__xludf.DUMMYFUNCTION("""COMPUTED_VALUE"""),"7.66")</f>
        <v>7.66</v>
      </c>
      <c r="Z82" s="7" t="str">
        <f ca="1">IFERROR(__xludf.DUMMYFUNCTION("""COMPUTED_VALUE"""),"6.25")</f>
        <v>6.25</v>
      </c>
      <c r="AA82" s="7" t="str">
        <f ca="1">IFERROR(__xludf.DUMMYFUNCTION("""COMPUTED_VALUE"""),"0.12")</f>
        <v>0.12</v>
      </c>
      <c r="AB82" s="7" t="str">
        <f ca="1">IFERROR(__xludf.DUMMYFUNCTION("""COMPUTED_VALUE"""),"33.56")</f>
        <v>33.56</v>
      </c>
      <c r="AC82" s="7" t="str">
        <f ca="1">IFERROR(__xludf.DUMMYFUNCTION("""COMPUTED_VALUE"""),"19.19")</f>
        <v>19.19</v>
      </c>
      <c r="AD82" s="7" t="str">
        <f ca="1">IFERROR(__xludf.DUMMYFUNCTION("""COMPUTED_VALUE"""),"3.29")</f>
        <v>3.29</v>
      </c>
      <c r="AE82" s="8">
        <f ca="1">IFERROR(__xludf.DUMMYFUNCTION("""COMPUTED_VALUE"""),44626)</f>
        <v>44626</v>
      </c>
      <c r="AF82" s="7" t="str">
        <f ca="1">IFERROR(__xludf.DUMMYFUNCTION("""COMPUTED_VALUE"""),"0.88")</f>
        <v>0.88</v>
      </c>
      <c r="AG82" s="7" t="str">
        <f ca="1">IFERROR(__xludf.DUMMYFUNCTION("""COMPUTED_VALUE"""),"1.15")</f>
        <v>1.15</v>
      </c>
      <c r="AH82" s="10">
        <f ca="1">IFERROR(__xludf.DUMMYFUNCTION("""COMPUTED_VALUE"""),44631.6563310185)</f>
        <v>44631.656331018501</v>
      </c>
      <c r="AI82" s="10">
        <f ca="1">IFERROR(__xludf.DUMMYFUNCTION("""COMPUTED_VALUE"""),44643.7232754629)</f>
        <v>44643.7232754629</v>
      </c>
      <c r="AJ82" s="7">
        <f ca="1">IFERROR(__xludf.DUMMYFUNCTION("""COMPUTED_VALUE"""),118)</f>
        <v>118</v>
      </c>
    </row>
    <row r="83" spans="1:36" ht="315" x14ac:dyDescent="0.2">
      <c r="A83" s="7">
        <f ca="1">IFERROR(__xludf.DUMMYFUNCTION("""COMPUTED_VALUE"""),124)</f>
        <v>124</v>
      </c>
      <c r="B83" s="7" t="str">
        <f ca="1">IFERROR(__xludf.DUMMYFUNCTION("""COMPUTED_VALUE"""),"FR-171")</f>
        <v>FR-171</v>
      </c>
      <c r="C83" s="9" t="str">
        <f ca="1">IFERROR(__xludf.DUMMYFUNCTION("""COMPUTED_VALUE"""),"Оказание услуг по экспертизе эксплуатационного состояния дорожных покрытий 
и (или) металлических барьерных ограждений на объектах улично-дорожной сети 
города Москвы")</f>
        <v>Оказание услуг по экспертизе эксплуатационного состояния дорожных покрытий 
и (или) металлических барьерных ограждений на объектах улично-дорожной сети 
города Москвы</v>
      </c>
      <c r="D83" s="7" t="str">
        <f ca="1">IFERROR(__xludf.DUMMYFUNCTION("""COMPUTED_VALUE"""),"План по стандартизации")</f>
        <v>План по стандартизации</v>
      </c>
      <c r="E83" s="7">
        <f ca="1">IFERROR(__xludf.DUMMYFUNCTION("""COMPUTED_VALUE"""),2021)</f>
        <v>2021</v>
      </c>
      <c r="F83" s="7">
        <f ca="1">IFERROR(__xludf.DUMMYFUNCTION("""COMPUTED_VALUE"""),3)</f>
        <v>3</v>
      </c>
      <c r="G83" s="7" t="str">
        <f ca="1">IFERROR(__xludf.DUMMYFUNCTION("""COMPUTED_VALUE"""),"ТТЗ")</f>
        <v>ТТЗ</v>
      </c>
      <c r="H83" s="7" t="str">
        <f ca="1">IFERROR(__xludf.DUMMYFUNCTION("""COMPUTED_VALUE"""),"Завершено")</f>
        <v>Завершено</v>
      </c>
      <c r="I83" s="7">
        <f ca="1">IFERROR(__xludf.DUMMYFUNCTION("""COMPUTED_VALUE"""),1)</f>
        <v>1</v>
      </c>
      <c r="J83" s="7">
        <f ca="1">IFERROR(__xludf.DUMMYFUNCTION("""COMPUTED_VALUE"""),1)</f>
        <v>1</v>
      </c>
      <c r="K83" s="7" t="str">
        <f ca="1">IFERROR(__xludf.DUMMYFUNCTION("""COMPUTED_VALUE"""),"Минин Александр Валерьевич")</f>
        <v>Минин Александр Валерьевич</v>
      </c>
      <c r="L83" s="7" t="str">
        <f ca="1">IFERROR(__xludf.DUMMYFUNCTION("""COMPUTED_VALUE"""),"Минин Александр Валерьевич")</f>
        <v>Минин Александр Валерьевич</v>
      </c>
      <c r="M83" s="7" t="str">
        <f ca="1">IFERROR(__xludf.DUMMYFUNCTION("""COMPUTED_VALUE"""),"Чурсина Мария Вячеславовна")</f>
        <v>Чурсина Мария Вячеславовна</v>
      </c>
      <c r="N83" s="7"/>
      <c r="O83" s="7"/>
      <c r="P83" s="7"/>
      <c r="Q83" s="7" t="str">
        <f ca="1">IFERROR(__xludf.DUMMYFUNCTION("""COMPUTED_VALUE"""),"Нет")</f>
        <v>Нет</v>
      </c>
      <c r="R83" s="7" t="str">
        <f ca="1">IFERROR(__xludf.DUMMYFUNCTION("""COMPUTED_VALUE"""),"Нет")</f>
        <v>Нет</v>
      </c>
      <c r="S83" s="7" t="str">
        <f ca="1">IFERROR(__xludf.DUMMYFUNCTION("""COMPUTED_VALUE"""),"Электронный аукцион")</f>
        <v>Электронный аукцион</v>
      </c>
      <c r="T83" s="7" t="str">
        <f ca="1">IFERROR(__xludf.DUMMYFUNCTION("""COMPUTED_VALUE"""),"Полностью YouTrackная")</f>
        <v>Полностью YouTrackная</v>
      </c>
      <c r="U83" s="7" t="str">
        <f ca="1">IFERROR(__xludf.DUMMYFUNCTION("""COMPUTED_VALUE"""),"Оказание услуг по экспертизе эксплуатационного состояния дорожных покрытий 
и (или) металлических барьерных ограждений на объектах улично-дорожной сети 
города Москвы")</f>
        <v>Оказание услуг по экспертизе эксплуатационного состояния дорожных покрытий 
и (или) металлических барьерных ограждений на объектах улично-дорожной сети 
города Москвы</v>
      </c>
      <c r="V83" s="10">
        <f ca="1">IFERROR(__xludf.DUMMYFUNCTION("""COMPUTED_VALUE"""),44239.4888194444)</f>
        <v>44239.488819444399</v>
      </c>
      <c r="W83" s="7" t="str">
        <f ca="1">IFERROR(__xludf.DUMMYFUNCTION("""COMPUTED_VALUE"""),"133.17")</f>
        <v>133.17</v>
      </c>
      <c r="X83" s="16" t="str">
        <f ca="1">IFERROR(__xludf.DUMMYFUNCTION("""COMPUTED_VALUE"""),"6.13")</f>
        <v>6.13</v>
      </c>
      <c r="Y83" s="7" t="str">
        <f ca="1">IFERROR(__xludf.DUMMYFUNCTION("""COMPUTED_VALUE"""),"5.31")</f>
        <v>5.31</v>
      </c>
      <c r="Z83" s="7" t="str">
        <f ca="1">IFERROR(__xludf.DUMMYFUNCTION("""COMPUTED_VALUE"""),"2.21")</f>
        <v>2.21</v>
      </c>
      <c r="AA83" s="7" t="str">
        <f ca="1">IFERROR(__xludf.DUMMYFUNCTION("""COMPUTED_VALUE"""),"0.04")</f>
        <v>0.04</v>
      </c>
      <c r="AB83" s="7" t="str">
        <f ca="1">IFERROR(__xludf.DUMMYFUNCTION("""COMPUTED_VALUE"""),"32.45")</f>
        <v>32.45</v>
      </c>
      <c r="AC83" s="7" t="str">
        <f ca="1">IFERROR(__xludf.DUMMYFUNCTION("""COMPUTED_VALUE"""),"21.62")</f>
        <v>21.62</v>
      </c>
      <c r="AD83" s="8">
        <f ca="1">IFERROR(__xludf.DUMMYFUNCTION("""COMPUTED_VALUE"""),44664)</f>
        <v>44664</v>
      </c>
      <c r="AE83" s="8">
        <f ca="1">IFERROR(__xludf.DUMMYFUNCTION("""COMPUTED_VALUE"""),44626)</f>
        <v>44626</v>
      </c>
      <c r="AF83" s="7">
        <f ca="1">IFERROR(__xludf.DUMMYFUNCTION("""COMPUTED_VALUE"""),0)</f>
        <v>0</v>
      </c>
      <c r="AG83" s="7" t="str">
        <f ca="1">IFERROR(__xludf.DUMMYFUNCTION("""COMPUTED_VALUE"""),"2.34")</f>
        <v>2.34</v>
      </c>
      <c r="AH83" s="10">
        <f ca="1">IFERROR(__xludf.DUMMYFUNCTION("""COMPUTED_VALUE"""),44550.4684953703)</f>
        <v>44550.468495370304</v>
      </c>
      <c r="AI83" s="10">
        <f ca="1">IFERROR(__xludf.DUMMYFUNCTION("""COMPUTED_VALUE"""),44560.8446759259)</f>
        <v>44560.844675925902</v>
      </c>
      <c r="AJ83" s="7">
        <f ca="1">IFERROR(__xludf.DUMMYFUNCTION("""COMPUTED_VALUE"""),89)</f>
        <v>89</v>
      </c>
    </row>
    <row r="84" spans="1:36" ht="220.5" x14ac:dyDescent="0.2">
      <c r="A84" s="7">
        <f ca="1">IFERROR(__xludf.DUMMYFUNCTION("""COMPUTED_VALUE"""),125)</f>
        <v>125</v>
      </c>
      <c r="B84" s="7" t="str">
        <f ca="1">IFERROR(__xludf.DUMMYFUNCTION("""COMPUTED_VALUE"""),"FR-172")</f>
        <v>FR-172</v>
      </c>
      <c r="C84" s="9" t="str">
        <f ca="1">IFERROR(__xludf.DUMMYFUNCTION("""COMPUTED_VALUE"""),"Оказание услуг по проведению медицинских осмотров (исследований) 
иностранных граждан и лиц без гражданства")</f>
        <v>Оказание услуг по проведению медицинских осмотров (исследований) 
иностранных граждан и лиц без гражданства</v>
      </c>
      <c r="D84" s="7" t="str">
        <f ca="1">IFERROR(__xludf.DUMMYFUNCTION("""COMPUTED_VALUE"""),"План по стандартизации")</f>
        <v>План по стандартизации</v>
      </c>
      <c r="E84" s="7">
        <f ca="1">IFERROR(__xludf.DUMMYFUNCTION("""COMPUTED_VALUE"""),2021)</f>
        <v>2021</v>
      </c>
      <c r="F84" s="7">
        <f ca="1">IFERROR(__xludf.DUMMYFUNCTION("""COMPUTED_VALUE"""),1)</f>
        <v>1</v>
      </c>
      <c r="G84" s="7" t="str">
        <f ca="1">IFERROR(__xludf.DUMMYFUNCTION("""COMPUTED_VALUE"""),"ТТЗ")</f>
        <v>ТТЗ</v>
      </c>
      <c r="H84" s="7" t="str">
        <f ca="1">IFERROR(__xludf.DUMMYFUNCTION("""COMPUTED_VALUE"""),"Завершено")</f>
        <v>Завершено</v>
      </c>
      <c r="I84" s="7">
        <f ca="1">IFERROR(__xludf.DUMMYFUNCTION("""COMPUTED_VALUE"""),3)</f>
        <v>3</v>
      </c>
      <c r="J84" s="7">
        <f ca="1">IFERROR(__xludf.DUMMYFUNCTION("""COMPUTED_VALUE"""),2)</f>
        <v>2</v>
      </c>
      <c r="K84" s="7" t="str">
        <f ca="1">IFERROR(__xludf.DUMMYFUNCTION("""COMPUTED_VALUE"""),"Чурсина Мария Вячеславовна")</f>
        <v>Чурсина Мария Вячеславовна</v>
      </c>
      <c r="L84" s="7" t="str">
        <f ca="1">IFERROR(__xludf.DUMMYFUNCTION("""COMPUTED_VALUE"""),"Минин Александр Валерьевич")</f>
        <v>Минин Александр Валерьевич</v>
      </c>
      <c r="M84" s="7" t="str">
        <f ca="1">IFERROR(__xludf.DUMMYFUNCTION("""COMPUTED_VALUE"""),"Чурсина Мария Вячеславовна")</f>
        <v>Чурсина Мария Вячеславовна</v>
      </c>
      <c r="N84" s="7"/>
      <c r="O84" s="7"/>
      <c r="P84" s="7"/>
      <c r="Q84" s="7"/>
      <c r="R84" s="7"/>
      <c r="S84" s="7"/>
      <c r="T84" s="7" t="str">
        <f ca="1">IFERROR(__xludf.DUMMYFUNCTION("""COMPUTED_VALUE"""),"Полностью YouTrackная")</f>
        <v>Полностью YouTrackная</v>
      </c>
      <c r="U84" s="7" t="str">
        <f ca="1">IFERROR(__xludf.DUMMYFUNCTION("""COMPUTED_VALUE"""),"Оказание услуг по проведению медицинских осмотров (исследований) 
иностранных граждан и лиц без гражданства")</f>
        <v>Оказание услуг по проведению медицинских осмотров (исследований) 
иностранных граждан и лиц без гражданства</v>
      </c>
      <c r="V84" s="10">
        <f ca="1">IFERROR(__xludf.DUMMYFUNCTION("""COMPUTED_VALUE"""),44239.4896180555)</f>
        <v>44239.489618055501</v>
      </c>
      <c r="W84" s="11">
        <f ca="1">IFERROR(__xludf.DUMMYFUNCTION("""COMPUTED_VALUE"""),44807)</f>
        <v>44807</v>
      </c>
      <c r="X84" s="16">
        <f ca="1">IFERROR(__xludf.DUMMYFUNCTION("""COMPUTED_VALUE"""),13)</f>
        <v>13</v>
      </c>
      <c r="Y84" s="7" t="str">
        <f ca="1">IFERROR(__xludf.DUMMYFUNCTION("""COMPUTED_VALUE"""),"117.66")</f>
        <v>117.66</v>
      </c>
      <c r="Z84" s="7" t="str">
        <f ca="1">IFERROR(__xludf.DUMMYFUNCTION("""COMPUTED_VALUE"""),"2.71")</f>
        <v>2.71</v>
      </c>
      <c r="AA84" s="7" t="str">
        <f ca="1">IFERROR(__xludf.DUMMYFUNCTION("""COMPUTED_VALUE"""),"0.86")</f>
        <v>0.86</v>
      </c>
      <c r="AB84" s="7" t="str">
        <f ca="1">IFERROR(__xludf.DUMMYFUNCTION("""COMPUTED_VALUE"""),"70.5")</f>
        <v>70.5</v>
      </c>
      <c r="AC84" s="7" t="str">
        <f ca="1">IFERROR(__xludf.DUMMYFUNCTION("""COMPUTED_VALUE"""),"16.23")</f>
        <v>16.23</v>
      </c>
      <c r="AD84" s="7" t="str">
        <f ca="1">IFERROR(__xludf.DUMMYFUNCTION("""COMPUTED_VALUE"""),"16.13")</f>
        <v>16.13</v>
      </c>
      <c r="AE84" s="8">
        <f ca="1">IFERROR(__xludf.DUMMYFUNCTION("""COMPUTED_VALUE"""),44663)</f>
        <v>44663</v>
      </c>
      <c r="AF84" s="7">
        <f ca="1">IFERROR(__xludf.DUMMYFUNCTION("""COMPUTED_VALUE"""),1)</f>
        <v>1</v>
      </c>
      <c r="AG84" s="7" t="str">
        <f ca="1">IFERROR(__xludf.DUMMYFUNCTION("""COMPUTED_VALUE"""),"0.14")</f>
        <v>0.14</v>
      </c>
      <c r="AH84" s="10">
        <f ca="1">IFERROR(__xludf.DUMMYFUNCTION("""COMPUTED_VALUE"""),44595.4739583333)</f>
        <v>44595.473958333299</v>
      </c>
      <c r="AI84" s="10">
        <f ca="1">IFERROR(__xludf.DUMMYFUNCTION("""COMPUTED_VALUE"""),44614.6425578703)</f>
        <v>44614.642557870298</v>
      </c>
      <c r="AJ84" s="7">
        <f ca="1">IFERROR(__xludf.DUMMYFUNCTION("""COMPUTED_VALUE"""),250)</f>
        <v>250</v>
      </c>
    </row>
    <row r="85" spans="1:36" ht="220.5" x14ac:dyDescent="0.2">
      <c r="A85" s="7">
        <f ca="1">IFERROR(__xludf.DUMMYFUNCTION("""COMPUTED_VALUE"""),126)</f>
        <v>126</v>
      </c>
      <c r="B85" s="7" t="str">
        <f ca="1">IFERROR(__xludf.DUMMYFUNCTION("""COMPUTED_VALUE"""),"FR-173")</f>
        <v>FR-173</v>
      </c>
      <c r="C85" s="9" t="str">
        <f ca="1">IFERROR(__xludf.DUMMYFUNCTION("""COMPUTED_VALUE"""),"Оказание услуг по санитарному содержанию и уборке объектов и прилегающих 
территорий транспортной инфраструктуры")</f>
        <v>Оказание услуг по санитарному содержанию и уборке объектов и прилегающих 
территорий транспортной инфраструктуры</v>
      </c>
      <c r="D85" s="7" t="str">
        <f ca="1">IFERROR(__xludf.DUMMYFUNCTION("""COMPUTED_VALUE"""),"План по стандартизации")</f>
        <v>План по стандартизации</v>
      </c>
      <c r="E85" s="7">
        <f ca="1">IFERROR(__xludf.DUMMYFUNCTION("""COMPUTED_VALUE"""),2021)</f>
        <v>2021</v>
      </c>
      <c r="F85" s="7">
        <f ca="1">IFERROR(__xludf.DUMMYFUNCTION("""COMPUTED_VALUE"""),2)</f>
        <v>2</v>
      </c>
      <c r="G85" s="7" t="str">
        <f ca="1">IFERROR(__xludf.DUMMYFUNCTION("""COMPUTED_VALUE"""),"ТТЗ")</f>
        <v>ТТЗ</v>
      </c>
      <c r="H85" s="7" t="str">
        <f ca="1">IFERROR(__xludf.DUMMYFUNCTION("""COMPUTED_VALUE"""),"Завершено")</f>
        <v>Завершено</v>
      </c>
      <c r="I85" s="7">
        <f ca="1">IFERROR(__xludf.DUMMYFUNCTION("""COMPUTED_VALUE"""),7)</f>
        <v>7</v>
      </c>
      <c r="J85" s="7">
        <f ca="1">IFERROR(__xludf.DUMMYFUNCTION("""COMPUTED_VALUE"""),2)</f>
        <v>2</v>
      </c>
      <c r="K85" s="7" t="str">
        <f ca="1">IFERROR(__xludf.DUMMYFUNCTION("""COMPUTED_VALUE"""),"Клюева Ангелина Эдуардовна")</f>
        <v>Клюева Ангелина Эдуардовна</v>
      </c>
      <c r="L85" s="7" t="str">
        <f ca="1">IFERROR(__xludf.DUMMYFUNCTION("""COMPUTED_VALUE"""),"Минин Александр Валерьевич")</f>
        <v>Минин Александр Валерьевич</v>
      </c>
      <c r="M85" s="7" t="str">
        <f ca="1">IFERROR(__xludf.DUMMYFUNCTION("""COMPUTED_VALUE"""),"Чурсина Мария Вячеславовна")</f>
        <v>Чурсина Мария Вячеславовна</v>
      </c>
      <c r="N85" s="7"/>
      <c r="O85" s="7"/>
      <c r="P85" s="7"/>
      <c r="Q85" s="7" t="str">
        <f ca="1">IFERROR(__xludf.DUMMYFUNCTION("""COMPUTED_VALUE"""),"Нет")</f>
        <v>Нет</v>
      </c>
      <c r="R85" s="7" t="str">
        <f ca="1">IFERROR(__xludf.DUMMYFUNCTION("""COMPUTED_VALUE"""),"Нет")</f>
        <v>Нет</v>
      </c>
      <c r="S85" s="7" t="str">
        <f ca="1">IFERROR(__xludf.DUMMYFUNCTION("""COMPUTED_VALUE"""),"Электронный аукцион")</f>
        <v>Электронный аукцион</v>
      </c>
      <c r="T85" s="7" t="str">
        <f ca="1">IFERROR(__xludf.DUMMYFUNCTION("""COMPUTED_VALUE"""),"Полностью YouTrackная")</f>
        <v>Полностью YouTrackная</v>
      </c>
      <c r="U85" s="7" t="str">
        <f ca="1">IFERROR(__xludf.DUMMYFUNCTION("""COMPUTED_VALUE"""),"Оказание услуг по санитарному содержанию и уборке объектов и прилегающих 
территорий транспортной инфраструктуры")</f>
        <v>Оказание услуг по санитарному содержанию и уборке объектов и прилегающих 
территорий транспортной инфраструктуры</v>
      </c>
      <c r="V85" s="10">
        <f ca="1">IFERROR(__xludf.DUMMYFUNCTION("""COMPUTED_VALUE"""),44239.4951851851)</f>
        <v>44239.4951851851</v>
      </c>
      <c r="W85" s="7" t="str">
        <f ca="1">IFERROR(__xludf.DUMMYFUNCTION("""COMPUTED_VALUE"""),"57.98")</f>
        <v>57.98</v>
      </c>
      <c r="X85" s="16" t="str">
        <f ca="1">IFERROR(__xludf.DUMMYFUNCTION("""COMPUTED_VALUE"""),"22.18")</f>
        <v>22.18</v>
      </c>
      <c r="Y85" s="7" t="str">
        <f ca="1">IFERROR(__xludf.DUMMYFUNCTION("""COMPUTED_VALUE"""),"9.15")</f>
        <v>9.15</v>
      </c>
      <c r="Z85" s="7" t="str">
        <f ca="1">IFERROR(__xludf.DUMMYFUNCTION("""COMPUTED_VALUE"""),"18.64")</f>
        <v>18.64</v>
      </c>
      <c r="AA85" s="11">
        <f ca="1">IFERROR(__xludf.DUMMYFUNCTION("""COMPUTED_VALUE"""),44743)</f>
        <v>44743</v>
      </c>
      <c r="AB85" s="7" t="str">
        <f ca="1">IFERROR(__xludf.DUMMYFUNCTION("""COMPUTED_VALUE"""),"40.58")</f>
        <v>40.58</v>
      </c>
      <c r="AC85" s="7" t="str">
        <f ca="1">IFERROR(__xludf.DUMMYFUNCTION("""COMPUTED_VALUE"""),"27.94")</f>
        <v>27.94</v>
      </c>
      <c r="AD85" s="7" t="str">
        <f ca="1">IFERROR(__xludf.DUMMYFUNCTION("""COMPUTED_VALUE"""),"16.76")</f>
        <v>16.76</v>
      </c>
      <c r="AE85" s="8">
        <f ca="1">IFERROR(__xludf.DUMMYFUNCTION("""COMPUTED_VALUE"""),44767)</f>
        <v>44767</v>
      </c>
      <c r="AF85" s="7">
        <f ca="1">IFERROR(__xludf.DUMMYFUNCTION("""COMPUTED_VALUE"""),0)</f>
        <v>0</v>
      </c>
      <c r="AG85" s="7" t="str">
        <f ca="1">IFERROR(__xludf.DUMMYFUNCTION("""COMPUTED_VALUE"""),"1.97")</f>
        <v>1.97</v>
      </c>
      <c r="AH85" s="10">
        <f ca="1">IFERROR(__xludf.DUMMYFUNCTION("""COMPUTED_VALUE"""),44523.434537037)</f>
        <v>44523.434537036999</v>
      </c>
      <c r="AI85" s="10">
        <f ca="1">IFERROR(__xludf.DUMMYFUNCTION("""COMPUTED_VALUE"""),44560.474224537)</f>
        <v>44560.474224537</v>
      </c>
      <c r="AJ85" s="7">
        <f ca="1">IFERROR(__xludf.DUMMYFUNCTION("""COMPUTED_VALUE"""),164)</f>
        <v>164</v>
      </c>
    </row>
    <row r="86" spans="1:36" ht="110.25" x14ac:dyDescent="0.2">
      <c r="A86" s="7">
        <f ca="1">IFERROR(__xludf.DUMMYFUNCTION("""COMPUTED_VALUE"""),127)</f>
        <v>127</v>
      </c>
      <c r="B86" s="7" t="str">
        <f ca="1">IFERROR(__xludf.DUMMYFUNCTION("""COMPUTED_VALUE"""),"FR-174")</f>
        <v>FR-174</v>
      </c>
      <c r="C86" s="9" t="str">
        <f ca="1">IFERROR(__xludf.DUMMYFUNCTION("""COMPUTED_VALUE"""),"Выполнение работ по изготовлению сувенирной продукции")</f>
        <v>Выполнение работ по изготовлению сувенирной продукции</v>
      </c>
      <c r="D86" s="7" t="str">
        <f ca="1">IFERROR(__xludf.DUMMYFUNCTION("""COMPUTED_VALUE"""),"План по стандартизации")</f>
        <v>План по стандартизации</v>
      </c>
      <c r="E86" s="7">
        <f ca="1">IFERROR(__xludf.DUMMYFUNCTION("""COMPUTED_VALUE"""),2021)</f>
        <v>2021</v>
      </c>
      <c r="F86" s="7">
        <f ca="1">IFERROR(__xludf.DUMMYFUNCTION("""COMPUTED_VALUE"""),4)</f>
        <v>4</v>
      </c>
      <c r="G86" s="7" t="str">
        <f ca="1">IFERROR(__xludf.DUMMYFUNCTION("""COMPUTED_VALUE"""),"СТЗ")</f>
        <v>СТЗ</v>
      </c>
      <c r="H86" s="7" t="str">
        <f ca="1">IFERROR(__xludf.DUMMYFUNCTION("""COMPUTED_VALUE"""),"Завершено")</f>
        <v>Завершено</v>
      </c>
      <c r="I86" s="7">
        <f ca="1">IFERROR(__xludf.DUMMYFUNCTION("""COMPUTED_VALUE"""),10)</f>
        <v>10</v>
      </c>
      <c r="J86" s="7">
        <f ca="1">IFERROR(__xludf.DUMMYFUNCTION("""COMPUTED_VALUE"""),2)</f>
        <v>2</v>
      </c>
      <c r="K86" s="7" t="str">
        <f ca="1">IFERROR(__xludf.DUMMYFUNCTION("""COMPUTED_VALUE"""),"Жунова Анастасия Владимировна")</f>
        <v>Жунова Анастасия Владимировна</v>
      </c>
      <c r="L86" s="7" t="str">
        <f ca="1">IFERROR(__xludf.DUMMYFUNCTION("""COMPUTED_VALUE"""),"Минин Александр Валерьевич")</f>
        <v>Минин Александр Валерьевич</v>
      </c>
      <c r="M86" s="7" t="str">
        <f ca="1">IFERROR(__xludf.DUMMYFUNCTION("""COMPUTED_VALUE"""),"Чурсина Мария Вячеславовна")</f>
        <v>Чурсина Мария Вячеславовна</v>
      </c>
      <c r="N86" s="7"/>
      <c r="O86" s="7" t="str">
        <f ca="1">IFERROR(__xludf.DUMMYFUNCTION("""COMPUTED_VALUE"""),"Типовой")</f>
        <v>Типовой</v>
      </c>
      <c r="P86" s="7" t="str">
        <f ca="1">IFERROR(__xludf.DUMMYFUNCTION("""COMPUTED_VALUE"""),"Нет")</f>
        <v>Нет</v>
      </c>
      <c r="Q86" s="7"/>
      <c r="R86" s="7"/>
      <c r="S86" s="7"/>
      <c r="T86" s="7" t="str">
        <f ca="1">IFERROR(__xludf.DUMMYFUNCTION("""COMPUTED_VALUE"""),"Полностью YouTrackная")</f>
        <v>Полностью YouTrackная</v>
      </c>
      <c r="U86" s="7" t="str">
        <f ca="1">IFERROR(__xludf.DUMMYFUNCTION("""COMPUTED_VALUE"""),"Выполнение работ по изготовлению сувенирной продукции")</f>
        <v>Выполнение работ по изготовлению сувенирной продукции</v>
      </c>
      <c r="V86" s="10">
        <f ca="1">IFERROR(__xludf.DUMMYFUNCTION("""COMPUTED_VALUE"""),44239.5044212962)</f>
        <v>44239.504421296202</v>
      </c>
      <c r="W86" s="7" t="str">
        <f ca="1">IFERROR(__xludf.DUMMYFUNCTION("""COMPUTED_VALUE"""),"100.95")</f>
        <v>100.95</v>
      </c>
      <c r="X86" s="16" t="str">
        <f ca="1">IFERROR(__xludf.DUMMYFUNCTION("""COMPUTED_VALUE"""),"99.1")</f>
        <v>99.1</v>
      </c>
      <c r="Y86" s="7" t="str">
        <f ca="1">IFERROR(__xludf.DUMMYFUNCTION("""COMPUTED_VALUE"""),"13.95")</f>
        <v>13.95</v>
      </c>
      <c r="Z86" s="7" t="str">
        <f ca="1">IFERROR(__xludf.DUMMYFUNCTION("""COMPUTED_VALUE"""),"20.92")</f>
        <v>20.92</v>
      </c>
      <c r="AA86" s="7" t="str">
        <f ca="1">IFERROR(__xludf.DUMMYFUNCTION("""COMPUTED_VALUE"""),"0.33")</f>
        <v>0.33</v>
      </c>
      <c r="AB86" s="7" t="str">
        <f ca="1">IFERROR(__xludf.DUMMYFUNCTION("""COMPUTED_VALUE"""),"67.15")</f>
        <v>67.15</v>
      </c>
      <c r="AC86" s="7" t="str">
        <f ca="1">IFERROR(__xludf.DUMMYFUNCTION("""COMPUTED_VALUE"""),"17.45")</f>
        <v>17.45</v>
      </c>
      <c r="AD86" s="11">
        <f ca="1">IFERROR(__xludf.DUMMYFUNCTION("""COMPUTED_VALUE"""),44641)</f>
        <v>44641</v>
      </c>
      <c r="AE86" s="7" t="str">
        <f ca="1">IFERROR(__xludf.DUMMYFUNCTION("""COMPUTED_VALUE"""),"13.82")</f>
        <v>13.82</v>
      </c>
      <c r="AF86" s="7"/>
      <c r="AG86" s="8">
        <f ca="1">IFERROR(__xludf.DUMMYFUNCTION("""COMPUTED_VALUE"""),44748)</f>
        <v>44748</v>
      </c>
      <c r="AH86" s="10">
        <f ca="1">IFERROR(__xludf.DUMMYFUNCTION("""COMPUTED_VALUE"""),44746.6741550925)</f>
        <v>44746.6741550925</v>
      </c>
      <c r="AI86" s="10">
        <f ca="1">IFERROR(__xludf.DUMMYFUNCTION("""COMPUTED_VALUE"""),44774.5683796296)</f>
        <v>44774.5683796296</v>
      </c>
      <c r="AJ86" s="7">
        <f ca="1">IFERROR(__xludf.DUMMYFUNCTION("""COMPUTED_VALUE"""),260)</f>
        <v>260</v>
      </c>
    </row>
    <row r="87" spans="1:36" ht="204.75" x14ac:dyDescent="0.2">
      <c r="A87" s="7">
        <f ca="1">IFERROR(__xludf.DUMMYFUNCTION("""COMPUTED_VALUE"""),128)</f>
        <v>128</v>
      </c>
      <c r="B87" s="7" t="str">
        <f ca="1">IFERROR(__xludf.DUMMYFUNCTION("""COMPUTED_VALUE"""),"FR-175")</f>
        <v>FR-175</v>
      </c>
      <c r="C87" s="9" t="str">
        <f ca="1">IFERROR(__xludf.DUMMYFUNCTION("""COMPUTED_VALUE"""),"Поставка инициализированных пронумерованных пластиковых бесконтактных 
смарт-карт специального дизайна")</f>
        <v>Поставка инициализированных пронумерованных пластиковых бесконтактных 
смарт-карт специального дизайна</v>
      </c>
      <c r="D87" s="7" t="str">
        <f ca="1">IFERROR(__xludf.DUMMYFUNCTION("""COMPUTED_VALUE"""),"План по стандартизации")</f>
        <v>План по стандартизации</v>
      </c>
      <c r="E87" s="7">
        <f ca="1">IFERROR(__xludf.DUMMYFUNCTION("""COMPUTED_VALUE"""),2021)</f>
        <v>2021</v>
      </c>
      <c r="F87" s="7">
        <f ca="1">IFERROR(__xludf.DUMMYFUNCTION("""COMPUTED_VALUE"""),2)</f>
        <v>2</v>
      </c>
      <c r="G87" s="7" t="str">
        <f ca="1">IFERROR(__xludf.DUMMYFUNCTION("""COMPUTED_VALUE"""),"ТТЗ")</f>
        <v>ТТЗ</v>
      </c>
      <c r="H87" s="7" t="str">
        <f ca="1">IFERROR(__xludf.DUMMYFUNCTION("""COMPUTED_VALUE"""),"Завершено")</f>
        <v>Завершено</v>
      </c>
      <c r="I87" s="7">
        <f ca="1">IFERROR(__xludf.DUMMYFUNCTION("""COMPUTED_VALUE"""),3)</f>
        <v>3</v>
      </c>
      <c r="J87" s="7">
        <f ca="1">IFERROR(__xludf.DUMMYFUNCTION("""COMPUTED_VALUE"""),5)</f>
        <v>5</v>
      </c>
      <c r="K87" s="7" t="str">
        <f ca="1">IFERROR(__xludf.DUMMYFUNCTION("""COMPUTED_VALUE"""),"Чурсина Мария Вячеславовна")</f>
        <v>Чурсина Мария Вячеславовна</v>
      </c>
      <c r="L87" s="7" t="str">
        <f ca="1">IFERROR(__xludf.DUMMYFUNCTION("""COMPUTED_VALUE"""),"Минин Александр Валерьевич")</f>
        <v>Минин Александр Валерьевич</v>
      </c>
      <c r="M87" s="7" t="str">
        <f ca="1">IFERROR(__xludf.DUMMYFUNCTION("""COMPUTED_VALUE"""),"Чурсина Мария Вячеславовна")</f>
        <v>Чурсина Мария Вячеславовна</v>
      </c>
      <c r="N87" s="7"/>
      <c r="O87" s="7" t="str">
        <f ca="1">IFERROR(__xludf.DUMMYFUNCTION("""COMPUTED_VALUE"""),"Типовой")</f>
        <v>Типовой</v>
      </c>
      <c r="P87" s="7"/>
      <c r="Q87" s="7" t="str">
        <f ca="1">IFERROR(__xludf.DUMMYFUNCTION("""COMPUTED_VALUE"""),"Нет")</f>
        <v>Нет</v>
      </c>
      <c r="R87" s="7" t="str">
        <f ca="1">IFERROR(__xludf.DUMMYFUNCTION("""COMPUTED_VALUE"""),"Нет")</f>
        <v>Нет</v>
      </c>
      <c r="S87" s="7" t="str">
        <f ca="1">IFERROR(__xludf.DUMMYFUNCTION("""COMPUTED_VALUE"""),"Электронный аукцион")</f>
        <v>Электронный аукцион</v>
      </c>
      <c r="T87" s="7" t="str">
        <f ca="1">IFERROR(__xludf.DUMMYFUNCTION("""COMPUTED_VALUE"""),"Полностью YouTrackная")</f>
        <v>Полностью YouTrackная</v>
      </c>
      <c r="U87" s="7" t="str">
        <f ca="1">IFERROR(__xludf.DUMMYFUNCTION("""COMPUTED_VALUE"""),"Поставка инициализированных пронумерованных пластиковых бесконтактных 
смарт-карт специального дизайна")</f>
        <v>Поставка инициализированных пронумерованных пластиковых бесконтактных 
смарт-карт специального дизайна</v>
      </c>
      <c r="V87" s="10">
        <f ca="1">IFERROR(__xludf.DUMMYFUNCTION("""COMPUTED_VALUE"""),44239.5246064814)</f>
        <v>44239.524606481398</v>
      </c>
      <c r="W87" s="7" t="str">
        <f ca="1">IFERROR(__xludf.DUMMYFUNCTION("""COMPUTED_VALUE"""),"13.99")</f>
        <v>13.99</v>
      </c>
      <c r="X87" s="16" t="str">
        <f ca="1">IFERROR(__xludf.DUMMYFUNCTION("""COMPUTED_VALUE"""),"59.91")</f>
        <v>59.91</v>
      </c>
      <c r="Y87" s="11">
        <f ca="1">IFERROR(__xludf.DUMMYFUNCTION("""COMPUTED_VALUE"""),44637)</f>
        <v>44637</v>
      </c>
      <c r="Z87" s="7" t="str">
        <f ca="1">IFERROR(__xludf.DUMMYFUNCTION("""COMPUTED_VALUE"""),"1.14")</f>
        <v>1.14</v>
      </c>
      <c r="AA87" s="7" t="str">
        <f ca="1">IFERROR(__xludf.DUMMYFUNCTION("""COMPUTED_VALUE"""),"0.48")</f>
        <v>0.48</v>
      </c>
      <c r="AB87" s="7" t="str">
        <f ca="1">IFERROR(__xludf.DUMMYFUNCTION("""COMPUTED_VALUE"""),"30.47")</f>
        <v>30.47</v>
      </c>
      <c r="AC87" s="7" t="str">
        <f ca="1">IFERROR(__xludf.DUMMYFUNCTION("""COMPUTED_VALUE"""),"37.42")</f>
        <v>37.42</v>
      </c>
      <c r="AD87" s="7" t="str">
        <f ca="1">IFERROR(__xludf.DUMMYFUNCTION("""COMPUTED_VALUE"""),"34.19")</f>
        <v>34.19</v>
      </c>
      <c r="AE87" s="8">
        <f ca="1">IFERROR(__xludf.DUMMYFUNCTION("""COMPUTED_VALUE"""),44767)</f>
        <v>44767</v>
      </c>
      <c r="AF87" s="7">
        <f ca="1">IFERROR(__xludf.DUMMYFUNCTION("""COMPUTED_VALUE"""),0)</f>
        <v>0</v>
      </c>
      <c r="AG87" s="7" t="str">
        <f ca="1">IFERROR(__xludf.DUMMYFUNCTION("""COMPUTED_VALUE"""),"1.23")</f>
        <v>1.23</v>
      </c>
      <c r="AH87" s="10">
        <f ca="1">IFERROR(__xludf.DUMMYFUNCTION("""COMPUTED_VALUE"""),44523.4336458333)</f>
        <v>44523.433645833298</v>
      </c>
      <c r="AI87" s="10">
        <f ca="1">IFERROR(__xludf.DUMMYFUNCTION("""COMPUTED_VALUE"""),44559.7311458333)</f>
        <v>44559.731145833299</v>
      </c>
      <c r="AJ87" s="7">
        <f ca="1">IFERROR(__xludf.DUMMYFUNCTION("""COMPUTED_VALUE"""),207)</f>
        <v>207</v>
      </c>
    </row>
    <row r="88" spans="1:36" ht="78.75" x14ac:dyDescent="0.2">
      <c r="A88" s="7">
        <f ca="1">IFERROR(__xludf.DUMMYFUNCTION("""COMPUTED_VALUE"""),129)</f>
        <v>129</v>
      </c>
      <c r="B88" s="7" t="str">
        <f ca="1">IFERROR(__xludf.DUMMYFUNCTION("""COMPUTED_VALUE"""),"FR-176")</f>
        <v>FR-176</v>
      </c>
      <c r="C88" s="9" t="str">
        <f ca="1">IFERROR(__xludf.DUMMYFUNCTION("""COMPUTED_VALUE"""),"Поставка смесей, растворов строительных")</f>
        <v>Поставка смесей, растворов строительных</v>
      </c>
      <c r="D88" s="7" t="str">
        <f ca="1">IFERROR(__xludf.DUMMYFUNCTION("""COMPUTED_VALUE"""),"План по стандартизации")</f>
        <v>План по стандартизации</v>
      </c>
      <c r="E88" s="7">
        <f ca="1">IFERROR(__xludf.DUMMYFUNCTION("""COMPUTED_VALUE"""),2021)</f>
        <v>2021</v>
      </c>
      <c r="F88" s="7">
        <f ca="1">IFERROR(__xludf.DUMMYFUNCTION("""COMPUTED_VALUE"""),1)</f>
        <v>1</v>
      </c>
      <c r="G88" s="7" t="str">
        <f ca="1">IFERROR(__xludf.DUMMYFUNCTION("""COMPUTED_VALUE"""),"СТЗ")</f>
        <v>СТЗ</v>
      </c>
      <c r="H88" s="7" t="str">
        <f ca="1">IFERROR(__xludf.DUMMYFUNCTION("""COMPUTED_VALUE"""),"Завершено")</f>
        <v>Завершено</v>
      </c>
      <c r="I88" s="7">
        <f ca="1">IFERROR(__xludf.DUMMYFUNCTION("""COMPUTED_VALUE"""),1)</f>
        <v>1</v>
      </c>
      <c r="J88" s="7">
        <f ca="1">IFERROR(__xludf.DUMMYFUNCTION("""COMPUTED_VALUE"""),1)</f>
        <v>1</v>
      </c>
      <c r="K88" s="7" t="str">
        <f ca="1">IFERROR(__xludf.DUMMYFUNCTION("""COMPUTED_VALUE"""),"Дергунов Дмитрий Александрович")</f>
        <v>Дергунов Дмитрий Александрович</v>
      </c>
      <c r="L88" s="7" t="str">
        <f ca="1">IFERROR(__xludf.DUMMYFUNCTION("""COMPUTED_VALUE"""),"Столянков Андрей Владиславович")</f>
        <v>Столянков Андрей Владиславович</v>
      </c>
      <c r="M88" s="7" t="str">
        <f ca="1">IFERROR(__xludf.DUMMYFUNCTION("""COMPUTED_VALUE"""),"Магамгазиев Расул Висхаджиевич")</f>
        <v>Магамгазиев Расул Висхаджиевич</v>
      </c>
      <c r="N88" s="7"/>
      <c r="O88" s="7"/>
      <c r="P88" s="7"/>
      <c r="Q88" s="7"/>
      <c r="R88" s="7"/>
      <c r="S88" s="7"/>
      <c r="T88" s="7" t="str">
        <f ca="1">IFERROR(__xludf.DUMMYFUNCTION("""COMPUTED_VALUE"""),"Полностью YouTrackная")</f>
        <v>Полностью YouTrackная</v>
      </c>
      <c r="U88" s="7" t="str">
        <f ca="1">IFERROR(__xludf.DUMMYFUNCTION("""COMPUTED_VALUE"""),"Поставка смесей, растворов строительных")</f>
        <v>Поставка смесей, растворов строительных</v>
      </c>
      <c r="V88" s="10">
        <f ca="1">IFERROR(__xludf.DUMMYFUNCTION("""COMPUTED_VALUE"""),44243.4245601851)</f>
        <v>44243.4245601851</v>
      </c>
      <c r="W88" s="7" t="str">
        <f ca="1">IFERROR(__xludf.DUMMYFUNCTION("""COMPUTED_VALUE"""),"13.28")</f>
        <v>13.28</v>
      </c>
      <c r="X88" s="16" t="str">
        <f ca="1">IFERROR(__xludf.DUMMYFUNCTION("""COMPUTED_VALUE"""),"1.75")</f>
        <v>1.75</v>
      </c>
      <c r="Y88" s="7" t="str">
        <f ca="1">IFERROR(__xludf.DUMMYFUNCTION("""COMPUTED_VALUE"""),"6.19")</f>
        <v>6.19</v>
      </c>
      <c r="Z88" s="8">
        <f ca="1">IFERROR(__xludf.DUMMYFUNCTION("""COMPUTED_VALUE"""),44563)</f>
        <v>44563</v>
      </c>
      <c r="AA88" s="8">
        <f ca="1">IFERROR(__xludf.DUMMYFUNCTION("""COMPUTED_VALUE"""),44594)</f>
        <v>44594</v>
      </c>
      <c r="AB88" s="7" t="str">
        <f ca="1">IFERROR(__xludf.DUMMYFUNCTION("""COMPUTED_VALUE"""),"61.1")</f>
        <v>61.1</v>
      </c>
      <c r="AC88" s="7" t="str">
        <f ca="1">IFERROR(__xludf.DUMMYFUNCTION("""COMPUTED_VALUE"""),"15.96")</f>
        <v>15.96</v>
      </c>
      <c r="AD88" s="8">
        <f ca="1">IFERROR(__xludf.DUMMYFUNCTION("""COMPUTED_VALUE"""),44675)</f>
        <v>44675</v>
      </c>
      <c r="AE88" s="7" t="str">
        <f ca="1">IFERROR(__xludf.DUMMYFUNCTION("""COMPUTED_VALUE"""),"12.77")</f>
        <v>12.77</v>
      </c>
      <c r="AF88" s="7">
        <f ca="1">IFERROR(__xludf.DUMMYFUNCTION("""COMPUTED_VALUE"""),0)</f>
        <v>0</v>
      </c>
      <c r="AG88" s="7" t="str">
        <f ca="1">IFERROR(__xludf.DUMMYFUNCTION("""COMPUTED_VALUE"""),"0.1")</f>
        <v>0.1</v>
      </c>
      <c r="AH88" s="10">
        <f ca="1">IFERROR(__xludf.DUMMYFUNCTION("""COMPUTED_VALUE"""),44426.7779976851)</f>
        <v>44426.777997685102</v>
      </c>
      <c r="AI88" s="10">
        <f ca="1">IFERROR(__xludf.DUMMYFUNCTION("""COMPUTED_VALUE"""),44445.6428009259)</f>
        <v>44445.642800925903</v>
      </c>
      <c r="AJ88" s="7">
        <f ca="1">IFERROR(__xludf.DUMMYFUNCTION("""COMPUTED_VALUE"""),126)</f>
        <v>126</v>
      </c>
    </row>
    <row r="89" spans="1:36" ht="299.25" x14ac:dyDescent="0.2">
      <c r="A89" s="7">
        <f ca="1">IFERROR(__xludf.DUMMYFUNCTION("""COMPUTED_VALUE"""),130)</f>
        <v>130</v>
      </c>
      <c r="B89" s="7" t="str">
        <f ca="1">IFERROR(__xludf.DUMMYFUNCTION("""COMPUTED_VALUE"""),"FR-177")</f>
        <v>FR-177</v>
      </c>
      <c r="C89" s="9" t="str">
        <f ca="1">IFERROR(__xludf.DUMMYFUNCTION("""COMPUTED_VALUE"""),"Оказание услуг по техническому обслуживанию внутридомового и 
внутриквартирного газового оборудования с учетом аварийно-диспетчерского 
обеспечения")</f>
        <v>Оказание услуг по техническому обслуживанию внутридомового и 
внутриквартирного газового оборудования с учетом аварийно-диспетчерского 
обеспечения</v>
      </c>
      <c r="D89" s="7" t="str">
        <f ca="1">IFERROR(__xludf.DUMMYFUNCTION("""COMPUTED_VALUE"""),"План по стандартизации")</f>
        <v>План по стандартизации</v>
      </c>
      <c r="E89" s="7">
        <f ca="1">IFERROR(__xludf.DUMMYFUNCTION("""COMPUTED_VALUE"""),2021)</f>
        <v>2021</v>
      </c>
      <c r="F89" s="7">
        <f ca="1">IFERROR(__xludf.DUMMYFUNCTION("""COMPUTED_VALUE"""),2)</f>
        <v>2</v>
      </c>
      <c r="G89" s="7" t="str">
        <f ca="1">IFERROR(__xludf.DUMMYFUNCTION("""COMPUTED_VALUE"""),"ТТЗ")</f>
        <v>ТТЗ</v>
      </c>
      <c r="H89" s="7" t="str">
        <f ca="1">IFERROR(__xludf.DUMMYFUNCTION("""COMPUTED_VALUE"""),"Завершено")</f>
        <v>Завершено</v>
      </c>
      <c r="I89" s="7">
        <f ca="1">IFERROR(__xludf.DUMMYFUNCTION("""COMPUTED_VALUE"""),2)</f>
        <v>2</v>
      </c>
      <c r="J89" s="7">
        <f ca="1">IFERROR(__xludf.DUMMYFUNCTION("""COMPUTED_VALUE"""),4)</f>
        <v>4</v>
      </c>
      <c r="K89" s="7" t="str">
        <f ca="1">IFERROR(__xludf.DUMMYFUNCTION("""COMPUTED_VALUE"""),"Морунов Олег Александрович")</f>
        <v>Морунов Олег Александрович</v>
      </c>
      <c r="L89" s="7" t="str">
        <f ca="1">IFERROR(__xludf.DUMMYFUNCTION("""COMPUTED_VALUE"""),"Осипенкова Елена Владимировна")</f>
        <v>Осипенкова Елена Владимировна</v>
      </c>
      <c r="M89" s="7" t="str">
        <f ca="1">IFERROR(__xludf.DUMMYFUNCTION("""COMPUTED_VALUE"""),"Чурсина Мария Вячеславовна")</f>
        <v>Чурсина Мария Вячеславовна</v>
      </c>
      <c r="N89" s="7"/>
      <c r="O89" s="7" t="str">
        <f ca="1">IFERROR(__xludf.DUMMYFUNCTION("""COMPUTED_VALUE"""),"Типовой")</f>
        <v>Типовой</v>
      </c>
      <c r="P89" s="7" t="str">
        <f ca="1">IFERROR(__xludf.DUMMYFUNCTION("""COMPUTED_VALUE"""),"Нет")</f>
        <v>Нет</v>
      </c>
      <c r="Q89" s="7" t="str">
        <f ca="1">IFERROR(__xludf.DUMMYFUNCTION("""COMPUTED_VALUE"""),"223-ФЗ")</f>
        <v>223-ФЗ</v>
      </c>
      <c r="R89" s="7" t="str">
        <f ca="1">IFERROR(__xludf.DUMMYFUNCTION("""COMPUTED_VALUE"""),"Нет")</f>
        <v>Нет</v>
      </c>
      <c r="S89" s="7" t="str">
        <f ca="1">IFERROR(__xludf.DUMMYFUNCTION("""COMPUTED_VALUE"""),"Открытый конкурс / Электронный аукцион")</f>
        <v>Открытый конкурс / Электронный аукцион</v>
      </c>
      <c r="T89" s="7" t="str">
        <f ca="1">IFERROR(__xludf.DUMMYFUNCTION("""COMPUTED_VALUE"""),"Полностью YouTrackная")</f>
        <v>Полностью YouTrackная</v>
      </c>
      <c r="U89" s="7" t="str">
        <f ca="1">IFERROR(__xludf.DUMMYFUNCTION("""COMPUTED_VALUE"""),"Оказание услуг по техническому обслуживанию внутридомового и 
внутриквартирного газового оборудования с учетом аварийно-диспетчерского 
обеспечения")</f>
        <v>Оказание услуг по техническому обслуживанию внутридомового и 
внутриквартирного газового оборудования с учетом аварийно-диспетчерского 
обеспечения</v>
      </c>
      <c r="V89" s="10">
        <f ca="1">IFERROR(__xludf.DUMMYFUNCTION("""COMPUTED_VALUE"""),44243.5030324074)</f>
        <v>44243.503032407403</v>
      </c>
      <c r="W89" s="7" t="str">
        <f ca="1">IFERROR(__xludf.DUMMYFUNCTION("""COMPUTED_VALUE"""),"44.92")</f>
        <v>44.92</v>
      </c>
      <c r="X89" s="16" t="str">
        <f ca="1">IFERROR(__xludf.DUMMYFUNCTION("""COMPUTED_VALUE"""),"35.41")</f>
        <v>35.41</v>
      </c>
      <c r="Y89" s="7" t="str">
        <f ca="1">IFERROR(__xludf.DUMMYFUNCTION("""COMPUTED_VALUE"""),"19.61")</f>
        <v>19.61</v>
      </c>
      <c r="Z89" s="7" t="str">
        <f ca="1">IFERROR(__xludf.DUMMYFUNCTION("""COMPUTED_VALUE"""),"2.86")</f>
        <v>2.86</v>
      </c>
      <c r="AA89" s="7" t="str">
        <f ca="1">IFERROR(__xludf.DUMMYFUNCTION("""COMPUTED_VALUE"""),"0.08")</f>
        <v>0.08</v>
      </c>
      <c r="AB89" s="7" t="str">
        <f ca="1">IFERROR(__xludf.DUMMYFUNCTION("""COMPUTED_VALUE"""),"30.49")</f>
        <v>30.49</v>
      </c>
      <c r="AC89" s="7" t="str">
        <f ca="1">IFERROR(__xludf.DUMMYFUNCTION("""COMPUTED_VALUE"""),"36.46")</f>
        <v>36.46</v>
      </c>
      <c r="AD89" s="11">
        <f ca="1">IFERROR(__xludf.DUMMYFUNCTION("""COMPUTED_VALUE"""),44584)</f>
        <v>44584</v>
      </c>
      <c r="AE89" s="8">
        <f ca="1">IFERROR(__xludf.DUMMYFUNCTION("""COMPUTED_VALUE"""),44767)</f>
        <v>44767</v>
      </c>
      <c r="AF89" s="7">
        <f ca="1">IFERROR(__xludf.DUMMYFUNCTION("""COMPUTED_VALUE"""),0)</f>
        <v>0</v>
      </c>
      <c r="AG89" s="7" t="str">
        <f ca="1">IFERROR(__xludf.DUMMYFUNCTION("""COMPUTED_VALUE"""),"3.24")</f>
        <v>3.24</v>
      </c>
      <c r="AH89" s="10">
        <f ca="1">IFERROR(__xludf.DUMMYFUNCTION("""COMPUTED_VALUE"""),44523.4346643518)</f>
        <v>44523.4346643518</v>
      </c>
      <c r="AI89" s="10">
        <f ca="1">IFERROR(__xludf.DUMMYFUNCTION("""COMPUTED_VALUE"""),44571.7427314814)</f>
        <v>44571.742731481398</v>
      </c>
      <c r="AJ89" s="7">
        <f ca="1">IFERROR(__xludf.DUMMYFUNCTION("""COMPUTED_VALUE"""),176)</f>
        <v>176</v>
      </c>
    </row>
    <row r="90" spans="1:36" ht="141.75" x14ac:dyDescent="0.2">
      <c r="A90" s="7">
        <f ca="1">IFERROR(__xludf.DUMMYFUNCTION("""COMPUTED_VALUE"""),131)</f>
        <v>131</v>
      </c>
      <c r="B90" s="7" t="str">
        <f ca="1">IFERROR(__xludf.DUMMYFUNCTION("""COMPUTED_VALUE"""),"FR-178")</f>
        <v>FR-178</v>
      </c>
      <c r="C90" s="9" t="str">
        <f ca="1">IFERROR(__xludf.DUMMYFUNCTION("""COMPUTED_VALUE"""),"Оказание услуг по эксплуатации и техническому обслуживанию котельных")</f>
        <v>Оказание услуг по эксплуатации и техническому обслуживанию котельных</v>
      </c>
      <c r="D90" s="7" t="str">
        <f ca="1">IFERROR(__xludf.DUMMYFUNCTION("""COMPUTED_VALUE"""),"План по стандартизации")</f>
        <v>План по стандартизации</v>
      </c>
      <c r="E90" s="7">
        <f ca="1">IFERROR(__xludf.DUMMYFUNCTION("""COMPUTED_VALUE"""),2021)</f>
        <v>2021</v>
      </c>
      <c r="F90" s="7">
        <f ca="1">IFERROR(__xludf.DUMMYFUNCTION("""COMPUTED_VALUE"""),3)</f>
        <v>3</v>
      </c>
      <c r="G90" s="7" t="str">
        <f ca="1">IFERROR(__xludf.DUMMYFUNCTION("""COMPUTED_VALUE"""),"ТТЗ")</f>
        <v>ТТЗ</v>
      </c>
      <c r="H90" s="7" t="str">
        <f ca="1">IFERROR(__xludf.DUMMYFUNCTION("""COMPUTED_VALUE"""),"Завершено")</f>
        <v>Завершено</v>
      </c>
      <c r="I90" s="7">
        <f ca="1">IFERROR(__xludf.DUMMYFUNCTION("""COMPUTED_VALUE"""),4)</f>
        <v>4</v>
      </c>
      <c r="J90" s="7">
        <f ca="1">IFERROR(__xludf.DUMMYFUNCTION("""COMPUTED_VALUE"""),1)</f>
        <v>1</v>
      </c>
      <c r="K90" s="7" t="str">
        <f ca="1">IFERROR(__xludf.DUMMYFUNCTION("""COMPUTED_VALUE"""),"Морунов Олег Александрович")</f>
        <v>Морунов Олег Александрович</v>
      </c>
      <c r="L90" s="7" t="str">
        <f ca="1">IFERROR(__xludf.DUMMYFUNCTION("""COMPUTED_VALUE"""),"Осипенкова Елена Владимировна")</f>
        <v>Осипенкова Елена Владимировна</v>
      </c>
      <c r="M90" s="7" t="str">
        <f ca="1">IFERROR(__xludf.DUMMYFUNCTION("""COMPUTED_VALUE"""),"Чурсина Мария Вячеславовна")</f>
        <v>Чурсина Мария Вячеславовна</v>
      </c>
      <c r="N90" s="7"/>
      <c r="O90" s="7" t="str">
        <f ca="1">IFERROR(__xludf.DUMMYFUNCTION("""COMPUTED_VALUE"""),"Типовой")</f>
        <v>Типовой</v>
      </c>
      <c r="P90" s="7" t="str">
        <f ca="1">IFERROR(__xludf.DUMMYFUNCTION("""COMPUTED_VALUE"""),"Нет")</f>
        <v>Нет</v>
      </c>
      <c r="Q90" s="7" t="str">
        <f ca="1">IFERROR(__xludf.DUMMYFUNCTION("""COMPUTED_VALUE"""),"Нет")</f>
        <v>Нет</v>
      </c>
      <c r="R90" s="7" t="str">
        <f ca="1">IFERROR(__xludf.DUMMYFUNCTION("""COMPUTED_VALUE"""),"Нет")</f>
        <v>Нет</v>
      </c>
      <c r="S90" s="7" t="str">
        <f ca="1">IFERROR(__xludf.DUMMYFUNCTION("""COMPUTED_VALUE"""),"Электронный аукцион")</f>
        <v>Электронный аукцион</v>
      </c>
      <c r="T90" s="7" t="str">
        <f ca="1">IFERROR(__xludf.DUMMYFUNCTION("""COMPUTED_VALUE"""),"Полностью YouTrackная")</f>
        <v>Полностью YouTrackная</v>
      </c>
      <c r="U90" s="7" t="str">
        <f ca="1">IFERROR(__xludf.DUMMYFUNCTION("""COMPUTED_VALUE"""),"Оказание услуг по эксплуатации и техническому обслуживанию котельных")</f>
        <v>Оказание услуг по эксплуатации и техническому обслуживанию котельных</v>
      </c>
      <c r="V90" s="10">
        <f ca="1">IFERROR(__xludf.DUMMYFUNCTION("""COMPUTED_VALUE"""),44243.5041203703)</f>
        <v>44243.5041203703</v>
      </c>
      <c r="W90" s="7" t="str">
        <f ca="1">IFERROR(__xludf.DUMMYFUNCTION("""COMPUTED_VALUE"""),"129.93")</f>
        <v>129.93</v>
      </c>
      <c r="X90" s="16" t="str">
        <f ca="1">IFERROR(__xludf.DUMMYFUNCTION("""COMPUTED_VALUE"""),"16.39")</f>
        <v>16.39</v>
      </c>
      <c r="Y90" s="7" t="str">
        <f ca="1">IFERROR(__xludf.DUMMYFUNCTION("""COMPUTED_VALUE"""),"7.87")</f>
        <v>7.87</v>
      </c>
      <c r="Z90" s="7" t="str">
        <f ca="1">IFERROR(__xludf.DUMMYFUNCTION("""COMPUTED_VALUE"""),"7.33")</f>
        <v>7.33</v>
      </c>
      <c r="AA90" s="7" t="str">
        <f ca="1">IFERROR(__xludf.DUMMYFUNCTION("""COMPUTED_VALUE"""),"0.08")</f>
        <v>0.08</v>
      </c>
      <c r="AB90" s="7" t="str">
        <f ca="1">IFERROR(__xludf.DUMMYFUNCTION("""COMPUTED_VALUE"""),"90.58")</f>
        <v>90.58</v>
      </c>
      <c r="AC90" s="7" t="str">
        <f ca="1">IFERROR(__xludf.DUMMYFUNCTION("""COMPUTED_VALUE"""),"24.13")</f>
        <v>24.13</v>
      </c>
      <c r="AD90" s="7" t="str">
        <f ca="1">IFERROR(__xludf.DUMMYFUNCTION("""COMPUTED_VALUE"""),"33.82")</f>
        <v>33.82</v>
      </c>
      <c r="AE90" s="7"/>
      <c r="AF90" s="7" t="str">
        <f ca="1">IFERROR(__xludf.DUMMYFUNCTION("""COMPUTED_VALUE"""),"1.74")</f>
        <v>1.74</v>
      </c>
      <c r="AG90" s="7" t="str">
        <f ca="1">IFERROR(__xludf.DUMMYFUNCTION("""COMPUTED_VALUE"""),"5.14")</f>
        <v>5.14</v>
      </c>
      <c r="AH90" s="7"/>
      <c r="AI90" s="10">
        <f ca="1">IFERROR(__xludf.DUMMYFUNCTION("""COMPUTED_VALUE"""),44713.5122685185)</f>
        <v>44713.512268518498</v>
      </c>
      <c r="AJ90" s="7">
        <f ca="1">IFERROR(__xludf.DUMMYFUNCTION("""COMPUTED_VALUE"""),187)</f>
        <v>187</v>
      </c>
    </row>
    <row r="91" spans="1:36" ht="94.5" x14ac:dyDescent="0.2">
      <c r="A91" s="7">
        <f ca="1">IFERROR(__xludf.DUMMYFUNCTION("""COMPUTED_VALUE"""),132)</f>
        <v>132</v>
      </c>
      <c r="B91" s="7" t="str">
        <f ca="1">IFERROR(__xludf.DUMMYFUNCTION("""COMPUTED_VALUE"""),"FR-179")</f>
        <v>FR-179</v>
      </c>
      <c r="C91" s="9" t="str">
        <f ca="1">IFERROR(__xludf.DUMMYFUNCTION("""COMPUTED_VALUE"""),"Поставка и установка туалетных модулей и туалетных кабин")</f>
        <v>Поставка и установка туалетных модулей и туалетных кабин</v>
      </c>
      <c r="D91" s="7" t="str">
        <f ca="1">IFERROR(__xludf.DUMMYFUNCTION("""COMPUTED_VALUE"""),"План по стандартизации")</f>
        <v>План по стандартизации</v>
      </c>
      <c r="E91" s="7">
        <f ca="1">IFERROR(__xludf.DUMMYFUNCTION("""COMPUTED_VALUE"""),2021)</f>
        <v>2021</v>
      </c>
      <c r="F91" s="7">
        <f ca="1">IFERROR(__xludf.DUMMYFUNCTION("""COMPUTED_VALUE"""),1)</f>
        <v>1</v>
      </c>
      <c r="G91" s="7" t="str">
        <f ca="1">IFERROR(__xludf.DUMMYFUNCTION("""COMPUTED_VALUE"""),"ТТЗ")</f>
        <v>ТТЗ</v>
      </c>
      <c r="H91" s="7" t="str">
        <f ca="1">IFERROR(__xludf.DUMMYFUNCTION("""COMPUTED_VALUE"""),"Завершено")</f>
        <v>Завершено</v>
      </c>
      <c r="I91" s="7">
        <f ca="1">IFERROR(__xludf.DUMMYFUNCTION("""COMPUTED_VALUE"""),1)</f>
        <v>1</v>
      </c>
      <c r="J91" s="7">
        <f ca="1">IFERROR(__xludf.DUMMYFUNCTION("""COMPUTED_VALUE"""),1)</f>
        <v>1</v>
      </c>
      <c r="K91" s="7" t="str">
        <f ca="1">IFERROR(__xludf.DUMMYFUNCTION("""COMPUTED_VALUE"""),"Уфаркина Наталья Геннадьевна")</f>
        <v>Уфаркина Наталья Геннадьевна</v>
      </c>
      <c r="L91" s="7" t="str">
        <f ca="1">IFERROR(__xludf.DUMMYFUNCTION("""COMPUTED_VALUE"""),"Уфаркина Наталья Геннадьевна")</f>
        <v>Уфаркина Наталья Геннадьевна</v>
      </c>
      <c r="M91" s="7" t="str">
        <f ca="1">IFERROR(__xludf.DUMMYFUNCTION("""COMPUTED_VALUE"""),"Гудиев Зелимхан Куйраевич")</f>
        <v>Гудиев Зелимхан Куйраевич</v>
      </c>
      <c r="N91" s="7"/>
      <c r="O91" s="7" t="str">
        <f ca="1">IFERROR(__xludf.DUMMYFUNCTION("""COMPUTED_VALUE"""),"Типовой")</f>
        <v>Типовой</v>
      </c>
      <c r="P91" s="7" t="str">
        <f ca="1">IFERROR(__xludf.DUMMYFUNCTION("""COMPUTED_VALUE"""),"Нет")</f>
        <v>Нет</v>
      </c>
      <c r="Q91" s="7" t="str">
        <f ca="1">IFERROR(__xludf.DUMMYFUNCTION("""COMPUTED_VALUE"""),"223-ФЗ")</f>
        <v>223-ФЗ</v>
      </c>
      <c r="R91" s="7" t="str">
        <f ca="1">IFERROR(__xludf.DUMMYFUNCTION("""COMPUTED_VALUE"""),"Нет")</f>
        <v>Нет</v>
      </c>
      <c r="S91" s="7" t="str">
        <f ca="1">IFERROR(__xludf.DUMMYFUNCTION("""COMPUTED_VALUE"""),"Открытый конкурс / Электронный аукцион")</f>
        <v>Открытый конкурс / Электронный аукцион</v>
      </c>
      <c r="T91" s="7" t="str">
        <f ca="1">IFERROR(__xludf.DUMMYFUNCTION("""COMPUTED_VALUE"""),"Полностью YouTrackная")</f>
        <v>Полностью YouTrackная</v>
      </c>
      <c r="U91" s="7" t="str">
        <f ca="1">IFERROR(__xludf.DUMMYFUNCTION("""COMPUTED_VALUE"""),"Поставка и установка туалетных модулей и туалетных кабин")</f>
        <v>Поставка и установка туалетных модулей и туалетных кабин</v>
      </c>
      <c r="V91" s="10">
        <f ca="1">IFERROR(__xludf.DUMMYFUNCTION("""COMPUTED_VALUE"""),44244.4007986111)</f>
        <v>44244.400798611103</v>
      </c>
      <c r="W91" s="7" t="str">
        <f ca="1">IFERROR(__xludf.DUMMYFUNCTION("""COMPUTED_VALUE"""),"0.01")</f>
        <v>0.01</v>
      </c>
      <c r="X91" s="16" t="str">
        <f ca="1">IFERROR(__xludf.DUMMYFUNCTION("""COMPUTED_VALUE"""),"15.49")</f>
        <v>15.49</v>
      </c>
      <c r="Y91" s="7" t="str">
        <f ca="1">IFERROR(__xludf.DUMMYFUNCTION("""COMPUTED_VALUE"""),"4.75")</f>
        <v>4.75</v>
      </c>
      <c r="Z91" s="7" t="str">
        <f ca="1">IFERROR(__xludf.DUMMYFUNCTION("""COMPUTED_VALUE"""),"4.26")</f>
        <v>4.26</v>
      </c>
      <c r="AA91" s="7" t="str">
        <f ca="1">IFERROR(__xludf.DUMMYFUNCTION("""COMPUTED_VALUE"""),"1.15")</f>
        <v>1.15</v>
      </c>
      <c r="AB91" s="7" t="str">
        <f ca="1">IFERROR(__xludf.DUMMYFUNCTION("""COMPUTED_VALUE"""),"61.71")</f>
        <v>61.71</v>
      </c>
      <c r="AC91" s="8">
        <f ca="1">IFERROR(__xludf.DUMMYFUNCTION("""COMPUTED_VALUE"""),44664)</f>
        <v>44664</v>
      </c>
      <c r="AD91" s="7" t="str">
        <f ca="1">IFERROR(__xludf.DUMMYFUNCTION("""COMPUTED_VALUE"""),"24.98")</f>
        <v>24.98</v>
      </c>
      <c r="AE91" s="7" t="str">
        <f ca="1">IFERROR(__xludf.DUMMYFUNCTION("""COMPUTED_VALUE"""),"12.77")</f>
        <v>12.77</v>
      </c>
      <c r="AF91" s="8">
        <f ca="1">IFERROR(__xludf.DUMMYFUNCTION("""COMPUTED_VALUE"""),44714)</f>
        <v>44714</v>
      </c>
      <c r="AG91" s="7" t="str">
        <f ca="1">IFERROR(__xludf.DUMMYFUNCTION("""COMPUTED_VALUE"""),"4.92")</f>
        <v>4.92</v>
      </c>
      <c r="AH91" s="10">
        <f ca="1">IFERROR(__xludf.DUMMYFUNCTION("""COMPUTED_VALUE"""),44426.7778356481)</f>
        <v>44426.777835648099</v>
      </c>
      <c r="AI91" s="10">
        <f ca="1">IFERROR(__xludf.DUMMYFUNCTION("""COMPUTED_VALUE"""),44454.5258449074)</f>
        <v>44454.525844907403</v>
      </c>
      <c r="AJ91" s="7">
        <f ca="1">IFERROR(__xludf.DUMMYFUNCTION("""COMPUTED_VALUE"""),145)</f>
        <v>145</v>
      </c>
    </row>
    <row r="92" spans="1:36" ht="94.5" x14ac:dyDescent="0.2">
      <c r="A92" s="7">
        <f ca="1">IFERROR(__xludf.DUMMYFUNCTION("""COMPUTED_VALUE"""),133)</f>
        <v>133</v>
      </c>
      <c r="B92" s="7" t="str">
        <f ca="1">IFERROR(__xludf.DUMMYFUNCTION("""COMPUTED_VALUE"""),"FR-180")</f>
        <v>FR-180</v>
      </c>
      <c r="C92" s="9" t="str">
        <f ca="1">IFERROR(__xludf.DUMMYFUNCTION("""COMPUTED_VALUE"""),"Оказание погрузочно-разгрузочных услуг, такелажных услуг")</f>
        <v>Оказание погрузочно-разгрузочных услуг, такелажных услуг</v>
      </c>
      <c r="D92" s="7" t="str">
        <f ca="1">IFERROR(__xludf.DUMMYFUNCTION("""COMPUTED_VALUE"""),"План по стандартизации")</f>
        <v>План по стандартизации</v>
      </c>
      <c r="E92" s="7">
        <f ca="1">IFERROR(__xludf.DUMMYFUNCTION("""COMPUTED_VALUE"""),2021)</f>
        <v>2021</v>
      </c>
      <c r="F92" s="7">
        <f ca="1">IFERROR(__xludf.DUMMYFUNCTION("""COMPUTED_VALUE"""),1)</f>
        <v>1</v>
      </c>
      <c r="G92" s="7" t="str">
        <f ca="1">IFERROR(__xludf.DUMMYFUNCTION("""COMPUTED_VALUE"""),"ТТЗ")</f>
        <v>ТТЗ</v>
      </c>
      <c r="H92" s="7" t="str">
        <f ca="1">IFERROR(__xludf.DUMMYFUNCTION("""COMPUTED_VALUE"""),"Завершено")</f>
        <v>Завершено</v>
      </c>
      <c r="I92" s="7">
        <f ca="1">IFERROR(__xludf.DUMMYFUNCTION("""COMPUTED_VALUE"""),6)</f>
        <v>6</v>
      </c>
      <c r="J92" s="7">
        <f ca="1">IFERROR(__xludf.DUMMYFUNCTION("""COMPUTED_VALUE"""),2)</f>
        <v>2</v>
      </c>
      <c r="K92" s="7" t="str">
        <f ca="1">IFERROR(__xludf.DUMMYFUNCTION("""COMPUTED_VALUE"""),"Спицына Наталья Владимировна")</f>
        <v>Спицына Наталья Владимировна</v>
      </c>
      <c r="L92" s="7" t="str">
        <f ca="1">IFERROR(__xludf.DUMMYFUNCTION("""COMPUTED_VALUE"""),"Бутасова Светлана Валерьевна")</f>
        <v>Бутасова Светлана Валерьевна</v>
      </c>
      <c r="M92" s="7" t="str">
        <f ca="1">IFERROR(__xludf.DUMMYFUNCTION("""COMPUTED_VALUE"""),"Чурсина Мария Вячеславовна")</f>
        <v>Чурсина Мария Вячеславовна</v>
      </c>
      <c r="N92" s="7"/>
      <c r="O92" s="7" t="str">
        <f ca="1">IFERROR(__xludf.DUMMYFUNCTION("""COMPUTED_VALUE"""),"Типовой")</f>
        <v>Типовой</v>
      </c>
      <c r="P92" s="7" t="str">
        <f ca="1">IFERROR(__xludf.DUMMYFUNCTION("""COMPUTED_VALUE"""),"Нет")</f>
        <v>Нет</v>
      </c>
      <c r="Q92" s="7" t="str">
        <f ca="1">IFERROR(__xludf.DUMMYFUNCTION("""COMPUTED_VALUE"""),"Нет")</f>
        <v>Нет</v>
      </c>
      <c r="R92" s="7" t="str">
        <f ca="1">IFERROR(__xludf.DUMMYFUNCTION("""COMPUTED_VALUE"""),"Нет")</f>
        <v>Нет</v>
      </c>
      <c r="S92" s="7" t="str">
        <f ca="1">IFERROR(__xludf.DUMMYFUNCTION("""COMPUTED_VALUE"""),"Электронный аукцион")</f>
        <v>Электронный аукцион</v>
      </c>
      <c r="T92" s="7" t="str">
        <f ca="1">IFERROR(__xludf.DUMMYFUNCTION("""COMPUTED_VALUE"""),"Полностью YouTrackная")</f>
        <v>Полностью YouTrackная</v>
      </c>
      <c r="U92" s="7" t="str">
        <f ca="1">IFERROR(__xludf.DUMMYFUNCTION("""COMPUTED_VALUE"""),"Оказание погрузочно-разгрузочных услуг, такелажных услуг")</f>
        <v>Оказание погрузочно-разгрузочных услуг, такелажных услуг</v>
      </c>
      <c r="V92" s="10">
        <f ca="1">IFERROR(__xludf.DUMMYFUNCTION("""COMPUTED_VALUE"""),44244.4410185185)</f>
        <v>44244.441018518497</v>
      </c>
      <c r="W92" s="7" t="str">
        <f ca="1">IFERROR(__xludf.DUMMYFUNCTION("""COMPUTED_VALUE"""),"3.49")</f>
        <v>3.49</v>
      </c>
      <c r="X92" s="17">
        <f ca="1">IFERROR(__xludf.DUMMYFUNCTION("""COMPUTED_VALUE"""),44732)</f>
        <v>44732</v>
      </c>
      <c r="Y92" s="11">
        <f ca="1">IFERROR(__xludf.DUMMYFUNCTION("""COMPUTED_VALUE"""),44631)</f>
        <v>44631</v>
      </c>
      <c r="Z92" s="7" t="str">
        <f ca="1">IFERROR(__xludf.DUMMYFUNCTION("""COMPUTED_VALUE"""),"12.85")</f>
        <v>12.85</v>
      </c>
      <c r="AA92" s="7">
        <f ca="1">IFERROR(__xludf.DUMMYFUNCTION("""COMPUTED_VALUE"""),3)</f>
        <v>3</v>
      </c>
      <c r="AB92" s="7" t="str">
        <f ca="1">IFERROR(__xludf.DUMMYFUNCTION("""COMPUTED_VALUE"""),"84.91")</f>
        <v>84.91</v>
      </c>
      <c r="AC92" s="7" t="str">
        <f ca="1">IFERROR(__xludf.DUMMYFUNCTION("""COMPUTED_VALUE"""),"16.81")</f>
        <v>16.81</v>
      </c>
      <c r="AD92" s="7" t="str">
        <f ca="1">IFERROR(__xludf.DUMMYFUNCTION("""COMPUTED_VALUE"""),"39.57")</f>
        <v>39.57</v>
      </c>
      <c r="AE92" s="8">
        <f ca="1">IFERROR(__xludf.DUMMYFUNCTION("""COMPUTED_VALUE"""),44767)</f>
        <v>44767</v>
      </c>
      <c r="AF92" s="7">
        <f ca="1">IFERROR(__xludf.DUMMYFUNCTION("""COMPUTED_VALUE"""),0)</f>
        <v>0</v>
      </c>
      <c r="AG92" s="7" t="str">
        <f ca="1">IFERROR(__xludf.DUMMYFUNCTION("""COMPUTED_VALUE"""),"3.92")</f>
        <v>3.92</v>
      </c>
      <c r="AH92" s="10">
        <f ca="1">IFERROR(__xludf.DUMMYFUNCTION("""COMPUTED_VALUE"""),44523.4296875)</f>
        <v>44523.4296875</v>
      </c>
      <c r="AI92" s="10">
        <f ca="1">IFERROR(__xludf.DUMMYFUNCTION("""COMPUTED_VALUE"""),44572.4269791666)</f>
        <v>44572.426979166601</v>
      </c>
      <c r="AJ92" s="7">
        <f ca="1">IFERROR(__xludf.DUMMYFUNCTION("""COMPUTED_VALUE"""),218)</f>
        <v>218</v>
      </c>
    </row>
    <row r="93" spans="1:36" ht="110.25" x14ac:dyDescent="0.2">
      <c r="A93" s="7">
        <f ca="1">IFERROR(__xludf.DUMMYFUNCTION("""COMPUTED_VALUE"""),134)</f>
        <v>134</v>
      </c>
      <c r="B93" s="7" t="str">
        <f ca="1">IFERROR(__xludf.DUMMYFUNCTION("""COMPUTED_VALUE"""),"FR-181")</f>
        <v>FR-181</v>
      </c>
      <c r="C93" s="9" t="str">
        <f ca="1">IFERROR(__xludf.DUMMYFUNCTION("""COMPUTED_VALUE"""),"Оказание услуг по обеспечению грязезащитными ковриками")</f>
        <v>Оказание услуг по обеспечению грязезащитными ковриками</v>
      </c>
      <c r="D93" s="7" t="str">
        <f ca="1">IFERROR(__xludf.DUMMYFUNCTION("""COMPUTED_VALUE"""),"План по стандартизации")</f>
        <v>План по стандартизации</v>
      </c>
      <c r="E93" s="7">
        <f ca="1">IFERROR(__xludf.DUMMYFUNCTION("""COMPUTED_VALUE"""),2021)</f>
        <v>2021</v>
      </c>
      <c r="F93" s="7">
        <f ca="1">IFERROR(__xludf.DUMMYFUNCTION("""COMPUTED_VALUE"""),1)</f>
        <v>1</v>
      </c>
      <c r="G93" s="7" t="str">
        <f ca="1">IFERROR(__xludf.DUMMYFUNCTION("""COMPUTED_VALUE"""),"ТТЗ")</f>
        <v>ТТЗ</v>
      </c>
      <c r="H93" s="7" t="str">
        <f ca="1">IFERROR(__xludf.DUMMYFUNCTION("""COMPUTED_VALUE"""),"Завершено")</f>
        <v>Завершено</v>
      </c>
      <c r="I93" s="7">
        <f ca="1">IFERROR(__xludf.DUMMYFUNCTION("""COMPUTED_VALUE"""),9)</f>
        <v>9</v>
      </c>
      <c r="J93" s="7">
        <f ca="1">IFERROR(__xludf.DUMMYFUNCTION("""COMPUTED_VALUE"""),3)</f>
        <v>3</v>
      </c>
      <c r="K93" s="7" t="str">
        <f ca="1">IFERROR(__xludf.DUMMYFUNCTION("""COMPUTED_VALUE"""),"Бутасова Светлана Валерьевна")</f>
        <v>Бутасова Светлана Валерьевна</v>
      </c>
      <c r="L93" s="7" t="str">
        <f ca="1">IFERROR(__xludf.DUMMYFUNCTION("""COMPUTED_VALUE"""),"Бутасова Светлана Валерьевна")</f>
        <v>Бутасова Светлана Валерьевна</v>
      </c>
      <c r="M93" s="7" t="str">
        <f ca="1">IFERROR(__xludf.DUMMYFUNCTION("""COMPUTED_VALUE"""),"Майоров Артем Сергеевич")</f>
        <v>Майоров Артем Сергеевич</v>
      </c>
      <c r="N93" s="7"/>
      <c r="O93" s="7" t="str">
        <f ca="1">IFERROR(__xludf.DUMMYFUNCTION("""COMPUTED_VALUE"""),"Типовой")</f>
        <v>Типовой</v>
      </c>
      <c r="P93" s="7"/>
      <c r="Q93" s="7"/>
      <c r="R93" s="7" t="str">
        <f ca="1">IFERROR(__xludf.DUMMYFUNCTION("""COMPUTED_VALUE"""),"Нет")</f>
        <v>Нет</v>
      </c>
      <c r="S93" s="7" t="str">
        <f ca="1">IFERROR(__xludf.DUMMYFUNCTION("""COMPUTED_VALUE"""),"Электронный аукцион")</f>
        <v>Электронный аукцион</v>
      </c>
      <c r="T93" s="7" t="str">
        <f ca="1">IFERROR(__xludf.DUMMYFUNCTION("""COMPUTED_VALUE"""),"Полностью YouTrackная")</f>
        <v>Полностью YouTrackная</v>
      </c>
      <c r="U93" s="7" t="str">
        <f ca="1">IFERROR(__xludf.DUMMYFUNCTION("""COMPUTED_VALUE"""),"Оказание услуг по обеспечению грязезащитными ковриками")</f>
        <v>Оказание услуг по обеспечению грязезащитными ковриками</v>
      </c>
      <c r="V93" s="10">
        <f ca="1">IFERROR(__xludf.DUMMYFUNCTION("""COMPUTED_VALUE"""),44244.4415856481)</f>
        <v>44244.441585648099</v>
      </c>
      <c r="W93" s="7" t="str">
        <f ca="1">IFERROR(__xludf.DUMMYFUNCTION("""COMPUTED_VALUE"""),"4.18")</f>
        <v>4.18</v>
      </c>
      <c r="X93" s="18">
        <f ca="1">IFERROR(__xludf.DUMMYFUNCTION("""COMPUTED_VALUE"""),44819)</f>
        <v>44819</v>
      </c>
      <c r="Y93" s="7" t="str">
        <f ca="1">IFERROR(__xludf.DUMMYFUNCTION("""COMPUTED_VALUE"""),"10.64")</f>
        <v>10.64</v>
      </c>
      <c r="Z93" s="8">
        <f ca="1">IFERROR(__xludf.DUMMYFUNCTION("""COMPUTED_VALUE"""),44756)</f>
        <v>44756</v>
      </c>
      <c r="AA93" s="7" t="str">
        <f ca="1">IFERROR(__xludf.DUMMYFUNCTION("""COMPUTED_VALUE"""),"0.46")</f>
        <v>0.46</v>
      </c>
      <c r="AB93" s="7" t="str">
        <f ca="1">IFERROR(__xludf.DUMMYFUNCTION("""COMPUTED_VALUE"""),"52.34")</f>
        <v>52.34</v>
      </c>
      <c r="AC93" s="7" t="str">
        <f ca="1">IFERROR(__xludf.DUMMYFUNCTION("""COMPUTED_VALUE"""),"16.33")</f>
        <v>16.33</v>
      </c>
      <c r="AD93" s="7" t="str">
        <f ca="1">IFERROR(__xludf.DUMMYFUNCTION("""COMPUTED_VALUE"""),"11.42")</f>
        <v>11.42</v>
      </c>
      <c r="AE93" s="7" t="str">
        <f ca="1">IFERROR(__xludf.DUMMYFUNCTION("""COMPUTED_VALUE"""),"12.77")</f>
        <v>12.77</v>
      </c>
      <c r="AF93" s="8">
        <f ca="1">IFERROR(__xludf.DUMMYFUNCTION("""COMPUTED_VALUE"""),44714)</f>
        <v>44714</v>
      </c>
      <c r="AG93" s="7" t="str">
        <f ca="1">IFERROR(__xludf.DUMMYFUNCTION("""COMPUTED_VALUE"""),"3.87")</f>
        <v>3.87</v>
      </c>
      <c r="AH93" s="10">
        <f ca="1">IFERROR(__xludf.DUMMYFUNCTION("""COMPUTED_VALUE"""),44426.7763888888)</f>
        <v>44426.7763888888</v>
      </c>
      <c r="AI93" s="10">
        <f ca="1">IFERROR(__xludf.DUMMYFUNCTION("""COMPUTED_VALUE"""),44453.4827083333)</f>
        <v>44453.4827083333</v>
      </c>
      <c r="AJ93" s="7">
        <f ca="1">IFERROR(__xludf.DUMMYFUNCTION("""COMPUTED_VALUE"""),140)</f>
        <v>140</v>
      </c>
    </row>
    <row r="94" spans="1:36" ht="63" x14ac:dyDescent="0.2">
      <c r="A94" s="7">
        <f ca="1">IFERROR(__xludf.DUMMYFUNCTION("""COMPUTED_VALUE"""),135)</f>
        <v>135</v>
      </c>
      <c r="B94" s="7" t="str">
        <f ca="1">IFERROR(__xludf.DUMMYFUNCTION("""COMPUTED_VALUE"""),"FR-182")</f>
        <v>FR-182</v>
      </c>
      <c r="C94" s="9" t="str">
        <f ca="1">IFERROR(__xludf.DUMMYFUNCTION("""COMPUTED_VALUE"""),"Поставка медицинской мебели")</f>
        <v>Поставка медицинской мебели</v>
      </c>
      <c r="D94" s="7" t="str">
        <f ca="1">IFERROR(__xludf.DUMMYFUNCTION("""COMPUTED_VALUE"""),"План по стандартизации")</f>
        <v>План по стандартизации</v>
      </c>
      <c r="E94" s="7">
        <f ca="1">IFERROR(__xludf.DUMMYFUNCTION("""COMPUTED_VALUE"""),2021)</f>
        <v>2021</v>
      </c>
      <c r="F94" s="7">
        <f ca="1">IFERROR(__xludf.DUMMYFUNCTION("""COMPUTED_VALUE"""),2)</f>
        <v>2</v>
      </c>
      <c r="G94" s="7" t="str">
        <f ca="1">IFERROR(__xludf.DUMMYFUNCTION("""COMPUTED_VALUE"""),"ТТЗ")</f>
        <v>ТТЗ</v>
      </c>
      <c r="H94" s="7" t="str">
        <f ca="1">IFERROR(__xludf.DUMMYFUNCTION("""COMPUTED_VALUE"""),"Загрузка в ЕАИСТ")</f>
        <v>Загрузка в ЕАИСТ</v>
      </c>
      <c r="I94" s="7">
        <f ca="1">IFERROR(__xludf.DUMMYFUNCTION("""COMPUTED_VALUE"""),3)</f>
        <v>3</v>
      </c>
      <c r="J94" s="7">
        <f ca="1">IFERROR(__xludf.DUMMYFUNCTION("""COMPUTED_VALUE"""),2)</f>
        <v>2</v>
      </c>
      <c r="K94" s="7" t="str">
        <f ca="1">IFERROR(__xludf.DUMMYFUNCTION("""COMPUTED_VALUE"""),"Спицына Наталья Владимировна")</f>
        <v>Спицына Наталья Владимировна</v>
      </c>
      <c r="L94" s="7" t="str">
        <f ca="1">IFERROR(__xludf.DUMMYFUNCTION("""COMPUTED_VALUE"""),"Бутасова Светлана Валерьевна")</f>
        <v>Бутасова Светлана Валерьевна</v>
      </c>
      <c r="M94" s="7" t="str">
        <f ca="1">IFERROR(__xludf.DUMMYFUNCTION("""COMPUTED_VALUE"""),"Чурсина Мария Вячеславовна")</f>
        <v>Чурсина Мария Вячеславовна</v>
      </c>
      <c r="N94" s="7"/>
      <c r="O94" s="7" t="str">
        <f ca="1">IFERROR(__xludf.DUMMYFUNCTION("""COMPUTED_VALUE"""),"Федеральный")</f>
        <v>Федеральный</v>
      </c>
      <c r="P94" s="7" t="str">
        <f ca="1">IFERROR(__xludf.DUMMYFUNCTION("""COMPUTED_VALUE"""),"Нет")</f>
        <v>Нет</v>
      </c>
      <c r="Q94" s="7" t="str">
        <f ca="1">IFERROR(__xludf.DUMMYFUNCTION("""COMPUTED_VALUE"""),"Нет")</f>
        <v>Нет</v>
      </c>
      <c r="R94" s="7" t="str">
        <f ca="1">IFERROR(__xludf.DUMMYFUNCTION("""COMPUTED_VALUE"""),"Да")</f>
        <v>Да</v>
      </c>
      <c r="S94" s="7" t="str">
        <f ca="1">IFERROR(__xludf.DUMMYFUNCTION("""COMPUTED_VALUE"""),"Электронный аукцион")</f>
        <v>Электронный аукцион</v>
      </c>
      <c r="T94" s="7" t="str">
        <f ca="1">IFERROR(__xludf.DUMMYFUNCTION("""COMPUTED_VALUE"""),"Полностью YouTrackная")</f>
        <v>Полностью YouTrackная</v>
      </c>
      <c r="U94" s="7" t="str">
        <f ca="1">IFERROR(__xludf.DUMMYFUNCTION("""COMPUTED_VALUE"""),"Поставка медицинской мебели")</f>
        <v>Поставка медицинской мебели</v>
      </c>
      <c r="V94" s="10">
        <f ca="1">IFERROR(__xludf.DUMMYFUNCTION("""COMPUTED_VALUE"""),44244.442662037)</f>
        <v>44244.442662037</v>
      </c>
      <c r="W94" s="7" t="str">
        <f ca="1">IFERROR(__xludf.DUMMYFUNCTION("""COMPUTED_VALUE"""),"3.48")</f>
        <v>3.48</v>
      </c>
      <c r="X94" s="16" t="str">
        <f ca="1">IFERROR(__xludf.DUMMYFUNCTION("""COMPUTED_VALUE"""),"76.97")</f>
        <v>76.97</v>
      </c>
      <c r="Y94" s="7" t="str">
        <f ca="1">IFERROR(__xludf.DUMMYFUNCTION("""COMPUTED_VALUE"""),"11.95")</f>
        <v>11.95</v>
      </c>
      <c r="Z94" s="7" t="str">
        <f ca="1">IFERROR(__xludf.DUMMYFUNCTION("""COMPUTED_VALUE"""),"5.92")</f>
        <v>5.92</v>
      </c>
      <c r="AA94" s="7" t="str">
        <f ca="1">IFERROR(__xludf.DUMMYFUNCTION("""COMPUTED_VALUE"""),"2.78")</f>
        <v>2.78</v>
      </c>
      <c r="AB94" s="7" t="str">
        <f ca="1">IFERROR(__xludf.DUMMYFUNCTION("""COMPUTED_VALUE"""),"13.24")</f>
        <v>13.24</v>
      </c>
      <c r="AC94" s="7" t="str">
        <f ca="1">IFERROR(__xludf.DUMMYFUNCTION("""COMPUTED_VALUE"""),"60.89")</f>
        <v>60.89</v>
      </c>
      <c r="AD94" s="7" t="str">
        <f ca="1">IFERROR(__xludf.DUMMYFUNCTION("""COMPUTED_VALUE"""),"16.75")</f>
        <v>16.75</v>
      </c>
      <c r="AE94" s="8">
        <f ca="1">IFERROR(__xludf.DUMMYFUNCTION("""COMPUTED_VALUE"""),44767)</f>
        <v>44767</v>
      </c>
      <c r="AF94" s="7">
        <f ca="1">IFERROR(__xludf.DUMMYFUNCTION("""COMPUTED_VALUE"""),0)</f>
        <v>0</v>
      </c>
      <c r="AG94" s="7" t="str">
        <f ca="1">IFERROR(__xludf.DUMMYFUNCTION("""COMPUTED_VALUE"""),"141.91")</f>
        <v>141.91</v>
      </c>
      <c r="AH94" s="10">
        <f ca="1">IFERROR(__xludf.DUMMYFUNCTION("""COMPUTED_VALUE"""),44523.4347685185)</f>
        <v>44523.434768518498</v>
      </c>
      <c r="AI94" s="7"/>
      <c r="AJ94" s="7">
        <f ca="1">IFERROR(__xludf.DUMMYFUNCTION("""COMPUTED_VALUE"""),266)</f>
        <v>266</v>
      </c>
    </row>
    <row r="95" spans="1:36" ht="141.75" x14ac:dyDescent="0.2">
      <c r="A95" s="7">
        <f ca="1">IFERROR(__xludf.DUMMYFUNCTION("""COMPUTED_VALUE"""),136)</f>
        <v>136</v>
      </c>
      <c r="B95" s="7" t="str">
        <f ca="1">IFERROR(__xludf.DUMMYFUNCTION("""COMPUTED_VALUE"""),"FR-183")</f>
        <v>FR-183</v>
      </c>
      <c r="C95" s="9" t="str">
        <f ca="1">IFERROR(__xludf.DUMMYFUNCTION("""COMPUTED_VALUE"""),"Оказание услуг по техническому обслуживанию и/или ремонту речных судов")</f>
        <v>Оказание услуг по техническому обслуживанию и/или ремонту речных судов</v>
      </c>
      <c r="D95" s="7" t="str">
        <f ca="1">IFERROR(__xludf.DUMMYFUNCTION("""COMPUTED_VALUE"""),"План по стандартизации")</f>
        <v>План по стандартизации</v>
      </c>
      <c r="E95" s="7">
        <f ca="1">IFERROR(__xludf.DUMMYFUNCTION("""COMPUTED_VALUE"""),2021)</f>
        <v>2021</v>
      </c>
      <c r="F95" s="7">
        <f ca="1">IFERROR(__xludf.DUMMYFUNCTION("""COMPUTED_VALUE"""),2)</f>
        <v>2</v>
      </c>
      <c r="G95" s="7" t="str">
        <f ca="1">IFERROR(__xludf.DUMMYFUNCTION("""COMPUTED_VALUE"""),"ТТЗ")</f>
        <v>ТТЗ</v>
      </c>
      <c r="H95" s="7" t="str">
        <f ca="1">IFERROR(__xludf.DUMMYFUNCTION("""COMPUTED_VALUE"""),"Завершено")</f>
        <v>Завершено</v>
      </c>
      <c r="I95" s="7">
        <f ca="1">IFERROR(__xludf.DUMMYFUNCTION("""COMPUTED_VALUE"""),8)</f>
        <v>8</v>
      </c>
      <c r="J95" s="7">
        <f ca="1">IFERROR(__xludf.DUMMYFUNCTION("""COMPUTED_VALUE"""),2)</f>
        <v>2</v>
      </c>
      <c r="K95" s="7" t="str">
        <f ca="1">IFERROR(__xludf.DUMMYFUNCTION("""COMPUTED_VALUE"""),"Куркина Наталья Витальевна")</f>
        <v>Куркина Наталья Витальевна</v>
      </c>
      <c r="L95" s="7" t="str">
        <f ca="1">IFERROR(__xludf.DUMMYFUNCTION("""COMPUTED_VALUE"""),"Бутасова Светлана Валерьевна")</f>
        <v>Бутасова Светлана Валерьевна</v>
      </c>
      <c r="M95" s="7" t="str">
        <f ca="1">IFERROR(__xludf.DUMMYFUNCTION("""COMPUTED_VALUE"""),"Чурсина Мария Вячеславовна")</f>
        <v>Чурсина Мария Вячеславовна</v>
      </c>
      <c r="N95" s="7"/>
      <c r="O95" s="7" t="str">
        <f ca="1">IFERROR(__xludf.DUMMYFUNCTION("""COMPUTED_VALUE"""),"Типовой")</f>
        <v>Типовой</v>
      </c>
      <c r="P95" s="7"/>
      <c r="Q95" s="7" t="str">
        <f ca="1">IFERROR(__xludf.DUMMYFUNCTION("""COMPUTED_VALUE"""),"Нет")</f>
        <v>Нет</v>
      </c>
      <c r="R95" s="7" t="str">
        <f ca="1">IFERROR(__xludf.DUMMYFUNCTION("""COMPUTED_VALUE"""),"Нет")</f>
        <v>Нет</v>
      </c>
      <c r="S95" s="7"/>
      <c r="T95" s="7" t="str">
        <f ca="1">IFERROR(__xludf.DUMMYFUNCTION("""COMPUTED_VALUE"""),"Полностью YouTrackная")</f>
        <v>Полностью YouTrackная</v>
      </c>
      <c r="U95" s="7" t="str">
        <f ca="1">IFERROR(__xludf.DUMMYFUNCTION("""COMPUTED_VALUE"""),"Оказание услуг по техническому обслуживанию и/или ремонту речных судов")</f>
        <v>Оказание услуг по техническому обслуживанию и/или ремонту речных судов</v>
      </c>
      <c r="V95" s="10">
        <f ca="1">IFERROR(__xludf.DUMMYFUNCTION("""COMPUTED_VALUE"""),44244.4431712963)</f>
        <v>44244.443171296298</v>
      </c>
      <c r="W95" s="7" t="str">
        <f ca="1">IFERROR(__xludf.DUMMYFUNCTION("""COMPUTED_VALUE"""),"63.16")</f>
        <v>63.16</v>
      </c>
      <c r="X95" s="16" t="str">
        <f ca="1">IFERROR(__xludf.DUMMYFUNCTION("""COMPUTED_VALUE"""),"13.98")</f>
        <v>13.98</v>
      </c>
      <c r="Y95" s="7" t="str">
        <f ca="1">IFERROR(__xludf.DUMMYFUNCTION("""COMPUTED_VALUE"""),"9.57")</f>
        <v>9.57</v>
      </c>
      <c r="Z95" s="11">
        <f ca="1">IFERROR(__xludf.DUMMYFUNCTION("""COMPUTED_VALUE"""),44784)</f>
        <v>44784</v>
      </c>
      <c r="AA95" s="7" t="str">
        <f ca="1">IFERROR(__xludf.DUMMYFUNCTION("""COMPUTED_VALUE"""),"3.38")</f>
        <v>3.38</v>
      </c>
      <c r="AB95" s="7" t="str">
        <f ca="1">IFERROR(__xludf.DUMMYFUNCTION("""COMPUTED_VALUE"""),"32.77")</f>
        <v>32.77</v>
      </c>
      <c r="AC95" s="7" t="str">
        <f ca="1">IFERROR(__xludf.DUMMYFUNCTION("""COMPUTED_VALUE"""),"20.52")</f>
        <v>20.52</v>
      </c>
      <c r="AD95" s="7" t="str">
        <f ca="1">IFERROR(__xludf.DUMMYFUNCTION("""COMPUTED_VALUE"""),"36.81")</f>
        <v>36.81</v>
      </c>
      <c r="AE95" s="8">
        <f ca="1">IFERROR(__xludf.DUMMYFUNCTION("""COMPUTED_VALUE"""),44767)</f>
        <v>44767</v>
      </c>
      <c r="AF95" s="7">
        <f ca="1">IFERROR(__xludf.DUMMYFUNCTION("""COMPUTED_VALUE"""),0)</f>
        <v>0</v>
      </c>
      <c r="AG95" s="7" t="str">
        <f ca="1">IFERROR(__xludf.DUMMYFUNCTION("""COMPUTED_VALUE"""),"2.14")</f>
        <v>2.14</v>
      </c>
      <c r="AH95" s="10">
        <f ca="1">IFERROR(__xludf.DUMMYFUNCTION("""COMPUTED_VALUE"""),44523.4335185185)</f>
        <v>44523.433518518497</v>
      </c>
      <c r="AI95" s="10">
        <f ca="1">IFERROR(__xludf.DUMMYFUNCTION("""COMPUTED_VALUE"""),44560.6438541666)</f>
        <v>44560.643854166599</v>
      </c>
      <c r="AJ95" s="7">
        <f ca="1">IFERROR(__xludf.DUMMYFUNCTION("""COMPUTED_VALUE"""),156)</f>
        <v>156</v>
      </c>
    </row>
    <row r="96" spans="1:36" ht="78.75" x14ac:dyDescent="0.2">
      <c r="A96" s="7">
        <f ca="1">IFERROR(__xludf.DUMMYFUNCTION("""COMPUTED_VALUE"""),137)</f>
        <v>137</v>
      </c>
      <c r="B96" s="7" t="str">
        <f ca="1">IFERROR(__xludf.DUMMYFUNCTION("""COMPUTED_VALUE"""),"FR-184")</f>
        <v>FR-184</v>
      </c>
      <c r="C96" s="9" t="str">
        <f ca="1">IFERROR(__xludf.DUMMYFUNCTION("""COMPUTED_VALUE"""),"Поставка медицинских холодильников")</f>
        <v>Поставка медицинских холодильников</v>
      </c>
      <c r="D96" s="7" t="str">
        <f ca="1">IFERROR(__xludf.DUMMYFUNCTION("""COMPUTED_VALUE"""),"План по стандартизации")</f>
        <v>План по стандартизации</v>
      </c>
      <c r="E96" s="7">
        <f ca="1">IFERROR(__xludf.DUMMYFUNCTION("""COMPUTED_VALUE"""),2021)</f>
        <v>2021</v>
      </c>
      <c r="F96" s="7">
        <f ca="1">IFERROR(__xludf.DUMMYFUNCTION("""COMPUTED_VALUE"""),3)</f>
        <v>3</v>
      </c>
      <c r="G96" s="7" t="str">
        <f ca="1">IFERROR(__xludf.DUMMYFUNCTION("""COMPUTED_VALUE"""),"ТТЗ")</f>
        <v>ТТЗ</v>
      </c>
      <c r="H96" s="7" t="str">
        <f ca="1">IFERROR(__xludf.DUMMYFUNCTION("""COMPUTED_VALUE"""),"Завершено")</f>
        <v>Завершено</v>
      </c>
      <c r="I96" s="7">
        <f ca="1">IFERROR(__xludf.DUMMYFUNCTION("""COMPUTED_VALUE"""),1)</f>
        <v>1</v>
      </c>
      <c r="J96" s="7">
        <f ca="1">IFERROR(__xludf.DUMMYFUNCTION("""COMPUTED_VALUE"""),1)</f>
        <v>1</v>
      </c>
      <c r="K96" s="7" t="str">
        <f ca="1">IFERROR(__xludf.DUMMYFUNCTION("""COMPUTED_VALUE"""),"Куркина Наталья Витальевна")</f>
        <v>Куркина Наталья Витальевна</v>
      </c>
      <c r="L96" s="7" t="str">
        <f ca="1">IFERROR(__xludf.DUMMYFUNCTION("""COMPUTED_VALUE"""),"Бутасова Светлана Валерьевна")</f>
        <v>Бутасова Светлана Валерьевна</v>
      </c>
      <c r="M96" s="7" t="str">
        <f ca="1">IFERROR(__xludf.DUMMYFUNCTION("""COMPUTED_VALUE"""),"Чурсина Мария Вячеславовна")</f>
        <v>Чурсина Мария Вячеславовна</v>
      </c>
      <c r="N96" s="7"/>
      <c r="O96" s="7"/>
      <c r="P96" s="7"/>
      <c r="Q96" s="7"/>
      <c r="R96" s="7"/>
      <c r="S96" s="7"/>
      <c r="T96" s="7" t="str">
        <f ca="1">IFERROR(__xludf.DUMMYFUNCTION("""COMPUTED_VALUE"""),"Полностью YouTrackная")</f>
        <v>Полностью YouTrackная</v>
      </c>
      <c r="U96" s="7" t="str">
        <f ca="1">IFERROR(__xludf.DUMMYFUNCTION("""COMPUTED_VALUE"""),"Поставка медицинских холодильников")</f>
        <v>Поставка медицинских холодильников</v>
      </c>
      <c r="V96" s="10">
        <f ca="1">IFERROR(__xludf.DUMMYFUNCTION("""COMPUTED_VALUE"""),44244.4438425925)</f>
        <v>44244.443842592496</v>
      </c>
      <c r="W96" s="7" t="str">
        <f ca="1">IFERROR(__xludf.DUMMYFUNCTION("""COMPUTED_VALUE"""),"130.21")</f>
        <v>130.21</v>
      </c>
      <c r="X96" s="16" t="str">
        <f ca="1">IFERROR(__xludf.DUMMYFUNCTION("""COMPUTED_VALUE"""),"12.98")</f>
        <v>12.98</v>
      </c>
      <c r="Y96" s="7" t="str">
        <f ca="1">IFERROR(__xludf.DUMMYFUNCTION("""COMPUTED_VALUE"""),"1.27")</f>
        <v>1.27</v>
      </c>
      <c r="Z96" s="7" t="str">
        <f ca="1">IFERROR(__xludf.DUMMYFUNCTION("""COMPUTED_VALUE"""),"2.96")</f>
        <v>2.96</v>
      </c>
      <c r="AA96" s="7" t="str">
        <f ca="1">IFERROR(__xludf.DUMMYFUNCTION("""COMPUTED_VALUE"""),"0.18")</f>
        <v>0.18</v>
      </c>
      <c r="AB96" s="7" t="str">
        <f ca="1">IFERROR(__xludf.DUMMYFUNCTION("""COMPUTED_VALUE"""),"26.44")</f>
        <v>26.44</v>
      </c>
      <c r="AC96" s="7" t="str">
        <f ca="1">IFERROR(__xludf.DUMMYFUNCTION("""COMPUTED_VALUE"""),"24.89")</f>
        <v>24.89</v>
      </c>
      <c r="AD96" s="8">
        <f ca="1">IFERROR(__xludf.DUMMYFUNCTION("""COMPUTED_VALUE"""),44816)</f>
        <v>44816</v>
      </c>
      <c r="AE96" s="8">
        <f ca="1">IFERROR(__xludf.DUMMYFUNCTION("""COMPUTED_VALUE"""),44626)</f>
        <v>44626</v>
      </c>
      <c r="AF96" s="7">
        <f ca="1">IFERROR(__xludf.DUMMYFUNCTION("""COMPUTED_VALUE"""),0)</f>
        <v>0</v>
      </c>
      <c r="AG96" s="7" t="str">
        <f ca="1">IFERROR(__xludf.DUMMYFUNCTION("""COMPUTED_VALUE"""),"49.28")</f>
        <v>49.28</v>
      </c>
      <c r="AH96" s="10">
        <f ca="1">IFERROR(__xludf.DUMMYFUNCTION("""COMPUTED_VALUE"""),44550.4685648148)</f>
        <v>44550.468564814801</v>
      </c>
      <c r="AI96" s="10">
        <f ca="1">IFERROR(__xludf.DUMMYFUNCTION("""COMPUTED_VALUE"""),44637.7808564814)</f>
        <v>44637.780856481397</v>
      </c>
      <c r="AJ96" s="7">
        <f ca="1">IFERROR(__xludf.DUMMYFUNCTION("""COMPUTED_VALUE"""),136)</f>
        <v>136</v>
      </c>
    </row>
    <row r="97" spans="1:36" ht="173.25" x14ac:dyDescent="0.2">
      <c r="A97" s="7">
        <f ca="1">IFERROR(__xludf.DUMMYFUNCTION("""COMPUTED_VALUE"""),138)</f>
        <v>138</v>
      </c>
      <c r="B97" s="7" t="str">
        <f ca="1">IFERROR(__xludf.DUMMYFUNCTION("""COMPUTED_VALUE"""),"FR-185")</f>
        <v>FR-185</v>
      </c>
      <c r="C97" s="9" t="str">
        <f ca="1">IFERROR(__xludf.DUMMYFUNCTION("""COMPUTED_VALUE"""),"Разработка проектно-сметной документации на устройство сетей 
электроснабжения и электроосвещения")</f>
        <v>Разработка проектно-сметной документации на устройство сетей 
электроснабжения и электроосвещения</v>
      </c>
      <c r="D97" s="7" t="str">
        <f ca="1">IFERROR(__xludf.DUMMYFUNCTION("""COMPUTED_VALUE"""),"План по стандартизации")</f>
        <v>План по стандартизации</v>
      </c>
      <c r="E97" s="7">
        <f ca="1">IFERROR(__xludf.DUMMYFUNCTION("""COMPUTED_VALUE"""),2021)</f>
        <v>2021</v>
      </c>
      <c r="F97" s="7">
        <f ca="1">IFERROR(__xludf.DUMMYFUNCTION("""COMPUTED_VALUE"""),3)</f>
        <v>3</v>
      </c>
      <c r="G97" s="7" t="str">
        <f ca="1">IFERROR(__xludf.DUMMYFUNCTION("""COMPUTED_VALUE"""),"ТТЗ")</f>
        <v>ТТЗ</v>
      </c>
      <c r="H97" s="7" t="str">
        <f ca="1">IFERROR(__xludf.DUMMYFUNCTION("""COMPUTED_VALUE"""),"Завершено")</f>
        <v>Завершено</v>
      </c>
      <c r="I97" s="7">
        <f ca="1">IFERROR(__xludf.DUMMYFUNCTION("""COMPUTED_VALUE"""),2)</f>
        <v>2</v>
      </c>
      <c r="J97" s="7">
        <f ca="1">IFERROR(__xludf.DUMMYFUNCTION("""COMPUTED_VALUE"""),2)</f>
        <v>2</v>
      </c>
      <c r="K97" s="7" t="str">
        <f ca="1">IFERROR(__xludf.DUMMYFUNCTION("""COMPUTED_VALUE"""),"Спицына Наталья Владимировна")</f>
        <v>Спицына Наталья Владимировна</v>
      </c>
      <c r="L97" s="7" t="str">
        <f ca="1">IFERROR(__xludf.DUMMYFUNCTION("""COMPUTED_VALUE"""),"Бутасова Светлана Валерьевна")</f>
        <v>Бутасова Светлана Валерьевна</v>
      </c>
      <c r="M97" s="7" t="str">
        <f ca="1">IFERROR(__xludf.DUMMYFUNCTION("""COMPUTED_VALUE"""),"Чурсина Мария Вячеславовна")</f>
        <v>Чурсина Мария Вячеславовна</v>
      </c>
      <c r="N97" s="7"/>
      <c r="O97" s="7" t="str">
        <f ca="1">IFERROR(__xludf.DUMMYFUNCTION("""COMPUTED_VALUE"""),"Типовой")</f>
        <v>Типовой</v>
      </c>
      <c r="P97" s="7" t="str">
        <f ca="1">IFERROR(__xludf.DUMMYFUNCTION("""COMPUTED_VALUE"""),"Нет")</f>
        <v>Нет</v>
      </c>
      <c r="Q97" s="7"/>
      <c r="R97" s="7" t="str">
        <f ca="1">IFERROR(__xludf.DUMMYFUNCTION("""COMPUTED_VALUE"""),"Нет")</f>
        <v>Нет</v>
      </c>
      <c r="S97" s="7" t="str">
        <f ca="1">IFERROR(__xludf.DUMMYFUNCTION("""COMPUTED_VALUE"""),"Открытый конкурс / Электронный аукцион")</f>
        <v>Открытый конкурс / Электронный аукцион</v>
      </c>
      <c r="T97" s="7" t="str">
        <f ca="1">IFERROR(__xludf.DUMMYFUNCTION("""COMPUTED_VALUE"""),"Полностью YouTrackная")</f>
        <v>Полностью YouTrackная</v>
      </c>
      <c r="U97" s="7" t="str">
        <f ca="1">IFERROR(__xludf.DUMMYFUNCTION("""COMPUTED_VALUE"""),"Разработка проектно-сметной документации на устройство сетей 
электроснабжения и электроосвещения")</f>
        <v>Разработка проектно-сметной документации на устройство сетей 
электроснабжения и электроосвещения</v>
      </c>
      <c r="V97" s="10">
        <f ca="1">IFERROR(__xludf.DUMMYFUNCTION("""COMPUTED_VALUE"""),44244.444386574)</f>
        <v>44244.444386574003</v>
      </c>
      <c r="W97" s="7" t="str">
        <f ca="1">IFERROR(__xludf.DUMMYFUNCTION("""COMPUTED_VALUE"""),"130.21")</f>
        <v>130.21</v>
      </c>
      <c r="X97" s="17">
        <f ca="1">IFERROR(__xludf.DUMMYFUNCTION("""COMPUTED_VALUE"""),44666)</f>
        <v>44666</v>
      </c>
      <c r="Y97" s="7" t="str">
        <f ca="1">IFERROR(__xludf.DUMMYFUNCTION("""COMPUTED_VALUE"""),"9.13")</f>
        <v>9.13</v>
      </c>
      <c r="Z97" s="7" t="str">
        <f ca="1">IFERROR(__xludf.DUMMYFUNCTION("""COMPUTED_VALUE"""),"5.67")</f>
        <v>5.67</v>
      </c>
      <c r="AA97" s="7" t="str">
        <f ca="1">IFERROR(__xludf.DUMMYFUNCTION("""COMPUTED_VALUE"""),"1.37")</f>
        <v>1.37</v>
      </c>
      <c r="AB97" s="7" t="str">
        <f ca="1">IFERROR(__xludf.DUMMYFUNCTION("""COMPUTED_VALUE"""),"44.25")</f>
        <v>44.25</v>
      </c>
      <c r="AC97" s="7" t="str">
        <f ca="1">IFERROR(__xludf.DUMMYFUNCTION("""COMPUTED_VALUE"""),"16.65")</f>
        <v>16.65</v>
      </c>
      <c r="AD97" s="7" t="str">
        <f ca="1">IFERROR(__xludf.DUMMYFUNCTION("""COMPUTED_VALUE"""),"8.78")</f>
        <v>8.78</v>
      </c>
      <c r="AE97" s="7" t="str">
        <f ca="1">IFERROR(__xludf.DUMMYFUNCTION("""COMPUTED_VALUE"""),"18.98")</f>
        <v>18.98</v>
      </c>
      <c r="AF97" s="7">
        <f ca="1">IFERROR(__xludf.DUMMYFUNCTION("""COMPUTED_VALUE"""),1)</f>
        <v>1</v>
      </c>
      <c r="AG97" s="7" t="str">
        <f ca="1">IFERROR(__xludf.DUMMYFUNCTION("""COMPUTED_VALUE"""),"4.95")</f>
        <v>4.95</v>
      </c>
      <c r="AH97" s="10">
        <f ca="1">IFERROR(__xludf.DUMMYFUNCTION("""COMPUTED_VALUE"""),44586.5279976851)</f>
        <v>44586.527997685102</v>
      </c>
      <c r="AI97" s="10">
        <f ca="1">IFERROR(__xludf.DUMMYFUNCTION("""COMPUTED_VALUE"""),44622.4608333333)</f>
        <v>44622.460833333302</v>
      </c>
      <c r="AJ97" s="7">
        <f ca="1">IFERROR(__xludf.DUMMYFUNCTION("""COMPUTED_VALUE"""),126)</f>
        <v>126</v>
      </c>
    </row>
    <row r="98" spans="1:36" ht="157.5" x14ac:dyDescent="0.2">
      <c r="A98" s="7">
        <f ca="1">IFERROR(__xludf.DUMMYFUNCTION("""COMPUTED_VALUE"""),139)</f>
        <v>139</v>
      </c>
      <c r="B98" s="7" t="str">
        <f ca="1">IFERROR(__xludf.DUMMYFUNCTION("""COMPUTED_VALUE"""),"FR-186")</f>
        <v>FR-186</v>
      </c>
      <c r="C98" s="9" t="str">
        <f ca="1">IFERROR(__xludf.DUMMYFUNCTION("""COMPUTED_VALUE"""),"Поставка клиновых задвижек для сетей водоснабжения, водоотведения и 
теплоснабжения")</f>
        <v>Поставка клиновых задвижек для сетей водоснабжения, водоотведения и 
теплоснабжения</v>
      </c>
      <c r="D98" s="7" t="str">
        <f ca="1">IFERROR(__xludf.DUMMYFUNCTION("""COMPUTED_VALUE"""),"План по стандартизации")</f>
        <v>План по стандартизации</v>
      </c>
      <c r="E98" s="7">
        <f ca="1">IFERROR(__xludf.DUMMYFUNCTION("""COMPUTED_VALUE"""),2021)</f>
        <v>2021</v>
      </c>
      <c r="F98" s="7">
        <f ca="1">IFERROR(__xludf.DUMMYFUNCTION("""COMPUTED_VALUE"""),1)</f>
        <v>1</v>
      </c>
      <c r="G98" s="7" t="str">
        <f ca="1">IFERROR(__xludf.DUMMYFUNCTION("""COMPUTED_VALUE"""),"ТТЗ")</f>
        <v>ТТЗ</v>
      </c>
      <c r="H98" s="7" t="str">
        <f ca="1">IFERROR(__xludf.DUMMYFUNCTION("""COMPUTED_VALUE"""),"Завершено")</f>
        <v>Завершено</v>
      </c>
      <c r="I98" s="7">
        <f ca="1">IFERROR(__xludf.DUMMYFUNCTION("""COMPUTED_VALUE"""),2)</f>
        <v>2</v>
      </c>
      <c r="J98" s="7">
        <f ca="1">IFERROR(__xludf.DUMMYFUNCTION("""COMPUTED_VALUE"""),2)</f>
        <v>2</v>
      </c>
      <c r="K98" s="7" t="str">
        <f ca="1">IFERROR(__xludf.DUMMYFUNCTION("""COMPUTED_VALUE"""),"Бибилашвили Надежда Михайловна")</f>
        <v>Бибилашвили Надежда Михайловна</v>
      </c>
      <c r="L98" s="7" t="str">
        <f ca="1">IFERROR(__xludf.DUMMYFUNCTION("""COMPUTED_VALUE"""),"Давлиев Ильнар Газинурович")</f>
        <v>Давлиев Ильнар Газинурович</v>
      </c>
      <c r="M98" s="7" t="str">
        <f ca="1">IFERROR(__xludf.DUMMYFUNCTION("""COMPUTED_VALUE"""),"Чурсина Мария Вячеславовна")</f>
        <v>Чурсина Мария Вячеславовна</v>
      </c>
      <c r="N98" s="7"/>
      <c r="O98" s="7" t="str">
        <f ca="1">IFERROR(__xludf.DUMMYFUNCTION("""COMPUTED_VALUE"""),"Типовой")</f>
        <v>Типовой</v>
      </c>
      <c r="P98" s="7"/>
      <c r="Q98" s="7" t="str">
        <f ca="1">IFERROR(__xludf.DUMMYFUNCTION("""COMPUTED_VALUE"""),"Нет")</f>
        <v>Нет</v>
      </c>
      <c r="R98" s="7" t="str">
        <f ca="1">IFERROR(__xludf.DUMMYFUNCTION("""COMPUTED_VALUE"""),"Нет")</f>
        <v>Нет</v>
      </c>
      <c r="S98" s="7" t="str">
        <f ca="1">IFERROR(__xludf.DUMMYFUNCTION("""COMPUTED_VALUE"""),"Электронный аукцион")</f>
        <v>Электронный аукцион</v>
      </c>
      <c r="T98" s="7" t="str">
        <f ca="1">IFERROR(__xludf.DUMMYFUNCTION("""COMPUTED_VALUE"""),"Полностью YouTrackная")</f>
        <v>Полностью YouTrackная</v>
      </c>
      <c r="U98" s="7" t="str">
        <f ca="1">IFERROR(__xludf.DUMMYFUNCTION("""COMPUTED_VALUE"""),"Поставка клиновых задвижек для сетей водоснабжения, водоотведения и 
теплоснабжения")</f>
        <v>Поставка клиновых задвижек для сетей водоснабжения, водоотведения и 
теплоснабжения</v>
      </c>
      <c r="V98" s="10">
        <f ca="1">IFERROR(__xludf.DUMMYFUNCTION("""COMPUTED_VALUE"""),44245.522974537)</f>
        <v>44245.522974537002</v>
      </c>
      <c r="W98" s="11">
        <f ca="1">IFERROR(__xludf.DUMMYFUNCTION("""COMPUTED_VALUE"""),44564)</f>
        <v>44564</v>
      </c>
      <c r="X98" s="17">
        <f ca="1">IFERROR(__xludf.DUMMYFUNCTION("""COMPUTED_VALUE"""),44784)</f>
        <v>44784</v>
      </c>
      <c r="Y98" s="7" t="str">
        <f ca="1">IFERROR(__xludf.DUMMYFUNCTION("""COMPUTED_VALUE"""),"14.25")</f>
        <v>14.25</v>
      </c>
      <c r="Z98" s="7" t="str">
        <f ca="1">IFERROR(__xludf.DUMMYFUNCTION("""COMPUTED_VALUE"""),"10.67")</f>
        <v>10.67</v>
      </c>
      <c r="AA98" s="7" t="str">
        <f ca="1">IFERROR(__xludf.DUMMYFUNCTION("""COMPUTED_VALUE"""),"0.01")</f>
        <v>0.01</v>
      </c>
      <c r="AB98" s="7" t="str">
        <f ca="1">IFERROR(__xludf.DUMMYFUNCTION("""COMPUTED_VALUE"""),"58.19")</f>
        <v>58.19</v>
      </c>
      <c r="AC98" s="7" t="str">
        <f ca="1">IFERROR(__xludf.DUMMYFUNCTION("""COMPUTED_VALUE"""),"15.62")</f>
        <v>15.62</v>
      </c>
      <c r="AD98" s="7" t="str">
        <f ca="1">IFERROR(__xludf.DUMMYFUNCTION("""COMPUTED_VALUE"""),"11.33")</f>
        <v>11.33</v>
      </c>
      <c r="AE98" s="7" t="str">
        <f ca="1">IFERROR(__xludf.DUMMYFUNCTION("""COMPUTED_VALUE"""),"12.77")</f>
        <v>12.77</v>
      </c>
      <c r="AF98" s="8">
        <f ca="1">IFERROR(__xludf.DUMMYFUNCTION("""COMPUTED_VALUE"""),44714)</f>
        <v>44714</v>
      </c>
      <c r="AG98" s="11">
        <f ca="1">IFERROR(__xludf.DUMMYFUNCTION("""COMPUTED_VALUE"""),44566)</f>
        <v>44566</v>
      </c>
      <c r="AH98" s="10">
        <f ca="1">IFERROR(__xludf.DUMMYFUNCTION("""COMPUTED_VALUE"""),44426.7775462962)</f>
        <v>44426.777546296202</v>
      </c>
      <c r="AI98" s="10">
        <f ca="1">IFERROR(__xludf.DUMMYFUNCTION("""COMPUTED_VALUE"""),44454.7125925925)</f>
        <v>44454.712592592499</v>
      </c>
      <c r="AJ98" s="7">
        <f ca="1">IFERROR(__xludf.DUMMYFUNCTION("""COMPUTED_VALUE"""),141)</f>
        <v>141</v>
      </c>
    </row>
    <row r="99" spans="1:36" ht="236.25" x14ac:dyDescent="0.2">
      <c r="A99" s="7">
        <f ca="1">IFERROR(__xludf.DUMMYFUNCTION("""COMPUTED_VALUE"""),140)</f>
        <v>140</v>
      </c>
      <c r="B99" s="7" t="str">
        <f ca="1">IFERROR(__xludf.DUMMYFUNCTION("""COMPUTED_VALUE"""),"FR-188")</f>
        <v>FR-188</v>
      </c>
      <c r="C99" s="9" t="str">
        <f ca="1">IFERROR(__xludf.DUMMYFUNCTION("""COMPUTED_VALUE"""),"Оказание услуг по техническому обслуживанию и ремонту сепаратор-дробилок на 
стационарных снегосплавных пунктах")</f>
        <v>Оказание услуг по техническому обслуживанию и ремонту сепаратор-дробилок на 
стационарных снегосплавных пунктах</v>
      </c>
      <c r="D99" s="7" t="str">
        <f ca="1">IFERROR(__xludf.DUMMYFUNCTION("""COMPUTED_VALUE"""),"План по стандартизации")</f>
        <v>План по стандартизации</v>
      </c>
      <c r="E99" s="7">
        <f ca="1">IFERROR(__xludf.DUMMYFUNCTION("""COMPUTED_VALUE"""),2021)</f>
        <v>2021</v>
      </c>
      <c r="F99" s="7">
        <f ca="1">IFERROR(__xludf.DUMMYFUNCTION("""COMPUTED_VALUE"""),2)</f>
        <v>2</v>
      </c>
      <c r="G99" s="7" t="str">
        <f ca="1">IFERROR(__xludf.DUMMYFUNCTION("""COMPUTED_VALUE"""),"ТТЗ")</f>
        <v>ТТЗ</v>
      </c>
      <c r="H99" s="7" t="str">
        <f ca="1">IFERROR(__xludf.DUMMYFUNCTION("""COMPUTED_VALUE"""),"Завершено")</f>
        <v>Завершено</v>
      </c>
      <c r="I99" s="7">
        <f ca="1">IFERROR(__xludf.DUMMYFUNCTION("""COMPUTED_VALUE"""),1)</f>
        <v>1</v>
      </c>
      <c r="J99" s="7">
        <f ca="1">IFERROR(__xludf.DUMMYFUNCTION("""COMPUTED_VALUE"""),3)</f>
        <v>3</v>
      </c>
      <c r="K99" s="7" t="str">
        <f ca="1">IFERROR(__xludf.DUMMYFUNCTION("""COMPUTED_VALUE"""),"Бибилашвили Надежда Михайловна")</f>
        <v>Бибилашвили Надежда Михайловна</v>
      </c>
      <c r="L99" s="7" t="str">
        <f ca="1">IFERROR(__xludf.DUMMYFUNCTION("""COMPUTED_VALUE"""),"Давлиев Ильнар Газинурович")</f>
        <v>Давлиев Ильнар Газинурович</v>
      </c>
      <c r="M99" s="7" t="str">
        <f ca="1">IFERROR(__xludf.DUMMYFUNCTION("""COMPUTED_VALUE"""),"Чурсина Мария Вячеславовна")</f>
        <v>Чурсина Мария Вячеславовна</v>
      </c>
      <c r="N99" s="7"/>
      <c r="O99" s="7" t="str">
        <f ca="1">IFERROR(__xludf.DUMMYFUNCTION("""COMPUTED_VALUE"""),"Типовой")</f>
        <v>Типовой</v>
      </c>
      <c r="P99" s="7" t="str">
        <f ca="1">IFERROR(__xludf.DUMMYFUNCTION("""COMPUTED_VALUE"""),"Нет")</f>
        <v>Нет</v>
      </c>
      <c r="Q99" s="7" t="str">
        <f ca="1">IFERROR(__xludf.DUMMYFUNCTION("""COMPUTED_VALUE"""),"223-ФЗ")</f>
        <v>223-ФЗ</v>
      </c>
      <c r="R99" s="7" t="str">
        <f ca="1">IFERROR(__xludf.DUMMYFUNCTION("""COMPUTED_VALUE"""),"Нет")</f>
        <v>Нет</v>
      </c>
      <c r="S99" s="7" t="str">
        <f ca="1">IFERROR(__xludf.DUMMYFUNCTION("""COMPUTED_VALUE"""),"Открытый конкурс")</f>
        <v>Открытый конкурс</v>
      </c>
      <c r="T99" s="7" t="str">
        <f ca="1">IFERROR(__xludf.DUMMYFUNCTION("""COMPUTED_VALUE"""),"Полностью YouTrackная")</f>
        <v>Полностью YouTrackная</v>
      </c>
      <c r="U99" s="7" t="str">
        <f ca="1">IFERROR(__xludf.DUMMYFUNCTION("""COMPUTED_VALUE"""),"Оказание услуг по техническому обслуживанию и ремонту сепаратор-дробилок на 
стационарных снегосплавных пунктах")</f>
        <v>Оказание услуг по техническому обслуживанию и ремонту сепаратор-дробилок на 
стационарных снегосплавных пунктах</v>
      </c>
      <c r="V99" s="10">
        <f ca="1">IFERROR(__xludf.DUMMYFUNCTION("""COMPUTED_VALUE"""),44245.5271412037)</f>
        <v>44245.527141203696</v>
      </c>
      <c r="W99" s="7" t="str">
        <f ca="1">IFERROR(__xludf.DUMMYFUNCTION("""COMPUTED_VALUE"""),"60.9")</f>
        <v>60.9</v>
      </c>
      <c r="X99" s="16" t="str">
        <f ca="1">IFERROR(__xludf.DUMMYFUNCTION("""COMPUTED_VALUE"""),"16.27")</f>
        <v>16.27</v>
      </c>
      <c r="Y99" s="7" t="str">
        <f ca="1">IFERROR(__xludf.DUMMYFUNCTION("""COMPUTED_VALUE"""),"39.34")</f>
        <v>39.34</v>
      </c>
      <c r="Z99" s="7" t="str">
        <f ca="1">IFERROR(__xludf.DUMMYFUNCTION("""COMPUTED_VALUE"""),"3.88")</f>
        <v>3.88</v>
      </c>
      <c r="AA99" s="7" t="str">
        <f ca="1">IFERROR(__xludf.DUMMYFUNCTION("""COMPUTED_VALUE"""),"0.74")</f>
        <v>0.74</v>
      </c>
      <c r="AB99" s="7" t="str">
        <f ca="1">IFERROR(__xludf.DUMMYFUNCTION("""COMPUTED_VALUE"""),"16.39")</f>
        <v>16.39</v>
      </c>
      <c r="AC99" s="7" t="str">
        <f ca="1">IFERROR(__xludf.DUMMYFUNCTION("""COMPUTED_VALUE"""),"11.27")</f>
        <v>11.27</v>
      </c>
      <c r="AD99" s="7" t="str">
        <f ca="1">IFERROR(__xludf.DUMMYFUNCTION("""COMPUTED_VALUE"""),"5.31")</f>
        <v>5.31</v>
      </c>
      <c r="AE99" s="7" t="str">
        <f ca="1">IFERROR(__xludf.DUMMYFUNCTION("""COMPUTED_VALUE"""),"5.83")</f>
        <v>5.83</v>
      </c>
      <c r="AF99" s="8">
        <f ca="1">IFERROR(__xludf.DUMMYFUNCTION("""COMPUTED_VALUE"""),44776)</f>
        <v>44776</v>
      </c>
      <c r="AG99" s="7" t="str">
        <f ca="1">IFERROR(__xludf.DUMMYFUNCTION("""COMPUTED_VALUE"""),"6.25")</f>
        <v>6.25</v>
      </c>
      <c r="AH99" s="10">
        <f ca="1">IFERROR(__xludf.DUMMYFUNCTION("""COMPUTED_VALUE"""),44468.6247569444)</f>
        <v>44468.624756944402</v>
      </c>
      <c r="AI99" s="10">
        <f ca="1">IFERROR(__xludf.DUMMYFUNCTION("""COMPUTED_VALUE"""),44489.7877893518)</f>
        <v>44489.787789351802</v>
      </c>
      <c r="AJ99" s="7">
        <f ca="1">IFERROR(__xludf.DUMMYFUNCTION("""COMPUTED_VALUE"""),108)</f>
        <v>108</v>
      </c>
    </row>
    <row r="100" spans="1:36" ht="189" x14ac:dyDescent="0.2">
      <c r="A100" s="7">
        <f ca="1">IFERROR(__xludf.DUMMYFUNCTION("""COMPUTED_VALUE"""),141)</f>
        <v>141</v>
      </c>
      <c r="B100" s="7" t="str">
        <f ca="1">IFERROR(__xludf.DUMMYFUNCTION("""COMPUTED_VALUE"""),"FR-189")</f>
        <v>FR-189</v>
      </c>
      <c r="C100" s="9" t="str">
        <f ca="1">IFERROR(__xludf.DUMMYFUNCTION("""COMPUTED_VALUE"""),"Поставка запасных частей и материалов для инструментов спасательных служб и 
служб гражданской обороны")</f>
        <v>Поставка запасных частей и материалов для инструментов спасательных служб и 
служб гражданской обороны</v>
      </c>
      <c r="D100" s="7" t="str">
        <f ca="1">IFERROR(__xludf.DUMMYFUNCTION("""COMPUTED_VALUE"""),"План по стандартизации")</f>
        <v>План по стандартизации</v>
      </c>
      <c r="E100" s="7">
        <f ca="1">IFERROR(__xludf.DUMMYFUNCTION("""COMPUTED_VALUE"""),2021)</f>
        <v>2021</v>
      </c>
      <c r="F100" s="7">
        <f ca="1">IFERROR(__xludf.DUMMYFUNCTION("""COMPUTED_VALUE"""),2)</f>
        <v>2</v>
      </c>
      <c r="G100" s="7" t="str">
        <f ca="1">IFERROR(__xludf.DUMMYFUNCTION("""COMPUTED_VALUE"""),"СТЗ")</f>
        <v>СТЗ</v>
      </c>
      <c r="H100" s="7" t="str">
        <f ca="1">IFERROR(__xludf.DUMMYFUNCTION("""COMPUTED_VALUE"""),"Завершено")</f>
        <v>Завершено</v>
      </c>
      <c r="I100" s="7">
        <f ca="1">IFERROR(__xludf.DUMMYFUNCTION("""COMPUTED_VALUE"""),4)</f>
        <v>4</v>
      </c>
      <c r="J100" s="7">
        <f ca="1">IFERROR(__xludf.DUMMYFUNCTION("""COMPUTED_VALUE"""),1)</f>
        <v>1</v>
      </c>
      <c r="K100" s="7" t="str">
        <f ca="1">IFERROR(__xludf.DUMMYFUNCTION("""COMPUTED_VALUE"""),"Лепаев Иван Александрович / Кузнецова Анна Сергеевна")</f>
        <v>Лепаев Иван Александрович / Кузнецова Анна Сергеевна</v>
      </c>
      <c r="L100" s="7" t="str">
        <f ca="1">IFERROR(__xludf.DUMMYFUNCTION("""COMPUTED_VALUE"""),"Столянков Андрей Владиславович")</f>
        <v>Столянков Андрей Владиславович</v>
      </c>
      <c r="M100" s="7" t="str">
        <f ca="1">IFERROR(__xludf.DUMMYFUNCTION("""COMPUTED_VALUE"""),"Магамгазиев Расул Висхаджиевич")</f>
        <v>Магамгазиев Расул Висхаджиевич</v>
      </c>
      <c r="N100" s="7"/>
      <c r="O100" s="7"/>
      <c r="P100" s="7"/>
      <c r="Q100" s="7"/>
      <c r="R100" s="7"/>
      <c r="S100" s="7"/>
      <c r="T100" s="7" t="str">
        <f ca="1">IFERROR(__xludf.DUMMYFUNCTION("""COMPUTED_VALUE"""),"Полностью YouTrackная")</f>
        <v>Полностью YouTrackная</v>
      </c>
      <c r="U100" s="7" t="str">
        <f ca="1">IFERROR(__xludf.DUMMYFUNCTION("""COMPUTED_VALUE"""),"Поставка запасных частей и материалов для инструментов спасательных служб и 
служб гражданской обороны")</f>
        <v>Поставка запасных частей и материалов для инструментов спасательных служб и 
служб гражданской обороны</v>
      </c>
      <c r="V100" s="10">
        <f ca="1">IFERROR(__xludf.DUMMYFUNCTION("""COMPUTED_VALUE"""),44245.5294675925)</f>
        <v>44245.529467592503</v>
      </c>
      <c r="W100" s="7" t="str">
        <f ca="1">IFERROR(__xludf.DUMMYFUNCTION("""COMPUTED_VALUE"""),"59.15")</f>
        <v>59.15</v>
      </c>
      <c r="X100" s="16" t="str">
        <f ca="1">IFERROR(__xludf.DUMMYFUNCTION("""COMPUTED_VALUE"""),"7.78")</f>
        <v>7.78</v>
      </c>
      <c r="Y100" s="7" t="str">
        <f ca="1">IFERROR(__xludf.DUMMYFUNCTION("""COMPUTED_VALUE"""),"3.78")</f>
        <v>3.78</v>
      </c>
      <c r="Z100" s="7" t="str">
        <f ca="1">IFERROR(__xludf.DUMMYFUNCTION("""COMPUTED_VALUE"""),"5.79")</f>
        <v>5.79</v>
      </c>
      <c r="AA100" s="11">
        <f ca="1">IFERROR(__xludf.DUMMYFUNCTION("""COMPUTED_VALUE"""),44629)</f>
        <v>44629</v>
      </c>
      <c r="AB100" s="7">
        <f ca="1">IFERROR(__xludf.DUMMYFUNCTION("""COMPUTED_VALUE"""),14)</f>
        <v>14</v>
      </c>
      <c r="AC100" s="7" t="str">
        <f ca="1">IFERROR(__xludf.DUMMYFUNCTION("""COMPUTED_VALUE"""),"9.19")</f>
        <v>9.19</v>
      </c>
      <c r="AD100" s="7" t="str">
        <f ca="1">IFERROR(__xludf.DUMMYFUNCTION("""COMPUTED_VALUE"""),"15.25")</f>
        <v>15.25</v>
      </c>
      <c r="AE100" s="7" t="str">
        <f ca="1">IFERROR(__xludf.DUMMYFUNCTION("""COMPUTED_VALUE"""),"12.77")</f>
        <v>12.77</v>
      </c>
      <c r="AF100" s="7">
        <f ca="1">IFERROR(__xludf.DUMMYFUNCTION("""COMPUTED_VALUE"""),0)</f>
        <v>0</v>
      </c>
      <c r="AG100" s="7" t="str">
        <f ca="1">IFERROR(__xludf.DUMMYFUNCTION("""COMPUTED_VALUE"""),"12.16")</f>
        <v>12.16</v>
      </c>
      <c r="AH100" s="10">
        <f ca="1">IFERROR(__xludf.DUMMYFUNCTION("""COMPUTED_VALUE"""),44426.7780787037)</f>
        <v>44426.778078703697</v>
      </c>
      <c r="AI100" s="10">
        <f ca="1">IFERROR(__xludf.DUMMYFUNCTION("""COMPUTED_VALUE"""),44461.7011689814)</f>
        <v>44461.701168981403</v>
      </c>
      <c r="AJ100" s="7">
        <f ca="1">IFERROR(__xludf.DUMMYFUNCTION("""COMPUTED_VALUE"""),90)</f>
        <v>90</v>
      </c>
    </row>
    <row r="101" spans="1:36" ht="94.5" x14ac:dyDescent="0.2">
      <c r="A101" s="7">
        <f ca="1">IFERROR(__xludf.DUMMYFUNCTION("""COMPUTED_VALUE"""),142)</f>
        <v>142</v>
      </c>
      <c r="B101" s="7" t="str">
        <f ca="1">IFERROR(__xludf.DUMMYFUNCTION("""COMPUTED_VALUE"""),"FR-190")</f>
        <v>FR-190</v>
      </c>
      <c r="C101" s="9" t="str">
        <f ca="1">IFERROR(__xludf.DUMMYFUNCTION("""COMPUTED_VALUE"""),"Оказание услуг по размещению и хранению имущества")</f>
        <v>Оказание услуг по размещению и хранению имущества</v>
      </c>
      <c r="D101" s="7" t="str">
        <f ca="1">IFERROR(__xludf.DUMMYFUNCTION("""COMPUTED_VALUE"""),"План по стандартизации")</f>
        <v>План по стандартизации</v>
      </c>
      <c r="E101" s="7">
        <f ca="1">IFERROR(__xludf.DUMMYFUNCTION("""COMPUTED_VALUE"""),2021)</f>
        <v>2021</v>
      </c>
      <c r="F101" s="7">
        <f ca="1">IFERROR(__xludf.DUMMYFUNCTION("""COMPUTED_VALUE"""),3)</f>
        <v>3</v>
      </c>
      <c r="G101" s="7" t="str">
        <f ca="1">IFERROR(__xludf.DUMMYFUNCTION("""COMPUTED_VALUE"""),"ТТЗ")</f>
        <v>ТТЗ</v>
      </c>
      <c r="H101" s="7" t="str">
        <f ca="1">IFERROR(__xludf.DUMMYFUNCTION("""COMPUTED_VALUE"""),"Завершено")</f>
        <v>Завершено</v>
      </c>
      <c r="I101" s="7">
        <f ca="1">IFERROR(__xludf.DUMMYFUNCTION("""COMPUTED_VALUE"""),5)</f>
        <v>5</v>
      </c>
      <c r="J101" s="7">
        <f ca="1">IFERROR(__xludf.DUMMYFUNCTION("""COMPUTED_VALUE"""),2)</f>
        <v>2</v>
      </c>
      <c r="K101" s="7" t="str">
        <f ca="1">IFERROR(__xludf.DUMMYFUNCTION("""COMPUTED_VALUE"""),"Моисеев Евгений Александрович")</f>
        <v>Моисеев Евгений Александрович</v>
      </c>
      <c r="L101" s="7" t="str">
        <f ca="1">IFERROR(__xludf.DUMMYFUNCTION("""COMPUTED_VALUE"""),"Давлиев Ильнар Газинурович")</f>
        <v>Давлиев Ильнар Газинурович</v>
      </c>
      <c r="M101" s="7" t="str">
        <f ca="1">IFERROR(__xludf.DUMMYFUNCTION("""COMPUTED_VALUE"""),"Чурсина Мария Вячеславовна")</f>
        <v>Чурсина Мария Вячеславовна</v>
      </c>
      <c r="N101" s="7"/>
      <c r="O101" s="7" t="str">
        <f ca="1">IFERROR(__xludf.DUMMYFUNCTION("""COMPUTED_VALUE"""),"Типовой")</f>
        <v>Типовой</v>
      </c>
      <c r="P101" s="7"/>
      <c r="Q101" s="7" t="str">
        <f ca="1">IFERROR(__xludf.DUMMYFUNCTION("""COMPUTED_VALUE"""),"223-ФЗ")</f>
        <v>223-ФЗ</v>
      </c>
      <c r="R101" s="7" t="str">
        <f ca="1">IFERROR(__xludf.DUMMYFUNCTION("""COMPUTED_VALUE"""),"Нет")</f>
        <v>Нет</v>
      </c>
      <c r="S101" s="7"/>
      <c r="T101" s="7" t="str">
        <f ca="1">IFERROR(__xludf.DUMMYFUNCTION("""COMPUTED_VALUE"""),"Полностью YouTrackная")</f>
        <v>Полностью YouTrackная</v>
      </c>
      <c r="U101" s="7" t="str">
        <f ca="1">IFERROR(__xludf.DUMMYFUNCTION("""COMPUTED_VALUE"""),"Оказание услуг по размещению и хранению имущества")</f>
        <v>Оказание услуг по размещению и хранению имущества</v>
      </c>
      <c r="V101" s="10">
        <f ca="1">IFERROR(__xludf.DUMMYFUNCTION("""COMPUTED_VALUE"""),44245.5328009259)</f>
        <v>44245.532800925903</v>
      </c>
      <c r="W101" s="7" t="str">
        <f ca="1">IFERROR(__xludf.DUMMYFUNCTION("""COMPUTED_VALUE"""),"89.24")</f>
        <v>89.24</v>
      </c>
      <c r="X101" s="16" t="str">
        <f ca="1">IFERROR(__xludf.DUMMYFUNCTION("""COMPUTED_VALUE"""),"51.82")</f>
        <v>51.82</v>
      </c>
      <c r="Y101" s="7" t="str">
        <f ca="1">IFERROR(__xludf.DUMMYFUNCTION("""COMPUTED_VALUE"""),"8.22")</f>
        <v>8.22</v>
      </c>
      <c r="Z101" s="7" t="str">
        <f ca="1">IFERROR(__xludf.DUMMYFUNCTION("""COMPUTED_VALUE"""),"13.51")</f>
        <v>13.51</v>
      </c>
      <c r="AA101" s="7" t="str">
        <f ca="1">IFERROR(__xludf.DUMMYFUNCTION("""COMPUTED_VALUE"""),"0.18")</f>
        <v>0.18</v>
      </c>
      <c r="AB101" s="7" t="str">
        <f ca="1">IFERROR(__xludf.DUMMYFUNCTION("""COMPUTED_VALUE"""),"48.31")</f>
        <v>48.31</v>
      </c>
      <c r="AC101" s="8">
        <f ca="1">IFERROR(__xludf.DUMMYFUNCTION("""COMPUTED_VALUE"""),44612)</f>
        <v>44612</v>
      </c>
      <c r="AD101" s="7" t="str">
        <f ca="1">IFERROR(__xludf.DUMMYFUNCTION("""COMPUTED_VALUE"""),"29.82")</f>
        <v>29.82</v>
      </c>
      <c r="AE101" s="8">
        <f ca="1">IFERROR(__xludf.DUMMYFUNCTION("""COMPUTED_VALUE"""),44626)</f>
        <v>44626</v>
      </c>
      <c r="AF101" s="7" t="str">
        <f ca="1">IFERROR(__xludf.DUMMYFUNCTION("""COMPUTED_VALUE"""),"0.88")</f>
        <v>0.88</v>
      </c>
      <c r="AG101" s="8">
        <f ca="1">IFERROR(__xludf.DUMMYFUNCTION("""COMPUTED_VALUE"""),44656)</f>
        <v>44656</v>
      </c>
      <c r="AH101" s="10">
        <f ca="1">IFERROR(__xludf.DUMMYFUNCTION("""COMPUTED_VALUE"""),44631.656412037)</f>
        <v>44631.656412037002</v>
      </c>
      <c r="AI101" s="10">
        <f ca="1">IFERROR(__xludf.DUMMYFUNCTION("""COMPUTED_VALUE"""),44649.6167708333)</f>
        <v>44649.616770833301</v>
      </c>
      <c r="AJ101" s="7">
        <f ca="1">IFERROR(__xludf.DUMMYFUNCTION("""COMPUTED_VALUE"""),184)</f>
        <v>184</v>
      </c>
    </row>
    <row r="102" spans="1:36" ht="63" x14ac:dyDescent="0.2">
      <c r="A102" s="7">
        <f ca="1">IFERROR(__xludf.DUMMYFUNCTION("""COMPUTED_VALUE"""),143)</f>
        <v>143</v>
      </c>
      <c r="B102" s="7" t="str">
        <f ca="1">IFERROR(__xludf.DUMMYFUNCTION("""COMPUTED_VALUE"""),"FR-192")</f>
        <v>FR-192</v>
      </c>
      <c r="C102" s="9" t="str">
        <f ca="1">IFERROR(__xludf.DUMMYFUNCTION("""COMPUTED_VALUE"""),"Оказание гостиничных услуг")</f>
        <v>Оказание гостиничных услуг</v>
      </c>
      <c r="D102" s="7" t="str">
        <f ca="1">IFERROR(__xludf.DUMMYFUNCTION("""COMPUTED_VALUE"""),"План по стандартизации")</f>
        <v>План по стандартизации</v>
      </c>
      <c r="E102" s="7">
        <f ca="1">IFERROR(__xludf.DUMMYFUNCTION("""COMPUTED_VALUE"""),2021)</f>
        <v>2021</v>
      </c>
      <c r="F102" s="7">
        <f ca="1">IFERROR(__xludf.DUMMYFUNCTION("""COMPUTED_VALUE"""),3)</f>
        <v>3</v>
      </c>
      <c r="G102" s="7" t="str">
        <f ca="1">IFERROR(__xludf.DUMMYFUNCTION("""COMPUTED_VALUE"""),"ТТЗ")</f>
        <v>ТТЗ</v>
      </c>
      <c r="H102" s="7" t="str">
        <f ca="1">IFERROR(__xludf.DUMMYFUNCTION("""COMPUTED_VALUE"""),"Завершено")</f>
        <v>Завершено</v>
      </c>
      <c r="I102" s="7">
        <f ca="1">IFERROR(__xludf.DUMMYFUNCTION("""COMPUTED_VALUE"""),4)</f>
        <v>4</v>
      </c>
      <c r="J102" s="7">
        <f ca="1">IFERROR(__xludf.DUMMYFUNCTION("""COMPUTED_VALUE"""),2)</f>
        <v>2</v>
      </c>
      <c r="K102" s="7" t="str">
        <f ca="1">IFERROR(__xludf.DUMMYFUNCTION("""COMPUTED_VALUE"""),"Степанян Марк Маратович")</f>
        <v>Степанян Марк Маратович</v>
      </c>
      <c r="L102" s="7" t="str">
        <f ca="1">IFERROR(__xludf.DUMMYFUNCTION("""COMPUTED_VALUE"""),"Осипенкова Елена Владимировна")</f>
        <v>Осипенкова Елена Владимировна</v>
      </c>
      <c r="M102" s="7" t="str">
        <f ca="1">IFERROR(__xludf.DUMMYFUNCTION("""COMPUTED_VALUE"""),"Чурсина Мария Вячеславовна")</f>
        <v>Чурсина Мария Вячеславовна</v>
      </c>
      <c r="N102" s="7"/>
      <c r="O102" s="7" t="str">
        <f ca="1">IFERROR(__xludf.DUMMYFUNCTION("""COMPUTED_VALUE"""),"Типовой")</f>
        <v>Типовой</v>
      </c>
      <c r="P102" s="7" t="str">
        <f ca="1">IFERROR(__xludf.DUMMYFUNCTION("""COMPUTED_VALUE"""),"Нет")</f>
        <v>Нет</v>
      </c>
      <c r="Q102" s="7" t="str">
        <f ca="1">IFERROR(__xludf.DUMMYFUNCTION("""COMPUTED_VALUE"""),"Нет")</f>
        <v>Нет</v>
      </c>
      <c r="R102" s="7" t="str">
        <f ca="1">IFERROR(__xludf.DUMMYFUNCTION("""COMPUTED_VALUE"""),"Нет")</f>
        <v>Нет</v>
      </c>
      <c r="S102" s="7" t="str">
        <f ca="1">IFERROR(__xludf.DUMMYFUNCTION("""COMPUTED_VALUE"""),"Электронный аукцион")</f>
        <v>Электронный аукцион</v>
      </c>
      <c r="T102" s="7" t="str">
        <f ca="1">IFERROR(__xludf.DUMMYFUNCTION("""COMPUTED_VALUE"""),"Полностью YouTrackная")</f>
        <v>Полностью YouTrackная</v>
      </c>
      <c r="U102" s="7" t="str">
        <f ca="1">IFERROR(__xludf.DUMMYFUNCTION("""COMPUTED_VALUE"""),"Оказание гостиничных услуг")</f>
        <v>Оказание гостиничных услуг</v>
      </c>
      <c r="V102" s="10">
        <f ca="1">IFERROR(__xludf.DUMMYFUNCTION("""COMPUTED_VALUE"""),44245.640625)</f>
        <v>44245.640625</v>
      </c>
      <c r="W102" s="7" t="str">
        <f ca="1">IFERROR(__xludf.DUMMYFUNCTION("""COMPUTED_VALUE"""),"134.71")</f>
        <v>134.71</v>
      </c>
      <c r="X102" s="16" t="str">
        <f ca="1">IFERROR(__xludf.DUMMYFUNCTION("""COMPUTED_VALUE"""),"9.47")</f>
        <v>9.47</v>
      </c>
      <c r="Y102" s="7" t="str">
        <f ca="1">IFERROR(__xludf.DUMMYFUNCTION("""COMPUTED_VALUE"""),"5.13")</f>
        <v>5.13</v>
      </c>
      <c r="Z102" s="7" t="str">
        <f ca="1">IFERROR(__xludf.DUMMYFUNCTION("""COMPUTED_VALUE"""),"6.68")</f>
        <v>6.68</v>
      </c>
      <c r="AA102" s="7" t="str">
        <f ca="1">IFERROR(__xludf.DUMMYFUNCTION("""COMPUTED_VALUE"""),"0.03")</f>
        <v>0.03</v>
      </c>
      <c r="AB102" s="7" t="str">
        <f ca="1">IFERROR(__xludf.DUMMYFUNCTION("""COMPUTED_VALUE"""),"20.21")</f>
        <v>20.21</v>
      </c>
      <c r="AC102" s="11">
        <f ca="1">IFERROR(__xludf.DUMMYFUNCTION("""COMPUTED_VALUE"""),44788)</f>
        <v>44788</v>
      </c>
      <c r="AD102" s="7" t="str">
        <f ca="1">IFERROR(__xludf.DUMMYFUNCTION("""COMPUTED_VALUE"""),"17.79")</f>
        <v>17.79</v>
      </c>
      <c r="AE102" s="8">
        <f ca="1">IFERROR(__xludf.DUMMYFUNCTION("""COMPUTED_VALUE"""),44657)</f>
        <v>44657</v>
      </c>
      <c r="AF102" s="7">
        <f ca="1">IFERROR(__xludf.DUMMYFUNCTION("""COMPUTED_VALUE"""),0)</f>
        <v>0</v>
      </c>
      <c r="AG102" s="7" t="str">
        <f ca="1">IFERROR(__xludf.DUMMYFUNCTION("""COMPUTED_VALUE"""),"3.23")</f>
        <v>3.23</v>
      </c>
      <c r="AH102" s="10">
        <f ca="1">IFERROR(__xludf.DUMMYFUNCTION("""COMPUTED_VALUE"""),44550.4687384259)</f>
        <v>44550.468738425901</v>
      </c>
      <c r="AI102" s="10">
        <f ca="1">IFERROR(__xludf.DUMMYFUNCTION("""COMPUTED_VALUE"""),44571.7364351851)</f>
        <v>44571.736435185099</v>
      </c>
      <c r="AJ102" s="7">
        <f ca="1">IFERROR(__xludf.DUMMYFUNCTION("""COMPUTED_VALUE"""),84)</f>
        <v>84</v>
      </c>
    </row>
    <row r="103" spans="1:36" ht="94.5" x14ac:dyDescent="0.2">
      <c r="A103" s="7">
        <f ca="1">IFERROR(__xludf.DUMMYFUNCTION("""COMPUTED_VALUE"""),144)</f>
        <v>144</v>
      </c>
      <c r="B103" s="7" t="str">
        <f ca="1">IFERROR(__xludf.DUMMYFUNCTION("""COMPUTED_VALUE"""),"FR-193")</f>
        <v>FR-193</v>
      </c>
      <c r="C103" s="9" t="str">
        <f ca="1">IFERROR(__xludf.DUMMYFUNCTION("""COMPUTED_VALUE"""),"Оказание услуг по инкассации денежных средств")</f>
        <v>Оказание услуг по инкассации денежных средств</v>
      </c>
      <c r="D103" s="7" t="str">
        <f ca="1">IFERROR(__xludf.DUMMYFUNCTION("""COMPUTED_VALUE"""),"План по стандартизации")</f>
        <v>План по стандартизации</v>
      </c>
      <c r="E103" s="7">
        <f ca="1">IFERROR(__xludf.DUMMYFUNCTION("""COMPUTED_VALUE"""),2021)</f>
        <v>2021</v>
      </c>
      <c r="F103" s="7">
        <f ca="1">IFERROR(__xludf.DUMMYFUNCTION("""COMPUTED_VALUE"""),4)</f>
        <v>4</v>
      </c>
      <c r="G103" s="7" t="str">
        <f ca="1">IFERROR(__xludf.DUMMYFUNCTION("""COMPUTED_VALUE"""),"ТТЗ")</f>
        <v>ТТЗ</v>
      </c>
      <c r="H103" s="7" t="str">
        <f ca="1">IFERROR(__xludf.DUMMYFUNCTION("""COMPUTED_VALUE"""),"Завершено")</f>
        <v>Завершено</v>
      </c>
      <c r="I103" s="7">
        <f ca="1">IFERROR(__xludf.DUMMYFUNCTION("""COMPUTED_VALUE"""),8)</f>
        <v>8</v>
      </c>
      <c r="J103" s="7">
        <f ca="1">IFERROR(__xludf.DUMMYFUNCTION("""COMPUTED_VALUE"""),3)</f>
        <v>3</v>
      </c>
      <c r="K103" s="7" t="str">
        <f ca="1">IFERROR(__xludf.DUMMYFUNCTION("""COMPUTED_VALUE"""),"Давлиева Нигина Хикматджановна")</f>
        <v>Давлиева Нигина Хикматджановна</v>
      </c>
      <c r="L103" s="7" t="str">
        <f ca="1">IFERROR(__xludf.DUMMYFUNCTION("""COMPUTED_VALUE"""),"Давлиев Ильнар Газинурович")</f>
        <v>Давлиев Ильнар Газинурович</v>
      </c>
      <c r="M103" s="7" t="str">
        <f ca="1">IFERROR(__xludf.DUMMYFUNCTION("""COMPUTED_VALUE"""),"Чурсина Мария Вячеславовна")</f>
        <v>Чурсина Мария Вячеславовна</v>
      </c>
      <c r="N103" s="7"/>
      <c r="O103" s="7" t="str">
        <f ca="1">IFERROR(__xludf.DUMMYFUNCTION("""COMPUTED_VALUE"""),"Типовой")</f>
        <v>Типовой</v>
      </c>
      <c r="P103" s="7" t="str">
        <f ca="1">IFERROR(__xludf.DUMMYFUNCTION("""COMPUTED_VALUE"""),"Нет")</f>
        <v>Нет</v>
      </c>
      <c r="Q103" s="7"/>
      <c r="R103" s="7" t="str">
        <f ca="1">IFERROR(__xludf.DUMMYFUNCTION("""COMPUTED_VALUE"""),"Нет")</f>
        <v>Нет</v>
      </c>
      <c r="S103" s="7" t="str">
        <f ca="1">IFERROR(__xludf.DUMMYFUNCTION("""COMPUTED_VALUE"""),"Открытый конкурс / Электронный аукцион")</f>
        <v>Открытый конкурс / Электронный аукцион</v>
      </c>
      <c r="T103" s="7" t="str">
        <f ca="1">IFERROR(__xludf.DUMMYFUNCTION("""COMPUTED_VALUE"""),"Полностью YouTrackная")</f>
        <v>Полностью YouTrackная</v>
      </c>
      <c r="U103" s="7" t="str">
        <f ca="1">IFERROR(__xludf.DUMMYFUNCTION("""COMPUTED_VALUE"""),"Оказание услуг по инкассации денежных средств")</f>
        <v>Оказание услуг по инкассации денежных средств</v>
      </c>
      <c r="V103" s="10">
        <f ca="1">IFERROR(__xludf.DUMMYFUNCTION("""COMPUTED_VALUE"""),44245.6419907407)</f>
        <v>44245.641990740703</v>
      </c>
      <c r="W103" s="7" t="str">
        <f ca="1">IFERROR(__xludf.DUMMYFUNCTION("""COMPUTED_VALUE"""),"182.07")</f>
        <v>182.07</v>
      </c>
      <c r="X103" s="16" t="str">
        <f ca="1">IFERROR(__xludf.DUMMYFUNCTION("""COMPUTED_VALUE"""),"13.94")</f>
        <v>13.94</v>
      </c>
      <c r="Y103" s="7" t="str">
        <f ca="1">IFERROR(__xludf.DUMMYFUNCTION("""COMPUTED_VALUE"""),"13.44")</f>
        <v>13.44</v>
      </c>
      <c r="Z103" s="7" t="str">
        <f ca="1">IFERROR(__xludf.DUMMYFUNCTION("""COMPUTED_VALUE"""),"14.68")</f>
        <v>14.68</v>
      </c>
      <c r="AA103" s="7" t="str">
        <f ca="1">IFERROR(__xludf.DUMMYFUNCTION("""COMPUTED_VALUE"""),"0.77")</f>
        <v>0.77</v>
      </c>
      <c r="AB103" s="7" t="str">
        <f ca="1">IFERROR(__xludf.DUMMYFUNCTION("""COMPUTED_VALUE"""),"42.57")</f>
        <v>42.57</v>
      </c>
      <c r="AC103" s="7" t="str">
        <f ca="1">IFERROR(__xludf.DUMMYFUNCTION("""COMPUTED_VALUE"""),"19.81")</f>
        <v>19.81</v>
      </c>
      <c r="AD103" s="7" t="str">
        <f ca="1">IFERROR(__xludf.DUMMYFUNCTION("""COMPUTED_VALUE"""),"20.71")</f>
        <v>20.71</v>
      </c>
      <c r="AE103" s="7"/>
      <c r="AF103" s="7" t="str">
        <f ca="1">IFERROR(__xludf.DUMMYFUNCTION("""COMPUTED_VALUE"""),"1.74")</f>
        <v>1.74</v>
      </c>
      <c r="AG103" s="7" t="str">
        <f ca="1">IFERROR(__xludf.DUMMYFUNCTION("""COMPUTED_VALUE"""),"4.55")</f>
        <v>4.55</v>
      </c>
      <c r="AH103" s="7"/>
      <c r="AI103" s="10">
        <f ca="1">IFERROR(__xludf.DUMMYFUNCTION("""COMPUTED_VALUE"""),44712.9214467592)</f>
        <v>44712.921446759203</v>
      </c>
      <c r="AJ103" s="7">
        <f ca="1">IFERROR(__xludf.DUMMYFUNCTION("""COMPUTED_VALUE"""),132)</f>
        <v>132</v>
      </c>
    </row>
    <row r="104" spans="1:36" ht="78.75" x14ac:dyDescent="0.2">
      <c r="A104" s="7">
        <f ca="1">IFERROR(__xludf.DUMMYFUNCTION("""COMPUTED_VALUE"""),145)</f>
        <v>145</v>
      </c>
      <c r="B104" s="7" t="str">
        <f ca="1">IFERROR(__xludf.DUMMYFUNCTION("""COMPUTED_VALUE"""),"FR-194")</f>
        <v>FR-194</v>
      </c>
      <c r="C104" s="9" t="str">
        <f ca="1">IFERROR(__xludf.DUMMYFUNCTION("""COMPUTED_VALUE"""),"Оказание услуг по химчистке изделий")</f>
        <v>Оказание услуг по химчистке изделий</v>
      </c>
      <c r="D104" s="7" t="str">
        <f ca="1">IFERROR(__xludf.DUMMYFUNCTION("""COMPUTED_VALUE"""),"План по стандартизации")</f>
        <v>План по стандартизации</v>
      </c>
      <c r="E104" s="7">
        <f ca="1">IFERROR(__xludf.DUMMYFUNCTION("""COMPUTED_VALUE"""),2021)</f>
        <v>2021</v>
      </c>
      <c r="F104" s="7">
        <f ca="1">IFERROR(__xludf.DUMMYFUNCTION("""COMPUTED_VALUE"""),1)</f>
        <v>1</v>
      </c>
      <c r="G104" s="7" t="str">
        <f ca="1">IFERROR(__xludf.DUMMYFUNCTION("""COMPUTED_VALUE"""),"ТТЗ")</f>
        <v>ТТЗ</v>
      </c>
      <c r="H104" s="7" t="str">
        <f ca="1">IFERROR(__xludf.DUMMYFUNCTION("""COMPUTED_VALUE"""),"Завершено")</f>
        <v>Завершено</v>
      </c>
      <c r="I104" s="7">
        <f ca="1">IFERROR(__xludf.DUMMYFUNCTION("""COMPUTED_VALUE"""),3)</f>
        <v>3</v>
      </c>
      <c r="J104" s="7">
        <f ca="1">IFERROR(__xludf.DUMMYFUNCTION("""COMPUTED_VALUE"""),2)</f>
        <v>2</v>
      </c>
      <c r="K104" s="7" t="str">
        <f ca="1">IFERROR(__xludf.DUMMYFUNCTION("""COMPUTED_VALUE"""),"Желтова Яна Валерьевна")</f>
        <v>Желтова Яна Валерьевна</v>
      </c>
      <c r="L104" s="7" t="str">
        <f ca="1">IFERROR(__xludf.DUMMYFUNCTION("""COMPUTED_VALUE"""),"Желтова Яна Валерьевна / Бутасова Светлана Валерьевна")</f>
        <v>Желтова Яна Валерьевна / Бутасова Светлана Валерьевна</v>
      </c>
      <c r="M104" s="7" t="str">
        <f ca="1">IFERROR(__xludf.DUMMYFUNCTION("""COMPUTED_VALUE"""),"Чурсина Мария Вячеславовна")</f>
        <v>Чурсина Мария Вячеславовна</v>
      </c>
      <c r="N104" s="7"/>
      <c r="O104" s="7" t="str">
        <f ca="1">IFERROR(__xludf.DUMMYFUNCTION("""COMPUTED_VALUE"""),"Типовой")</f>
        <v>Типовой</v>
      </c>
      <c r="P104" s="7" t="str">
        <f ca="1">IFERROR(__xludf.DUMMYFUNCTION("""COMPUTED_VALUE"""),"Нет")</f>
        <v>Нет</v>
      </c>
      <c r="Q104" s="7" t="str">
        <f ca="1">IFERROR(__xludf.DUMMYFUNCTION("""COMPUTED_VALUE"""),"Нет")</f>
        <v>Нет</v>
      </c>
      <c r="R104" s="7" t="str">
        <f ca="1">IFERROR(__xludf.DUMMYFUNCTION("""COMPUTED_VALUE"""),"Нет")</f>
        <v>Нет</v>
      </c>
      <c r="S104" s="7" t="str">
        <f ca="1">IFERROR(__xludf.DUMMYFUNCTION("""COMPUTED_VALUE"""),"Электронный аукцион")</f>
        <v>Электронный аукцион</v>
      </c>
      <c r="T104" s="7" t="str">
        <f ca="1">IFERROR(__xludf.DUMMYFUNCTION("""COMPUTED_VALUE"""),"Полностью YouTrackная")</f>
        <v>Полностью YouTrackная</v>
      </c>
      <c r="U104" s="7" t="str">
        <f ca="1">IFERROR(__xludf.DUMMYFUNCTION("""COMPUTED_VALUE"""),"Оказание услуг по химчистке изделий")</f>
        <v>Оказание услуг по химчистке изделий</v>
      </c>
      <c r="V104" s="10">
        <f ca="1">IFERROR(__xludf.DUMMYFUNCTION("""COMPUTED_VALUE"""),44252.0396643518)</f>
        <v>44252.039664351803</v>
      </c>
      <c r="W104" s="7"/>
      <c r="X104" s="18">
        <f ca="1">IFERROR(__xludf.DUMMYFUNCTION("""COMPUTED_VALUE"""),44744)</f>
        <v>44744</v>
      </c>
      <c r="Y104" s="11">
        <f ca="1">IFERROR(__xludf.DUMMYFUNCTION("""COMPUTED_VALUE"""),44605)</f>
        <v>44605</v>
      </c>
      <c r="Z104" s="7" t="str">
        <f ca="1">IFERROR(__xludf.DUMMYFUNCTION("""COMPUTED_VALUE"""),"5.25")</f>
        <v>5.25</v>
      </c>
      <c r="AA104" s="7" t="str">
        <f ca="1">IFERROR(__xludf.DUMMYFUNCTION("""COMPUTED_VALUE"""),"8.69")</f>
        <v>8.69</v>
      </c>
      <c r="AB104" s="7" t="str">
        <f ca="1">IFERROR(__xludf.DUMMYFUNCTION("""COMPUTED_VALUE"""),"61.19")</f>
        <v>61.19</v>
      </c>
      <c r="AC104" s="7" t="str">
        <f ca="1">IFERROR(__xludf.DUMMYFUNCTION("""COMPUTED_VALUE"""),"18.36")</f>
        <v>18.36</v>
      </c>
      <c r="AD104" s="7" t="str">
        <f ca="1">IFERROR(__xludf.DUMMYFUNCTION("""COMPUTED_VALUE"""),"11.34")</f>
        <v>11.34</v>
      </c>
      <c r="AE104" s="7" t="str">
        <f ca="1">IFERROR(__xludf.DUMMYFUNCTION("""COMPUTED_VALUE"""),"12.77")</f>
        <v>12.77</v>
      </c>
      <c r="AF104" s="8">
        <f ca="1">IFERROR(__xludf.DUMMYFUNCTION("""COMPUTED_VALUE"""),44714)</f>
        <v>44714</v>
      </c>
      <c r="AG104" s="7" t="str">
        <f ca="1">IFERROR(__xludf.DUMMYFUNCTION("""COMPUTED_VALUE"""),"5.82")</f>
        <v>5.82</v>
      </c>
      <c r="AH104" s="10">
        <f ca="1">IFERROR(__xludf.DUMMYFUNCTION("""COMPUTED_VALUE"""),44426.7768518518)</f>
        <v>44426.776851851799</v>
      </c>
      <c r="AI104" s="10">
        <f ca="1">IFERROR(__xludf.DUMMYFUNCTION("""COMPUTED_VALUE"""),44455.4326851851)</f>
        <v>44455.4326851851</v>
      </c>
      <c r="AJ104" s="7">
        <f ca="1">IFERROR(__xludf.DUMMYFUNCTION("""COMPUTED_VALUE"""),142)</f>
        <v>142</v>
      </c>
    </row>
    <row r="105" spans="1:36" ht="220.5" x14ac:dyDescent="0.2">
      <c r="A105" s="7">
        <f ca="1">IFERROR(__xludf.DUMMYFUNCTION("""COMPUTED_VALUE"""),146)</f>
        <v>146</v>
      </c>
      <c r="B105" s="7" t="str">
        <f ca="1">IFERROR(__xludf.DUMMYFUNCTION("""COMPUTED_VALUE"""),"FR-196")</f>
        <v>FR-196</v>
      </c>
      <c r="C105" s="9" t="str">
        <f ca="1">IFERROR(__xludf.DUMMYFUNCTION("""COMPUTED_VALUE"""),"Оказание услуг по PR-сопровождению деятельности органов исполнительной 
власти и подведомственных им организаций")</f>
        <v>Оказание услуг по PR-сопровождению деятельности органов исполнительной 
власти и подведомственных им организаций</v>
      </c>
      <c r="D105" s="7" t="str">
        <f ca="1">IFERROR(__xludf.DUMMYFUNCTION("""COMPUTED_VALUE"""),"План по стандартизации")</f>
        <v>План по стандартизации</v>
      </c>
      <c r="E105" s="7">
        <f ca="1">IFERROR(__xludf.DUMMYFUNCTION("""COMPUTED_VALUE"""),2021)</f>
        <v>2021</v>
      </c>
      <c r="F105" s="7">
        <f ca="1">IFERROR(__xludf.DUMMYFUNCTION("""COMPUTED_VALUE"""),3)</f>
        <v>3</v>
      </c>
      <c r="G105" s="7" t="str">
        <f ca="1">IFERROR(__xludf.DUMMYFUNCTION("""COMPUTED_VALUE"""),"ТТЗ")</f>
        <v>ТТЗ</v>
      </c>
      <c r="H105" s="7" t="str">
        <f ca="1">IFERROR(__xludf.DUMMYFUNCTION("""COMPUTED_VALUE"""),"Завершено")</f>
        <v>Завершено</v>
      </c>
      <c r="I105" s="7">
        <f ca="1">IFERROR(__xludf.DUMMYFUNCTION("""COMPUTED_VALUE"""),11)</f>
        <v>11</v>
      </c>
      <c r="J105" s="7">
        <f ca="1">IFERROR(__xludf.DUMMYFUNCTION("""COMPUTED_VALUE"""),3)</f>
        <v>3</v>
      </c>
      <c r="K105" s="7" t="str">
        <f ca="1">IFERROR(__xludf.DUMMYFUNCTION("""COMPUTED_VALUE"""),"Чурсина Мария Вячеславовна")</f>
        <v>Чурсина Мария Вячеславовна</v>
      </c>
      <c r="L105" s="7" t="str">
        <f ca="1">IFERROR(__xludf.DUMMYFUNCTION("""COMPUTED_VALUE"""),"Минин Александр Валерьевич")</f>
        <v>Минин Александр Валерьевич</v>
      </c>
      <c r="M105" s="7" t="str">
        <f ca="1">IFERROR(__xludf.DUMMYFUNCTION("""COMPUTED_VALUE"""),"Чурсина Мария Вячеславовна")</f>
        <v>Чурсина Мария Вячеславовна</v>
      </c>
      <c r="N105" s="7"/>
      <c r="O105" s="7"/>
      <c r="P105" s="7"/>
      <c r="Q105" s="7"/>
      <c r="R105" s="7" t="str">
        <f ca="1">IFERROR(__xludf.DUMMYFUNCTION("""COMPUTED_VALUE"""),"Нет")</f>
        <v>Нет</v>
      </c>
      <c r="S105" s="7" t="str">
        <f ca="1">IFERROR(__xludf.DUMMYFUNCTION("""COMPUTED_VALUE"""),"Электронный аукцион")</f>
        <v>Электронный аукцион</v>
      </c>
      <c r="T105" s="7" t="str">
        <f ca="1">IFERROR(__xludf.DUMMYFUNCTION("""COMPUTED_VALUE"""),"Полностью YouTrackная")</f>
        <v>Полностью YouTrackная</v>
      </c>
      <c r="U105" s="7" t="str">
        <f ca="1">IFERROR(__xludf.DUMMYFUNCTION("""COMPUTED_VALUE"""),"Оказание услуг по PR-сопровождению деятельности органов исполнительной 
власти и подведомственных им организаций")</f>
        <v>Оказание услуг по PR-сопровождению деятельности органов исполнительной 
власти и подведомственных им организаций</v>
      </c>
      <c r="V105" s="10">
        <f ca="1">IFERROR(__xludf.DUMMYFUNCTION("""COMPUTED_VALUE"""),44259.7769212962)</f>
        <v>44259.776921296201</v>
      </c>
      <c r="W105" s="7" t="str">
        <f ca="1">IFERROR(__xludf.DUMMYFUNCTION("""COMPUTED_VALUE"""),"83.88")</f>
        <v>83.88</v>
      </c>
      <c r="X105" s="16" t="str">
        <f ca="1">IFERROR(__xludf.DUMMYFUNCTION("""COMPUTED_VALUE"""),"48.03")</f>
        <v>48.03</v>
      </c>
      <c r="Y105" s="7" t="str">
        <f ca="1">IFERROR(__xludf.DUMMYFUNCTION("""COMPUTED_VALUE"""),"12.55")</f>
        <v>12.55</v>
      </c>
      <c r="Z105" s="7" t="str">
        <f ca="1">IFERROR(__xludf.DUMMYFUNCTION("""COMPUTED_VALUE"""),"19.95")</f>
        <v>19.95</v>
      </c>
      <c r="AA105" s="7" t="str">
        <f ca="1">IFERROR(__xludf.DUMMYFUNCTION("""COMPUTED_VALUE"""),"0.32")</f>
        <v>0.32</v>
      </c>
      <c r="AB105" s="7" t="str">
        <f ca="1">IFERROR(__xludf.DUMMYFUNCTION("""COMPUTED_VALUE"""),"63.85")</f>
        <v>63.85</v>
      </c>
      <c r="AC105" s="7" t="str">
        <f ca="1">IFERROR(__xludf.DUMMYFUNCTION("""COMPUTED_VALUE"""),"21.33")</f>
        <v>21.33</v>
      </c>
      <c r="AD105" s="7" t="str">
        <f ca="1">IFERROR(__xludf.DUMMYFUNCTION("""COMPUTED_VALUE"""),"1.97")</f>
        <v>1.97</v>
      </c>
      <c r="AE105" s="8">
        <f ca="1">IFERROR(__xludf.DUMMYFUNCTION("""COMPUTED_VALUE"""),44626)</f>
        <v>44626</v>
      </c>
      <c r="AF105" s="7" t="str">
        <f ca="1">IFERROR(__xludf.DUMMYFUNCTION("""COMPUTED_VALUE"""),"0.89")</f>
        <v>0.89</v>
      </c>
      <c r="AG105" s="7" t="str">
        <f ca="1">IFERROR(__xludf.DUMMYFUNCTION("""COMPUTED_VALUE"""),"1.88")</f>
        <v>1.88</v>
      </c>
      <c r="AH105" s="10">
        <f ca="1">IFERROR(__xludf.DUMMYFUNCTION("""COMPUTED_VALUE"""),44631.6564814814)</f>
        <v>44631.656481481397</v>
      </c>
      <c r="AI105" s="10">
        <f ca="1">IFERROR(__xludf.DUMMYFUNCTION("""COMPUTED_VALUE"""),44644.4539467592)</f>
        <v>44644.453946759197</v>
      </c>
      <c r="AJ105" s="7">
        <f ca="1">IFERROR(__xludf.DUMMYFUNCTION("""COMPUTED_VALUE"""),177)</f>
        <v>177</v>
      </c>
    </row>
    <row r="106" spans="1:36" ht="126" x14ac:dyDescent="0.2">
      <c r="A106" s="7">
        <f ca="1">IFERROR(__xludf.DUMMYFUNCTION("""COMPUTED_VALUE"""),147)</f>
        <v>147</v>
      </c>
      <c r="B106" s="7" t="str">
        <f ca="1">IFERROR(__xludf.DUMMYFUNCTION("""COMPUTED_VALUE"""),"FR-197")</f>
        <v>FR-197</v>
      </c>
      <c r="C106" s="9" t="str">
        <f ca="1">IFERROR(__xludf.DUMMYFUNCTION("""COMPUTED_VALUE"""),"Поставка запасных частей для автомобилей и спецтехники")</f>
        <v>Поставка запасных частей для автомобилей и спецтехники</v>
      </c>
      <c r="D106" s="7" t="str">
        <f ca="1">IFERROR(__xludf.DUMMYFUNCTION("""COMPUTED_VALUE"""),"План по стандартизации")</f>
        <v>План по стандартизации</v>
      </c>
      <c r="E106" s="7">
        <f ca="1">IFERROR(__xludf.DUMMYFUNCTION("""COMPUTED_VALUE"""),2021)</f>
        <v>2021</v>
      </c>
      <c r="F106" s="7">
        <f ca="1">IFERROR(__xludf.DUMMYFUNCTION("""COMPUTED_VALUE"""),4)</f>
        <v>4</v>
      </c>
      <c r="G106" s="7" t="str">
        <f ca="1">IFERROR(__xludf.DUMMYFUNCTION("""COMPUTED_VALUE"""),"СТЗ")</f>
        <v>СТЗ</v>
      </c>
      <c r="H106" s="7" t="str">
        <f ca="1">IFERROR(__xludf.DUMMYFUNCTION("""COMPUTED_VALUE"""),"Завершено")</f>
        <v>Завершено</v>
      </c>
      <c r="I106" s="7">
        <f ca="1">IFERROR(__xludf.DUMMYFUNCTION("""COMPUTED_VALUE"""),6)</f>
        <v>6</v>
      </c>
      <c r="J106" s="7">
        <f ca="1">IFERROR(__xludf.DUMMYFUNCTION("""COMPUTED_VALUE"""),2)</f>
        <v>2</v>
      </c>
      <c r="K106" s="7" t="str">
        <f ca="1">IFERROR(__xludf.DUMMYFUNCTION("""COMPUTED_VALUE"""),"Кузнецова Ирина Валентиновна / Дергунов Дмитрий Александрович")</f>
        <v>Кузнецова Ирина Валентиновна / Дергунов Дмитрий Александрович</v>
      </c>
      <c r="L106" s="7" t="str">
        <f ca="1">IFERROR(__xludf.DUMMYFUNCTION("""COMPUTED_VALUE"""),"Столянков Андрей Владиславович")</f>
        <v>Столянков Андрей Владиславович</v>
      </c>
      <c r="M106" s="7" t="str">
        <f ca="1">IFERROR(__xludf.DUMMYFUNCTION("""COMPUTED_VALUE"""),"Магамгазиев Расул Висхаджиевич")</f>
        <v>Магамгазиев Расул Висхаджиевич</v>
      </c>
      <c r="N106" s="7"/>
      <c r="O106" s="7"/>
      <c r="P106" s="7"/>
      <c r="Q106" s="7"/>
      <c r="R106" s="7"/>
      <c r="S106" s="7"/>
      <c r="T106" s="7" t="str">
        <f ca="1">IFERROR(__xludf.DUMMYFUNCTION("""COMPUTED_VALUE"""),"Полностью YouTrackная")</f>
        <v>Полностью YouTrackная</v>
      </c>
      <c r="U106" s="7" t="str">
        <f ca="1">IFERROR(__xludf.DUMMYFUNCTION("""COMPUTED_VALUE"""),"Поставка запасных частей для автомобилей и спецтехники")</f>
        <v>Поставка запасных частей для автомобилей и спецтехники</v>
      </c>
      <c r="V106" s="10">
        <f ca="1">IFERROR(__xludf.DUMMYFUNCTION("""COMPUTED_VALUE"""),44265.5585763888)</f>
        <v>44265.558576388801</v>
      </c>
      <c r="W106" s="7" t="str">
        <f ca="1">IFERROR(__xludf.DUMMYFUNCTION("""COMPUTED_VALUE"""),"172.87")</f>
        <v>172.87</v>
      </c>
      <c r="X106" s="16" t="str">
        <f ca="1">IFERROR(__xludf.DUMMYFUNCTION("""COMPUTED_VALUE"""),"8.16")</f>
        <v>8.16</v>
      </c>
      <c r="Y106" s="7" t="str">
        <f ca="1">IFERROR(__xludf.DUMMYFUNCTION("""COMPUTED_VALUE"""),"9.22")</f>
        <v>9.22</v>
      </c>
      <c r="Z106" s="7" t="str">
        <f ca="1">IFERROR(__xludf.DUMMYFUNCTION("""COMPUTED_VALUE"""),"2.95")</f>
        <v>2.95</v>
      </c>
      <c r="AA106" s="7" t="str">
        <f ca="1">IFERROR(__xludf.DUMMYFUNCTION("""COMPUTED_VALUE"""),"0.78")</f>
        <v>0.78</v>
      </c>
      <c r="AB106" s="7" t="str">
        <f ca="1">IFERROR(__xludf.DUMMYFUNCTION("""COMPUTED_VALUE"""),"35.74")</f>
        <v>35.74</v>
      </c>
      <c r="AC106" s="11">
        <f ca="1">IFERROR(__xludf.DUMMYFUNCTION("""COMPUTED_VALUE"""),44888)</f>
        <v>44888</v>
      </c>
      <c r="AD106" s="7" t="str">
        <f ca="1">IFERROR(__xludf.DUMMYFUNCTION("""COMPUTED_VALUE"""),"43.24")</f>
        <v>43.24</v>
      </c>
      <c r="AE106" s="7">
        <f ca="1">IFERROR(__xludf.DUMMYFUNCTION("""COMPUTED_VALUE"""),0)</f>
        <v>0</v>
      </c>
      <c r="AF106" s="7"/>
      <c r="AG106" s="8">
        <f ca="1">IFERROR(__xludf.DUMMYFUNCTION("""COMPUTED_VALUE"""),44655)</f>
        <v>44655</v>
      </c>
      <c r="AH106" s="10">
        <f ca="1">IFERROR(__xludf.DUMMYFUNCTION("""COMPUTED_VALUE"""),44704.6301851851)</f>
        <v>44704.630185185102</v>
      </c>
      <c r="AI106" s="10">
        <f ca="1">IFERROR(__xludf.DUMMYFUNCTION("""COMPUTED_VALUE"""),44708.675)</f>
        <v>44708.675000000003</v>
      </c>
      <c r="AJ106" s="7">
        <f ca="1">IFERROR(__xludf.DUMMYFUNCTION("""COMPUTED_VALUE"""),127)</f>
        <v>127</v>
      </c>
    </row>
    <row r="107" spans="1:36" ht="126" x14ac:dyDescent="0.2">
      <c r="A107" s="7">
        <f ca="1">IFERROR(__xludf.DUMMYFUNCTION("""COMPUTED_VALUE"""),148)</f>
        <v>148</v>
      </c>
      <c r="B107" s="7" t="str">
        <f ca="1">IFERROR(__xludf.DUMMYFUNCTION("""COMPUTED_VALUE"""),"FR-199")</f>
        <v>FR-199</v>
      </c>
      <c r="C107" s="9" t="str">
        <f ca="1">IFERROR(__xludf.DUMMYFUNCTION("""COMPUTED_VALUE"""),"Поставка запасных частей для воздушных судов")</f>
        <v>Поставка запасных частей для воздушных судов</v>
      </c>
      <c r="D107" s="7" t="str">
        <f ca="1">IFERROR(__xludf.DUMMYFUNCTION("""COMPUTED_VALUE"""),"План по стандартизации")</f>
        <v>План по стандартизации</v>
      </c>
      <c r="E107" s="7">
        <f ca="1">IFERROR(__xludf.DUMMYFUNCTION("""COMPUTED_VALUE"""),2021)</f>
        <v>2021</v>
      </c>
      <c r="F107" s="7">
        <f ca="1">IFERROR(__xludf.DUMMYFUNCTION("""COMPUTED_VALUE"""),4)</f>
        <v>4</v>
      </c>
      <c r="G107" s="7" t="str">
        <f ca="1">IFERROR(__xludf.DUMMYFUNCTION("""COMPUTED_VALUE"""),"СТЗ")</f>
        <v>СТЗ</v>
      </c>
      <c r="H107" s="7" t="str">
        <f ca="1">IFERROR(__xludf.DUMMYFUNCTION("""COMPUTED_VALUE"""),"Завершено")</f>
        <v>Завершено</v>
      </c>
      <c r="I107" s="7">
        <f ca="1">IFERROR(__xludf.DUMMYFUNCTION("""COMPUTED_VALUE"""),2)</f>
        <v>2</v>
      </c>
      <c r="J107" s="7">
        <f ca="1">IFERROR(__xludf.DUMMYFUNCTION("""COMPUTED_VALUE"""),1)</f>
        <v>1</v>
      </c>
      <c r="K107" s="7" t="str">
        <f ca="1">IFERROR(__xludf.DUMMYFUNCTION("""COMPUTED_VALUE"""),"Баранов Алексей Александрович / Дергунов Дмитрий Александрович")</f>
        <v>Баранов Алексей Александрович / Дергунов Дмитрий Александрович</v>
      </c>
      <c r="L107" s="7" t="str">
        <f ca="1">IFERROR(__xludf.DUMMYFUNCTION("""COMPUTED_VALUE"""),"Столянков Андрей Владиславович")</f>
        <v>Столянков Андрей Владиславович</v>
      </c>
      <c r="M107" s="7" t="str">
        <f ca="1">IFERROR(__xludf.DUMMYFUNCTION("""COMPUTED_VALUE"""),"Магамгазиев Расул Висхаджиевич")</f>
        <v>Магамгазиев Расул Висхаджиевич</v>
      </c>
      <c r="N107" s="7"/>
      <c r="O107" s="7"/>
      <c r="P107" s="7"/>
      <c r="Q107" s="7"/>
      <c r="R107" s="7"/>
      <c r="S107" s="7"/>
      <c r="T107" s="7" t="str">
        <f ca="1">IFERROR(__xludf.DUMMYFUNCTION("""COMPUTED_VALUE"""),"Полностью YouTrackная")</f>
        <v>Полностью YouTrackная</v>
      </c>
      <c r="U107" s="7" t="str">
        <f ca="1">IFERROR(__xludf.DUMMYFUNCTION("""COMPUTED_VALUE"""),"Поставка запасных частей для воздушных судов")</f>
        <v>Поставка запасных частей для воздушных судов</v>
      </c>
      <c r="V107" s="10">
        <f ca="1">IFERROR(__xludf.DUMMYFUNCTION("""COMPUTED_VALUE"""),44265.5675694444)</f>
        <v>44265.5675694444</v>
      </c>
      <c r="W107" s="7" t="str">
        <f ca="1">IFERROR(__xludf.DUMMYFUNCTION("""COMPUTED_VALUE"""),"172.86")</f>
        <v>172.86</v>
      </c>
      <c r="X107" s="16" t="str">
        <f ca="1">IFERROR(__xludf.DUMMYFUNCTION("""COMPUTED_VALUE"""),"5.26")</f>
        <v>5.26</v>
      </c>
      <c r="Y107" s="7" t="str">
        <f ca="1">IFERROR(__xludf.DUMMYFUNCTION("""COMPUTED_VALUE"""),"1.96")</f>
        <v>1.96</v>
      </c>
      <c r="Z107" s="7" t="str">
        <f ca="1">IFERROR(__xludf.DUMMYFUNCTION("""COMPUTED_VALUE"""),"2.61")</f>
        <v>2.61</v>
      </c>
      <c r="AA107" s="7" t="str">
        <f ca="1">IFERROR(__xludf.DUMMYFUNCTION("""COMPUTED_VALUE"""),"0.06")</f>
        <v>0.06</v>
      </c>
      <c r="AB107" s="7" t="str">
        <f ca="1">IFERROR(__xludf.DUMMYFUNCTION("""COMPUTED_VALUE"""),"36.28")</f>
        <v>36.28</v>
      </c>
      <c r="AC107" s="11">
        <f ca="1">IFERROR(__xludf.DUMMYFUNCTION("""COMPUTED_VALUE"""),44817)</f>
        <v>44817</v>
      </c>
      <c r="AD107" s="7" t="str">
        <f ca="1">IFERROR(__xludf.DUMMYFUNCTION("""COMPUTED_VALUE"""),"16.15")</f>
        <v>16.15</v>
      </c>
      <c r="AE107" s="8">
        <f ca="1">IFERROR(__xludf.DUMMYFUNCTION("""COMPUTED_VALUE"""),44626)</f>
        <v>44626</v>
      </c>
      <c r="AF107" s="7"/>
      <c r="AG107" s="7" t="str">
        <f ca="1">IFERROR(__xludf.DUMMYFUNCTION("""COMPUTED_VALUE"""),"0.79")</f>
        <v>0.79</v>
      </c>
      <c r="AH107" s="10">
        <f ca="1">IFERROR(__xludf.DUMMYFUNCTION("""COMPUTED_VALUE"""),44631.6565625)</f>
        <v>44631.6565625</v>
      </c>
      <c r="AI107" s="10">
        <f ca="1">IFERROR(__xludf.DUMMYFUNCTION("""COMPUTED_VALUE"""),44642.4822916666)</f>
        <v>44642.482291666602</v>
      </c>
      <c r="AJ107" s="7">
        <f ca="1">IFERROR(__xludf.DUMMYFUNCTION("""COMPUTED_VALUE"""),83)</f>
        <v>83</v>
      </c>
    </row>
    <row r="108" spans="1:36" ht="110.25" x14ac:dyDescent="0.2">
      <c r="A108" s="7">
        <f ca="1">IFERROR(__xludf.DUMMYFUNCTION("""COMPUTED_VALUE"""),149)</f>
        <v>149</v>
      </c>
      <c r="B108" s="7" t="str">
        <f ca="1">IFERROR(__xludf.DUMMYFUNCTION("""COMPUTED_VALUE"""),"FR-200")</f>
        <v>FR-200</v>
      </c>
      <c r="C108" s="9" t="str">
        <f ca="1">IFERROR(__xludf.DUMMYFUNCTION("""COMPUTED_VALUE"""),"Поставка строительных инструментов")</f>
        <v>Поставка строительных инструментов</v>
      </c>
      <c r="D108" s="7" t="str">
        <f ca="1">IFERROR(__xludf.DUMMYFUNCTION("""COMPUTED_VALUE"""),"План по стандартизации")</f>
        <v>План по стандартизации</v>
      </c>
      <c r="E108" s="7">
        <f ca="1">IFERROR(__xludf.DUMMYFUNCTION("""COMPUTED_VALUE"""),2021)</f>
        <v>2021</v>
      </c>
      <c r="F108" s="7">
        <f ca="1">IFERROR(__xludf.DUMMYFUNCTION("""COMPUTED_VALUE"""),3)</f>
        <v>3</v>
      </c>
      <c r="G108" s="7" t="str">
        <f ca="1">IFERROR(__xludf.DUMMYFUNCTION("""COMPUTED_VALUE"""),"СТЗ")</f>
        <v>СТЗ</v>
      </c>
      <c r="H108" s="7" t="str">
        <f ca="1">IFERROR(__xludf.DUMMYFUNCTION("""COMPUTED_VALUE"""),"Завершено")</f>
        <v>Завершено</v>
      </c>
      <c r="I108" s="7">
        <f ca="1">IFERROR(__xludf.DUMMYFUNCTION("""COMPUTED_VALUE"""),6)</f>
        <v>6</v>
      </c>
      <c r="J108" s="7">
        <f ca="1">IFERROR(__xludf.DUMMYFUNCTION("""COMPUTED_VALUE"""),2)</f>
        <v>2</v>
      </c>
      <c r="K108" s="7" t="str">
        <f ca="1">IFERROR(__xludf.DUMMYFUNCTION("""COMPUTED_VALUE"""),"Кольчинская Татьяна Вячеславовна / Плющева Наталия Михайловна")</f>
        <v>Кольчинская Татьяна Вячеславовна / Плющева Наталия Михайловна</v>
      </c>
      <c r="L108" s="7" t="str">
        <f ca="1">IFERROR(__xludf.DUMMYFUNCTION("""COMPUTED_VALUE"""),"Столянков Андрей Владиславович")</f>
        <v>Столянков Андрей Владиславович</v>
      </c>
      <c r="M108" s="7" t="str">
        <f ca="1">IFERROR(__xludf.DUMMYFUNCTION("""COMPUTED_VALUE"""),"Магамгазиев Расул Висхаджиевич")</f>
        <v>Магамгазиев Расул Висхаджиевич</v>
      </c>
      <c r="N108" s="7"/>
      <c r="O108" s="7"/>
      <c r="P108" s="7"/>
      <c r="Q108" s="7"/>
      <c r="R108" s="7"/>
      <c r="S108" s="7"/>
      <c r="T108" s="7" t="str">
        <f ca="1">IFERROR(__xludf.DUMMYFUNCTION("""COMPUTED_VALUE"""),"Полностью YouTrackная")</f>
        <v>Полностью YouTrackная</v>
      </c>
      <c r="U108" s="7" t="str">
        <f ca="1">IFERROR(__xludf.DUMMYFUNCTION("""COMPUTED_VALUE"""),"Поставка строительных инструментов")</f>
        <v>Поставка строительных инструментов</v>
      </c>
      <c r="V108" s="10">
        <f ca="1">IFERROR(__xludf.DUMMYFUNCTION("""COMPUTED_VALUE"""),44265.5688310185)</f>
        <v>44265.5688310185</v>
      </c>
      <c r="W108" s="7" t="str">
        <f ca="1">IFERROR(__xludf.DUMMYFUNCTION("""COMPUTED_VALUE"""),"114.87")</f>
        <v>114.87</v>
      </c>
      <c r="X108" s="17">
        <f ca="1">IFERROR(__xludf.DUMMYFUNCTION("""COMPUTED_VALUE"""),44634)</f>
        <v>44634</v>
      </c>
      <c r="Y108" s="7" t="str">
        <f ca="1">IFERROR(__xludf.DUMMYFUNCTION("""COMPUTED_VALUE"""),"12.86")</f>
        <v>12.86</v>
      </c>
      <c r="Z108" s="7" t="str">
        <f ca="1">IFERROR(__xludf.DUMMYFUNCTION("""COMPUTED_VALUE"""),"19.55")</f>
        <v>19.55</v>
      </c>
      <c r="AA108" s="7" t="str">
        <f ca="1">IFERROR(__xludf.DUMMYFUNCTION("""COMPUTED_VALUE"""),"3.95")</f>
        <v>3.95</v>
      </c>
      <c r="AB108" s="7" t="str">
        <f ca="1">IFERROR(__xludf.DUMMYFUNCTION("""COMPUTED_VALUE"""),"39.78")</f>
        <v>39.78</v>
      </c>
      <c r="AC108" s="7" t="str">
        <f ca="1">IFERROR(__xludf.DUMMYFUNCTION("""COMPUTED_VALUE"""),"14.81")</f>
        <v>14.81</v>
      </c>
      <c r="AD108" s="7" t="str">
        <f ca="1">IFERROR(__xludf.DUMMYFUNCTION("""COMPUTED_VALUE"""),"29.24")</f>
        <v>29.24</v>
      </c>
      <c r="AE108" s="8">
        <f ca="1">IFERROR(__xludf.DUMMYFUNCTION("""COMPUTED_VALUE"""),44626)</f>
        <v>44626</v>
      </c>
      <c r="AF108" s="7"/>
      <c r="AG108" s="7" t="str">
        <f ca="1">IFERROR(__xludf.DUMMYFUNCTION("""COMPUTED_VALUE"""),"30.91")</f>
        <v>30.91</v>
      </c>
      <c r="AH108" s="10">
        <f ca="1">IFERROR(__xludf.DUMMYFUNCTION("""COMPUTED_VALUE"""),44631.6566435185)</f>
        <v>44631.656643518501</v>
      </c>
      <c r="AI108" s="10">
        <f ca="1">IFERROR(__xludf.DUMMYFUNCTION("""COMPUTED_VALUE"""),44686.5952430555)</f>
        <v>44686.595243055497</v>
      </c>
      <c r="AJ108" s="7">
        <f ca="1">IFERROR(__xludf.DUMMYFUNCTION("""COMPUTED_VALUE"""),171)</f>
        <v>171</v>
      </c>
    </row>
    <row r="109" spans="1:36" ht="126" x14ac:dyDescent="0.2">
      <c r="A109" s="7">
        <f ca="1">IFERROR(__xludf.DUMMYFUNCTION("""COMPUTED_VALUE"""),150)</f>
        <v>150</v>
      </c>
      <c r="B109" s="7" t="str">
        <f ca="1">IFERROR(__xludf.DUMMYFUNCTION("""COMPUTED_VALUE"""),"FR-202")</f>
        <v>FR-202</v>
      </c>
      <c r="C109" s="9" t="str">
        <f ca="1">IFERROR(__xludf.DUMMYFUNCTION("""COMPUTED_VALUE"""),"Поставка запасных частей для ремонта автобусов")</f>
        <v>Поставка запасных частей для ремонта автобусов</v>
      </c>
      <c r="D109" s="7" t="str">
        <f ca="1">IFERROR(__xludf.DUMMYFUNCTION("""COMPUTED_VALUE"""),"План по стандартизации")</f>
        <v>План по стандартизации</v>
      </c>
      <c r="E109" s="7">
        <f ca="1">IFERROR(__xludf.DUMMYFUNCTION("""COMPUTED_VALUE"""),2021)</f>
        <v>2021</v>
      </c>
      <c r="F109" s="7">
        <f ca="1">IFERROR(__xludf.DUMMYFUNCTION("""COMPUTED_VALUE"""),4)</f>
        <v>4</v>
      </c>
      <c r="G109" s="7" t="str">
        <f ca="1">IFERROR(__xludf.DUMMYFUNCTION("""COMPUTED_VALUE"""),"СТЗ")</f>
        <v>СТЗ</v>
      </c>
      <c r="H109" s="7" t="str">
        <f ca="1">IFERROR(__xludf.DUMMYFUNCTION("""COMPUTED_VALUE"""),"Завершено")</f>
        <v>Завершено</v>
      </c>
      <c r="I109" s="7">
        <f ca="1">IFERROR(__xludf.DUMMYFUNCTION("""COMPUTED_VALUE"""),2)</f>
        <v>2</v>
      </c>
      <c r="J109" s="7">
        <f ca="1">IFERROR(__xludf.DUMMYFUNCTION("""COMPUTED_VALUE"""),1)</f>
        <v>1</v>
      </c>
      <c r="K109" s="7" t="str">
        <f ca="1">IFERROR(__xludf.DUMMYFUNCTION("""COMPUTED_VALUE"""),"Кузнецова Ирина Валентиновна / Дергунов Дмитрий Александрович")</f>
        <v>Кузнецова Ирина Валентиновна / Дергунов Дмитрий Александрович</v>
      </c>
      <c r="L109" s="7" t="str">
        <f ca="1">IFERROR(__xludf.DUMMYFUNCTION("""COMPUTED_VALUE"""),"Столянков Андрей Владиславович")</f>
        <v>Столянков Андрей Владиславович</v>
      </c>
      <c r="M109" s="7" t="str">
        <f ca="1">IFERROR(__xludf.DUMMYFUNCTION("""COMPUTED_VALUE"""),"Магамгазиев Расул Висхаджиевич")</f>
        <v>Магамгазиев Расул Висхаджиевич</v>
      </c>
      <c r="N109" s="7"/>
      <c r="O109" s="7"/>
      <c r="P109" s="7"/>
      <c r="Q109" s="7"/>
      <c r="R109" s="7"/>
      <c r="S109" s="7"/>
      <c r="T109" s="7" t="str">
        <f ca="1">IFERROR(__xludf.DUMMYFUNCTION("""COMPUTED_VALUE"""),"Полностью YouTrackная")</f>
        <v>Полностью YouTrackная</v>
      </c>
      <c r="U109" s="7" t="str">
        <f ca="1">IFERROR(__xludf.DUMMYFUNCTION("""COMPUTED_VALUE"""),"Поставка запасных частей для ремонта автобусов")</f>
        <v>Поставка запасных частей для ремонта автобусов</v>
      </c>
      <c r="V109" s="10">
        <f ca="1">IFERROR(__xludf.DUMMYFUNCTION("""COMPUTED_VALUE"""),44265.5711342592)</f>
        <v>44265.571134259197</v>
      </c>
      <c r="W109" s="7" t="str">
        <f ca="1">IFERROR(__xludf.DUMMYFUNCTION("""COMPUTED_VALUE"""),"172.86")</f>
        <v>172.86</v>
      </c>
      <c r="X109" s="16" t="str">
        <f ca="1">IFERROR(__xludf.DUMMYFUNCTION("""COMPUTED_VALUE"""),"8.15")</f>
        <v>8.15</v>
      </c>
      <c r="Y109" s="7" t="str">
        <f ca="1">IFERROR(__xludf.DUMMYFUNCTION("""COMPUTED_VALUE"""),"7.97")</f>
        <v>7.97</v>
      </c>
      <c r="Z109" s="11">
        <f ca="1">IFERROR(__xludf.DUMMYFUNCTION("""COMPUTED_VALUE"""),44743)</f>
        <v>44743</v>
      </c>
      <c r="AA109" s="7" t="str">
        <f ca="1">IFERROR(__xludf.DUMMYFUNCTION("""COMPUTED_VALUE"""),"0.05")</f>
        <v>0.05</v>
      </c>
      <c r="AB109" s="7" t="str">
        <f ca="1">IFERROR(__xludf.DUMMYFUNCTION("""COMPUTED_VALUE"""),"47.9")</f>
        <v>47.9</v>
      </c>
      <c r="AC109" s="11">
        <f ca="1">IFERROR(__xludf.DUMMYFUNCTION("""COMPUTED_VALUE"""),44735)</f>
        <v>44735</v>
      </c>
      <c r="AD109" s="7" t="str">
        <f ca="1">IFERROR(__xludf.DUMMYFUNCTION("""COMPUTED_VALUE"""),"33.83")</f>
        <v>33.83</v>
      </c>
      <c r="AE109" s="7">
        <f ca="1">IFERROR(__xludf.DUMMYFUNCTION("""COMPUTED_VALUE"""),0)</f>
        <v>0</v>
      </c>
      <c r="AF109" s="7"/>
      <c r="AG109" s="8">
        <f ca="1">IFERROR(__xludf.DUMMYFUNCTION("""COMPUTED_VALUE"""),44655)</f>
        <v>44655</v>
      </c>
      <c r="AH109" s="10">
        <f ca="1">IFERROR(__xludf.DUMMYFUNCTION("""COMPUTED_VALUE"""),44704.6307407407)</f>
        <v>44704.6307407407</v>
      </c>
      <c r="AI109" s="10">
        <f ca="1">IFERROR(__xludf.DUMMYFUNCTION("""COMPUTED_VALUE"""),44708.6750578703)</f>
        <v>44708.675057870299</v>
      </c>
      <c r="AJ109" s="7">
        <f ca="1">IFERROR(__xludf.DUMMYFUNCTION("""COMPUTED_VALUE"""),127)</f>
        <v>127</v>
      </c>
    </row>
    <row r="110" spans="1:36" ht="94.5" x14ac:dyDescent="0.2">
      <c r="A110" s="7">
        <f ca="1">IFERROR(__xludf.DUMMYFUNCTION("""COMPUTED_VALUE"""),151)</f>
        <v>151</v>
      </c>
      <c r="B110" s="7" t="str">
        <f ca="1">IFERROR(__xludf.DUMMYFUNCTION("""COMPUTED_VALUE"""),"FR-203")</f>
        <v>FR-203</v>
      </c>
      <c r="C110" s="9" t="str">
        <f ca="1">IFERROR(__xludf.DUMMYFUNCTION("""COMPUTED_VALUE"""),"Поставка санитарно-технического оборудования")</f>
        <v>Поставка санитарно-технического оборудования</v>
      </c>
      <c r="D110" s="7" t="str">
        <f ca="1">IFERROR(__xludf.DUMMYFUNCTION("""COMPUTED_VALUE"""),"План по стандартизации")</f>
        <v>План по стандартизации</v>
      </c>
      <c r="E110" s="7">
        <f ca="1">IFERROR(__xludf.DUMMYFUNCTION("""COMPUTED_VALUE"""),2021)</f>
        <v>2021</v>
      </c>
      <c r="F110" s="7">
        <f ca="1">IFERROR(__xludf.DUMMYFUNCTION("""COMPUTED_VALUE"""),3)</f>
        <v>3</v>
      </c>
      <c r="G110" s="7" t="str">
        <f ca="1">IFERROR(__xludf.DUMMYFUNCTION("""COMPUTED_VALUE"""),"СТЗ")</f>
        <v>СТЗ</v>
      </c>
      <c r="H110" s="7" t="str">
        <f ca="1">IFERROR(__xludf.DUMMYFUNCTION("""COMPUTED_VALUE"""),"Завершено")</f>
        <v>Завершено</v>
      </c>
      <c r="I110" s="7">
        <f ca="1">IFERROR(__xludf.DUMMYFUNCTION("""COMPUTED_VALUE"""),3)</f>
        <v>3</v>
      </c>
      <c r="J110" s="7">
        <f ca="1">IFERROR(__xludf.DUMMYFUNCTION("""COMPUTED_VALUE"""),2)</f>
        <v>2</v>
      </c>
      <c r="K110" s="7" t="str">
        <f ca="1">IFERROR(__xludf.DUMMYFUNCTION("""COMPUTED_VALUE"""),"Кузнецова Ирина Валентиновна")</f>
        <v>Кузнецова Ирина Валентиновна</v>
      </c>
      <c r="L110" s="7" t="str">
        <f ca="1">IFERROR(__xludf.DUMMYFUNCTION("""COMPUTED_VALUE"""),"Столянков Андрей Владиславович")</f>
        <v>Столянков Андрей Владиславович</v>
      </c>
      <c r="M110" s="7" t="str">
        <f ca="1">IFERROR(__xludf.DUMMYFUNCTION("""COMPUTED_VALUE"""),"Магамгазиев Расул Висхаджиевич")</f>
        <v>Магамгазиев Расул Висхаджиевич</v>
      </c>
      <c r="N110" s="7"/>
      <c r="O110" s="7"/>
      <c r="P110" s="7"/>
      <c r="Q110" s="7"/>
      <c r="R110" s="7"/>
      <c r="S110" s="7"/>
      <c r="T110" s="7" t="str">
        <f ca="1">IFERROR(__xludf.DUMMYFUNCTION("""COMPUTED_VALUE"""),"Полностью YouTrackная")</f>
        <v>Полностью YouTrackная</v>
      </c>
      <c r="U110" s="7" t="str">
        <f ca="1">IFERROR(__xludf.DUMMYFUNCTION("""COMPUTED_VALUE"""),"Поставка санитарно-технического оборудования")</f>
        <v>Поставка санитарно-технического оборудования</v>
      </c>
      <c r="V110" s="10">
        <f ca="1">IFERROR(__xludf.DUMMYFUNCTION("""COMPUTED_VALUE"""),44265.5723958333)</f>
        <v>44265.572395833296</v>
      </c>
      <c r="W110" s="7" t="str">
        <f ca="1">IFERROR(__xludf.DUMMYFUNCTION("""COMPUTED_VALUE"""),"114.86")</f>
        <v>114.86</v>
      </c>
      <c r="X110" s="16" t="str">
        <f ca="1">IFERROR(__xludf.DUMMYFUNCTION("""COMPUTED_VALUE"""),"13.22")</f>
        <v>13.22</v>
      </c>
      <c r="Y110" s="7" t="str">
        <f ca="1">IFERROR(__xludf.DUMMYFUNCTION("""COMPUTED_VALUE"""),"10.24")</f>
        <v>10.24</v>
      </c>
      <c r="Z110" s="8">
        <f ca="1">IFERROR(__xludf.DUMMYFUNCTION("""COMPUTED_VALUE"""),44595)</f>
        <v>44595</v>
      </c>
      <c r="AA110" s="7" t="str">
        <f ca="1">IFERROR(__xludf.DUMMYFUNCTION("""COMPUTED_VALUE"""),"1.36")</f>
        <v>1.36</v>
      </c>
      <c r="AB110" s="7" t="str">
        <f ca="1">IFERROR(__xludf.DUMMYFUNCTION("""COMPUTED_VALUE"""),"23.93")</f>
        <v>23.93</v>
      </c>
      <c r="AC110" s="7" t="str">
        <f ca="1">IFERROR(__xludf.DUMMYFUNCTION("""COMPUTED_VALUE"""),"20.23")</f>
        <v>20.23</v>
      </c>
      <c r="AD110" s="8">
        <f ca="1">IFERROR(__xludf.DUMMYFUNCTION("""COMPUTED_VALUE"""),44662)</f>
        <v>44662</v>
      </c>
      <c r="AE110" s="7" t="str">
        <f ca="1">IFERROR(__xludf.DUMMYFUNCTION("""COMPUTED_VALUE"""),"5.92")</f>
        <v>5.92</v>
      </c>
      <c r="AF110" s="7"/>
      <c r="AG110" s="7" t="str">
        <f ca="1">IFERROR(__xludf.DUMMYFUNCTION("""COMPUTED_VALUE"""),"1.29")</f>
        <v>1.29</v>
      </c>
      <c r="AH110" s="10">
        <f ca="1">IFERROR(__xludf.DUMMYFUNCTION("""COMPUTED_VALUE"""),44550.4688078703)</f>
        <v>44550.468807870297</v>
      </c>
      <c r="AI110" s="10">
        <f ca="1">IFERROR(__xludf.DUMMYFUNCTION("""COMPUTED_VALUE"""),44559.6782986111)</f>
        <v>44559.678298611099</v>
      </c>
      <c r="AJ110" s="7">
        <f ca="1">IFERROR(__xludf.DUMMYFUNCTION("""COMPUTED_VALUE"""),90)</f>
        <v>90</v>
      </c>
    </row>
    <row r="111" spans="1:36" ht="78.75" x14ac:dyDescent="0.2">
      <c r="A111" s="7">
        <f ca="1">IFERROR(__xludf.DUMMYFUNCTION("""COMPUTED_VALUE"""),152)</f>
        <v>152</v>
      </c>
      <c r="B111" s="7" t="str">
        <f ca="1">IFERROR(__xludf.DUMMYFUNCTION("""COMPUTED_VALUE"""),"FR-204")</f>
        <v>FR-204</v>
      </c>
      <c r="C111" s="9" t="str">
        <f ca="1">IFERROR(__xludf.DUMMYFUNCTION("""COMPUTED_VALUE"""),"Поставка сценического оборудования")</f>
        <v>Поставка сценического оборудования</v>
      </c>
      <c r="D111" s="7" t="str">
        <f ca="1">IFERROR(__xludf.DUMMYFUNCTION("""COMPUTED_VALUE"""),"План по стандартизации")</f>
        <v>План по стандартизации</v>
      </c>
      <c r="E111" s="7">
        <f ca="1">IFERROR(__xludf.DUMMYFUNCTION("""COMPUTED_VALUE"""),2021)</f>
        <v>2021</v>
      </c>
      <c r="F111" s="7">
        <f ca="1">IFERROR(__xludf.DUMMYFUNCTION("""COMPUTED_VALUE"""),2)</f>
        <v>2</v>
      </c>
      <c r="G111" s="7" t="str">
        <f ca="1">IFERROR(__xludf.DUMMYFUNCTION("""COMPUTED_VALUE"""),"СТЗ")</f>
        <v>СТЗ</v>
      </c>
      <c r="H111" s="7" t="str">
        <f ca="1">IFERROR(__xludf.DUMMYFUNCTION("""COMPUTED_VALUE"""),"Завершено")</f>
        <v>Завершено</v>
      </c>
      <c r="I111" s="7">
        <f ca="1">IFERROR(__xludf.DUMMYFUNCTION("""COMPUTED_VALUE"""),6)</f>
        <v>6</v>
      </c>
      <c r="J111" s="7">
        <f ca="1">IFERROR(__xludf.DUMMYFUNCTION("""COMPUTED_VALUE"""),3)</f>
        <v>3</v>
      </c>
      <c r="K111" s="7" t="str">
        <f ca="1">IFERROR(__xludf.DUMMYFUNCTION("""COMPUTED_VALUE"""),"Кольчинская Татьяна Вячеславовна")</f>
        <v>Кольчинская Татьяна Вячеславовна</v>
      </c>
      <c r="L111" s="7" t="str">
        <f ca="1">IFERROR(__xludf.DUMMYFUNCTION("""COMPUTED_VALUE"""),"Столянков Андрей Владиславович")</f>
        <v>Столянков Андрей Владиславович</v>
      </c>
      <c r="M111" s="7" t="str">
        <f ca="1">IFERROR(__xludf.DUMMYFUNCTION("""COMPUTED_VALUE"""),"Магамгазиев Расул Висхаджиевич")</f>
        <v>Магамгазиев Расул Висхаджиевич</v>
      </c>
      <c r="N111" s="7"/>
      <c r="O111" s="7"/>
      <c r="P111" s="7"/>
      <c r="Q111" s="7"/>
      <c r="R111" s="7"/>
      <c r="S111" s="7"/>
      <c r="T111" s="7" t="str">
        <f ca="1">IFERROR(__xludf.DUMMYFUNCTION("""COMPUTED_VALUE"""),"Полностью YouTrackная")</f>
        <v>Полностью YouTrackная</v>
      </c>
      <c r="U111" s="7" t="str">
        <f ca="1">IFERROR(__xludf.DUMMYFUNCTION("""COMPUTED_VALUE"""),"Поставка сценического оборудования")</f>
        <v>Поставка сценического оборудования</v>
      </c>
      <c r="V111" s="10">
        <f ca="1">IFERROR(__xludf.DUMMYFUNCTION("""COMPUTED_VALUE"""),44265.5733912037)</f>
        <v>44265.573391203703</v>
      </c>
      <c r="W111" s="7" t="str">
        <f ca="1">IFERROR(__xludf.DUMMYFUNCTION("""COMPUTED_VALUE"""),"47.11")</f>
        <v>47.11</v>
      </c>
      <c r="X111" s="17">
        <f ca="1">IFERROR(__xludf.DUMMYFUNCTION("""COMPUTED_VALUE"""),44578)</f>
        <v>44578</v>
      </c>
      <c r="Y111" s="7" t="str">
        <f ca="1">IFERROR(__xludf.DUMMYFUNCTION("""COMPUTED_VALUE"""),"16.69")</f>
        <v>16.69</v>
      </c>
      <c r="Z111" s="7" t="str">
        <f ca="1">IFERROR(__xludf.DUMMYFUNCTION("""COMPUTED_VALUE"""),"6.49")</f>
        <v>6.49</v>
      </c>
      <c r="AA111" s="7" t="str">
        <f ca="1">IFERROR(__xludf.DUMMYFUNCTION("""COMPUTED_VALUE"""),"3.87")</f>
        <v>3.87</v>
      </c>
      <c r="AB111" s="7" t="str">
        <f ca="1">IFERROR(__xludf.DUMMYFUNCTION("""COMPUTED_VALUE"""),"13.24")</f>
        <v>13.24</v>
      </c>
      <c r="AC111" s="7" t="str">
        <f ca="1">IFERROR(__xludf.DUMMYFUNCTION("""COMPUTED_VALUE"""),"14.36")</f>
        <v>14.36</v>
      </c>
      <c r="AD111" s="7" t="str">
        <f ca="1">IFERROR(__xludf.DUMMYFUNCTION("""COMPUTED_VALUE"""),"19.39")</f>
        <v>19.39</v>
      </c>
      <c r="AE111" s="7" t="str">
        <f ca="1">IFERROR(__xludf.DUMMYFUNCTION("""COMPUTED_VALUE"""),"9.73")</f>
        <v>9.73</v>
      </c>
      <c r="AF111" s="7"/>
      <c r="AG111" s="8">
        <f ca="1">IFERROR(__xludf.DUMMYFUNCTION("""COMPUTED_VALUE"""),44629)</f>
        <v>44629</v>
      </c>
      <c r="AH111" s="10">
        <f ca="1">IFERROR(__xludf.DUMMYFUNCTION("""COMPUTED_VALUE"""),44462.7284375)</f>
        <v>44462.728437500002</v>
      </c>
      <c r="AI111" s="10">
        <f ca="1">IFERROR(__xludf.DUMMYFUNCTION("""COMPUTED_VALUE"""),44489.4892013888)</f>
        <v>44489.489201388802</v>
      </c>
      <c r="AJ111" s="7">
        <f ca="1">IFERROR(__xludf.DUMMYFUNCTION("""COMPUTED_VALUE"""),110)</f>
        <v>110</v>
      </c>
    </row>
    <row r="112" spans="1:36" ht="141.75" x14ac:dyDescent="0.2">
      <c r="A112" s="7">
        <f ca="1">IFERROR(__xludf.DUMMYFUNCTION("""COMPUTED_VALUE"""),153)</f>
        <v>153</v>
      </c>
      <c r="B112" s="7" t="str">
        <f ca="1">IFERROR(__xludf.DUMMYFUNCTION("""COMPUTED_VALUE"""),"FR-205")</f>
        <v>FR-205</v>
      </c>
      <c r="C112" s="9" t="str">
        <f ca="1">IFERROR(__xludf.DUMMYFUNCTION("""COMPUTED_VALUE"""),"Поставка экипировки, оборудования и инвентаря для летних видов спорта")</f>
        <v>Поставка экипировки, оборудования и инвентаря для летних видов спорта</v>
      </c>
      <c r="D112" s="7" t="str">
        <f ca="1">IFERROR(__xludf.DUMMYFUNCTION("""COMPUTED_VALUE"""),"План по стандартизации")</f>
        <v>План по стандартизации</v>
      </c>
      <c r="E112" s="7">
        <f ca="1">IFERROR(__xludf.DUMMYFUNCTION("""COMPUTED_VALUE"""),2021)</f>
        <v>2021</v>
      </c>
      <c r="F112" s="7">
        <f ca="1">IFERROR(__xludf.DUMMYFUNCTION("""COMPUTED_VALUE"""),4)</f>
        <v>4</v>
      </c>
      <c r="G112" s="7" t="str">
        <f ca="1">IFERROR(__xludf.DUMMYFUNCTION("""COMPUTED_VALUE"""),"СТЗ")</f>
        <v>СТЗ</v>
      </c>
      <c r="H112" s="7" t="str">
        <f ca="1">IFERROR(__xludf.DUMMYFUNCTION("""COMPUTED_VALUE"""),"Загрузка в ЕАИСТ")</f>
        <v>Загрузка в ЕАИСТ</v>
      </c>
      <c r="I112" s="7">
        <f ca="1">IFERROR(__xludf.DUMMYFUNCTION("""COMPUTED_VALUE"""),8)</f>
        <v>8</v>
      </c>
      <c r="J112" s="7">
        <f ca="1">IFERROR(__xludf.DUMMYFUNCTION("""COMPUTED_VALUE"""),2)</f>
        <v>2</v>
      </c>
      <c r="K112" s="7" t="str">
        <f ca="1">IFERROR(__xludf.DUMMYFUNCTION("""COMPUTED_VALUE"""),"Плющева Наталия Михайловна")</f>
        <v>Плющева Наталия Михайловна</v>
      </c>
      <c r="L112" s="7" t="str">
        <f ca="1">IFERROR(__xludf.DUMMYFUNCTION("""COMPUTED_VALUE"""),"Столянков Андрей Владиславович")</f>
        <v>Столянков Андрей Владиславович</v>
      </c>
      <c r="M112" s="7" t="str">
        <f ca="1">IFERROR(__xludf.DUMMYFUNCTION("""COMPUTED_VALUE"""),"Магамгазиев Расул Висхаджиевич")</f>
        <v>Магамгазиев Расул Висхаджиевич</v>
      </c>
      <c r="N112" s="7"/>
      <c r="O112" s="7"/>
      <c r="P112" s="7"/>
      <c r="Q112" s="7"/>
      <c r="R112" s="7"/>
      <c r="S112" s="7"/>
      <c r="T112" s="7" t="str">
        <f ca="1">IFERROR(__xludf.DUMMYFUNCTION("""COMPUTED_VALUE"""),"Полностью YouTrackная")</f>
        <v>Полностью YouTrackная</v>
      </c>
      <c r="U112" s="7" t="str">
        <f ca="1">IFERROR(__xludf.DUMMYFUNCTION("""COMPUTED_VALUE"""),"Поставка экипировки, оборудования и инвентаря для летних видов спорта")</f>
        <v>Поставка экипировки, оборудования и инвентаря для летних видов спорта</v>
      </c>
      <c r="V112" s="10">
        <f ca="1">IFERROR(__xludf.DUMMYFUNCTION("""COMPUTED_VALUE"""),44265.574699074)</f>
        <v>44265.574699074001</v>
      </c>
      <c r="W112" s="7" t="str">
        <f ca="1">IFERROR(__xludf.DUMMYFUNCTION("""COMPUTED_VALUE"""),"172.86")</f>
        <v>172.86</v>
      </c>
      <c r="X112" s="16" t="str">
        <f ca="1">IFERROR(__xludf.DUMMYFUNCTION("""COMPUTED_VALUE"""),"9.28")</f>
        <v>9.28</v>
      </c>
      <c r="Y112" s="7" t="str">
        <f ca="1">IFERROR(__xludf.DUMMYFUNCTION("""COMPUTED_VALUE"""),"23.29")</f>
        <v>23.29</v>
      </c>
      <c r="Z112" s="7" t="str">
        <f ca="1">IFERROR(__xludf.DUMMYFUNCTION("""COMPUTED_VALUE"""),"11.45")</f>
        <v>11.45</v>
      </c>
      <c r="AA112" s="7" t="str">
        <f ca="1">IFERROR(__xludf.DUMMYFUNCTION("""COMPUTED_VALUE"""),"2.14")</f>
        <v>2.14</v>
      </c>
      <c r="AB112" s="7">
        <f ca="1">IFERROR(__xludf.DUMMYFUNCTION("""COMPUTED_VALUE"""),43)</f>
        <v>43</v>
      </c>
      <c r="AC112" s="7" t="str">
        <f ca="1">IFERROR(__xludf.DUMMYFUNCTION("""COMPUTED_VALUE"""),"61.02")</f>
        <v>61.02</v>
      </c>
      <c r="AD112" s="8">
        <f ca="1">IFERROR(__xludf.DUMMYFUNCTION("""COMPUTED_VALUE"""),44714)</f>
        <v>44714</v>
      </c>
      <c r="AE112" s="7" t="str">
        <f ca="1">IFERROR(__xludf.DUMMYFUNCTION("""COMPUTED_VALUE"""),"13.82")</f>
        <v>13.82</v>
      </c>
      <c r="AF112" s="7"/>
      <c r="AG112" s="11">
        <f ca="1">IFERROR(__xludf.DUMMYFUNCTION("""COMPUTED_VALUE"""),44814)</f>
        <v>44814</v>
      </c>
      <c r="AH112" s="10">
        <f ca="1">IFERROR(__xludf.DUMMYFUNCTION("""COMPUTED_VALUE"""),44746.6742476851)</f>
        <v>44746.6742476851</v>
      </c>
      <c r="AI112" s="7"/>
      <c r="AJ112" s="7">
        <f ca="1">IFERROR(__xludf.DUMMYFUNCTION("""COMPUTED_VALUE"""),177)</f>
        <v>177</v>
      </c>
    </row>
    <row r="113" spans="1:36" ht="63" x14ac:dyDescent="0.2">
      <c r="A113" s="7">
        <f ca="1">IFERROR(__xludf.DUMMYFUNCTION("""COMPUTED_VALUE"""),154)</f>
        <v>154</v>
      </c>
      <c r="B113" s="7" t="str">
        <f ca="1">IFERROR(__xludf.DUMMYFUNCTION("""COMPUTED_VALUE"""),"FR-206")</f>
        <v>FR-206</v>
      </c>
      <c r="C113" s="9" t="str">
        <f ca="1">IFERROR(__xludf.DUMMYFUNCTION("""COMPUTED_VALUE"""),"Поставка стрелочной продукции")</f>
        <v>Поставка стрелочной продукции</v>
      </c>
      <c r="D113" s="7" t="str">
        <f ca="1">IFERROR(__xludf.DUMMYFUNCTION("""COMPUTED_VALUE"""),"План по стандартизации")</f>
        <v>План по стандартизации</v>
      </c>
      <c r="E113" s="7">
        <f ca="1">IFERROR(__xludf.DUMMYFUNCTION("""COMPUTED_VALUE"""),2021)</f>
        <v>2021</v>
      </c>
      <c r="F113" s="7">
        <f ca="1">IFERROR(__xludf.DUMMYFUNCTION("""COMPUTED_VALUE"""),4)</f>
        <v>4</v>
      </c>
      <c r="G113" s="7" t="str">
        <f ca="1">IFERROR(__xludf.DUMMYFUNCTION("""COMPUTED_VALUE"""),"ТТЗ")</f>
        <v>ТТЗ</v>
      </c>
      <c r="H113" s="7" t="str">
        <f ca="1">IFERROR(__xludf.DUMMYFUNCTION("""COMPUTED_VALUE"""),"Завершено")</f>
        <v>Завершено</v>
      </c>
      <c r="I113" s="7">
        <f ca="1">IFERROR(__xludf.DUMMYFUNCTION("""COMPUTED_VALUE"""),2)</f>
        <v>2</v>
      </c>
      <c r="J113" s="7">
        <f ca="1">IFERROR(__xludf.DUMMYFUNCTION("""COMPUTED_VALUE"""),2)</f>
        <v>2</v>
      </c>
      <c r="K113" s="7" t="str">
        <f ca="1">IFERROR(__xludf.DUMMYFUNCTION("""COMPUTED_VALUE"""),"Степанян Марк Маратович")</f>
        <v>Степанян Марк Маратович</v>
      </c>
      <c r="L113" s="7" t="str">
        <f ca="1">IFERROR(__xludf.DUMMYFUNCTION("""COMPUTED_VALUE"""),"Осипенкова Елена Владимировна")</f>
        <v>Осипенкова Елена Владимировна</v>
      </c>
      <c r="M113" s="7" t="str">
        <f ca="1">IFERROR(__xludf.DUMMYFUNCTION("""COMPUTED_VALUE"""),"Чурсина Мария Вячеславовна")</f>
        <v>Чурсина Мария Вячеславовна</v>
      </c>
      <c r="N113" s="7"/>
      <c r="O113" s="7" t="str">
        <f ca="1">IFERROR(__xludf.DUMMYFUNCTION("""COMPUTED_VALUE"""),"Типовой")</f>
        <v>Типовой</v>
      </c>
      <c r="P113" s="7" t="str">
        <f ca="1">IFERROR(__xludf.DUMMYFUNCTION("""COMPUTED_VALUE"""),"Нет")</f>
        <v>Нет</v>
      </c>
      <c r="Q113" s="7" t="str">
        <f ca="1">IFERROR(__xludf.DUMMYFUNCTION("""COMPUTED_VALUE"""),"Нет")</f>
        <v>Нет</v>
      </c>
      <c r="R113" s="7" t="str">
        <f ca="1">IFERROR(__xludf.DUMMYFUNCTION("""COMPUTED_VALUE"""),"Нет")</f>
        <v>Нет</v>
      </c>
      <c r="S113" s="7" t="str">
        <f ca="1">IFERROR(__xludf.DUMMYFUNCTION("""COMPUTED_VALUE"""),"Электронный аукцион")</f>
        <v>Электронный аукцион</v>
      </c>
      <c r="T113" s="7" t="str">
        <f ca="1">IFERROR(__xludf.DUMMYFUNCTION("""COMPUTED_VALUE"""),"Полностью YouTrackная")</f>
        <v>Полностью YouTrackная</v>
      </c>
      <c r="U113" s="7" t="str">
        <f ca="1">IFERROR(__xludf.DUMMYFUNCTION("""COMPUTED_VALUE"""),"Поставка стрелочной продукции")</f>
        <v>Поставка стрелочной продукции</v>
      </c>
      <c r="V113" s="10">
        <f ca="1">IFERROR(__xludf.DUMMYFUNCTION("""COMPUTED_VALUE"""),44266.4172453703)</f>
        <v>44266.417245370299</v>
      </c>
      <c r="W113" s="7">
        <f ca="1">IFERROR(__xludf.DUMMYFUNCTION("""COMPUTED_VALUE"""),138)</f>
        <v>138</v>
      </c>
      <c r="X113" s="16" t="str">
        <f ca="1">IFERROR(__xludf.DUMMYFUNCTION("""COMPUTED_VALUE"""),"30.28")</f>
        <v>30.28</v>
      </c>
      <c r="Y113" s="7" t="str">
        <f ca="1">IFERROR(__xludf.DUMMYFUNCTION("""COMPUTED_VALUE"""),"9.65")</f>
        <v>9.65</v>
      </c>
      <c r="Z113" s="7" t="str">
        <f ca="1">IFERROR(__xludf.DUMMYFUNCTION("""COMPUTED_VALUE"""),"3.67")</f>
        <v>3.67</v>
      </c>
      <c r="AA113" s="7" t="str">
        <f ca="1">IFERROR(__xludf.DUMMYFUNCTION("""COMPUTED_VALUE"""),"0.94")</f>
        <v>0.94</v>
      </c>
      <c r="AB113" s="7" t="str">
        <f ca="1">IFERROR(__xludf.DUMMYFUNCTION("""COMPUTED_VALUE"""),"28.59")</f>
        <v>28.59</v>
      </c>
      <c r="AC113" s="11">
        <f ca="1">IFERROR(__xludf.DUMMYFUNCTION("""COMPUTED_VALUE"""),44819)</f>
        <v>44819</v>
      </c>
      <c r="AD113" s="7" t="str">
        <f ca="1">IFERROR(__xludf.DUMMYFUNCTION("""COMPUTED_VALUE"""),"21.22")</f>
        <v>21.22</v>
      </c>
      <c r="AE113" s="8">
        <f ca="1">IFERROR(__xludf.DUMMYFUNCTION("""COMPUTED_VALUE"""),44626)</f>
        <v>44626</v>
      </c>
      <c r="AF113" s="7" t="str">
        <f ca="1">IFERROR(__xludf.DUMMYFUNCTION("""COMPUTED_VALUE"""),"0.88")</f>
        <v>0.88</v>
      </c>
      <c r="AG113" s="8">
        <f ca="1">IFERROR(__xludf.DUMMYFUNCTION("""COMPUTED_VALUE"""),44808)</f>
        <v>44808</v>
      </c>
      <c r="AH113" s="10">
        <f ca="1">IFERROR(__xludf.DUMMYFUNCTION("""COMPUTED_VALUE"""),44631.6567129629)</f>
        <v>44631.656712962897</v>
      </c>
      <c r="AI113" s="10">
        <f ca="1">IFERROR(__xludf.DUMMYFUNCTION("""COMPUTED_VALUE"""),44648.6676157407)</f>
        <v>44648.667615740698</v>
      </c>
      <c r="AJ113" s="7">
        <f ca="1">IFERROR(__xludf.DUMMYFUNCTION("""COMPUTED_VALUE"""),121)</f>
        <v>121</v>
      </c>
    </row>
    <row r="114" spans="1:36" ht="126" x14ac:dyDescent="0.2">
      <c r="A114" s="7">
        <f ca="1">IFERROR(__xludf.DUMMYFUNCTION("""COMPUTED_VALUE"""),155)</f>
        <v>155</v>
      </c>
      <c r="B114" s="7" t="str">
        <f ca="1">IFERROR(__xludf.DUMMYFUNCTION("""COMPUTED_VALUE"""),"FR-207")</f>
        <v>FR-207</v>
      </c>
      <c r="C114" s="9" t="str">
        <f ca="1">IFERROR(__xludf.DUMMYFUNCTION("""COMPUTED_VALUE"""),"Оказание услуг по метрологическому обслуживанию средств измерений")</f>
        <v>Оказание услуг по метрологическому обслуживанию средств измерений</v>
      </c>
      <c r="D114" s="7" t="str">
        <f ca="1">IFERROR(__xludf.DUMMYFUNCTION("""COMPUTED_VALUE"""),"План по стандартизации")</f>
        <v>План по стандартизации</v>
      </c>
      <c r="E114" s="7">
        <f ca="1">IFERROR(__xludf.DUMMYFUNCTION("""COMPUTED_VALUE"""),2021)</f>
        <v>2021</v>
      </c>
      <c r="F114" s="7">
        <f ca="1">IFERROR(__xludf.DUMMYFUNCTION("""COMPUTED_VALUE"""),4)</f>
        <v>4</v>
      </c>
      <c r="G114" s="7" t="str">
        <f ca="1">IFERROR(__xludf.DUMMYFUNCTION("""COMPUTED_VALUE"""),"ТТЗ")</f>
        <v>ТТЗ</v>
      </c>
      <c r="H114" s="7" t="str">
        <f ca="1">IFERROR(__xludf.DUMMYFUNCTION("""COMPUTED_VALUE"""),"Завершено")</f>
        <v>Завершено</v>
      </c>
      <c r="I114" s="7">
        <f ca="1">IFERROR(__xludf.DUMMYFUNCTION("""COMPUTED_VALUE"""),8)</f>
        <v>8</v>
      </c>
      <c r="J114" s="7">
        <f ca="1">IFERROR(__xludf.DUMMYFUNCTION("""COMPUTED_VALUE"""),2)</f>
        <v>2</v>
      </c>
      <c r="K114" s="7" t="str">
        <f ca="1">IFERROR(__xludf.DUMMYFUNCTION("""COMPUTED_VALUE"""),"Морунов Олег Александрович")</f>
        <v>Морунов Олег Александрович</v>
      </c>
      <c r="L114" s="7" t="str">
        <f ca="1">IFERROR(__xludf.DUMMYFUNCTION("""COMPUTED_VALUE"""),"Осипенкова Елена Владимировна")</f>
        <v>Осипенкова Елена Владимировна</v>
      </c>
      <c r="M114" s="7" t="str">
        <f ca="1">IFERROR(__xludf.DUMMYFUNCTION("""COMPUTED_VALUE"""),"Чурсина Мария Вячеславовна")</f>
        <v>Чурсина Мария Вячеславовна</v>
      </c>
      <c r="N114" s="7"/>
      <c r="O114" s="7" t="str">
        <f ca="1">IFERROR(__xludf.DUMMYFUNCTION("""COMPUTED_VALUE"""),"Типовой")</f>
        <v>Типовой</v>
      </c>
      <c r="P114" s="7" t="str">
        <f ca="1">IFERROR(__xludf.DUMMYFUNCTION("""COMPUTED_VALUE"""),"Нет")</f>
        <v>Нет</v>
      </c>
      <c r="Q114" s="7"/>
      <c r="R114" s="7"/>
      <c r="S114" s="7"/>
      <c r="T114" s="7" t="str">
        <f ca="1">IFERROR(__xludf.DUMMYFUNCTION("""COMPUTED_VALUE"""),"Полностью YouTrackная")</f>
        <v>Полностью YouTrackная</v>
      </c>
      <c r="U114" s="7" t="str">
        <f ca="1">IFERROR(__xludf.DUMMYFUNCTION("""COMPUTED_VALUE"""),"Оказание услуг по метрологическому обслуживанию средств измерений")</f>
        <v>Оказание услуг по метрологическому обслуживанию средств измерений</v>
      </c>
      <c r="V114" s="10">
        <f ca="1">IFERROR(__xludf.DUMMYFUNCTION("""COMPUTED_VALUE"""),44279.5055902777)</f>
        <v>44279.505590277702</v>
      </c>
      <c r="W114" s="7" t="str">
        <f ca="1">IFERROR(__xludf.DUMMYFUNCTION("""COMPUTED_VALUE"""),"128.08")</f>
        <v>128.08</v>
      </c>
      <c r="X114" s="16" t="str">
        <f ca="1">IFERROR(__xludf.DUMMYFUNCTION("""COMPUTED_VALUE"""),"33.99")</f>
        <v>33.99</v>
      </c>
      <c r="Y114" s="7" t="str">
        <f ca="1">IFERROR(__xludf.DUMMYFUNCTION("""COMPUTED_VALUE"""),"12.46")</f>
        <v>12.46</v>
      </c>
      <c r="Z114" s="7" t="str">
        <f ca="1">IFERROR(__xludf.DUMMYFUNCTION("""COMPUTED_VALUE"""),"14.51")</f>
        <v>14.51</v>
      </c>
      <c r="AA114" s="7" t="str">
        <f ca="1">IFERROR(__xludf.DUMMYFUNCTION("""COMPUTED_VALUE"""),"0.22")</f>
        <v>0.22</v>
      </c>
      <c r="AB114" s="7" t="str">
        <f ca="1">IFERROR(__xludf.DUMMYFUNCTION("""COMPUTED_VALUE"""),"53.4")</f>
        <v>53.4</v>
      </c>
      <c r="AC114" s="7" t="str">
        <f ca="1">IFERROR(__xludf.DUMMYFUNCTION("""COMPUTED_VALUE"""),"19.55")</f>
        <v>19.55</v>
      </c>
      <c r="AD114" s="7" t="str">
        <f ca="1">IFERROR(__xludf.DUMMYFUNCTION("""COMPUTED_VALUE"""),"23.93")</f>
        <v>23.93</v>
      </c>
      <c r="AE114" s="7"/>
      <c r="AF114" s="7" t="str">
        <f ca="1">IFERROR(__xludf.DUMMYFUNCTION("""COMPUTED_VALUE"""),"1.74")</f>
        <v>1.74</v>
      </c>
      <c r="AG114" s="11">
        <f ca="1">IFERROR(__xludf.DUMMYFUNCTION("""COMPUTED_VALUE"""),44654)</f>
        <v>44654</v>
      </c>
      <c r="AH114" s="7"/>
      <c r="AI114" s="10">
        <f ca="1">IFERROR(__xludf.DUMMYFUNCTION("""COMPUTED_VALUE"""),44711.7695486111)</f>
        <v>44711.769548611097</v>
      </c>
      <c r="AJ114" s="7">
        <f ca="1">IFERROR(__xludf.DUMMYFUNCTION("""COMPUTED_VALUE"""),163)</f>
        <v>163</v>
      </c>
    </row>
    <row r="115" spans="1:36" ht="220.5" x14ac:dyDescent="0.2">
      <c r="A115" s="7">
        <f ca="1">IFERROR(__xludf.DUMMYFUNCTION("""COMPUTED_VALUE"""),156)</f>
        <v>156</v>
      </c>
      <c r="B115" s="7" t="str">
        <f ca="1">IFERROR(__xludf.DUMMYFUNCTION("""COMPUTED_VALUE"""),"FR-208")</f>
        <v>FR-208</v>
      </c>
      <c r="C115" s="9" t="str">
        <f ca="1">IFERROR(__xludf.DUMMYFUNCTION("""COMPUTED_VALUE"""),"Оказание услуг по изготовлению корригирующих очков для обеспечения льготных 
категорий граждан в городе Москве")</f>
        <v>Оказание услуг по изготовлению корригирующих очков для обеспечения льготных 
категорий граждан в городе Москве</v>
      </c>
      <c r="D115" s="7" t="str">
        <f ca="1">IFERROR(__xludf.DUMMYFUNCTION("""COMPUTED_VALUE"""),"План по стандартизации")</f>
        <v>План по стандартизации</v>
      </c>
      <c r="E115" s="7">
        <f ca="1">IFERROR(__xludf.DUMMYFUNCTION("""COMPUTED_VALUE"""),2021)</f>
        <v>2021</v>
      </c>
      <c r="F115" s="7">
        <f ca="1">IFERROR(__xludf.DUMMYFUNCTION("""COMPUTED_VALUE"""),2)</f>
        <v>2</v>
      </c>
      <c r="G115" s="7" t="str">
        <f ca="1">IFERROR(__xludf.DUMMYFUNCTION("""COMPUTED_VALUE"""),"ТТЗ")</f>
        <v>ТТЗ</v>
      </c>
      <c r="H115" s="7" t="str">
        <f ca="1">IFERROR(__xludf.DUMMYFUNCTION("""COMPUTED_VALUE"""),"Завершено")</f>
        <v>Завершено</v>
      </c>
      <c r="I115" s="7">
        <f ca="1">IFERROR(__xludf.DUMMYFUNCTION("""COMPUTED_VALUE"""),2)</f>
        <v>2</v>
      </c>
      <c r="J115" s="7">
        <f ca="1">IFERROR(__xludf.DUMMYFUNCTION("""COMPUTED_VALUE"""),2)</f>
        <v>2</v>
      </c>
      <c r="K115" s="7" t="str">
        <f ca="1">IFERROR(__xludf.DUMMYFUNCTION("""COMPUTED_VALUE"""),"Уфаркина Наталья Геннадьевна")</f>
        <v>Уфаркина Наталья Геннадьевна</v>
      </c>
      <c r="L115" s="7" t="str">
        <f ca="1">IFERROR(__xludf.DUMMYFUNCTION("""COMPUTED_VALUE"""),"Уфаркина Наталья Геннадьевна")</f>
        <v>Уфаркина Наталья Геннадьевна</v>
      </c>
      <c r="M115" s="7" t="str">
        <f ca="1">IFERROR(__xludf.DUMMYFUNCTION("""COMPUTED_VALUE"""),"Гудиев Зелимхан Куйраевич")</f>
        <v>Гудиев Зелимхан Куйраевич</v>
      </c>
      <c r="N115" s="7"/>
      <c r="O115" s="7" t="str">
        <f ca="1">IFERROR(__xludf.DUMMYFUNCTION("""COMPUTED_VALUE"""),"Типовой")</f>
        <v>Типовой</v>
      </c>
      <c r="P115" s="7"/>
      <c r="Q115" s="7" t="str">
        <f ca="1">IFERROR(__xludf.DUMMYFUNCTION("""COMPUTED_VALUE"""),"Нет")</f>
        <v>Нет</v>
      </c>
      <c r="R115" s="7" t="str">
        <f ca="1">IFERROR(__xludf.DUMMYFUNCTION("""COMPUTED_VALUE"""),"Да")</f>
        <v>Да</v>
      </c>
      <c r="S115" s="7" t="str">
        <f ca="1">IFERROR(__xludf.DUMMYFUNCTION("""COMPUTED_VALUE"""),"Электронный аукцион")</f>
        <v>Электронный аукцион</v>
      </c>
      <c r="T115" s="7" t="str">
        <f ca="1">IFERROR(__xludf.DUMMYFUNCTION("""COMPUTED_VALUE"""),"Полностью YouTrackная")</f>
        <v>Полностью YouTrackная</v>
      </c>
      <c r="U115" s="7" t="str">
        <f ca="1">IFERROR(__xludf.DUMMYFUNCTION("""COMPUTED_VALUE"""),"Оказание услуг по изготовлению корригирующих очков для обеспечения льготных 
категорий граждан в городе Москве")</f>
        <v>Оказание услуг по изготовлению корригирующих очков для обеспечения льготных 
категорий граждан в городе Москве</v>
      </c>
      <c r="V115" s="10">
        <f ca="1">IFERROR(__xludf.DUMMYFUNCTION("""COMPUTED_VALUE"""),44298.6569675925)</f>
        <v>44298.656967592498</v>
      </c>
      <c r="W115" s="7" t="str">
        <f ca="1">IFERROR(__xludf.DUMMYFUNCTION("""COMPUTED_VALUE"""),"25.91")</f>
        <v>25.91</v>
      </c>
      <c r="X115" s="16" t="str">
        <f ca="1">IFERROR(__xludf.DUMMYFUNCTION("""COMPUTED_VALUE"""),"11.99")</f>
        <v>11.99</v>
      </c>
      <c r="Y115" s="7" t="str">
        <f ca="1">IFERROR(__xludf.DUMMYFUNCTION("""COMPUTED_VALUE"""),"2.27")</f>
        <v>2.27</v>
      </c>
      <c r="Z115" s="11">
        <f ca="1">IFERROR(__xludf.DUMMYFUNCTION("""COMPUTED_VALUE"""),44593)</f>
        <v>44593</v>
      </c>
      <c r="AA115" s="7">
        <f ca="1">IFERROR(__xludf.DUMMYFUNCTION("""COMPUTED_VALUE"""),0)</f>
        <v>0</v>
      </c>
      <c r="AB115" s="7" t="str">
        <f ca="1">IFERROR(__xludf.DUMMYFUNCTION("""COMPUTED_VALUE"""),"13.63")</f>
        <v>13.63</v>
      </c>
      <c r="AC115" s="11">
        <f ca="1">IFERROR(__xludf.DUMMYFUNCTION("""COMPUTED_VALUE"""),44890)</f>
        <v>44890</v>
      </c>
      <c r="AD115" s="8">
        <f ca="1">IFERROR(__xludf.DUMMYFUNCTION("""COMPUTED_VALUE"""),44601)</f>
        <v>44601</v>
      </c>
      <c r="AE115" s="7" t="str">
        <f ca="1">IFERROR(__xludf.DUMMYFUNCTION("""COMPUTED_VALUE"""),"12.77")</f>
        <v>12.77</v>
      </c>
      <c r="AF115" s="8">
        <f ca="1">IFERROR(__xludf.DUMMYFUNCTION("""COMPUTED_VALUE"""),44714)</f>
        <v>44714</v>
      </c>
      <c r="AG115" s="8">
        <f ca="1">IFERROR(__xludf.DUMMYFUNCTION("""COMPUTED_VALUE"""),44655)</f>
        <v>44655</v>
      </c>
      <c r="AH115" s="10">
        <f ca="1">IFERROR(__xludf.DUMMYFUNCTION("""COMPUTED_VALUE"""),44426.7714351851)</f>
        <v>44426.771435185103</v>
      </c>
      <c r="AI115" s="10">
        <f ca="1">IFERROR(__xludf.DUMMYFUNCTION("""COMPUTED_VALUE"""),44453.6435300925)</f>
        <v>44453.6435300925</v>
      </c>
      <c r="AJ115" s="7">
        <f ca="1">IFERROR(__xludf.DUMMYFUNCTION("""COMPUTED_VALUE"""),82)</f>
        <v>82</v>
      </c>
    </row>
    <row r="116" spans="1:36" ht="78.75" x14ac:dyDescent="0.2">
      <c r="A116" s="7">
        <f ca="1">IFERROR(__xludf.DUMMYFUNCTION("""COMPUTED_VALUE"""),157)</f>
        <v>157</v>
      </c>
      <c r="B116" s="7" t="str">
        <f ca="1">IFERROR(__xludf.DUMMYFUNCTION("""COMPUTED_VALUE"""),"FR-275")</f>
        <v>FR-275</v>
      </c>
      <c r="C116" s="9" t="str">
        <f ca="1">IFERROR(__xludf.DUMMYFUNCTION("""COMPUTED_VALUE"""),"Поставка лифтов, лифтового оборудования")</f>
        <v>Поставка лифтов, лифтового оборудования</v>
      </c>
      <c r="D116" s="7" t="str">
        <f ca="1">IFERROR(__xludf.DUMMYFUNCTION("""COMPUTED_VALUE"""),"План по стандартизации")</f>
        <v>План по стандартизации</v>
      </c>
      <c r="E116" s="7">
        <f ca="1">IFERROR(__xludf.DUMMYFUNCTION("""COMPUTED_VALUE"""),2020)</f>
        <v>2020</v>
      </c>
      <c r="F116" s="7">
        <f ca="1">IFERROR(__xludf.DUMMYFUNCTION("""COMPUTED_VALUE"""),2)</f>
        <v>2</v>
      </c>
      <c r="G116" s="7" t="str">
        <f ca="1">IFERROR(__xludf.DUMMYFUNCTION("""COMPUTED_VALUE"""),"ТТЗ")</f>
        <v>ТТЗ</v>
      </c>
      <c r="H116" s="7" t="str">
        <f ca="1">IFERROR(__xludf.DUMMYFUNCTION("""COMPUTED_VALUE"""),"Завершено")</f>
        <v>Завершено</v>
      </c>
      <c r="I116" s="7">
        <f ca="1">IFERROR(__xludf.DUMMYFUNCTION("""COMPUTED_VALUE"""),6)</f>
        <v>6</v>
      </c>
      <c r="J116" s="7">
        <f ca="1">IFERROR(__xludf.DUMMYFUNCTION("""COMPUTED_VALUE"""),3)</f>
        <v>3</v>
      </c>
      <c r="K116" s="7" t="str">
        <f ca="1">IFERROR(__xludf.DUMMYFUNCTION("""COMPUTED_VALUE"""),"Воробьев Вадим Владимирович")</f>
        <v>Воробьев Вадим Владимирович</v>
      </c>
      <c r="L116" s="7" t="str">
        <f ca="1">IFERROR(__xludf.DUMMYFUNCTION("""COMPUTED_VALUE"""),"Уфаркина Наталья Геннадьевна")</f>
        <v>Уфаркина Наталья Геннадьевна</v>
      </c>
      <c r="M116" s="7" t="str">
        <f ca="1">IFERROR(__xludf.DUMMYFUNCTION("""COMPUTED_VALUE"""),"Гудиев Зелимхан Куйраевич")</f>
        <v>Гудиев Зелимхан Куйраевич</v>
      </c>
      <c r="N116" s="7"/>
      <c r="O116" s="7"/>
      <c r="P116" s="7"/>
      <c r="Q116" s="7"/>
      <c r="R116" s="7"/>
      <c r="S116" s="7"/>
      <c r="T116" s="7" t="str">
        <f ca="1">IFERROR(__xludf.DUMMYFUNCTION("""COMPUTED_VALUE"""),"Полностью YouTrackная")</f>
        <v>Полностью YouTrackная</v>
      </c>
      <c r="U116" s="7" t="str">
        <f ca="1">IFERROR(__xludf.DUMMYFUNCTION("""COMPUTED_VALUE"""),"Поставка лифтов, лифтового оборудования")</f>
        <v>Поставка лифтов, лифтового оборудования</v>
      </c>
      <c r="V116" s="10">
        <f ca="1">IFERROR(__xludf.DUMMYFUNCTION("""COMPUTED_VALUE"""),43986.0203356481)</f>
        <v>43986.0203356481</v>
      </c>
      <c r="W116" s="7"/>
      <c r="X116" s="16" t="str">
        <f ca="1">IFERROR(__xludf.DUMMYFUNCTION("""COMPUTED_VALUE"""),"14.48")</f>
        <v>14.48</v>
      </c>
      <c r="Y116" s="7" t="str">
        <f ca="1">IFERROR(__xludf.DUMMYFUNCTION("""COMPUTED_VALUE"""),"14.63")</f>
        <v>14.63</v>
      </c>
      <c r="Z116" s="7" t="str">
        <f ca="1">IFERROR(__xludf.DUMMYFUNCTION("""COMPUTED_VALUE"""),"7.88")</f>
        <v>7.88</v>
      </c>
      <c r="AA116" s="7" t="str">
        <f ca="1">IFERROR(__xludf.DUMMYFUNCTION("""COMPUTED_VALUE"""),"11.65")</f>
        <v>11.65</v>
      </c>
      <c r="AB116" s="7" t="str">
        <f ca="1">IFERROR(__xludf.DUMMYFUNCTION("""COMPUTED_VALUE"""),"86.73")</f>
        <v>86.73</v>
      </c>
      <c r="AC116" s="7" t="str">
        <f ca="1">IFERROR(__xludf.DUMMYFUNCTION("""COMPUTED_VALUE"""),"36.5")</f>
        <v>36.5</v>
      </c>
      <c r="AD116" s="11">
        <f ca="1">IFERROR(__xludf.DUMMYFUNCTION("""COMPUTED_VALUE"""),44830)</f>
        <v>44830</v>
      </c>
      <c r="AE116" s="7" t="str">
        <f ca="1">IFERROR(__xludf.DUMMYFUNCTION("""COMPUTED_VALUE"""),"7.88")</f>
        <v>7.88</v>
      </c>
      <c r="AF116" s="7" t="str">
        <f ca="1">IFERROR(__xludf.DUMMYFUNCTION("""COMPUTED_VALUE"""),"3.72")</f>
        <v>3.72</v>
      </c>
      <c r="AG116" s="8">
        <f ca="1">IFERROR(__xludf.DUMMYFUNCTION("""COMPUTED_VALUE"""),44776)</f>
        <v>44776</v>
      </c>
      <c r="AH116" s="10">
        <f ca="1">IFERROR(__xludf.DUMMYFUNCTION("""COMPUTED_VALUE"""),44278.7918634259)</f>
        <v>44278.791863425897</v>
      </c>
      <c r="AI116" s="10">
        <f ca="1">IFERROR(__xludf.DUMMYFUNCTION("""COMPUTED_VALUE"""),44299.4780671296)</f>
        <v>44299.478067129603</v>
      </c>
      <c r="AJ116" s="7">
        <f ca="1">IFERROR(__xludf.DUMMYFUNCTION("""COMPUTED_VALUE"""),214)</f>
        <v>214</v>
      </c>
    </row>
    <row r="117" spans="1:36" ht="173.25" x14ac:dyDescent="0.2">
      <c r="A117" s="7">
        <f ca="1">IFERROR(__xludf.DUMMYFUNCTION("""COMPUTED_VALUE"""),160)</f>
        <v>160</v>
      </c>
      <c r="B117" s="7" t="str">
        <f ca="1">IFERROR(__xludf.DUMMYFUNCTION("""COMPUTED_VALUE"""),"FR-292")</f>
        <v>FR-292</v>
      </c>
      <c r="C117" s="9" t="str">
        <f ca="1">IFERROR(__xludf.DUMMYFUNCTION("""COMPUTED_VALUE"""),"Оказание услуг по эксплуатации и содержанию стационарных снегосплавных 
пунктов")</f>
        <v>Оказание услуг по эксплуатации и содержанию стационарных снегосплавных 
пунктов</v>
      </c>
      <c r="D117" s="7" t="str">
        <f ca="1">IFERROR(__xludf.DUMMYFUNCTION("""COMPUTED_VALUE"""),"План по стандартизации")</f>
        <v>План по стандартизации</v>
      </c>
      <c r="E117" s="7">
        <f ca="1">IFERROR(__xludf.DUMMYFUNCTION("""COMPUTED_VALUE"""),2021)</f>
        <v>2021</v>
      </c>
      <c r="F117" s="7">
        <f ca="1">IFERROR(__xludf.DUMMYFUNCTION("""COMPUTED_VALUE"""),2)</f>
        <v>2</v>
      </c>
      <c r="G117" s="7" t="str">
        <f ca="1">IFERROR(__xludf.DUMMYFUNCTION("""COMPUTED_VALUE"""),"ТТЗ")</f>
        <v>ТТЗ</v>
      </c>
      <c r="H117" s="7" t="str">
        <f ca="1">IFERROR(__xludf.DUMMYFUNCTION("""COMPUTED_VALUE"""),"Завершено")</f>
        <v>Завершено</v>
      </c>
      <c r="I117" s="7">
        <f ca="1">IFERROR(__xludf.DUMMYFUNCTION("""COMPUTED_VALUE"""),1)</f>
        <v>1</v>
      </c>
      <c r="J117" s="7">
        <f ca="1">IFERROR(__xludf.DUMMYFUNCTION("""COMPUTED_VALUE"""),1)</f>
        <v>1</v>
      </c>
      <c r="K117" s="7" t="str">
        <f ca="1">IFERROR(__xludf.DUMMYFUNCTION("""COMPUTED_VALUE"""),"Давлиева Нигина Хикматджановна")</f>
        <v>Давлиева Нигина Хикматджановна</v>
      </c>
      <c r="L117" s="7" t="str">
        <f ca="1">IFERROR(__xludf.DUMMYFUNCTION("""COMPUTED_VALUE"""),"Давлиев Ильнар Газинурович")</f>
        <v>Давлиев Ильнар Газинурович</v>
      </c>
      <c r="M117" s="7" t="str">
        <f ca="1">IFERROR(__xludf.DUMMYFUNCTION("""COMPUTED_VALUE"""),"Чурсина Мария Вячеславовна")</f>
        <v>Чурсина Мария Вячеславовна</v>
      </c>
      <c r="N117" s="7"/>
      <c r="O117" s="7" t="str">
        <f ca="1">IFERROR(__xludf.DUMMYFUNCTION("""COMPUTED_VALUE"""),"Типовой")</f>
        <v>Типовой</v>
      </c>
      <c r="P117" s="7" t="str">
        <f ca="1">IFERROR(__xludf.DUMMYFUNCTION("""COMPUTED_VALUE"""),"Нет")</f>
        <v>Нет</v>
      </c>
      <c r="Q117" s="7" t="str">
        <f ca="1">IFERROR(__xludf.DUMMYFUNCTION("""COMPUTED_VALUE"""),"223-ФЗ")</f>
        <v>223-ФЗ</v>
      </c>
      <c r="R117" s="7" t="str">
        <f ca="1">IFERROR(__xludf.DUMMYFUNCTION("""COMPUTED_VALUE"""),"Нет")</f>
        <v>Нет</v>
      </c>
      <c r="S117" s="7" t="str">
        <f ca="1">IFERROR(__xludf.DUMMYFUNCTION("""COMPUTED_VALUE"""),"Открытый конкурс")</f>
        <v>Открытый конкурс</v>
      </c>
      <c r="T117" s="7" t="str">
        <f ca="1">IFERROR(__xludf.DUMMYFUNCTION("""COMPUTED_VALUE"""),"Полностью YouTrackная")</f>
        <v>Полностью YouTrackная</v>
      </c>
      <c r="U117" s="7" t="str">
        <f ca="1">IFERROR(__xludf.DUMMYFUNCTION("""COMPUTED_VALUE"""),"Оказание услуг по эксплуатации и содержанию стационарных снегосплавных 
пунктов")</f>
        <v>Оказание услуг по эксплуатации и содержанию стационарных снегосплавных 
пунктов</v>
      </c>
      <c r="V117" s="10">
        <f ca="1">IFERROR(__xludf.DUMMYFUNCTION("""COMPUTED_VALUE"""),44245.5253125)</f>
        <v>44245.525312500002</v>
      </c>
      <c r="W117" s="7" t="str">
        <f ca="1">IFERROR(__xludf.DUMMYFUNCTION("""COMPUTED_VALUE"""),"60.9")</f>
        <v>60.9</v>
      </c>
      <c r="X117" s="16" t="str">
        <f ca="1">IFERROR(__xludf.DUMMYFUNCTION("""COMPUTED_VALUE"""),"17.29")</f>
        <v>17.29</v>
      </c>
      <c r="Y117" s="7" t="str">
        <f ca="1">IFERROR(__xludf.DUMMYFUNCTION("""COMPUTED_VALUE"""),"10.66")</f>
        <v>10.66</v>
      </c>
      <c r="Z117" s="7" t="str">
        <f ca="1">IFERROR(__xludf.DUMMYFUNCTION("""COMPUTED_VALUE"""),"2.86")</f>
        <v>2.86</v>
      </c>
      <c r="AA117" s="7" t="str">
        <f ca="1">IFERROR(__xludf.DUMMYFUNCTION("""COMPUTED_VALUE"""),"0.41")</f>
        <v>0.41</v>
      </c>
      <c r="AB117" s="7" t="str">
        <f ca="1">IFERROR(__xludf.DUMMYFUNCTION("""COMPUTED_VALUE"""),"14.75")</f>
        <v>14.75</v>
      </c>
      <c r="AC117" s="11">
        <f ca="1">IFERROR(__xludf.DUMMYFUNCTION("""COMPUTED_VALUE"""),44880)</f>
        <v>44880</v>
      </c>
      <c r="AD117" s="7" t="str">
        <f ca="1">IFERROR(__xludf.DUMMYFUNCTION("""COMPUTED_VALUE"""),"19.31")</f>
        <v>19.31</v>
      </c>
      <c r="AE117" s="7" t="str">
        <f ca="1">IFERROR(__xludf.DUMMYFUNCTION("""COMPUTED_VALUE"""),"18.67")</f>
        <v>18.67</v>
      </c>
      <c r="AF117" s="8">
        <f ca="1">IFERROR(__xludf.DUMMYFUNCTION("""COMPUTED_VALUE"""),44776)</f>
        <v>44776</v>
      </c>
      <c r="AG117" s="7" t="str">
        <f ca="1">IFERROR(__xludf.DUMMYFUNCTION("""COMPUTED_VALUE"""),"5.21")</f>
        <v>5.21</v>
      </c>
      <c r="AH117" s="10">
        <f ca="1">IFERROR(__xludf.DUMMYFUNCTION("""COMPUTED_VALUE"""),44449.7923263888)</f>
        <v>44449.792326388801</v>
      </c>
      <c r="AI117" s="10">
        <f ca="1">IFERROR(__xludf.DUMMYFUNCTION("""COMPUTED_VALUE"""),44488.7487037037)</f>
        <v>44488.748703703699</v>
      </c>
      <c r="AJ117" s="7">
        <f ca="1">IFERROR(__xludf.DUMMYFUNCTION("""COMPUTED_VALUE"""),107)</f>
        <v>107</v>
      </c>
    </row>
    <row r="118" spans="1:36" ht="141.75" x14ac:dyDescent="0.2">
      <c r="A118" s="7">
        <f ca="1">IFERROR(__xludf.DUMMYFUNCTION("""COMPUTED_VALUE"""),161)</f>
        <v>161</v>
      </c>
      <c r="B118" s="7" t="str">
        <f ca="1">IFERROR(__xludf.DUMMYFUNCTION("""COMPUTED_VALUE"""),"FR-293")</f>
        <v>FR-293</v>
      </c>
      <c r="C118" s="9" t="str">
        <f ca="1">IFERROR(__xludf.DUMMYFUNCTION("""COMPUTED_VALUE"""),"Выполнение работ по экологической реабилитации территорий и водных объектов")</f>
        <v>Выполнение работ по экологической реабилитации территорий и водных объектов</v>
      </c>
      <c r="D118" s="7" t="str">
        <f ca="1">IFERROR(__xludf.DUMMYFUNCTION("""COMPUTED_VALUE"""),"План по стандартизации")</f>
        <v>План по стандартизации</v>
      </c>
      <c r="E118" s="7">
        <f ca="1">IFERROR(__xludf.DUMMYFUNCTION("""COMPUTED_VALUE"""),2021)</f>
        <v>2021</v>
      </c>
      <c r="F118" s="7">
        <f ca="1">IFERROR(__xludf.DUMMYFUNCTION("""COMPUTED_VALUE"""),3)</f>
        <v>3</v>
      </c>
      <c r="G118" s="7" t="str">
        <f ca="1">IFERROR(__xludf.DUMMYFUNCTION("""COMPUTED_VALUE"""),"ТТЗ")</f>
        <v>ТТЗ</v>
      </c>
      <c r="H118" s="7" t="str">
        <f ca="1">IFERROR(__xludf.DUMMYFUNCTION("""COMPUTED_VALUE"""),"Завершено")</f>
        <v>Завершено</v>
      </c>
      <c r="I118" s="7">
        <f ca="1">IFERROR(__xludf.DUMMYFUNCTION("""COMPUTED_VALUE"""),4)</f>
        <v>4</v>
      </c>
      <c r="J118" s="7">
        <f ca="1">IFERROR(__xludf.DUMMYFUNCTION("""COMPUTED_VALUE"""),1)</f>
        <v>1</v>
      </c>
      <c r="K118" s="7" t="str">
        <f ca="1">IFERROR(__xludf.DUMMYFUNCTION("""COMPUTED_VALUE"""),"Давлиева Нигина Хикматджановна")</f>
        <v>Давлиева Нигина Хикматджановна</v>
      </c>
      <c r="L118" s="7" t="str">
        <f ca="1">IFERROR(__xludf.DUMMYFUNCTION("""COMPUTED_VALUE"""),"Давлиева Нигина Хикматджановна / Давлиев Ильнар Газинурович")</f>
        <v>Давлиева Нигина Хикматджановна / Давлиев Ильнар Газинурович</v>
      </c>
      <c r="M118" s="7" t="str">
        <f ca="1">IFERROR(__xludf.DUMMYFUNCTION("""COMPUTED_VALUE"""),"Чурсина Мария Вячеславовна")</f>
        <v>Чурсина Мария Вячеславовна</v>
      </c>
      <c r="N118" s="7"/>
      <c r="O118" s="7" t="str">
        <f ca="1">IFERROR(__xludf.DUMMYFUNCTION("""COMPUTED_VALUE"""),"Типовой")</f>
        <v>Типовой</v>
      </c>
      <c r="P118" s="7" t="str">
        <f ca="1">IFERROR(__xludf.DUMMYFUNCTION("""COMPUTED_VALUE"""),"Нет")</f>
        <v>Нет</v>
      </c>
      <c r="Q118" s="7" t="str">
        <f ca="1">IFERROR(__xludf.DUMMYFUNCTION("""COMPUTED_VALUE"""),"Нет")</f>
        <v>Нет</v>
      </c>
      <c r="R118" s="7" t="str">
        <f ca="1">IFERROR(__xludf.DUMMYFUNCTION("""COMPUTED_VALUE"""),"Нет")</f>
        <v>Нет</v>
      </c>
      <c r="S118" s="7" t="str">
        <f ca="1">IFERROR(__xludf.DUMMYFUNCTION("""COMPUTED_VALUE"""),"Электронный аукцион")</f>
        <v>Электронный аукцион</v>
      </c>
      <c r="T118" s="7" t="str">
        <f ca="1">IFERROR(__xludf.DUMMYFUNCTION("""COMPUTED_VALUE"""),"Полностью YouTrackная")</f>
        <v>Полностью YouTrackная</v>
      </c>
      <c r="U118" s="7" t="str">
        <f ca="1">IFERROR(__xludf.DUMMYFUNCTION("""COMPUTED_VALUE"""),"Выполнение работ по экологической реабилитации территорий и водных объектов")</f>
        <v>Выполнение работ по экологической реабилитации территорий и водных объектов</v>
      </c>
      <c r="V118" s="10">
        <f ca="1">IFERROR(__xludf.DUMMYFUNCTION("""COMPUTED_VALUE"""),44245.5345717592)</f>
        <v>44245.534571759199</v>
      </c>
      <c r="W118" s="7" t="str">
        <f ca="1">IFERROR(__xludf.DUMMYFUNCTION("""COMPUTED_VALUE"""),"88.93")</f>
        <v>88.93</v>
      </c>
      <c r="X118" s="16" t="str">
        <f ca="1">IFERROR(__xludf.DUMMYFUNCTION("""COMPUTED_VALUE"""),"48.35")</f>
        <v>48.35</v>
      </c>
      <c r="Y118" s="7" t="str">
        <f ca="1">IFERROR(__xludf.DUMMYFUNCTION("""COMPUTED_VALUE"""),"7.89")</f>
        <v>7.89</v>
      </c>
      <c r="Z118" s="7" t="str">
        <f ca="1">IFERROR(__xludf.DUMMYFUNCTION("""COMPUTED_VALUE"""),"7.28")</f>
        <v>7.28</v>
      </c>
      <c r="AA118" s="7" t="str">
        <f ca="1">IFERROR(__xludf.DUMMYFUNCTION("""COMPUTED_VALUE"""),"0.11")</f>
        <v>0.11</v>
      </c>
      <c r="AB118" s="7" t="str">
        <f ca="1">IFERROR(__xludf.DUMMYFUNCTION("""COMPUTED_VALUE"""),"40.36")</f>
        <v>40.36</v>
      </c>
      <c r="AC118" s="7" t="str">
        <f ca="1">IFERROR(__xludf.DUMMYFUNCTION("""COMPUTED_VALUE"""),"14.29")</f>
        <v>14.29</v>
      </c>
      <c r="AD118" s="7" t="str">
        <f ca="1">IFERROR(__xludf.DUMMYFUNCTION("""COMPUTED_VALUE"""),"2.71")</f>
        <v>2.71</v>
      </c>
      <c r="AE118" s="8">
        <f ca="1">IFERROR(__xludf.DUMMYFUNCTION("""COMPUTED_VALUE"""),44626)</f>
        <v>44626</v>
      </c>
      <c r="AF118" s="7">
        <f ca="1">IFERROR(__xludf.DUMMYFUNCTION("""COMPUTED_VALUE"""),0)</f>
        <v>0</v>
      </c>
      <c r="AG118" s="8">
        <f ca="1">IFERROR(__xludf.DUMMYFUNCTION("""COMPUTED_VALUE"""),44622)</f>
        <v>44622</v>
      </c>
      <c r="AH118" s="10">
        <f ca="1">IFERROR(__xludf.DUMMYFUNCTION("""COMPUTED_VALUE"""),44550.4686458333)</f>
        <v>44550.468645833302</v>
      </c>
      <c r="AI118" s="10">
        <f ca="1">IFERROR(__xludf.DUMMYFUNCTION("""COMPUTED_VALUE"""),44560.5317824074)</f>
        <v>44560.531782407401</v>
      </c>
      <c r="AJ118" s="7">
        <f ca="1">IFERROR(__xludf.DUMMYFUNCTION("""COMPUTED_VALUE"""),129)</f>
        <v>129</v>
      </c>
    </row>
    <row r="119" spans="1:36" ht="110.25" x14ac:dyDescent="0.2">
      <c r="A119" s="7">
        <f ca="1">IFERROR(__xludf.DUMMYFUNCTION("""COMPUTED_VALUE"""),162)</f>
        <v>162</v>
      </c>
      <c r="B119" s="7" t="str">
        <f ca="1">IFERROR(__xludf.DUMMYFUNCTION("""COMPUTED_VALUE"""),"FR-294")</f>
        <v>FR-294</v>
      </c>
      <c r="C119" s="9" t="str">
        <f ca="1">IFERROR(__xludf.DUMMYFUNCTION("""COMPUTED_VALUE"""),"Поставка запасных частей для железнодорожного транспорта")</f>
        <v>Поставка запасных частей для железнодорожного транспорта</v>
      </c>
      <c r="D119" s="7" t="str">
        <f ca="1">IFERROR(__xludf.DUMMYFUNCTION("""COMPUTED_VALUE"""),"План по стандартизации")</f>
        <v>План по стандартизации</v>
      </c>
      <c r="E119" s="7">
        <f ca="1">IFERROR(__xludf.DUMMYFUNCTION("""COMPUTED_VALUE"""),2021)</f>
        <v>2021</v>
      </c>
      <c r="F119" s="7">
        <f ca="1">IFERROR(__xludf.DUMMYFUNCTION("""COMPUTED_VALUE"""),3)</f>
        <v>3</v>
      </c>
      <c r="G119" s="7" t="str">
        <f ca="1">IFERROR(__xludf.DUMMYFUNCTION("""COMPUTED_VALUE"""),"СТЗ")</f>
        <v>СТЗ</v>
      </c>
      <c r="H119" s="7" t="str">
        <f ca="1">IFERROR(__xludf.DUMMYFUNCTION("""COMPUTED_VALUE"""),"Завершено")</f>
        <v>Завершено</v>
      </c>
      <c r="I119" s="7">
        <f ca="1">IFERROR(__xludf.DUMMYFUNCTION("""COMPUTED_VALUE"""),4)</f>
        <v>4</v>
      </c>
      <c r="J119" s="7">
        <f ca="1">IFERROR(__xludf.DUMMYFUNCTION("""COMPUTED_VALUE"""),2)</f>
        <v>2</v>
      </c>
      <c r="K119" s="7" t="str">
        <f ca="1">IFERROR(__xludf.DUMMYFUNCTION("""COMPUTED_VALUE"""),"Лепаев Иван Александрович / Кузнецова Анна Сергеевна")</f>
        <v>Лепаев Иван Александрович / Кузнецова Анна Сергеевна</v>
      </c>
      <c r="L119" s="7" t="str">
        <f ca="1">IFERROR(__xludf.DUMMYFUNCTION("""COMPUTED_VALUE"""),"Столянков Андрей Владиславович")</f>
        <v>Столянков Андрей Владиславович</v>
      </c>
      <c r="M119" s="7" t="str">
        <f ca="1">IFERROR(__xludf.DUMMYFUNCTION("""COMPUTED_VALUE"""),"Магамгазиев Расул Висхаджиевич")</f>
        <v>Магамгазиев Расул Висхаджиевич</v>
      </c>
      <c r="N119" s="7"/>
      <c r="O119" s="7"/>
      <c r="P119" s="7"/>
      <c r="Q119" s="7"/>
      <c r="R119" s="7"/>
      <c r="S119" s="7"/>
      <c r="T119" s="7" t="str">
        <f ca="1">IFERROR(__xludf.DUMMYFUNCTION("""COMPUTED_VALUE"""),"Полностью YouTrackная")</f>
        <v>Полностью YouTrackная</v>
      </c>
      <c r="U119" s="7" t="str">
        <f ca="1">IFERROR(__xludf.DUMMYFUNCTION("""COMPUTED_VALUE"""),"Поставка запасных частей для железнодорожного транспорта")</f>
        <v>Поставка запасных частей для железнодорожного транспорта</v>
      </c>
      <c r="V119" s="10">
        <f ca="1">IFERROR(__xludf.DUMMYFUNCTION("""COMPUTED_VALUE"""),44265.5699189814)</f>
        <v>44265.569918981397</v>
      </c>
      <c r="W119" s="7" t="str">
        <f ca="1">IFERROR(__xludf.DUMMYFUNCTION("""COMPUTED_VALUE"""),"109.01")</f>
        <v>109.01</v>
      </c>
      <c r="X119" s="16" t="str">
        <f ca="1">IFERROR(__xludf.DUMMYFUNCTION("""COMPUTED_VALUE"""),"14.95")</f>
        <v>14.95</v>
      </c>
      <c r="Y119" s="7" t="str">
        <f ca="1">IFERROR(__xludf.DUMMYFUNCTION("""COMPUTED_VALUE"""),"11.19")</f>
        <v>11.19</v>
      </c>
      <c r="Z119" s="7" t="str">
        <f ca="1">IFERROR(__xludf.DUMMYFUNCTION("""COMPUTED_VALUE"""),"11.22")</f>
        <v>11.22</v>
      </c>
      <c r="AA119" s="7" t="str">
        <f ca="1">IFERROR(__xludf.DUMMYFUNCTION("""COMPUTED_VALUE"""),"0.16")</f>
        <v>0.16</v>
      </c>
      <c r="AB119" s="7" t="str">
        <f ca="1">IFERROR(__xludf.DUMMYFUNCTION("""COMPUTED_VALUE"""),"76.91")</f>
        <v>76.91</v>
      </c>
      <c r="AC119" s="7" t="str">
        <f ca="1">IFERROR(__xludf.DUMMYFUNCTION("""COMPUTED_VALUE"""),"56.33")</f>
        <v>56.33</v>
      </c>
      <c r="AD119" s="7" t="str">
        <f ca="1">IFERROR(__xludf.DUMMYFUNCTION("""COMPUTED_VALUE"""),"16.29")</f>
        <v>16.29</v>
      </c>
      <c r="AE119" s="7">
        <f ca="1">IFERROR(__xludf.DUMMYFUNCTION("""COMPUTED_VALUE"""),0)</f>
        <v>0</v>
      </c>
      <c r="AF119" s="7"/>
      <c r="AG119" s="7" t="str">
        <f ca="1">IFERROR(__xludf.DUMMYFUNCTION("""COMPUTED_VALUE"""),"5.73")</f>
        <v>5.73</v>
      </c>
      <c r="AH119" s="10">
        <f ca="1">IFERROR(__xludf.DUMMYFUNCTION("""COMPUTED_VALUE"""),44704.6305555555)</f>
        <v>44704.630555555501</v>
      </c>
      <c r="AI119" s="10">
        <f ca="1">IFERROR(__xludf.DUMMYFUNCTION("""COMPUTED_VALUE"""),44712.3610069444)</f>
        <v>44712.361006944397</v>
      </c>
      <c r="AJ119" s="7">
        <f ca="1">IFERROR(__xludf.DUMMYFUNCTION("""COMPUTED_VALUE"""),193)</f>
        <v>193</v>
      </c>
    </row>
    <row r="120" spans="1:36" ht="94.5" x14ac:dyDescent="0.2">
      <c r="A120" s="7">
        <f ca="1">IFERROR(__xludf.DUMMYFUNCTION("""COMPUTED_VALUE"""),163)</f>
        <v>163</v>
      </c>
      <c r="B120" s="7" t="str">
        <f ca="1">IFERROR(__xludf.DUMMYFUNCTION("""COMPUTED_VALUE"""),"FR-295")</f>
        <v>FR-295</v>
      </c>
      <c r="C120" s="9" t="str">
        <f ca="1">IFERROR(__xludf.DUMMYFUNCTION("""COMPUTED_VALUE"""),"Поставка расходных материалов для сосудистой хирургии")</f>
        <v>Поставка расходных материалов для сосудистой хирургии</v>
      </c>
      <c r="D120" s="7" t="str">
        <f ca="1">IFERROR(__xludf.DUMMYFUNCTION("""COMPUTED_VALUE"""),"Дорожная карта")</f>
        <v>Дорожная карта</v>
      </c>
      <c r="E120" s="7"/>
      <c r="F120" s="7"/>
      <c r="G120" s="7" t="str">
        <f ca="1">IFERROR(__xludf.DUMMYFUNCTION("""COMPUTED_VALUE"""),"ТТЗ")</f>
        <v>ТТЗ</v>
      </c>
      <c r="H120" s="7" t="str">
        <f ca="1">IFERROR(__xludf.DUMMYFUNCTION("""COMPUTED_VALUE"""),"Planned")</f>
        <v>Planned</v>
      </c>
      <c r="I120" s="7">
        <f ca="1">IFERROR(__xludf.DUMMYFUNCTION("""COMPUTED_VALUE"""),0)</f>
        <v>0</v>
      </c>
      <c r="J120" s="7">
        <f ca="1">IFERROR(__xludf.DUMMYFUNCTION("""COMPUTED_VALUE"""),0)</f>
        <v>0</v>
      </c>
      <c r="K120" s="7"/>
      <c r="L120" s="7" t="str">
        <f ca="1">IFERROR(__xludf.DUMMYFUNCTION("""COMPUTED_VALUE"""),"Давлиев Ильнар Газинурович")</f>
        <v>Давлиев Ильнар Газинурович</v>
      </c>
      <c r="M120" s="7" t="str">
        <f ca="1">IFERROR(__xludf.DUMMYFUNCTION("""COMPUTED_VALUE"""),"Чурсина Мария Вячеславовна")</f>
        <v>Чурсина Мария Вячеславовна</v>
      </c>
      <c r="N120" s="7"/>
      <c r="O120" s="7"/>
      <c r="P120" s="7"/>
      <c r="Q120" s="7"/>
      <c r="R120" s="7"/>
      <c r="S120" s="7"/>
      <c r="T120" s="7" t="str">
        <f ca="1">IFERROR(__xludf.DUMMYFUNCTION("""COMPUTED_VALUE"""),"Полностью YouTrackная")</f>
        <v>Полностью YouTrackная</v>
      </c>
      <c r="U120" s="7" t="str">
        <f ca="1">IFERROR(__xludf.DUMMYFUNCTION("""COMPUTED_VALUE"""),"Поставка расходных материалов для сосудистой хирургии")</f>
        <v>Поставка расходных материалов для сосудистой хирургии</v>
      </c>
      <c r="V120" s="10">
        <f ca="1">IFERROR(__xludf.DUMMYFUNCTION("""COMPUTED_VALUE"""),44015.4770717592)</f>
        <v>44015.477071759196</v>
      </c>
      <c r="W120" s="7"/>
      <c r="X120" s="16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>
        <f ca="1">IFERROR(__xludf.DUMMYFUNCTION("""COMPUTED_VALUE"""),0)</f>
        <v>0</v>
      </c>
    </row>
    <row r="121" spans="1:36" ht="299.25" x14ac:dyDescent="0.2">
      <c r="A121" s="7">
        <f ca="1">IFERROR(__xludf.DUMMYFUNCTION("""COMPUTED_VALUE"""),164)</f>
        <v>164</v>
      </c>
      <c r="B121" s="7" t="str">
        <f ca="1">IFERROR(__xludf.DUMMYFUNCTION("""COMPUTED_VALUE"""),"FR-296")</f>
        <v>FR-296</v>
      </c>
      <c r="C121" s="9" t="str">
        <f ca="1">IFERROR(__xludf.DUMMYFUNCTION("""COMPUTED_VALUE"""),"Оказание услуг по долечиванию в специализированных санаториях больных из 
числа работающих застрахованных граждан, имеющих регистрацию по месту 
жительства в городе Москве")</f>
        <v>Оказание услуг по долечиванию в специализированных санаториях больных из 
числа работающих застрахованных граждан, имеющих регистрацию по месту 
жительства в городе Москве</v>
      </c>
      <c r="D121" s="7" t="str">
        <f ca="1">IFERROR(__xludf.DUMMYFUNCTION("""COMPUTED_VALUE"""),"План по стандартизации")</f>
        <v>План по стандартизации</v>
      </c>
      <c r="E121" s="7">
        <f ca="1">IFERROR(__xludf.DUMMYFUNCTION("""COMPUTED_VALUE"""),2021)</f>
        <v>2021</v>
      </c>
      <c r="F121" s="7">
        <f ca="1">IFERROR(__xludf.DUMMYFUNCTION("""COMPUTED_VALUE"""),2)</f>
        <v>2</v>
      </c>
      <c r="G121" s="7" t="str">
        <f ca="1">IFERROR(__xludf.DUMMYFUNCTION("""COMPUTED_VALUE"""),"ТТЗ")</f>
        <v>ТТЗ</v>
      </c>
      <c r="H121" s="7" t="str">
        <f ca="1">IFERROR(__xludf.DUMMYFUNCTION("""COMPUTED_VALUE"""),"Завершено")</f>
        <v>Завершено</v>
      </c>
      <c r="I121" s="7">
        <f ca="1">IFERROR(__xludf.DUMMYFUNCTION("""COMPUTED_VALUE"""),3)</f>
        <v>3</v>
      </c>
      <c r="J121" s="7">
        <f ca="1">IFERROR(__xludf.DUMMYFUNCTION("""COMPUTED_VALUE"""),2)</f>
        <v>2</v>
      </c>
      <c r="K121" s="7" t="str">
        <f ca="1">IFERROR(__xludf.DUMMYFUNCTION("""COMPUTED_VALUE"""),"Желтова Яна Валерьевна")</f>
        <v>Желтова Яна Валерьевна</v>
      </c>
      <c r="L121" s="7" t="str">
        <f ca="1">IFERROR(__xludf.DUMMYFUNCTION("""COMPUTED_VALUE"""),"Бутасова Светлана Валерьевна")</f>
        <v>Бутасова Светлана Валерьевна</v>
      </c>
      <c r="M121" s="7" t="str">
        <f ca="1">IFERROR(__xludf.DUMMYFUNCTION("""COMPUTED_VALUE"""),"Чурсина Мария Вячеславовна")</f>
        <v>Чурсина Мария Вячеславовна</v>
      </c>
      <c r="N121" s="7"/>
      <c r="O121" s="7" t="str">
        <f ca="1">IFERROR(__xludf.DUMMYFUNCTION("""COMPUTED_VALUE"""),"Типовой")</f>
        <v>Типовой</v>
      </c>
      <c r="P121" s="7"/>
      <c r="Q121" s="7"/>
      <c r="R121" s="7"/>
      <c r="S121" s="7"/>
      <c r="T121" s="7" t="str">
        <f ca="1">IFERROR(__xludf.DUMMYFUNCTION("""COMPUTED_VALUE"""),"Полностью YouTrackная")</f>
        <v>Полностью YouTrackная</v>
      </c>
      <c r="U121" s="7" t="str">
        <f ca="1">IFERROR(__xludf.DUMMYFUNCTION("""COMPUTED_VALUE"""),"Оказание услуг по долечиванию в специализированных санаториях больных из 
числа работающих застрахованных граждан, имеющих место жительства в городе 
Москве")</f>
        <v>Оказание услуг по долечиванию в специализированных санаториях больных из 
числа работающих застрахованных граждан, имеющих место жительства в городе 
Москве</v>
      </c>
      <c r="V121" s="10">
        <f ca="1">IFERROR(__xludf.DUMMYFUNCTION("""COMPUTED_VALUE"""),44312.4597453703)</f>
        <v>44312.459745370303</v>
      </c>
      <c r="W121" s="7"/>
      <c r="X121" s="16">
        <f ca="1">IFERROR(__xludf.DUMMYFUNCTION("""COMPUTED_VALUE"""),1)</f>
        <v>1</v>
      </c>
      <c r="Y121" s="7" t="str">
        <f ca="1">IFERROR(__xludf.DUMMYFUNCTION("""COMPUTED_VALUE"""),"12.91")</f>
        <v>12.91</v>
      </c>
      <c r="Z121" s="7" t="str">
        <f ca="1">IFERROR(__xludf.DUMMYFUNCTION("""COMPUTED_VALUE"""),"6.39")</f>
        <v>6.39</v>
      </c>
      <c r="AA121" s="7">
        <f ca="1">IFERROR(__xludf.DUMMYFUNCTION("""COMPUTED_VALUE"""),0)</f>
        <v>0</v>
      </c>
      <c r="AB121" s="7" t="str">
        <f ca="1">IFERROR(__xludf.DUMMYFUNCTION("""COMPUTED_VALUE"""),"38.29")</f>
        <v>38.29</v>
      </c>
      <c r="AC121" s="7" t="str">
        <f ca="1">IFERROR(__xludf.DUMMYFUNCTION("""COMPUTED_VALUE"""),"123.08")</f>
        <v>123.08</v>
      </c>
      <c r="AD121" s="7" t="str">
        <f ca="1">IFERROR(__xludf.DUMMYFUNCTION("""COMPUTED_VALUE"""),"10.33")</f>
        <v>10.33</v>
      </c>
      <c r="AE121" s="8">
        <f ca="1">IFERROR(__xludf.DUMMYFUNCTION("""COMPUTED_VALUE"""),44693)</f>
        <v>44693</v>
      </c>
      <c r="AF121" s="7">
        <f ca="1">IFERROR(__xludf.DUMMYFUNCTION("""COMPUTED_VALUE"""),1)</f>
        <v>1</v>
      </c>
      <c r="AG121" s="7" t="str">
        <f ca="1">IFERROR(__xludf.DUMMYFUNCTION("""COMPUTED_VALUE"""),"1.98")</f>
        <v>1.98</v>
      </c>
      <c r="AH121" s="10">
        <f ca="1">IFERROR(__xludf.DUMMYFUNCTION("""COMPUTED_VALUE"""),44595.4656944444)</f>
        <v>44595.4656944444</v>
      </c>
      <c r="AI121" s="10">
        <f ca="1">IFERROR(__xludf.DUMMYFUNCTION("""COMPUTED_VALUE"""),44617.4828472222)</f>
        <v>44617.4828472222</v>
      </c>
      <c r="AJ121" s="7">
        <f ca="1">IFERROR(__xludf.DUMMYFUNCTION("""COMPUTED_VALUE"""),208)</f>
        <v>208</v>
      </c>
    </row>
    <row r="122" spans="1:36" ht="47.25" x14ac:dyDescent="0.2">
      <c r="A122" s="7">
        <f ca="1">IFERROR(__xludf.DUMMYFUNCTION("""COMPUTED_VALUE"""),165)</f>
        <v>165</v>
      </c>
      <c r="B122" s="7" t="str">
        <f ca="1">IFERROR(__xludf.DUMMYFUNCTION("""COMPUTED_VALUE"""),"FR-297")</f>
        <v>FR-297</v>
      </c>
      <c r="C122" s="9" t="str">
        <f ca="1">IFERROR(__xludf.DUMMYFUNCTION("""COMPUTED_VALUE"""),"Поставка шпал")</f>
        <v>Поставка шпал</v>
      </c>
      <c r="D122" s="7" t="str">
        <f ca="1">IFERROR(__xludf.DUMMYFUNCTION("""COMPUTED_VALUE"""),"План по стандартизации")</f>
        <v>План по стандартизации</v>
      </c>
      <c r="E122" s="7">
        <f ca="1">IFERROR(__xludf.DUMMYFUNCTION("""COMPUTED_VALUE"""),2021)</f>
        <v>2021</v>
      </c>
      <c r="F122" s="7">
        <f ca="1">IFERROR(__xludf.DUMMYFUNCTION("""COMPUTED_VALUE"""),2)</f>
        <v>2</v>
      </c>
      <c r="G122" s="7" t="str">
        <f ca="1">IFERROR(__xludf.DUMMYFUNCTION("""COMPUTED_VALUE"""),"ТТЗ")</f>
        <v>ТТЗ</v>
      </c>
      <c r="H122" s="7" t="str">
        <f ca="1">IFERROR(__xludf.DUMMYFUNCTION("""COMPUTED_VALUE"""),"Завершено")</f>
        <v>Завершено</v>
      </c>
      <c r="I122" s="7">
        <f ca="1">IFERROR(__xludf.DUMMYFUNCTION("""COMPUTED_VALUE"""),3)</f>
        <v>3</v>
      </c>
      <c r="J122" s="7">
        <f ca="1">IFERROR(__xludf.DUMMYFUNCTION("""COMPUTED_VALUE"""),2)</f>
        <v>2</v>
      </c>
      <c r="K122" s="7" t="str">
        <f ca="1">IFERROR(__xludf.DUMMYFUNCTION("""COMPUTED_VALUE"""),"Першина Дарья Валерьевна")</f>
        <v>Першина Дарья Валерьевна</v>
      </c>
      <c r="L122" s="7" t="str">
        <f ca="1">IFERROR(__xludf.DUMMYFUNCTION("""COMPUTED_VALUE"""),"Уфаркина Наталья Геннадьевна")</f>
        <v>Уфаркина Наталья Геннадьевна</v>
      </c>
      <c r="M122" s="7" t="str">
        <f ca="1">IFERROR(__xludf.DUMMYFUNCTION("""COMPUTED_VALUE"""),"Гудиев Зелимхан Куйраевич")</f>
        <v>Гудиев Зелимхан Куйраевич</v>
      </c>
      <c r="N122" s="7"/>
      <c r="O122" s="7" t="str">
        <f ca="1">IFERROR(__xludf.DUMMYFUNCTION("""COMPUTED_VALUE"""),"Типовой")</f>
        <v>Типовой</v>
      </c>
      <c r="P122" s="7" t="str">
        <f ca="1">IFERROR(__xludf.DUMMYFUNCTION("""COMPUTED_VALUE"""),"Нет")</f>
        <v>Нет</v>
      </c>
      <c r="Q122" s="7" t="str">
        <f ca="1">IFERROR(__xludf.DUMMYFUNCTION("""COMPUTED_VALUE"""),"Нет")</f>
        <v>Нет</v>
      </c>
      <c r="R122" s="7" t="str">
        <f ca="1">IFERROR(__xludf.DUMMYFUNCTION("""COMPUTED_VALUE"""),"Нет")</f>
        <v>Нет</v>
      </c>
      <c r="S122" s="7" t="str">
        <f ca="1">IFERROR(__xludf.DUMMYFUNCTION("""COMPUTED_VALUE"""),"Электронный аукцион")</f>
        <v>Электронный аукцион</v>
      </c>
      <c r="T122" s="7" t="str">
        <f ca="1">IFERROR(__xludf.DUMMYFUNCTION("""COMPUTED_VALUE"""),"Полностью YouTrackная")</f>
        <v>Полностью YouTrackная</v>
      </c>
      <c r="U122" s="7" t="str">
        <f ca="1">IFERROR(__xludf.DUMMYFUNCTION("""COMPUTED_VALUE"""),"Поставка шпал")</f>
        <v>Поставка шпал</v>
      </c>
      <c r="V122" s="10">
        <f ca="1">IFERROR(__xludf.DUMMYFUNCTION("""COMPUTED_VALUE"""),44314.7142592592)</f>
        <v>44314.714259259199</v>
      </c>
      <c r="W122" s="7" t="str">
        <f ca="1">IFERROR(__xludf.DUMMYFUNCTION("""COMPUTED_VALUE"""),"13.85")</f>
        <v>13.85</v>
      </c>
      <c r="X122" s="16" t="str">
        <f ca="1">IFERROR(__xludf.DUMMYFUNCTION("""COMPUTED_VALUE"""),"14.33")</f>
        <v>14.33</v>
      </c>
      <c r="Y122" s="8">
        <f ca="1">IFERROR(__xludf.DUMMYFUNCTION("""COMPUTED_VALUE"""),44786)</f>
        <v>44786</v>
      </c>
      <c r="Z122" s="7" t="str">
        <f ca="1">IFERROR(__xludf.DUMMYFUNCTION("""COMPUTED_VALUE"""),"2.55")</f>
        <v>2.55</v>
      </c>
      <c r="AA122" s="7" t="str">
        <f ca="1">IFERROR(__xludf.DUMMYFUNCTION("""COMPUTED_VALUE"""),"0.24")</f>
        <v>0.24</v>
      </c>
      <c r="AB122" s="7" t="str">
        <f ca="1">IFERROR(__xludf.DUMMYFUNCTION("""COMPUTED_VALUE"""),"17.32")</f>
        <v>17.32</v>
      </c>
      <c r="AC122" s="7" t="str">
        <f ca="1">IFERROR(__xludf.DUMMYFUNCTION("""COMPUTED_VALUE"""),"25.31")</f>
        <v>25.31</v>
      </c>
      <c r="AD122" s="11">
        <f ca="1">IFERROR(__xludf.DUMMYFUNCTION("""COMPUTED_VALUE"""),44658)</f>
        <v>44658</v>
      </c>
      <c r="AE122" s="7" t="str">
        <f ca="1">IFERROR(__xludf.DUMMYFUNCTION("""COMPUTED_VALUE"""),"18.67")</f>
        <v>18.67</v>
      </c>
      <c r="AF122" s="8">
        <f ca="1">IFERROR(__xludf.DUMMYFUNCTION("""COMPUTED_VALUE"""),44776)</f>
        <v>44776</v>
      </c>
      <c r="AG122" s="7" t="str">
        <f ca="1">IFERROR(__xludf.DUMMYFUNCTION("""COMPUTED_VALUE"""),"5.92")</f>
        <v>5.92</v>
      </c>
      <c r="AH122" s="10">
        <f ca="1">IFERROR(__xludf.DUMMYFUNCTION("""COMPUTED_VALUE"""),44449.7900578703)</f>
        <v>44449.790057870297</v>
      </c>
      <c r="AI122" s="10">
        <f ca="1">IFERROR(__xludf.DUMMYFUNCTION("""COMPUTED_VALUE"""),44489.4584953703)</f>
        <v>44489.458495370302</v>
      </c>
      <c r="AJ122" s="7">
        <f ca="1">IFERROR(__xludf.DUMMYFUNCTION("""COMPUTED_VALUE"""),108)</f>
        <v>108</v>
      </c>
    </row>
    <row r="123" spans="1:36" ht="157.5" x14ac:dyDescent="0.2">
      <c r="A123" s="7">
        <f ca="1">IFERROR(__xludf.DUMMYFUNCTION("""COMPUTED_VALUE"""),166)</f>
        <v>166</v>
      </c>
      <c r="B123" s="7" t="str">
        <f ca="1">IFERROR(__xludf.DUMMYFUNCTION("""COMPUTED_VALUE"""),"FR-298")</f>
        <v>FR-298</v>
      </c>
      <c r="C123" s="9" t="str">
        <f ca="1">IFERROR(__xludf.DUMMYFUNCTION("""COMPUTED_VALUE"""),"Оказание услуг по техническому обслуживанию и текущему ремонту 
электроустановок")</f>
        <v>Оказание услуг по техническому обслуживанию и текущему ремонту 
электроустановок</v>
      </c>
      <c r="D123" s="7" t="str">
        <f ca="1">IFERROR(__xludf.DUMMYFUNCTION("""COMPUTED_VALUE"""),"План по стандартизации")</f>
        <v>План по стандартизации</v>
      </c>
      <c r="E123" s="7">
        <f ca="1">IFERROR(__xludf.DUMMYFUNCTION("""COMPUTED_VALUE"""),2021)</f>
        <v>2021</v>
      </c>
      <c r="F123" s="7">
        <f ca="1">IFERROR(__xludf.DUMMYFUNCTION("""COMPUTED_VALUE"""),2)</f>
        <v>2</v>
      </c>
      <c r="G123" s="7" t="str">
        <f ca="1">IFERROR(__xludf.DUMMYFUNCTION("""COMPUTED_VALUE"""),"ТТЗ")</f>
        <v>ТТЗ</v>
      </c>
      <c r="H123" s="7" t="str">
        <f ca="1">IFERROR(__xludf.DUMMYFUNCTION("""COMPUTED_VALUE"""),"Завершено")</f>
        <v>Завершено</v>
      </c>
      <c r="I123" s="7">
        <f ca="1">IFERROR(__xludf.DUMMYFUNCTION("""COMPUTED_VALUE"""),7)</f>
        <v>7</v>
      </c>
      <c r="J123" s="7">
        <f ca="1">IFERROR(__xludf.DUMMYFUNCTION("""COMPUTED_VALUE"""),4)</f>
        <v>4</v>
      </c>
      <c r="K123" s="7" t="str">
        <f ca="1">IFERROR(__xludf.DUMMYFUNCTION("""COMPUTED_VALUE"""),"Воробьев Вадим Владимирович")</f>
        <v>Воробьев Вадим Владимирович</v>
      </c>
      <c r="L123" s="7" t="str">
        <f ca="1">IFERROR(__xludf.DUMMYFUNCTION("""COMPUTED_VALUE"""),"Уфаркина Наталья Геннадьевна")</f>
        <v>Уфаркина Наталья Геннадьевна</v>
      </c>
      <c r="M123" s="7" t="str">
        <f ca="1">IFERROR(__xludf.DUMMYFUNCTION("""COMPUTED_VALUE"""),"Гудиев Зелимхан Куйраевич")</f>
        <v>Гудиев Зелимхан Куйраевич</v>
      </c>
      <c r="N123" s="7"/>
      <c r="O123" s="7" t="str">
        <f ca="1">IFERROR(__xludf.DUMMYFUNCTION("""COMPUTED_VALUE"""),"Типовой")</f>
        <v>Типовой</v>
      </c>
      <c r="P123" s="7"/>
      <c r="Q123" s="7" t="str">
        <f ca="1">IFERROR(__xludf.DUMMYFUNCTION("""COMPUTED_VALUE"""),"223-ФЗ")</f>
        <v>223-ФЗ</v>
      </c>
      <c r="R123" s="7" t="str">
        <f ca="1">IFERROR(__xludf.DUMMYFUNCTION("""COMPUTED_VALUE"""),"Нет")</f>
        <v>Нет</v>
      </c>
      <c r="S123" s="7"/>
      <c r="T123" s="7"/>
      <c r="U123" s="7" t="str">
        <f ca="1">IFERROR(__xludf.DUMMYFUNCTION("""COMPUTED_VALUE"""),"Оказание услуг по техническому обслуживанию и текущему ремонту 
электроустановок")</f>
        <v>Оказание услуг по техническому обслуживанию и текущему ремонту 
электроустановок</v>
      </c>
      <c r="V123" s="10">
        <f ca="1">IFERROR(__xludf.DUMMYFUNCTION("""COMPUTED_VALUE"""),44336.5597569444)</f>
        <v>44336.5597569444</v>
      </c>
      <c r="W123" s="7"/>
      <c r="X123" s="17">
        <f ca="1">IFERROR(__xludf.DUMMYFUNCTION("""COMPUTED_VALUE"""),44694)</f>
        <v>44694</v>
      </c>
      <c r="Y123" s="7" t="str">
        <f ca="1">IFERROR(__xludf.DUMMYFUNCTION("""COMPUTED_VALUE"""),"51.21")</f>
        <v>51.21</v>
      </c>
      <c r="Z123" s="7" t="str">
        <f ca="1">IFERROR(__xludf.DUMMYFUNCTION("""COMPUTED_VALUE"""),"4.69")</f>
        <v>4.69</v>
      </c>
      <c r="AA123" s="7" t="str">
        <f ca="1">IFERROR(__xludf.DUMMYFUNCTION("""COMPUTED_VALUE"""),"0.1")</f>
        <v>0.1</v>
      </c>
      <c r="AB123" s="7" t="str">
        <f ca="1">IFERROR(__xludf.DUMMYFUNCTION("""COMPUTED_VALUE"""),"34.18")</f>
        <v>34.18</v>
      </c>
      <c r="AC123" s="7" t="str">
        <f ca="1">IFERROR(__xludf.DUMMYFUNCTION("""COMPUTED_VALUE"""),"33.11")</f>
        <v>33.11</v>
      </c>
      <c r="AD123" s="7" t="str">
        <f ca="1">IFERROR(__xludf.DUMMYFUNCTION("""COMPUTED_VALUE"""),"39.58")</f>
        <v>39.58</v>
      </c>
      <c r="AE123" s="8">
        <f ca="1">IFERROR(__xludf.DUMMYFUNCTION("""COMPUTED_VALUE"""),44663)</f>
        <v>44663</v>
      </c>
      <c r="AF123" s="7">
        <f ca="1">IFERROR(__xludf.DUMMYFUNCTION("""COMPUTED_VALUE"""),1)</f>
        <v>1</v>
      </c>
      <c r="AG123" s="7" t="str">
        <f ca="1">IFERROR(__xludf.DUMMYFUNCTION("""COMPUTED_VALUE"""),"4.16")</f>
        <v>4.16</v>
      </c>
      <c r="AH123" s="10">
        <f ca="1">IFERROR(__xludf.DUMMYFUNCTION("""COMPUTED_VALUE"""),44595.474375)</f>
        <v>44595.474374999998</v>
      </c>
      <c r="AI123" s="10">
        <f ca="1">IFERROR(__xludf.DUMMYFUNCTION("""COMPUTED_VALUE"""),44621.6690393518)</f>
        <v>44621.6690393518</v>
      </c>
      <c r="AJ123" s="7">
        <f ca="1">IFERROR(__xludf.DUMMYFUNCTION("""COMPUTED_VALUE"""),194)</f>
        <v>194</v>
      </c>
    </row>
    <row r="124" spans="1:36" ht="204.75" x14ac:dyDescent="0.2">
      <c r="A124" s="7">
        <f ca="1">IFERROR(__xludf.DUMMYFUNCTION("""COMPUTED_VALUE"""),167)</f>
        <v>167</v>
      </c>
      <c r="B124" s="7" t="str">
        <f ca="1">IFERROR(__xludf.DUMMYFUNCTION("""COMPUTED_VALUE"""),"FR-299")</f>
        <v>FR-299</v>
      </c>
      <c r="C124" s="9" t="str">
        <f ca="1">IFERROR(__xludf.DUMMYFUNCTION("""COMPUTED_VALUE"""),"Оказание услуг управляющей организацией по комплексному обслуживанию 
нежилых помещений")</f>
        <v>Оказание услуг управляющей организацией по комплексному обслуживанию 
нежилых помещений</v>
      </c>
      <c r="D124" s="7" t="str">
        <f ca="1">IFERROR(__xludf.DUMMYFUNCTION("""COMPUTED_VALUE"""),"План по стандартизации")</f>
        <v>План по стандартизации</v>
      </c>
      <c r="E124" s="7">
        <f ca="1">IFERROR(__xludf.DUMMYFUNCTION("""COMPUTED_VALUE"""),2021)</f>
        <v>2021</v>
      </c>
      <c r="F124" s="7">
        <f ca="1">IFERROR(__xludf.DUMMYFUNCTION("""COMPUTED_VALUE"""),2)</f>
        <v>2</v>
      </c>
      <c r="G124" s="7" t="str">
        <f ca="1">IFERROR(__xludf.DUMMYFUNCTION("""COMPUTED_VALUE"""),"ТТЗ")</f>
        <v>ТТЗ</v>
      </c>
      <c r="H124" s="7" t="str">
        <f ca="1">IFERROR(__xludf.DUMMYFUNCTION("""COMPUTED_VALUE"""),"Завершено")</f>
        <v>Завершено</v>
      </c>
      <c r="I124" s="7">
        <f ca="1">IFERROR(__xludf.DUMMYFUNCTION("""COMPUTED_VALUE"""),10)</f>
        <v>10</v>
      </c>
      <c r="J124" s="7">
        <f ca="1">IFERROR(__xludf.DUMMYFUNCTION("""COMPUTED_VALUE"""),1)</f>
        <v>1</v>
      </c>
      <c r="K124" s="7" t="str">
        <f ca="1">IFERROR(__xludf.DUMMYFUNCTION("""COMPUTED_VALUE"""),"Першина Дарья Валерьевна")</f>
        <v>Першина Дарья Валерьевна</v>
      </c>
      <c r="L124" s="7" t="str">
        <f ca="1">IFERROR(__xludf.DUMMYFUNCTION("""COMPUTED_VALUE"""),"Уфаркина Наталья Геннадьевна")</f>
        <v>Уфаркина Наталья Геннадьевна</v>
      </c>
      <c r="M124" s="7" t="str">
        <f ca="1">IFERROR(__xludf.DUMMYFUNCTION("""COMPUTED_VALUE"""),"Гудиев Зелимхан Куйраевич")</f>
        <v>Гудиев Зелимхан Куйраевич</v>
      </c>
      <c r="N124" s="7"/>
      <c r="O124" s="7" t="str">
        <f ca="1">IFERROR(__xludf.DUMMYFUNCTION("""COMPUTED_VALUE"""),"Типовой")</f>
        <v>Типовой</v>
      </c>
      <c r="P124" s="7"/>
      <c r="Q124" s="7" t="str">
        <f ca="1">IFERROR(__xludf.DUMMYFUNCTION("""COMPUTED_VALUE"""),"Нет")</f>
        <v>Нет</v>
      </c>
      <c r="R124" s="7" t="str">
        <f ca="1">IFERROR(__xludf.DUMMYFUNCTION("""COMPUTED_VALUE"""),"Нет")</f>
        <v>Нет</v>
      </c>
      <c r="S124" s="7" t="str">
        <f ca="1">IFERROR(__xludf.DUMMYFUNCTION("""COMPUTED_VALUE"""),"Электронный аукцион")</f>
        <v>Электронный аукцион</v>
      </c>
      <c r="T124" s="7"/>
      <c r="U124" s="7" t="str">
        <f ca="1">IFERROR(__xludf.DUMMYFUNCTION("""COMPUTED_VALUE"""),"Оказание услуг управляющей организацией по комплексному обслуживанию 
нежилых помещений")</f>
        <v>Оказание услуг управляющей организацией по комплексному обслуживанию 
нежилых помещений</v>
      </c>
      <c r="V124" s="10">
        <f ca="1">IFERROR(__xludf.DUMMYFUNCTION("""COMPUTED_VALUE"""),44336.5651967592)</f>
        <v>44336.565196759198</v>
      </c>
      <c r="W124" s="7" t="str">
        <f ca="1">IFERROR(__xludf.DUMMYFUNCTION("""COMPUTED_VALUE"""),"14.83")</f>
        <v>14.83</v>
      </c>
      <c r="X124" s="16" t="str">
        <f ca="1">IFERROR(__xludf.DUMMYFUNCTION("""COMPUTED_VALUE"""),"5.55")</f>
        <v>5.55</v>
      </c>
      <c r="Y124" s="11">
        <f ca="1">IFERROR(__xludf.DUMMYFUNCTION("""COMPUTED_VALUE"""),44569)</f>
        <v>44569</v>
      </c>
      <c r="Z124" s="7" t="str">
        <f ca="1">IFERROR(__xludf.DUMMYFUNCTION("""COMPUTED_VALUE"""),"28.24")</f>
        <v>28.24</v>
      </c>
      <c r="AA124" s="7" t="str">
        <f ca="1">IFERROR(__xludf.DUMMYFUNCTION("""COMPUTED_VALUE"""),"1.75")</f>
        <v>1.75</v>
      </c>
      <c r="AB124" s="7" t="str">
        <f ca="1">IFERROR(__xludf.DUMMYFUNCTION("""COMPUTED_VALUE"""),"84.3")</f>
        <v>84.3</v>
      </c>
      <c r="AC124" s="8">
        <f ca="1">IFERROR(__xludf.DUMMYFUNCTION("""COMPUTED_VALUE"""),44757)</f>
        <v>44757</v>
      </c>
      <c r="AD124" s="11">
        <f ca="1">IFERROR(__xludf.DUMMYFUNCTION("""COMPUTED_VALUE"""),44906)</f>
        <v>44906</v>
      </c>
      <c r="AE124" s="7" t="str">
        <f ca="1">IFERROR(__xludf.DUMMYFUNCTION("""COMPUTED_VALUE"""),"18.98")</f>
        <v>18.98</v>
      </c>
      <c r="AF124" s="7">
        <f ca="1">IFERROR(__xludf.DUMMYFUNCTION("""COMPUTED_VALUE"""),1)</f>
        <v>1</v>
      </c>
      <c r="AG124" s="11">
        <f ca="1">IFERROR(__xludf.DUMMYFUNCTION("""COMPUTED_VALUE"""),44594)</f>
        <v>44594</v>
      </c>
      <c r="AH124" s="10">
        <f ca="1">IFERROR(__xludf.DUMMYFUNCTION("""COMPUTED_VALUE"""),44586.5282986111)</f>
        <v>44586.528298611098</v>
      </c>
      <c r="AI124" s="10">
        <f ca="1">IFERROR(__xludf.DUMMYFUNCTION("""COMPUTED_VALUE"""),44617.7109722222)</f>
        <v>44617.710972222201</v>
      </c>
      <c r="AJ124" s="7">
        <f ca="1">IFERROR(__xludf.DUMMYFUNCTION("""COMPUTED_VALUE"""),176)</f>
        <v>176</v>
      </c>
    </row>
    <row r="125" spans="1:36" ht="204.75" x14ac:dyDescent="0.2">
      <c r="A125" s="7">
        <f ca="1">IFERROR(__xludf.DUMMYFUNCTION("""COMPUTED_VALUE"""),168)</f>
        <v>168</v>
      </c>
      <c r="B125" s="7" t="str">
        <f ca="1">IFERROR(__xludf.DUMMYFUNCTION("""COMPUTED_VALUE"""),"FR-300")</f>
        <v>FR-300</v>
      </c>
      <c r="C125" s="9" t="str">
        <f ca="1">IFERROR(__xludf.DUMMYFUNCTION("""COMPUTED_VALUE"""),"Выполнение работ по текущему ремонту объектов водоснабжения, водоотведения 
(канализации) и теплоснабжения")</f>
        <v>Выполнение работ по текущему ремонту объектов водоснабжения, водоотведения 
(канализации) и теплоснабжения</v>
      </c>
      <c r="D125" s="7" t="str">
        <f ca="1">IFERROR(__xludf.DUMMYFUNCTION("""COMPUTED_VALUE"""),"План по стандартизации")</f>
        <v>План по стандартизации</v>
      </c>
      <c r="E125" s="7">
        <f ca="1">IFERROR(__xludf.DUMMYFUNCTION("""COMPUTED_VALUE"""),2021)</f>
        <v>2021</v>
      </c>
      <c r="F125" s="7">
        <f ca="1">IFERROR(__xludf.DUMMYFUNCTION("""COMPUTED_VALUE"""),3)</f>
        <v>3</v>
      </c>
      <c r="G125" s="7" t="str">
        <f ca="1">IFERROR(__xludf.DUMMYFUNCTION("""COMPUTED_VALUE"""),"ТТЗ")</f>
        <v>ТТЗ</v>
      </c>
      <c r="H125" s="7" t="str">
        <f ca="1">IFERROR(__xludf.DUMMYFUNCTION("""COMPUTED_VALUE"""),"Завершено")</f>
        <v>Завершено</v>
      </c>
      <c r="I125" s="7">
        <f ca="1">IFERROR(__xludf.DUMMYFUNCTION("""COMPUTED_VALUE"""),3)</f>
        <v>3</v>
      </c>
      <c r="J125" s="7">
        <f ca="1">IFERROR(__xludf.DUMMYFUNCTION("""COMPUTED_VALUE"""),1)</f>
        <v>1</v>
      </c>
      <c r="K125" s="7" t="str">
        <f ca="1">IFERROR(__xludf.DUMMYFUNCTION("""COMPUTED_VALUE"""),"Уфаркина Наталья Геннадьевна")</f>
        <v>Уфаркина Наталья Геннадьевна</v>
      </c>
      <c r="L125" s="7" t="str">
        <f ca="1">IFERROR(__xludf.DUMMYFUNCTION("""COMPUTED_VALUE"""),"Уфаркина Наталья Геннадьевна")</f>
        <v>Уфаркина Наталья Геннадьевна</v>
      </c>
      <c r="M125" s="7" t="str">
        <f ca="1">IFERROR(__xludf.DUMMYFUNCTION("""COMPUTED_VALUE"""),"Гудиев Зелимхан Куйраевич")</f>
        <v>Гудиев Зелимхан Куйраевич</v>
      </c>
      <c r="N125" s="7"/>
      <c r="O125" s="7" t="str">
        <f ca="1">IFERROR(__xludf.DUMMYFUNCTION("""COMPUTED_VALUE"""),"Типовой")</f>
        <v>Типовой</v>
      </c>
      <c r="P125" s="7" t="str">
        <f ca="1">IFERROR(__xludf.DUMMYFUNCTION("""COMPUTED_VALUE"""),"Нет")</f>
        <v>Нет</v>
      </c>
      <c r="Q125" s="7" t="str">
        <f ca="1">IFERROR(__xludf.DUMMYFUNCTION("""COMPUTED_VALUE"""),"223-ФЗ")</f>
        <v>223-ФЗ</v>
      </c>
      <c r="R125" s="7" t="str">
        <f ca="1">IFERROR(__xludf.DUMMYFUNCTION("""COMPUTED_VALUE"""),"Нет")</f>
        <v>Нет</v>
      </c>
      <c r="S125" s="7" t="str">
        <f ca="1">IFERROR(__xludf.DUMMYFUNCTION("""COMPUTED_VALUE"""),"Открытый конкурс / Электронный аукцион")</f>
        <v>Открытый конкурс / Электронный аукцион</v>
      </c>
      <c r="T125" s="7"/>
      <c r="U125" s="7" t="str">
        <f ca="1">IFERROR(__xludf.DUMMYFUNCTION("""COMPUTED_VALUE"""),"Выполнение работ по текущему ремонту объектов водоснабжения, водоотведения 
(канализации) и теплоснабжения")</f>
        <v>Выполнение работ по текущему ремонту объектов водоснабжения, водоотведения 
(канализации) и теплоснабжения</v>
      </c>
      <c r="V125" s="10">
        <f ca="1">IFERROR(__xludf.DUMMYFUNCTION("""COMPUTED_VALUE"""),44342.4491435185)</f>
        <v>44342.449143518497</v>
      </c>
      <c r="W125" s="7" t="str">
        <f ca="1">IFERROR(__xludf.DUMMYFUNCTION("""COMPUTED_VALUE"""),"64.19")</f>
        <v>64.19</v>
      </c>
      <c r="X125" s="16" t="str">
        <f ca="1">IFERROR(__xludf.DUMMYFUNCTION("""COMPUTED_VALUE"""),"11.98")</f>
        <v>11.98</v>
      </c>
      <c r="Y125" s="7" t="str">
        <f ca="1">IFERROR(__xludf.DUMMYFUNCTION("""COMPUTED_VALUE"""),"7.27")</f>
        <v>7.27</v>
      </c>
      <c r="Z125" s="7" t="str">
        <f ca="1">IFERROR(__xludf.DUMMYFUNCTION("""COMPUTED_VALUE"""),"6.82")</f>
        <v>6.82</v>
      </c>
      <c r="AA125" s="7">
        <f ca="1">IFERROR(__xludf.DUMMYFUNCTION("""COMPUTED_VALUE"""),0)</f>
        <v>0</v>
      </c>
      <c r="AB125" s="7" t="str">
        <f ca="1">IFERROR(__xludf.DUMMYFUNCTION("""COMPUTED_VALUE"""),"55.88")</f>
        <v>55.88</v>
      </c>
      <c r="AC125" s="7" t="str">
        <f ca="1">IFERROR(__xludf.DUMMYFUNCTION("""COMPUTED_VALUE"""),"15.96")</f>
        <v>15.96</v>
      </c>
      <c r="AD125" s="7" t="str">
        <f ca="1">IFERROR(__xludf.DUMMYFUNCTION("""COMPUTED_VALUE"""),"2.97")</f>
        <v>2.97</v>
      </c>
      <c r="AE125" s="7" t="str">
        <f ca="1">IFERROR(__xludf.DUMMYFUNCTION("""COMPUTED_VALUE"""),"18.98")</f>
        <v>18.98</v>
      </c>
      <c r="AF125" s="7">
        <f ca="1">IFERROR(__xludf.DUMMYFUNCTION("""COMPUTED_VALUE"""),1)</f>
        <v>1</v>
      </c>
      <c r="AG125" s="11">
        <f ca="1">IFERROR(__xludf.DUMMYFUNCTION("""COMPUTED_VALUE"""),44900)</f>
        <v>44900</v>
      </c>
      <c r="AH125" s="10">
        <f ca="1">IFERROR(__xludf.DUMMYFUNCTION("""COMPUTED_VALUE"""),44586.5285416666)</f>
        <v>44586.528541666601</v>
      </c>
      <c r="AI125" s="10">
        <f ca="1">IFERROR(__xludf.DUMMYFUNCTION("""COMPUTED_VALUE"""),44622.6288773148)</f>
        <v>44622.628877314797</v>
      </c>
      <c r="AJ125" s="7">
        <f ca="1">IFERROR(__xludf.DUMMYFUNCTION("""COMPUTED_VALUE"""),126)</f>
        <v>126</v>
      </c>
    </row>
    <row r="126" spans="1:36" ht="189" x14ac:dyDescent="0.2">
      <c r="A126" s="7">
        <f ca="1">IFERROR(__xludf.DUMMYFUNCTION("""COMPUTED_VALUE"""),169)</f>
        <v>169</v>
      </c>
      <c r="B126" s="7" t="str">
        <f ca="1">IFERROR(__xludf.DUMMYFUNCTION("""COMPUTED_VALUE"""),"FR-301")</f>
        <v>FR-301</v>
      </c>
      <c r="C126" s="9" t="str">
        <f ca="1">IFERROR(__xludf.DUMMYFUNCTION("""COMPUTED_VALUE"""),"Выполнение работ по разработке проектно-сметной документации на объекты 
инфраструктуры метрополитена")</f>
        <v>Выполнение работ по разработке проектно-сметной документации на объекты 
инфраструктуры метрополитена</v>
      </c>
      <c r="D126" s="7" t="str">
        <f ca="1">IFERROR(__xludf.DUMMYFUNCTION("""COMPUTED_VALUE"""),"План по стандартизации")</f>
        <v>План по стандартизации</v>
      </c>
      <c r="E126" s="7">
        <f ca="1">IFERROR(__xludf.DUMMYFUNCTION("""COMPUTED_VALUE"""),2021)</f>
        <v>2021</v>
      </c>
      <c r="F126" s="7">
        <f ca="1">IFERROR(__xludf.DUMMYFUNCTION("""COMPUTED_VALUE"""),2)</f>
        <v>2</v>
      </c>
      <c r="G126" s="7" t="str">
        <f ca="1">IFERROR(__xludf.DUMMYFUNCTION("""COMPUTED_VALUE"""),"ТТЗ")</f>
        <v>ТТЗ</v>
      </c>
      <c r="H126" s="7" t="str">
        <f ca="1">IFERROR(__xludf.DUMMYFUNCTION("""COMPUTED_VALUE"""),"Завершено")</f>
        <v>Завершено</v>
      </c>
      <c r="I126" s="7">
        <f ca="1">IFERROR(__xludf.DUMMYFUNCTION("""COMPUTED_VALUE"""),2)</f>
        <v>2</v>
      </c>
      <c r="J126" s="7">
        <f ca="1">IFERROR(__xludf.DUMMYFUNCTION("""COMPUTED_VALUE"""),2)</f>
        <v>2</v>
      </c>
      <c r="K126" s="7" t="str">
        <f ca="1">IFERROR(__xludf.DUMMYFUNCTION("""COMPUTED_VALUE"""),"Желтова Яна Валерьевна")</f>
        <v>Желтова Яна Валерьевна</v>
      </c>
      <c r="L126" s="7" t="str">
        <f ca="1">IFERROR(__xludf.DUMMYFUNCTION("""COMPUTED_VALUE"""),"Бутасова Светлана Валерьевна")</f>
        <v>Бутасова Светлана Валерьевна</v>
      </c>
      <c r="M126" s="7" t="str">
        <f ca="1">IFERROR(__xludf.DUMMYFUNCTION("""COMPUTED_VALUE"""),"Чурсина Мария Вячеславовна")</f>
        <v>Чурсина Мария Вячеславовна</v>
      </c>
      <c r="N126" s="7"/>
      <c r="O126" s="7" t="str">
        <f ca="1">IFERROR(__xludf.DUMMYFUNCTION("""COMPUTED_VALUE"""),"Типовой")</f>
        <v>Типовой</v>
      </c>
      <c r="P126" s="7" t="str">
        <f ca="1">IFERROR(__xludf.DUMMYFUNCTION("""COMPUTED_VALUE"""),"Нет")</f>
        <v>Нет</v>
      </c>
      <c r="Q126" s="7" t="str">
        <f ca="1">IFERROR(__xludf.DUMMYFUNCTION("""COMPUTED_VALUE"""),"44-ФЗ / 223-ФЗ")</f>
        <v>44-ФЗ / 223-ФЗ</v>
      </c>
      <c r="R126" s="7" t="str">
        <f ca="1">IFERROR(__xludf.DUMMYFUNCTION("""COMPUTED_VALUE"""),"Нет")</f>
        <v>Нет</v>
      </c>
      <c r="S126" s="7" t="str">
        <f ca="1">IFERROR(__xludf.DUMMYFUNCTION("""COMPUTED_VALUE"""),"Открытый конкурс / Электронный аукцион")</f>
        <v>Открытый конкурс / Электронный аукцион</v>
      </c>
      <c r="T126" s="7"/>
      <c r="U126" s="7" t="str">
        <f ca="1">IFERROR(__xludf.DUMMYFUNCTION("""COMPUTED_VALUE"""),"Выполнение работ по разработке проектно-сметной документации на объекты 
инфраструктуры метрополитена")</f>
        <v>Выполнение работ по разработке проектно-сметной документации на объекты 
инфраструктуры метрополитена</v>
      </c>
      <c r="V126" s="10">
        <f ca="1">IFERROR(__xludf.DUMMYFUNCTION("""COMPUTED_VALUE"""),44342.4657754629)</f>
        <v>44342.465775462901</v>
      </c>
      <c r="W126" s="7">
        <f ca="1">IFERROR(__xludf.DUMMYFUNCTION("""COMPUTED_VALUE"""),0)</f>
        <v>0</v>
      </c>
      <c r="X126" s="16" t="str">
        <f ca="1">IFERROR(__xludf.DUMMYFUNCTION("""COMPUTED_VALUE"""),"17.28")</f>
        <v>17.28</v>
      </c>
      <c r="Y126" s="7" t="str">
        <f ca="1">IFERROR(__xludf.DUMMYFUNCTION("""COMPUTED_VALUE"""),"27.27")</f>
        <v>27.27</v>
      </c>
      <c r="Z126" s="7" t="str">
        <f ca="1">IFERROR(__xludf.DUMMYFUNCTION("""COMPUTED_VALUE"""),"17.41")</f>
        <v>17.41</v>
      </c>
      <c r="AA126" s="7">
        <f ca="1">IFERROR(__xludf.DUMMYFUNCTION("""COMPUTED_VALUE"""),0)</f>
        <v>0</v>
      </c>
      <c r="AB126" s="7" t="str">
        <f ca="1">IFERROR(__xludf.DUMMYFUNCTION("""COMPUTED_VALUE"""),"28.19")</f>
        <v>28.19</v>
      </c>
      <c r="AC126" s="7" t="str">
        <f ca="1">IFERROR(__xludf.DUMMYFUNCTION("""COMPUTED_VALUE"""),"18.29")</f>
        <v>18.29</v>
      </c>
      <c r="AD126" s="7" t="str">
        <f ca="1">IFERROR(__xludf.DUMMYFUNCTION("""COMPUTED_VALUE"""),"35.74")</f>
        <v>35.74</v>
      </c>
      <c r="AE126" s="7" t="str">
        <f ca="1">IFERROR(__xludf.DUMMYFUNCTION("""COMPUTED_VALUE"""),"6.85")</f>
        <v>6.85</v>
      </c>
      <c r="AF126" s="7">
        <f ca="1">IFERROR(__xludf.DUMMYFUNCTION("""COMPUTED_VALUE"""),0)</f>
        <v>0</v>
      </c>
      <c r="AG126" s="7" t="str">
        <f ca="1">IFERROR(__xludf.DUMMYFUNCTION("""COMPUTED_VALUE"""),"1.97")</f>
        <v>1.97</v>
      </c>
      <c r="AH126" s="10">
        <f ca="1">IFERROR(__xludf.DUMMYFUNCTION("""COMPUTED_VALUE"""),44547.6535069444)</f>
        <v>44547.6535069444</v>
      </c>
      <c r="AI126" s="10">
        <f ca="1">IFERROR(__xludf.DUMMYFUNCTION("""COMPUTED_VALUE"""),44560.4742476851)</f>
        <v>44560.474247685102</v>
      </c>
      <c r="AJ126" s="7">
        <f ca="1">IFERROR(__xludf.DUMMYFUNCTION("""COMPUTED_VALUE"""),153)</f>
        <v>153</v>
      </c>
    </row>
    <row r="127" spans="1:36" ht="141.75" x14ac:dyDescent="0.2">
      <c r="A127" s="7">
        <f ca="1">IFERROR(__xludf.DUMMYFUNCTION("""COMPUTED_VALUE"""),170)</f>
        <v>170</v>
      </c>
      <c r="B127" s="7" t="str">
        <f ca="1">IFERROR(__xludf.DUMMYFUNCTION("""COMPUTED_VALUE"""),"FR-302")</f>
        <v>FR-302</v>
      </c>
      <c r="C127" s="9" t="str">
        <f ca="1">IFERROR(__xludf.DUMMYFUNCTION("""COMPUTED_VALUE"""),"Выполнение работ по монтажу, установке, сборке вентиляционного оборудования")</f>
        <v>Выполнение работ по монтажу, установке, сборке вентиляционного оборудования</v>
      </c>
      <c r="D127" s="7" t="str">
        <f ca="1">IFERROR(__xludf.DUMMYFUNCTION("""COMPUTED_VALUE"""),"План по стандартизации")</f>
        <v>План по стандартизации</v>
      </c>
      <c r="E127" s="7">
        <f ca="1">IFERROR(__xludf.DUMMYFUNCTION("""COMPUTED_VALUE"""),2021)</f>
        <v>2021</v>
      </c>
      <c r="F127" s="7">
        <f ca="1">IFERROR(__xludf.DUMMYFUNCTION("""COMPUTED_VALUE"""),3)</f>
        <v>3</v>
      </c>
      <c r="G127" s="7" t="str">
        <f ca="1">IFERROR(__xludf.DUMMYFUNCTION("""COMPUTED_VALUE"""),"ТТЗ")</f>
        <v>ТТЗ</v>
      </c>
      <c r="H127" s="7" t="str">
        <f ca="1">IFERROR(__xludf.DUMMYFUNCTION("""COMPUTED_VALUE"""),"Завершено")</f>
        <v>Завершено</v>
      </c>
      <c r="I127" s="7">
        <f ca="1">IFERROR(__xludf.DUMMYFUNCTION("""COMPUTED_VALUE"""),5)</f>
        <v>5</v>
      </c>
      <c r="J127" s="7">
        <f ca="1">IFERROR(__xludf.DUMMYFUNCTION("""COMPUTED_VALUE"""),2)</f>
        <v>2</v>
      </c>
      <c r="K127" s="7" t="str">
        <f ca="1">IFERROR(__xludf.DUMMYFUNCTION("""COMPUTED_VALUE"""),"Желтова Яна Валерьевна")</f>
        <v>Желтова Яна Валерьевна</v>
      </c>
      <c r="L127" s="7" t="str">
        <f ca="1">IFERROR(__xludf.DUMMYFUNCTION("""COMPUTED_VALUE"""),"Бутасова Светлана Валерьевна")</f>
        <v>Бутасова Светлана Валерьевна</v>
      </c>
      <c r="M127" s="7" t="str">
        <f ca="1">IFERROR(__xludf.DUMMYFUNCTION("""COMPUTED_VALUE"""),"Чурсина Мария Вячеславовна")</f>
        <v>Чурсина Мария Вячеславовна</v>
      </c>
      <c r="N127" s="7"/>
      <c r="O127" s="7" t="str">
        <f ca="1">IFERROR(__xludf.DUMMYFUNCTION("""COMPUTED_VALUE"""),"Типовой")</f>
        <v>Типовой</v>
      </c>
      <c r="P127" s="7"/>
      <c r="Q127" s="7"/>
      <c r="R127" s="7"/>
      <c r="S127" s="7"/>
      <c r="T127" s="7"/>
      <c r="U127" s="7" t="str">
        <f ca="1">IFERROR(__xludf.DUMMYFUNCTION("""COMPUTED_VALUE"""),"Выполнение работ по монтажу, установке, сборке вентиляционного оборудования")</f>
        <v>Выполнение работ по монтажу, установке, сборке вентиляционного оборудования</v>
      </c>
      <c r="V127" s="10">
        <f ca="1">IFERROR(__xludf.DUMMYFUNCTION("""COMPUTED_VALUE"""),44342.4695023148)</f>
        <v>44342.469502314802</v>
      </c>
      <c r="W127" s="7" t="str">
        <f ca="1">IFERROR(__xludf.DUMMYFUNCTION("""COMPUTED_VALUE"""),"66.02")</f>
        <v>66.02</v>
      </c>
      <c r="X127" s="16" t="str">
        <f ca="1">IFERROR(__xludf.DUMMYFUNCTION("""COMPUTED_VALUE"""),"12.91")</f>
        <v>12.91</v>
      </c>
      <c r="Y127" s="7" t="str">
        <f ca="1">IFERROR(__xludf.DUMMYFUNCTION("""COMPUTED_VALUE"""),"8.77")</f>
        <v>8.77</v>
      </c>
      <c r="Z127" s="7" t="str">
        <f ca="1">IFERROR(__xludf.DUMMYFUNCTION("""COMPUTED_VALUE"""),"5.81")</f>
        <v>5.81</v>
      </c>
      <c r="AA127" s="7" t="str">
        <f ca="1">IFERROR(__xludf.DUMMYFUNCTION("""COMPUTED_VALUE"""),"0.34")</f>
        <v>0.34</v>
      </c>
      <c r="AB127" s="7" t="str">
        <f ca="1">IFERROR(__xludf.DUMMYFUNCTION("""COMPUTED_VALUE"""),"42.64")</f>
        <v>42.64</v>
      </c>
      <c r="AC127" s="7" t="str">
        <f ca="1">IFERROR(__xludf.DUMMYFUNCTION("""COMPUTED_VALUE"""),"19.72")</f>
        <v>19.72</v>
      </c>
      <c r="AD127" s="7" t="str">
        <f ca="1">IFERROR(__xludf.DUMMYFUNCTION("""COMPUTED_VALUE"""),"8.85")</f>
        <v>8.85</v>
      </c>
      <c r="AE127" s="7" t="str">
        <f ca="1">IFERROR(__xludf.DUMMYFUNCTION("""COMPUTED_VALUE"""),"18.98")</f>
        <v>18.98</v>
      </c>
      <c r="AF127" s="7">
        <f ca="1">IFERROR(__xludf.DUMMYFUNCTION("""COMPUTED_VALUE"""),1)</f>
        <v>1</v>
      </c>
      <c r="AG127" s="7" t="str">
        <f ca="1">IFERROR(__xludf.DUMMYFUNCTION("""COMPUTED_VALUE"""),"3.28")</f>
        <v>3.28</v>
      </c>
      <c r="AH127" s="10">
        <f ca="1">IFERROR(__xludf.DUMMYFUNCTION("""COMPUTED_VALUE"""),44586.5288078703)</f>
        <v>44586.528807870302</v>
      </c>
      <c r="AI127" s="10">
        <f ca="1">IFERROR(__xludf.DUMMYFUNCTION("""COMPUTED_VALUE"""),44620.7918402777)</f>
        <v>44620.7918402777</v>
      </c>
      <c r="AJ127" s="7">
        <f ca="1">IFERROR(__xludf.DUMMYFUNCTION("""COMPUTED_VALUE"""),122)</f>
        <v>122</v>
      </c>
    </row>
    <row r="128" spans="1:36" ht="94.5" x14ac:dyDescent="0.2">
      <c r="A128" s="7">
        <f ca="1">IFERROR(__xludf.DUMMYFUNCTION("""COMPUTED_VALUE"""),171)</f>
        <v>171</v>
      </c>
      <c r="B128" s="7" t="str">
        <f ca="1">IFERROR(__xludf.DUMMYFUNCTION("""COMPUTED_VALUE"""),"FR-303")</f>
        <v>FR-303</v>
      </c>
      <c r="C128" s="9" t="str">
        <f ca="1">IFERROR(__xludf.DUMMYFUNCTION("""COMPUTED_VALUE"""),"Поставка технических средств охранной сигнализации, пожарной автоматики и 
автоматических установок пожаротушения")</f>
        <v>Поставка технических средств охранной сигнализации, пожарной автоматики и 
автоматических установок пожаротушения</v>
      </c>
      <c r="D128" s="7" t="str">
        <f ca="1">IFERROR(__xludf.DUMMYFUNCTION("""COMPUTED_VALUE"""),"План по стандартизации")</f>
        <v>План по стандартизации</v>
      </c>
      <c r="E128" s="7">
        <f ca="1">IFERROR(__xludf.DUMMYFUNCTION("""COMPUTED_VALUE"""),2021)</f>
        <v>2021</v>
      </c>
      <c r="F128" s="7">
        <f ca="1">IFERROR(__xludf.DUMMYFUNCTION("""COMPUTED_VALUE"""),4)</f>
        <v>4</v>
      </c>
      <c r="G128" s="7" t="str">
        <f ca="1">IFERROR(__xludf.DUMMYFUNCTION("""COMPUTED_VALUE"""),"ТТЗ")</f>
        <v>ТТЗ</v>
      </c>
      <c r="H128" s="7" t="str">
        <f ca="1">IFERROR(__xludf.DUMMYFUNCTION("""COMPUTED_VALUE"""),"Завершено")</f>
        <v>Завершено</v>
      </c>
      <c r="I128" s="7">
        <f ca="1">IFERROR(__xludf.DUMMYFUNCTION("""COMPUTED_VALUE"""),4)</f>
        <v>4</v>
      </c>
      <c r="J128" s="7">
        <f ca="1">IFERROR(__xludf.DUMMYFUNCTION("""COMPUTED_VALUE"""),1)</f>
        <v>1</v>
      </c>
      <c r="K128" s="7" t="str">
        <f ca="1">IFERROR(__xludf.DUMMYFUNCTION("""COMPUTED_VALUE"""),"Желтова Яна Валерьевна")</f>
        <v>Желтова Яна Валерьевна</v>
      </c>
      <c r="L128" s="7" t="str">
        <f ca="1">IFERROR(__xludf.DUMMYFUNCTION("""COMPUTED_VALUE"""),"Бутасова Светлана Валерьевна")</f>
        <v>Бутасова Светлана Валерьевна</v>
      </c>
      <c r="M128" s="7" t="str">
        <f ca="1">IFERROR(__xludf.DUMMYFUNCTION("""COMPUTED_VALUE"""),"Чурсина Мария Вячеславовна")</f>
        <v>Чурсина Мария Вячеславовна</v>
      </c>
      <c r="N128" s="7"/>
      <c r="O128" s="7" t="str">
        <f ca="1">IFERROR(__xludf.DUMMYFUNCTION("""COMPUTED_VALUE"""),"Уникальный / Федеральный")</f>
        <v>Уникальный / Федеральный</v>
      </c>
      <c r="P128" s="7"/>
      <c r="Q128" s="7" t="str">
        <f ca="1">IFERROR(__xludf.DUMMYFUNCTION("""COMPUTED_VALUE"""),"Нет")</f>
        <v>Нет</v>
      </c>
      <c r="R128" s="7" t="str">
        <f ca="1">IFERROR(__xludf.DUMMYFUNCTION("""COMPUTED_VALUE"""),"Да")</f>
        <v>Да</v>
      </c>
      <c r="S128" s="7" t="str">
        <f ca="1">IFERROR(__xludf.DUMMYFUNCTION("""COMPUTED_VALUE"""),"Электронный аукцион")</f>
        <v>Электронный аукцион</v>
      </c>
      <c r="T128" s="7"/>
      <c r="U128" s="7" t="str">
        <f ca="1">IFERROR(__xludf.DUMMYFUNCTION("""COMPUTED_VALUE"""),"Поставка средств охранной, пожарной сигнализации")</f>
        <v>Поставка средств охранной, пожарной сигнализации</v>
      </c>
      <c r="V128" s="10">
        <f ca="1">IFERROR(__xludf.DUMMYFUNCTION("""COMPUTED_VALUE"""),44342.4704398148)</f>
        <v>44342.470439814802</v>
      </c>
      <c r="W128" s="7" t="str">
        <f ca="1">IFERROR(__xludf.DUMMYFUNCTION("""COMPUTED_VALUE"""),"92.22")</f>
        <v>92.22</v>
      </c>
      <c r="X128" s="16" t="str">
        <f ca="1">IFERROR(__xludf.DUMMYFUNCTION("""COMPUTED_VALUE"""),"39.18")</f>
        <v>39.18</v>
      </c>
      <c r="Y128" s="7" t="str">
        <f ca="1">IFERROR(__xludf.DUMMYFUNCTION("""COMPUTED_VALUE"""),"0.03")</f>
        <v>0.03</v>
      </c>
      <c r="Z128" s="7" t="str">
        <f ca="1">IFERROR(__xludf.DUMMYFUNCTION("""COMPUTED_VALUE"""),"3.95")</f>
        <v>3.95</v>
      </c>
      <c r="AA128" s="7" t="str">
        <f ca="1">IFERROR(__xludf.DUMMYFUNCTION("""COMPUTED_VALUE"""),"0.15")</f>
        <v>0.15</v>
      </c>
      <c r="AB128" s="7" t="str">
        <f ca="1">IFERROR(__xludf.DUMMYFUNCTION("""COMPUTED_VALUE"""),"27.57")</f>
        <v>27.57</v>
      </c>
      <c r="AC128" s="7" t="str">
        <f ca="1">IFERROR(__xludf.DUMMYFUNCTION("""COMPUTED_VALUE"""),"16.84")</f>
        <v>16.84</v>
      </c>
      <c r="AD128" s="7" t="str">
        <f ca="1">IFERROR(__xludf.DUMMYFUNCTION("""COMPUTED_VALUE"""),"16.24")</f>
        <v>16.24</v>
      </c>
      <c r="AE128" s="8">
        <f ca="1">IFERROR(__xludf.DUMMYFUNCTION("""COMPUTED_VALUE"""),44626)</f>
        <v>44626</v>
      </c>
      <c r="AF128" s="7" t="str">
        <f ca="1">IFERROR(__xludf.DUMMYFUNCTION("""COMPUTED_VALUE"""),"0.88")</f>
        <v>0.88</v>
      </c>
      <c r="AG128" s="8">
        <f ca="1">IFERROR(__xludf.DUMMYFUNCTION("""COMPUTED_VALUE"""),44656)</f>
        <v>44656</v>
      </c>
      <c r="AH128" s="10">
        <f ca="1">IFERROR(__xludf.DUMMYFUNCTION("""COMPUTED_VALUE"""),44631.6567824074)</f>
        <v>44631.656782407401</v>
      </c>
      <c r="AI128" s="10">
        <f ca="1">IFERROR(__xludf.DUMMYFUNCTION("""COMPUTED_VALUE"""),44649.6155324074)</f>
        <v>44649.615532407399</v>
      </c>
      <c r="AJ128" s="7">
        <f ca="1">IFERROR(__xludf.DUMMYFUNCTION("""COMPUTED_VALUE"""),116)</f>
        <v>116</v>
      </c>
    </row>
    <row r="129" spans="1:36" ht="189" x14ac:dyDescent="0.2">
      <c r="A129" s="7">
        <f ca="1">IFERROR(__xludf.DUMMYFUNCTION("""COMPUTED_VALUE"""),172)</f>
        <v>172</v>
      </c>
      <c r="B129" s="7" t="str">
        <f ca="1">IFERROR(__xludf.DUMMYFUNCTION("""COMPUTED_VALUE"""),"FR-306")</f>
        <v>FR-306</v>
      </c>
      <c r="C129" s="9" t="str">
        <f ca="1">IFERROR(__xludf.DUMMYFUNCTION("""COMPUTED_VALUE"""),"Оказание услуг по техническому обслуживанию и текущему ремонту объектов 
коллекторного хозяйства")</f>
        <v>Оказание услуг по техническому обслуживанию и текущему ремонту объектов 
коллекторного хозяйства</v>
      </c>
      <c r="D129" s="7" t="str">
        <f ca="1">IFERROR(__xludf.DUMMYFUNCTION("""COMPUTED_VALUE"""),"План по стандартизации")</f>
        <v>План по стандартизации</v>
      </c>
      <c r="E129" s="7">
        <f ca="1">IFERROR(__xludf.DUMMYFUNCTION("""COMPUTED_VALUE"""),2021)</f>
        <v>2021</v>
      </c>
      <c r="F129" s="7">
        <f ca="1">IFERROR(__xludf.DUMMYFUNCTION("""COMPUTED_VALUE"""),3)</f>
        <v>3</v>
      </c>
      <c r="G129" s="7" t="str">
        <f ca="1">IFERROR(__xludf.DUMMYFUNCTION("""COMPUTED_VALUE"""),"ТТЗ")</f>
        <v>ТТЗ</v>
      </c>
      <c r="H129" s="7" t="str">
        <f ca="1">IFERROR(__xludf.DUMMYFUNCTION("""COMPUTED_VALUE"""),"Завершено")</f>
        <v>Завершено</v>
      </c>
      <c r="I129" s="7">
        <f ca="1">IFERROR(__xludf.DUMMYFUNCTION("""COMPUTED_VALUE"""),2)</f>
        <v>2</v>
      </c>
      <c r="J129" s="7">
        <f ca="1">IFERROR(__xludf.DUMMYFUNCTION("""COMPUTED_VALUE"""),1)</f>
        <v>1</v>
      </c>
      <c r="K129" s="7" t="str">
        <f ca="1">IFERROR(__xludf.DUMMYFUNCTION("""COMPUTED_VALUE"""),"Воробьев Вадим Владимирович")</f>
        <v>Воробьев Вадим Владимирович</v>
      </c>
      <c r="L129" s="7" t="str">
        <f ca="1">IFERROR(__xludf.DUMMYFUNCTION("""COMPUTED_VALUE"""),"Уфаркина Наталья Геннадьевна")</f>
        <v>Уфаркина Наталья Геннадьевна</v>
      </c>
      <c r="M129" s="7" t="str">
        <f ca="1">IFERROR(__xludf.DUMMYFUNCTION("""COMPUTED_VALUE"""),"Гудиев Зелимхан Куйраевич")</f>
        <v>Гудиев Зелимхан Куйраевич</v>
      </c>
      <c r="N129" s="7"/>
      <c r="O129" s="7" t="str">
        <f ca="1">IFERROR(__xludf.DUMMYFUNCTION("""COMPUTED_VALUE"""),"Типовой")</f>
        <v>Типовой</v>
      </c>
      <c r="P129" s="7"/>
      <c r="Q129" s="7" t="str">
        <f ca="1">IFERROR(__xludf.DUMMYFUNCTION("""COMPUTED_VALUE"""),"223-ФЗ")</f>
        <v>223-ФЗ</v>
      </c>
      <c r="R129" s="7" t="str">
        <f ca="1">IFERROR(__xludf.DUMMYFUNCTION("""COMPUTED_VALUE"""),"Нет")</f>
        <v>Нет</v>
      </c>
      <c r="S129" s="7" t="str">
        <f ca="1">IFERROR(__xludf.DUMMYFUNCTION("""COMPUTED_VALUE"""),"Открытый конкурс / Электронный аукцион")</f>
        <v>Открытый конкурс / Электронный аукцион</v>
      </c>
      <c r="T129" s="7" t="str">
        <f ca="1">IFERROR(__xludf.DUMMYFUNCTION("""COMPUTED_VALUE"""),"В ГАУИ")</f>
        <v>В ГАУИ</v>
      </c>
      <c r="U129" s="7" t="str">
        <f ca="1">IFERROR(__xludf.DUMMYFUNCTION("""COMPUTED_VALUE"""),"Оказание услуг по техническому обслуживанию и текущему ремонту объектов 
коллекторного хозяйства")</f>
        <v>Оказание услуг по техническому обслуживанию и текущему ремонту объектов 
коллекторного хозяйства</v>
      </c>
      <c r="V129" s="10">
        <f ca="1">IFERROR(__xludf.DUMMYFUNCTION("""COMPUTED_VALUE"""),44354.4651504629)</f>
        <v>44354.4651504629</v>
      </c>
      <c r="W129" s="7" t="str">
        <f ca="1">IFERROR(__xludf.DUMMYFUNCTION("""COMPUTED_VALUE"""),"56.22")</f>
        <v>56.22</v>
      </c>
      <c r="X129" s="16" t="str">
        <f ca="1">IFERROR(__xludf.DUMMYFUNCTION("""COMPUTED_VALUE"""),"11.23")</f>
        <v>11.23</v>
      </c>
      <c r="Y129" s="11">
        <f ca="1">IFERROR(__xludf.DUMMYFUNCTION("""COMPUTED_VALUE"""),44873)</f>
        <v>44873</v>
      </c>
      <c r="Z129" s="11">
        <f ca="1">IFERROR(__xludf.DUMMYFUNCTION("""COMPUTED_VALUE"""),44898)</f>
        <v>44898</v>
      </c>
      <c r="AA129" s="7" t="str">
        <f ca="1">IFERROR(__xludf.DUMMYFUNCTION("""COMPUTED_VALUE"""),"0.02")</f>
        <v>0.02</v>
      </c>
      <c r="AB129" s="7" t="str">
        <f ca="1">IFERROR(__xludf.DUMMYFUNCTION("""COMPUTED_VALUE"""),"43.41")</f>
        <v>43.41</v>
      </c>
      <c r="AC129" s="8">
        <f ca="1">IFERROR(__xludf.DUMMYFUNCTION("""COMPUTED_VALUE"""),44758)</f>
        <v>44758</v>
      </c>
      <c r="AD129" s="7" t="str">
        <f ca="1">IFERROR(__xludf.DUMMYFUNCTION("""COMPUTED_VALUE"""),"18.88")</f>
        <v>18.88</v>
      </c>
      <c r="AE129" s="7" t="str">
        <f ca="1">IFERROR(__xludf.DUMMYFUNCTION("""COMPUTED_VALUE"""),"18.98")</f>
        <v>18.98</v>
      </c>
      <c r="AF129" s="7">
        <f ca="1">IFERROR(__xludf.DUMMYFUNCTION("""COMPUTED_VALUE"""),1)</f>
        <v>1</v>
      </c>
      <c r="AG129" s="7" t="str">
        <f ca="1">IFERROR(__xludf.DUMMYFUNCTION("""COMPUTED_VALUE"""),"3.92")</f>
        <v>3.92</v>
      </c>
      <c r="AH129" s="10">
        <f ca="1">IFERROR(__xludf.DUMMYFUNCTION("""COMPUTED_VALUE"""),44586.5291203703)</f>
        <v>44586.529120370302</v>
      </c>
      <c r="AI129" s="10">
        <f ca="1">IFERROR(__xludf.DUMMYFUNCTION("""COMPUTED_VALUE"""),44621.4244560185)</f>
        <v>44621.424456018503</v>
      </c>
      <c r="AJ129" s="7">
        <f ca="1">IFERROR(__xludf.DUMMYFUNCTION("""COMPUTED_VALUE"""),125)</f>
        <v>125</v>
      </c>
    </row>
    <row r="130" spans="1:36" ht="157.5" x14ac:dyDescent="0.2">
      <c r="A130" s="7">
        <f ca="1">IFERROR(__xludf.DUMMYFUNCTION("""COMPUTED_VALUE"""),173)</f>
        <v>173</v>
      </c>
      <c r="B130" s="7" t="str">
        <f ca="1">IFERROR(__xludf.DUMMYFUNCTION("""COMPUTED_VALUE"""),"FR-311")</f>
        <v>FR-311</v>
      </c>
      <c r="C130" s="9" t="str">
        <f ca="1">IFERROR(__xludf.DUMMYFUNCTION("""COMPUTED_VALUE"""),"Поставка газа природного топливного компримированного для двигателей 
внутреннего сгорания")</f>
        <v>Поставка газа природного топливного компримированного для двигателей 
внутреннего сгорания</v>
      </c>
      <c r="D130" s="7" t="str">
        <f ca="1">IFERROR(__xludf.DUMMYFUNCTION("""COMPUTED_VALUE"""),"План по стандартизации")</f>
        <v>План по стандартизации</v>
      </c>
      <c r="E130" s="7">
        <f ca="1">IFERROR(__xludf.DUMMYFUNCTION("""COMPUTED_VALUE"""),2021)</f>
        <v>2021</v>
      </c>
      <c r="F130" s="7">
        <f ca="1">IFERROR(__xludf.DUMMYFUNCTION("""COMPUTED_VALUE"""),2)</f>
        <v>2</v>
      </c>
      <c r="G130" s="7" t="str">
        <f ca="1">IFERROR(__xludf.DUMMYFUNCTION("""COMPUTED_VALUE"""),"ТТЗ")</f>
        <v>ТТЗ</v>
      </c>
      <c r="H130" s="7" t="str">
        <f ca="1">IFERROR(__xludf.DUMMYFUNCTION("""COMPUTED_VALUE"""),"Завершено")</f>
        <v>Завершено</v>
      </c>
      <c r="I130" s="7">
        <f ca="1">IFERROR(__xludf.DUMMYFUNCTION("""COMPUTED_VALUE"""),4)</f>
        <v>4</v>
      </c>
      <c r="J130" s="7">
        <f ca="1">IFERROR(__xludf.DUMMYFUNCTION("""COMPUTED_VALUE"""),1)</f>
        <v>1</v>
      </c>
      <c r="K130" s="7" t="str">
        <f ca="1">IFERROR(__xludf.DUMMYFUNCTION("""COMPUTED_VALUE"""),"Моисеев Евгений Александрович")</f>
        <v>Моисеев Евгений Александрович</v>
      </c>
      <c r="L130" s="7" t="str">
        <f ca="1">IFERROR(__xludf.DUMMYFUNCTION("""COMPUTED_VALUE"""),"Давлиев Ильнар Газинурович")</f>
        <v>Давлиев Ильнар Газинурович</v>
      </c>
      <c r="M130" s="7" t="str">
        <f ca="1">IFERROR(__xludf.DUMMYFUNCTION("""COMPUTED_VALUE"""),"Чурсина Мария Вячеславовна")</f>
        <v>Чурсина Мария Вячеславовна</v>
      </c>
      <c r="N130" s="7"/>
      <c r="O130" s="7"/>
      <c r="P130" s="7"/>
      <c r="Q130" s="7"/>
      <c r="R130" s="7" t="str">
        <f ca="1">IFERROR(__xludf.DUMMYFUNCTION("""COMPUTED_VALUE"""),"Нет")</f>
        <v>Нет</v>
      </c>
      <c r="S130" s="7" t="str">
        <f ca="1">IFERROR(__xludf.DUMMYFUNCTION("""COMPUTED_VALUE"""),"Электронный аукцион")</f>
        <v>Электронный аукцион</v>
      </c>
      <c r="T130" s="7"/>
      <c r="U130" s="7" t="str">
        <f ca="1">IFERROR(__xludf.DUMMYFUNCTION("""COMPUTED_VALUE"""),"Поставка газа природного топливного компримированного для двигателей 
внутреннего сгорания")</f>
        <v>Поставка газа природного топливного компримированного для двигателей 
внутреннего сгорания</v>
      </c>
      <c r="V130" s="10">
        <f ca="1">IFERROR(__xludf.DUMMYFUNCTION("""COMPUTED_VALUE"""),44375.6640856481)</f>
        <v>44375.664085648103</v>
      </c>
      <c r="W130" s="7">
        <f ca="1">IFERROR(__xludf.DUMMYFUNCTION("""COMPUTED_VALUE"""),0)</f>
        <v>0</v>
      </c>
      <c r="X130" s="18">
        <f ca="1">IFERROR(__xludf.DUMMYFUNCTION("""COMPUTED_VALUE"""),44805)</f>
        <v>44805</v>
      </c>
      <c r="Y130" s="7" t="str">
        <f ca="1">IFERROR(__xludf.DUMMYFUNCTION("""COMPUTED_VALUE"""),"8.93")</f>
        <v>8.93</v>
      </c>
      <c r="Z130" s="7" t="str">
        <f ca="1">IFERROR(__xludf.DUMMYFUNCTION("""COMPUTED_VALUE"""),"5.97")</f>
        <v>5.97</v>
      </c>
      <c r="AA130" s="7" t="str">
        <f ca="1">IFERROR(__xludf.DUMMYFUNCTION("""COMPUTED_VALUE"""),"0.24")</f>
        <v>0.24</v>
      </c>
      <c r="AB130" s="7" t="str">
        <f ca="1">IFERROR(__xludf.DUMMYFUNCTION("""COMPUTED_VALUE"""),"44.66")</f>
        <v>44.66</v>
      </c>
      <c r="AC130" s="7" t="str">
        <f ca="1">IFERROR(__xludf.DUMMYFUNCTION("""COMPUTED_VALUE"""),"25.25")</f>
        <v>25.25</v>
      </c>
      <c r="AD130" s="7" t="str">
        <f ca="1">IFERROR(__xludf.DUMMYFUNCTION("""COMPUTED_VALUE"""),"16.81")</f>
        <v>16.81</v>
      </c>
      <c r="AE130" s="8">
        <f ca="1">IFERROR(__xludf.DUMMYFUNCTION("""COMPUTED_VALUE"""),44767)</f>
        <v>44767</v>
      </c>
      <c r="AF130" s="7">
        <f ca="1">IFERROR(__xludf.DUMMYFUNCTION("""COMPUTED_VALUE"""),0)</f>
        <v>0</v>
      </c>
      <c r="AG130" s="7" t="str">
        <f ca="1">IFERROR(__xludf.DUMMYFUNCTION("""COMPUTED_VALUE"""),"4.92")</f>
        <v>4.92</v>
      </c>
      <c r="AH130" s="10">
        <f ca="1">IFERROR(__xludf.DUMMYFUNCTION("""COMPUTED_VALUE"""),44523.4349421296)</f>
        <v>44523.434942129599</v>
      </c>
      <c r="AI130" s="10">
        <f ca="1">IFERROR(__xludf.DUMMYFUNCTION("""COMPUTED_VALUE"""),44573.4282638888)</f>
        <v>44573.428263888803</v>
      </c>
      <c r="AJ130" s="7">
        <f ca="1">IFERROR(__xludf.DUMMYFUNCTION("""COMPUTED_VALUE"""),134)</f>
        <v>134</v>
      </c>
    </row>
    <row r="131" spans="1:36" ht="252" x14ac:dyDescent="0.2">
      <c r="A131" s="7">
        <f ca="1">IFERROR(__xludf.DUMMYFUNCTION("""COMPUTED_VALUE"""),174)</f>
        <v>174</v>
      </c>
      <c r="B131" s="7" t="str">
        <f ca="1">IFERROR(__xludf.DUMMYFUNCTION("""COMPUTED_VALUE"""),"FR-313")</f>
        <v>FR-313</v>
      </c>
      <c r="C131" s="9" t="str">
        <f ca="1">IFERROR(__xludf.DUMMYFUNCTION("""COMPUTED_VALUE"""),"Оказание услуг по предоставлению доступа к программно-аппаратному комплексу 
мобильного автоматизированного рабочего места")</f>
        <v>Оказание услуг по предоставлению доступа к программно-аппаратному комплексу 
мобильного автоматизированного рабочего места</v>
      </c>
      <c r="D131" s="7" t="str">
        <f ca="1">IFERROR(__xludf.DUMMYFUNCTION("""COMPUTED_VALUE"""),"План по стандартизации")</f>
        <v>План по стандартизации</v>
      </c>
      <c r="E131" s="7">
        <f ca="1">IFERROR(__xludf.DUMMYFUNCTION("""COMPUTED_VALUE"""),2021)</f>
        <v>2021</v>
      </c>
      <c r="F131" s="7">
        <f ca="1">IFERROR(__xludf.DUMMYFUNCTION("""COMPUTED_VALUE"""),3)</f>
        <v>3</v>
      </c>
      <c r="G131" s="7" t="str">
        <f ca="1">IFERROR(__xludf.DUMMYFUNCTION("""COMPUTED_VALUE"""),"ТТЗ")</f>
        <v>ТТЗ</v>
      </c>
      <c r="H131" s="7" t="str">
        <f ca="1">IFERROR(__xludf.DUMMYFUNCTION("""COMPUTED_VALUE"""),"Завершено")</f>
        <v>Завершено</v>
      </c>
      <c r="I131" s="7">
        <f ca="1">IFERROR(__xludf.DUMMYFUNCTION("""COMPUTED_VALUE"""),2)</f>
        <v>2</v>
      </c>
      <c r="J131" s="7">
        <f ca="1">IFERROR(__xludf.DUMMYFUNCTION("""COMPUTED_VALUE"""),2)</f>
        <v>2</v>
      </c>
      <c r="K131" s="7" t="str">
        <f ca="1">IFERROR(__xludf.DUMMYFUNCTION("""COMPUTED_VALUE"""),"Першина Дарья Валерьевна")</f>
        <v>Першина Дарья Валерьевна</v>
      </c>
      <c r="L131" s="7" t="str">
        <f ca="1">IFERROR(__xludf.DUMMYFUNCTION("""COMPUTED_VALUE"""),"Уфаркина Наталья Геннадьевна")</f>
        <v>Уфаркина Наталья Геннадьевна</v>
      </c>
      <c r="M131" s="7" t="str">
        <f ca="1">IFERROR(__xludf.DUMMYFUNCTION("""COMPUTED_VALUE"""),"Гудиев Зелимхан Куйраевич")</f>
        <v>Гудиев Зелимхан Куйраевич</v>
      </c>
      <c r="N131" s="7"/>
      <c r="O131" s="7"/>
      <c r="P131" s="7"/>
      <c r="Q131" s="7" t="str">
        <f ca="1">IFERROR(__xludf.DUMMYFUNCTION("""COMPUTED_VALUE"""),"Нет")</f>
        <v>Нет</v>
      </c>
      <c r="R131" s="7" t="str">
        <f ca="1">IFERROR(__xludf.DUMMYFUNCTION("""COMPUTED_VALUE"""),"Нет")</f>
        <v>Нет</v>
      </c>
      <c r="S131" s="7" t="str">
        <f ca="1">IFERROR(__xludf.DUMMYFUNCTION("""COMPUTED_VALUE"""),"Электронный аукцион")</f>
        <v>Электронный аукцион</v>
      </c>
      <c r="T131" s="7"/>
      <c r="U131" s="7" t="str">
        <f ca="1">IFERROR(__xludf.DUMMYFUNCTION("""COMPUTED_VALUE"""),"Оказание услуг по предоставлению доступа к программно-аппаратному комплексу 
мобильного автоматизированного рабочего места")</f>
        <v>Оказание услуг по предоставлению доступа к программно-аппаратному комплексу 
мобильного автоматизированного рабочего места</v>
      </c>
      <c r="V131" s="10">
        <f ca="1">IFERROR(__xludf.DUMMYFUNCTION("""COMPUTED_VALUE"""),44377.9492476851)</f>
        <v>44377.949247685101</v>
      </c>
      <c r="W131" s="7" t="str">
        <f ca="1">IFERROR(__xludf.DUMMYFUNCTION("""COMPUTED_VALUE"""),"39.69")</f>
        <v>39.69</v>
      </c>
      <c r="X131" s="17">
        <f ca="1">IFERROR(__xludf.DUMMYFUNCTION("""COMPUTED_VALUE"""),44757)</f>
        <v>44757</v>
      </c>
      <c r="Y131" s="7" t="str">
        <f ca="1">IFERROR(__xludf.DUMMYFUNCTION("""COMPUTED_VALUE"""),"9.45")</f>
        <v>9.45</v>
      </c>
      <c r="Z131" s="7" t="str">
        <f ca="1">IFERROR(__xludf.DUMMYFUNCTION("""COMPUTED_VALUE"""),"5.94")</f>
        <v>5.94</v>
      </c>
      <c r="AA131" s="7" t="str">
        <f ca="1">IFERROR(__xludf.DUMMYFUNCTION("""COMPUTED_VALUE"""),"0.04")</f>
        <v>0.04</v>
      </c>
      <c r="AB131" s="7" t="str">
        <f ca="1">IFERROR(__xludf.DUMMYFUNCTION("""COMPUTED_VALUE"""),"53.33")</f>
        <v>53.33</v>
      </c>
      <c r="AC131" s="7" t="str">
        <f ca="1">IFERROR(__xludf.DUMMYFUNCTION("""COMPUTED_VALUE"""),"26.96")</f>
        <v>26.96</v>
      </c>
      <c r="AD131" s="7" t="str">
        <f ca="1">IFERROR(__xludf.DUMMYFUNCTION("""COMPUTED_VALUE"""),"21.23")</f>
        <v>21.23</v>
      </c>
      <c r="AE131" s="8">
        <f ca="1">IFERROR(__xludf.DUMMYFUNCTION("""COMPUTED_VALUE"""),44626)</f>
        <v>44626</v>
      </c>
      <c r="AF131" s="7" t="str">
        <f ca="1">IFERROR(__xludf.DUMMYFUNCTION("""COMPUTED_VALUE"""),"0.88")</f>
        <v>0.88</v>
      </c>
      <c r="AG131" s="7" t="str">
        <f ca="1">IFERROR(__xludf.DUMMYFUNCTION("""COMPUTED_VALUE"""),"5.27")</f>
        <v>5.27</v>
      </c>
      <c r="AH131" s="10">
        <f ca="1">IFERROR(__xludf.DUMMYFUNCTION("""COMPUTED_VALUE"""),44631.6568634259)</f>
        <v>44631.656863425902</v>
      </c>
      <c r="AI131" s="10">
        <f ca="1">IFERROR(__xludf.DUMMYFUNCTION("""COMPUTED_VALUE"""),44649.838912037)</f>
        <v>44649.838912036997</v>
      </c>
      <c r="AJ131" s="7">
        <f ca="1">IFERROR(__xludf.DUMMYFUNCTION("""COMPUTED_VALUE"""),144)</f>
        <v>144</v>
      </c>
    </row>
    <row r="132" spans="1:36" ht="78.75" x14ac:dyDescent="0.2">
      <c r="A132" s="7">
        <f ca="1">IFERROR(__xludf.DUMMYFUNCTION("""COMPUTED_VALUE"""),175)</f>
        <v>175</v>
      </c>
      <c r="B132" s="7" t="str">
        <f ca="1">IFERROR(__xludf.DUMMYFUNCTION("""COMPUTED_VALUE"""),"FR-315")</f>
        <v>FR-315</v>
      </c>
      <c r="C132" s="9" t="str">
        <f ca="1">IFERROR(__xludf.DUMMYFUNCTION("""COMPUTED_VALUE"""),"Поставка оборудования систем видеонаблюдения")</f>
        <v>Поставка оборудования систем видеонаблюдения</v>
      </c>
      <c r="D132" s="7" t="str">
        <f ca="1">IFERROR(__xludf.DUMMYFUNCTION("""COMPUTED_VALUE"""),"План по стандартизации")</f>
        <v>План по стандартизации</v>
      </c>
      <c r="E132" s="7">
        <f ca="1">IFERROR(__xludf.DUMMYFUNCTION("""COMPUTED_VALUE"""),2021)</f>
        <v>2021</v>
      </c>
      <c r="F132" s="7">
        <f ca="1">IFERROR(__xludf.DUMMYFUNCTION("""COMPUTED_VALUE"""),3)</f>
        <v>3</v>
      </c>
      <c r="G132" s="7" t="str">
        <f ca="1">IFERROR(__xludf.DUMMYFUNCTION("""COMPUTED_VALUE"""),"ТТЗ")</f>
        <v>ТТЗ</v>
      </c>
      <c r="H132" s="7" t="str">
        <f ca="1">IFERROR(__xludf.DUMMYFUNCTION("""COMPUTED_VALUE"""),"Завершено")</f>
        <v>Завершено</v>
      </c>
      <c r="I132" s="7">
        <f ca="1">IFERROR(__xludf.DUMMYFUNCTION("""COMPUTED_VALUE"""),5)</f>
        <v>5</v>
      </c>
      <c r="J132" s="7">
        <f ca="1">IFERROR(__xludf.DUMMYFUNCTION("""COMPUTED_VALUE"""),3)</f>
        <v>3</v>
      </c>
      <c r="K132" s="7" t="str">
        <f ca="1">IFERROR(__xludf.DUMMYFUNCTION("""COMPUTED_VALUE"""),"Уфаркина Наталья Геннадьевна")</f>
        <v>Уфаркина Наталья Геннадьевна</v>
      </c>
      <c r="L132" s="7" t="str">
        <f ca="1">IFERROR(__xludf.DUMMYFUNCTION("""COMPUTED_VALUE"""),"Уфаркина Наталья Геннадьевна")</f>
        <v>Уфаркина Наталья Геннадьевна</v>
      </c>
      <c r="M132" s="7" t="str">
        <f ca="1">IFERROR(__xludf.DUMMYFUNCTION("""COMPUTED_VALUE"""),"Гудиев Зелимхан Куйраевич")</f>
        <v>Гудиев Зелимхан Куйраевич</v>
      </c>
      <c r="N132" s="7"/>
      <c r="O132" s="7" t="str">
        <f ca="1">IFERROR(__xludf.DUMMYFUNCTION("""COMPUTED_VALUE"""),"Уникальный")</f>
        <v>Уникальный</v>
      </c>
      <c r="P132" s="7"/>
      <c r="Q132" s="7" t="str">
        <f ca="1">IFERROR(__xludf.DUMMYFUNCTION("""COMPUTED_VALUE"""),"Нет")</f>
        <v>Нет</v>
      </c>
      <c r="R132" s="7" t="str">
        <f ca="1">IFERROR(__xludf.DUMMYFUNCTION("""COMPUTED_VALUE"""),"Нет")</f>
        <v>Нет</v>
      </c>
      <c r="S132" s="7" t="str">
        <f ca="1">IFERROR(__xludf.DUMMYFUNCTION("""COMPUTED_VALUE"""),"Электронный аукцион")</f>
        <v>Электронный аукцион</v>
      </c>
      <c r="T132" s="7"/>
      <c r="U132" s="7" t="str">
        <f ca="1">IFERROR(__xludf.DUMMYFUNCTION("""COMPUTED_VALUE"""),"Поставка оборудования систем видеонаблюдения")</f>
        <v>Поставка оборудования систем видеонаблюдения</v>
      </c>
      <c r="V132" s="10">
        <f ca="1">IFERROR(__xludf.DUMMYFUNCTION("""COMPUTED_VALUE"""),44378.401099537)</f>
        <v>44378.401099536997</v>
      </c>
      <c r="W132" s="7" t="str">
        <f ca="1">IFERROR(__xludf.DUMMYFUNCTION("""COMPUTED_VALUE"""),"39.24")</f>
        <v>39.24</v>
      </c>
      <c r="X132" s="16" t="str">
        <f ca="1">IFERROR(__xludf.DUMMYFUNCTION("""COMPUTED_VALUE"""),"14.13")</f>
        <v>14.13</v>
      </c>
      <c r="Y132" s="7" t="str">
        <f ca="1">IFERROR(__xludf.DUMMYFUNCTION("""COMPUTED_VALUE"""),"7.37")</f>
        <v>7.37</v>
      </c>
      <c r="Z132" s="7" t="str">
        <f ca="1">IFERROR(__xludf.DUMMYFUNCTION("""COMPUTED_VALUE"""),"36.6")</f>
        <v>36.6</v>
      </c>
      <c r="AA132" s="7" t="str">
        <f ca="1">IFERROR(__xludf.DUMMYFUNCTION("""COMPUTED_VALUE"""),"0.03")</f>
        <v>0.03</v>
      </c>
      <c r="AB132" s="7" t="str">
        <f ca="1">IFERROR(__xludf.DUMMYFUNCTION("""COMPUTED_VALUE"""),"53.5")</f>
        <v>53.5</v>
      </c>
      <c r="AC132" s="7" t="str">
        <f ca="1">IFERROR(__xludf.DUMMYFUNCTION("""COMPUTED_VALUE"""),"41.23")</f>
        <v>41.23</v>
      </c>
      <c r="AD132" s="7" t="str">
        <f ca="1">IFERROR(__xludf.DUMMYFUNCTION("""COMPUTED_VALUE"""),"26.13")</f>
        <v>26.13</v>
      </c>
      <c r="AE132" s="7"/>
      <c r="AF132" s="7" t="str">
        <f ca="1">IFERROR(__xludf.DUMMYFUNCTION("""COMPUTED_VALUE"""),"1.74")</f>
        <v>1.74</v>
      </c>
      <c r="AG132" s="7" t="str">
        <f ca="1">IFERROR(__xludf.DUMMYFUNCTION("""COMPUTED_VALUE"""),"4.41")</f>
        <v>4.41</v>
      </c>
      <c r="AH132" s="7"/>
      <c r="AI132" s="10">
        <f ca="1">IFERROR(__xludf.DUMMYFUNCTION("""COMPUTED_VALUE"""),44712.7815393518)</f>
        <v>44712.781539351803</v>
      </c>
      <c r="AJ132" s="7">
        <f ca="1">IFERROR(__xludf.DUMMYFUNCTION("""COMPUTED_VALUE"""),185)</f>
        <v>185</v>
      </c>
    </row>
    <row r="133" spans="1:36" ht="63" x14ac:dyDescent="0.2">
      <c r="A133" s="7">
        <f ca="1">IFERROR(__xludf.DUMMYFUNCTION("""COMPUTED_VALUE"""),176)</f>
        <v>176</v>
      </c>
      <c r="B133" s="7" t="str">
        <f ca="1">IFERROR(__xludf.DUMMYFUNCTION("""COMPUTED_VALUE"""),"FR-317")</f>
        <v>FR-317</v>
      </c>
      <c r="C133" s="9" t="str">
        <f ca="1">IFERROR(__xludf.DUMMYFUNCTION("""COMPUTED_VALUE"""),"Поставка трансформаторов")</f>
        <v>Поставка трансформаторов</v>
      </c>
      <c r="D133" s="7" t="str">
        <f ca="1">IFERROR(__xludf.DUMMYFUNCTION("""COMPUTED_VALUE"""),"План по стандартизации")</f>
        <v>План по стандартизации</v>
      </c>
      <c r="E133" s="7">
        <f ca="1">IFERROR(__xludf.DUMMYFUNCTION("""COMPUTED_VALUE"""),2021)</f>
        <v>2021</v>
      </c>
      <c r="F133" s="7">
        <f ca="1">IFERROR(__xludf.DUMMYFUNCTION("""COMPUTED_VALUE"""),4)</f>
        <v>4</v>
      </c>
      <c r="G133" s="7" t="str">
        <f ca="1">IFERROR(__xludf.DUMMYFUNCTION("""COMPUTED_VALUE"""),"ТТЗ")</f>
        <v>ТТЗ</v>
      </c>
      <c r="H133" s="7" t="str">
        <f ca="1">IFERROR(__xludf.DUMMYFUNCTION("""COMPUTED_VALUE"""),"Завершено")</f>
        <v>Завершено</v>
      </c>
      <c r="I133" s="7">
        <f ca="1">IFERROR(__xludf.DUMMYFUNCTION("""COMPUTED_VALUE"""),3)</f>
        <v>3</v>
      </c>
      <c r="J133" s="7">
        <f ca="1">IFERROR(__xludf.DUMMYFUNCTION("""COMPUTED_VALUE"""),2)</f>
        <v>2</v>
      </c>
      <c r="K133" s="7" t="str">
        <f ca="1">IFERROR(__xludf.DUMMYFUNCTION("""COMPUTED_VALUE"""),"Воробьев Вадим Владимирович")</f>
        <v>Воробьев Вадим Владимирович</v>
      </c>
      <c r="L133" s="7" t="str">
        <f ca="1">IFERROR(__xludf.DUMMYFUNCTION("""COMPUTED_VALUE"""),"Уфаркина Наталья Геннадьевна")</f>
        <v>Уфаркина Наталья Геннадьевна</v>
      </c>
      <c r="M133" s="7" t="str">
        <f ca="1">IFERROR(__xludf.DUMMYFUNCTION("""COMPUTED_VALUE"""),"Гудиев Зелимхан Куйраевич")</f>
        <v>Гудиев Зелимхан Куйраевич</v>
      </c>
      <c r="N133" s="7"/>
      <c r="O133" s="7"/>
      <c r="P133" s="7"/>
      <c r="Q133" s="7"/>
      <c r="R133" s="7" t="str">
        <f ca="1">IFERROR(__xludf.DUMMYFUNCTION("""COMPUTED_VALUE"""),"Да")</f>
        <v>Да</v>
      </c>
      <c r="S133" s="7"/>
      <c r="T133" s="7"/>
      <c r="U133" s="7" t="str">
        <f ca="1">IFERROR(__xludf.DUMMYFUNCTION("""COMPUTED_VALUE"""),"Поставка трансформаторов")</f>
        <v>Поставка трансформаторов</v>
      </c>
      <c r="V133" s="10">
        <f ca="1">IFERROR(__xludf.DUMMYFUNCTION("""COMPUTED_VALUE"""),44378.4236342592)</f>
        <v>44378.423634259198</v>
      </c>
      <c r="W133" s="7" t="str">
        <f ca="1">IFERROR(__xludf.DUMMYFUNCTION("""COMPUTED_VALUE"""),"97.32")</f>
        <v>97.32</v>
      </c>
      <c r="X133" s="17">
        <f ca="1">IFERROR(__xludf.DUMMYFUNCTION("""COMPUTED_VALUE"""),44599)</f>
        <v>44599</v>
      </c>
      <c r="Y133" s="8">
        <f ca="1">IFERROR(__xludf.DUMMYFUNCTION("""COMPUTED_VALUE"""),44754)</f>
        <v>44754</v>
      </c>
      <c r="Z133" s="7" t="str">
        <f ca="1">IFERROR(__xludf.DUMMYFUNCTION("""COMPUTED_VALUE"""),"3.93")</f>
        <v>3.93</v>
      </c>
      <c r="AA133" s="7" t="str">
        <f ca="1">IFERROR(__xludf.DUMMYFUNCTION("""COMPUTED_VALUE"""),"0.17")</f>
        <v>0.17</v>
      </c>
      <c r="AB133" s="7" t="str">
        <f ca="1">IFERROR(__xludf.DUMMYFUNCTION("""COMPUTED_VALUE"""),"23.82")</f>
        <v>23.82</v>
      </c>
      <c r="AC133" s="7" t="str">
        <f ca="1">IFERROR(__xludf.DUMMYFUNCTION("""COMPUTED_VALUE"""),"18.95")</f>
        <v>18.95</v>
      </c>
      <c r="AD133" s="7" t="str">
        <f ca="1">IFERROR(__xludf.DUMMYFUNCTION("""COMPUTED_VALUE"""),"7.95")</f>
        <v>7.95</v>
      </c>
      <c r="AE133" s="8">
        <f ca="1">IFERROR(__xludf.DUMMYFUNCTION("""COMPUTED_VALUE"""),44626)</f>
        <v>44626</v>
      </c>
      <c r="AF133" s="7" t="str">
        <f ca="1">IFERROR(__xludf.DUMMYFUNCTION("""COMPUTED_VALUE"""),"0.88")</f>
        <v>0.88</v>
      </c>
      <c r="AG133" s="7" t="str">
        <f ca="1">IFERROR(__xludf.DUMMYFUNCTION("""COMPUTED_VALUE"""),"4.25")</f>
        <v>4.25</v>
      </c>
      <c r="AH133" s="10">
        <f ca="1">IFERROR(__xludf.DUMMYFUNCTION("""COMPUTED_VALUE"""),44631.6569560185)</f>
        <v>44631.656956018502</v>
      </c>
      <c r="AI133" s="10">
        <f ca="1">IFERROR(__xludf.DUMMYFUNCTION("""COMPUTED_VALUE"""),44648.8235300925)</f>
        <v>44648.823530092501</v>
      </c>
      <c r="AJ133" s="7">
        <f ca="1">IFERROR(__xludf.DUMMYFUNCTION("""COMPUTED_VALUE"""),85)</f>
        <v>85</v>
      </c>
    </row>
    <row r="134" spans="1:36" ht="110.25" x14ac:dyDescent="0.2">
      <c r="A134" s="7">
        <f ca="1">IFERROR(__xludf.DUMMYFUNCTION("""COMPUTED_VALUE"""),177)</f>
        <v>177</v>
      </c>
      <c r="B134" s="7" t="str">
        <f ca="1">IFERROR(__xludf.DUMMYFUNCTION("""COMPUTED_VALUE"""),"FR-319")</f>
        <v>FR-319</v>
      </c>
      <c r="C134" s="9" t="str">
        <f ca="1">IFERROR(__xludf.DUMMYFUNCTION("""COMPUTED_VALUE"""),"Выполнение работ по ремонту электроустановок (электроподстанций)")</f>
        <v>Выполнение работ по ремонту электроустановок (электроподстанций)</v>
      </c>
      <c r="D134" s="7" t="str">
        <f ca="1">IFERROR(__xludf.DUMMYFUNCTION("""COMPUTED_VALUE"""),"План по стандартизации")</f>
        <v>План по стандартизации</v>
      </c>
      <c r="E134" s="7">
        <f ca="1">IFERROR(__xludf.DUMMYFUNCTION("""COMPUTED_VALUE"""),2021)</f>
        <v>2021</v>
      </c>
      <c r="F134" s="7">
        <f ca="1">IFERROR(__xludf.DUMMYFUNCTION("""COMPUTED_VALUE"""),3)</f>
        <v>3</v>
      </c>
      <c r="G134" s="7" t="str">
        <f ca="1">IFERROR(__xludf.DUMMYFUNCTION("""COMPUTED_VALUE"""),"ТТЗ")</f>
        <v>ТТЗ</v>
      </c>
      <c r="H134" s="7" t="str">
        <f ca="1">IFERROR(__xludf.DUMMYFUNCTION("""COMPUTED_VALUE"""),"Завершено")</f>
        <v>Завершено</v>
      </c>
      <c r="I134" s="7">
        <f ca="1">IFERROR(__xludf.DUMMYFUNCTION("""COMPUTED_VALUE"""),4)</f>
        <v>4</v>
      </c>
      <c r="J134" s="7">
        <f ca="1">IFERROR(__xludf.DUMMYFUNCTION("""COMPUTED_VALUE"""),1)</f>
        <v>1</v>
      </c>
      <c r="K134" s="7" t="str">
        <f ca="1">IFERROR(__xludf.DUMMYFUNCTION("""COMPUTED_VALUE"""),"Воробьев Вадим Владимирович")</f>
        <v>Воробьев Вадим Владимирович</v>
      </c>
      <c r="L134" s="7" t="str">
        <f ca="1">IFERROR(__xludf.DUMMYFUNCTION("""COMPUTED_VALUE"""),"Уфаркина Наталья Геннадьевна")</f>
        <v>Уфаркина Наталья Геннадьевна</v>
      </c>
      <c r="M134" s="7" t="str">
        <f ca="1">IFERROR(__xludf.DUMMYFUNCTION("""COMPUTED_VALUE"""),"Гудиев Зелимхан Куйраевич")</f>
        <v>Гудиев Зелимхан Куйраевич</v>
      </c>
      <c r="N134" s="7"/>
      <c r="O134" s="7" t="str">
        <f ca="1">IFERROR(__xludf.DUMMYFUNCTION("""COMPUTED_VALUE"""),"Уникальный")</f>
        <v>Уникальный</v>
      </c>
      <c r="P134" s="7" t="str">
        <f ca="1">IFERROR(__xludf.DUMMYFUNCTION("""COMPUTED_VALUE"""),"Нет")</f>
        <v>Нет</v>
      </c>
      <c r="Q134" s="7" t="str">
        <f ca="1">IFERROR(__xludf.DUMMYFUNCTION("""COMPUTED_VALUE"""),"223-ФЗ")</f>
        <v>223-ФЗ</v>
      </c>
      <c r="R134" s="7" t="str">
        <f ca="1">IFERROR(__xludf.DUMMYFUNCTION("""COMPUTED_VALUE"""),"Да")</f>
        <v>Да</v>
      </c>
      <c r="S134" s="7" t="str">
        <f ca="1">IFERROR(__xludf.DUMMYFUNCTION("""COMPUTED_VALUE"""),"Открытый конкурс / Электронный аукцион")</f>
        <v>Открытый конкурс / Электронный аукцион</v>
      </c>
      <c r="T134" s="7" t="str">
        <f ca="1">IFERROR(__xludf.DUMMYFUNCTION("""COMPUTED_VALUE"""),"В ГАУИ")</f>
        <v>В ГАУИ</v>
      </c>
      <c r="U134" s="7" t="str">
        <f ca="1">IFERROR(__xludf.DUMMYFUNCTION("""COMPUTED_VALUE"""),"Выполнение работ по ремонту электроустановок (электроподстанций)")</f>
        <v>Выполнение работ по ремонту электроустановок (электроподстанций)</v>
      </c>
      <c r="V134" s="10">
        <f ca="1">IFERROR(__xludf.DUMMYFUNCTION("""COMPUTED_VALUE"""),44378.4579282407)</f>
        <v>44378.457928240699</v>
      </c>
      <c r="W134" s="7" t="str">
        <f ca="1">IFERROR(__xludf.DUMMYFUNCTION("""COMPUTED_VALUE"""),"43.09")</f>
        <v>43.09</v>
      </c>
      <c r="X134" s="16" t="str">
        <f ca="1">IFERROR(__xludf.DUMMYFUNCTION("""COMPUTED_VALUE"""),"9.23")</f>
        <v>9.23</v>
      </c>
      <c r="Y134" s="7" t="str">
        <f ca="1">IFERROR(__xludf.DUMMYFUNCTION("""COMPUTED_VALUE"""),"11.42")</f>
        <v>11.42</v>
      </c>
      <c r="Z134" s="7" t="str">
        <f ca="1">IFERROR(__xludf.DUMMYFUNCTION("""COMPUTED_VALUE"""),"9.37")</f>
        <v>9.37</v>
      </c>
      <c r="AA134" s="7" t="str">
        <f ca="1">IFERROR(__xludf.DUMMYFUNCTION("""COMPUTED_VALUE"""),"0.03")</f>
        <v>0.03</v>
      </c>
      <c r="AB134" s="7" t="str">
        <f ca="1">IFERROR(__xludf.DUMMYFUNCTION("""COMPUTED_VALUE"""),"25.76")</f>
        <v>25.76</v>
      </c>
      <c r="AC134" s="7" t="str">
        <f ca="1">IFERROR(__xludf.DUMMYFUNCTION("""COMPUTED_VALUE"""),"27.14")</f>
        <v>27.14</v>
      </c>
      <c r="AD134" s="8">
        <f ca="1">IFERROR(__xludf.DUMMYFUNCTION("""COMPUTED_VALUE"""),44606)</f>
        <v>44606</v>
      </c>
      <c r="AE134" s="7" t="str">
        <f ca="1">IFERROR(__xludf.DUMMYFUNCTION("""COMPUTED_VALUE"""),"18.98")</f>
        <v>18.98</v>
      </c>
      <c r="AF134" s="7">
        <f ca="1">IFERROR(__xludf.DUMMYFUNCTION("""COMPUTED_VALUE"""),1)</f>
        <v>1</v>
      </c>
      <c r="AG134" s="7" t="str">
        <f ca="1">IFERROR(__xludf.DUMMYFUNCTION("""COMPUTED_VALUE"""),"3.99")</f>
        <v>3.99</v>
      </c>
      <c r="AH134" s="10">
        <f ca="1">IFERROR(__xludf.DUMMYFUNCTION("""COMPUTED_VALUE"""),44586.5294560185)</f>
        <v>44586.529456018499</v>
      </c>
      <c r="AI134" s="10">
        <f ca="1">IFERROR(__xludf.DUMMYFUNCTION("""COMPUTED_VALUE"""),44621.5022337962)</f>
        <v>44621.5022337962</v>
      </c>
      <c r="AJ134" s="7">
        <f ca="1">IFERROR(__xludf.DUMMYFUNCTION("""COMPUTED_VALUE"""),121)</f>
        <v>121</v>
      </c>
    </row>
    <row r="135" spans="1:36" ht="173.25" x14ac:dyDescent="0.2">
      <c r="A135" s="7">
        <f ca="1">IFERROR(__xludf.DUMMYFUNCTION("""COMPUTED_VALUE"""),178)</f>
        <v>178</v>
      </c>
      <c r="B135" s="7" t="str">
        <f ca="1">IFERROR(__xludf.DUMMYFUNCTION("""COMPUTED_VALUE"""),"FR-326")</f>
        <v>FR-326</v>
      </c>
      <c r="C135" s="9" t="str">
        <f ca="1">IFERROR(__xludf.DUMMYFUNCTION("""COMPUTED_VALUE"""),"Оказание услуг по сервисному обслуживанию и ремонту автобусов и электробусов")</f>
        <v>Оказание услуг по сервисному обслуживанию и ремонту автобусов и электробусов</v>
      </c>
      <c r="D135" s="7" t="str">
        <f ca="1">IFERROR(__xludf.DUMMYFUNCTION("""COMPUTED_VALUE"""),"План по стандартизации")</f>
        <v>План по стандартизации</v>
      </c>
      <c r="E135" s="7">
        <f ca="1">IFERROR(__xludf.DUMMYFUNCTION("""COMPUTED_VALUE"""),2021)</f>
        <v>2021</v>
      </c>
      <c r="F135" s="7">
        <f ca="1">IFERROR(__xludf.DUMMYFUNCTION("""COMPUTED_VALUE"""),4)</f>
        <v>4</v>
      </c>
      <c r="G135" s="7" t="str">
        <f ca="1">IFERROR(__xludf.DUMMYFUNCTION("""COMPUTED_VALUE"""),"ТТЗ")</f>
        <v>ТТЗ</v>
      </c>
      <c r="H135" s="7" t="str">
        <f ca="1">IFERROR(__xludf.DUMMYFUNCTION("""COMPUTED_VALUE"""),"Завершено")</f>
        <v>Завершено</v>
      </c>
      <c r="I135" s="7">
        <f ca="1">IFERROR(__xludf.DUMMYFUNCTION("""COMPUTED_VALUE"""),3)</f>
        <v>3</v>
      </c>
      <c r="J135" s="7">
        <f ca="1">IFERROR(__xludf.DUMMYFUNCTION("""COMPUTED_VALUE"""),3)</f>
        <v>3</v>
      </c>
      <c r="K135" s="7" t="str">
        <f ca="1">IFERROR(__xludf.DUMMYFUNCTION("""COMPUTED_VALUE"""),"Бутасова Светлана Валерьевна")</f>
        <v>Бутасова Светлана Валерьевна</v>
      </c>
      <c r="L135" s="7" t="str">
        <f ca="1">IFERROR(__xludf.DUMMYFUNCTION("""COMPUTED_VALUE"""),"Бутасова Светлана Валерьевна")</f>
        <v>Бутасова Светлана Валерьевна</v>
      </c>
      <c r="M135" s="7" t="str">
        <f ca="1">IFERROR(__xludf.DUMMYFUNCTION("""COMPUTED_VALUE"""),"Чурсина Мария Вячеславовна")</f>
        <v>Чурсина Мария Вячеславовна</v>
      </c>
      <c r="N135" s="7"/>
      <c r="O135" s="7"/>
      <c r="P135" s="7"/>
      <c r="Q135" s="7"/>
      <c r="R135" s="7"/>
      <c r="S135" s="7"/>
      <c r="T135" s="7"/>
      <c r="U135" s="7" t="str">
        <f ca="1">IFERROR(__xludf.DUMMYFUNCTION("""COMPUTED_VALUE"""),"Оказание услуг по сервисному обслуживанию и ремонту автобусов и электробусов")</f>
        <v>Оказание услуг по сервисному обслуживанию и ремонту автобусов и электробусов</v>
      </c>
      <c r="V135" s="10">
        <f ca="1">IFERROR(__xludf.DUMMYFUNCTION("""COMPUTED_VALUE"""),44470.5866550925)</f>
        <v>44470.586655092498</v>
      </c>
      <c r="W135" s="7" t="str">
        <f ca="1">IFERROR(__xludf.DUMMYFUNCTION("""COMPUTED_VALUE"""),"17.27")</f>
        <v>17.27</v>
      </c>
      <c r="X135" s="16" t="str">
        <f ca="1">IFERROR(__xludf.DUMMYFUNCTION("""COMPUTED_VALUE"""),"6.53")</f>
        <v>6.53</v>
      </c>
      <c r="Y135" s="7" t="str">
        <f ca="1">IFERROR(__xludf.DUMMYFUNCTION("""COMPUTED_VALUE"""),"10.49")</f>
        <v>10.49</v>
      </c>
      <c r="Z135" s="7" t="str">
        <f ca="1">IFERROR(__xludf.DUMMYFUNCTION("""COMPUTED_VALUE"""),"3.18")</f>
        <v>3.18</v>
      </c>
      <c r="AA135" s="7" t="str">
        <f ca="1">IFERROR(__xludf.DUMMYFUNCTION("""COMPUTED_VALUE"""),"0.33")</f>
        <v>0.33</v>
      </c>
      <c r="AB135" s="7" t="str">
        <f ca="1">IFERROR(__xludf.DUMMYFUNCTION("""COMPUTED_VALUE"""),"47.23")</f>
        <v>47.23</v>
      </c>
      <c r="AC135" s="7" t="str">
        <f ca="1">IFERROR(__xludf.DUMMYFUNCTION("""COMPUTED_VALUE"""),"48.76")</f>
        <v>48.76</v>
      </c>
      <c r="AD135" s="7" t="str">
        <f ca="1">IFERROR(__xludf.DUMMYFUNCTION("""COMPUTED_VALUE"""),"18.27")</f>
        <v>18.27</v>
      </c>
      <c r="AE135" s="7"/>
      <c r="AF135" s="7" t="str">
        <f ca="1">IFERROR(__xludf.DUMMYFUNCTION("""COMPUTED_VALUE"""),"1.74")</f>
        <v>1.74</v>
      </c>
      <c r="AG135" s="7" t="str">
        <f ca="1">IFERROR(__xludf.DUMMYFUNCTION("""COMPUTED_VALUE"""),"4.51")</f>
        <v>4.51</v>
      </c>
      <c r="AH135" s="7"/>
      <c r="AI135" s="10">
        <f ca="1">IFERROR(__xludf.DUMMYFUNCTION("""COMPUTED_VALUE"""),44712.876261574)</f>
        <v>44712.876261573998</v>
      </c>
      <c r="AJ135" s="7">
        <f ca="1">IFERROR(__xludf.DUMMYFUNCTION("""COMPUTED_VALUE"""),141)</f>
        <v>141</v>
      </c>
    </row>
    <row r="136" spans="1:36" ht="94.5" x14ac:dyDescent="0.2">
      <c r="A136" s="7">
        <f ca="1">IFERROR(__xludf.DUMMYFUNCTION("""COMPUTED_VALUE"""),179)</f>
        <v>179</v>
      </c>
      <c r="B136" s="7" t="str">
        <f ca="1">IFERROR(__xludf.DUMMYFUNCTION("""COMPUTED_VALUE"""),"FR-327")</f>
        <v>FR-327</v>
      </c>
      <c r="C136" s="9" t="str">
        <f ca="1">IFERROR(__xludf.DUMMYFUNCTION("""COMPUTED_VALUE"""),"Поставка тюбингов для строительства тоннелей")</f>
        <v>Поставка тюбингов для строительства тоннелей</v>
      </c>
      <c r="D136" s="7" t="str">
        <f ca="1">IFERROR(__xludf.DUMMYFUNCTION("""COMPUTED_VALUE"""),"План по стандартизации")</f>
        <v>План по стандартизации</v>
      </c>
      <c r="E136" s="7">
        <f ca="1">IFERROR(__xludf.DUMMYFUNCTION("""COMPUTED_VALUE"""),2022)</f>
        <v>2022</v>
      </c>
      <c r="F136" s="7">
        <f ca="1">IFERROR(__xludf.DUMMYFUNCTION("""COMPUTED_VALUE"""),1)</f>
        <v>1</v>
      </c>
      <c r="G136" s="7" t="str">
        <f ca="1">IFERROR(__xludf.DUMMYFUNCTION("""COMPUTED_VALUE"""),"ТТЗ")</f>
        <v>ТТЗ</v>
      </c>
      <c r="H136" s="7" t="str">
        <f ca="1">IFERROR(__xludf.DUMMYFUNCTION("""COMPUTED_VALUE"""),"Завершено")</f>
        <v>Завершено</v>
      </c>
      <c r="I136" s="7">
        <f ca="1">IFERROR(__xludf.DUMMYFUNCTION("""COMPUTED_VALUE"""),3)</f>
        <v>3</v>
      </c>
      <c r="J136" s="7">
        <f ca="1">IFERROR(__xludf.DUMMYFUNCTION("""COMPUTED_VALUE"""),1)</f>
        <v>1</v>
      </c>
      <c r="K136" s="7" t="str">
        <f ca="1">IFERROR(__xludf.DUMMYFUNCTION("""COMPUTED_VALUE"""),"Моисеев Евгений Александрович")</f>
        <v>Моисеев Евгений Александрович</v>
      </c>
      <c r="L136" s="7" t="str">
        <f ca="1">IFERROR(__xludf.DUMMYFUNCTION("""COMPUTED_VALUE"""),"Давлиев Ильнар Газинурович")</f>
        <v>Давлиев Ильнар Газинурович</v>
      </c>
      <c r="M136" s="7" t="str">
        <f ca="1">IFERROR(__xludf.DUMMYFUNCTION("""COMPUTED_VALUE"""),"Чурсина Мария Вячеславовна")</f>
        <v>Чурсина Мария Вячеславовна</v>
      </c>
      <c r="N136" s="7"/>
      <c r="O136" s="7" t="str">
        <f ca="1">IFERROR(__xludf.DUMMYFUNCTION("""COMPUTED_VALUE"""),"Типовой")</f>
        <v>Типовой</v>
      </c>
      <c r="P136" s="7"/>
      <c r="Q136" s="7" t="str">
        <f ca="1">IFERROR(__xludf.DUMMYFUNCTION("""COMPUTED_VALUE"""),"Нет")</f>
        <v>Нет</v>
      </c>
      <c r="R136" s="7" t="str">
        <f ca="1">IFERROR(__xludf.DUMMYFUNCTION("""COMPUTED_VALUE"""),"Нет")</f>
        <v>Нет</v>
      </c>
      <c r="S136" s="7" t="str">
        <f ca="1">IFERROR(__xludf.DUMMYFUNCTION("""COMPUTED_VALUE"""),"Электронный аукцион")</f>
        <v>Электронный аукцион</v>
      </c>
      <c r="T136" s="7"/>
      <c r="U136" s="7" t="str">
        <f ca="1">IFERROR(__xludf.DUMMYFUNCTION("""COMPUTED_VALUE"""),"Поставка тюбингов для строительства тоннелей")</f>
        <v>Поставка тюбингов для строительства тоннелей</v>
      </c>
      <c r="V136" s="10">
        <f ca="1">IFERROR(__xludf.DUMMYFUNCTION("""COMPUTED_VALUE"""),44572.4804861111)</f>
        <v>44572.480486111097</v>
      </c>
      <c r="W136" s="7" t="str">
        <f ca="1">IFERROR(__xludf.DUMMYFUNCTION("""COMPUTED_VALUE"""),"35.26")</f>
        <v>35.26</v>
      </c>
      <c r="X136" s="16" t="str">
        <f ca="1">IFERROR(__xludf.DUMMYFUNCTION("""COMPUTED_VALUE"""),"5.94")</f>
        <v>5.94</v>
      </c>
      <c r="Y136" s="11">
        <f ca="1">IFERROR(__xludf.DUMMYFUNCTION("""COMPUTED_VALUE"""),44658)</f>
        <v>44658</v>
      </c>
      <c r="Z136" s="7" t="str">
        <f ca="1">IFERROR(__xludf.DUMMYFUNCTION("""COMPUTED_VALUE"""),"3.44")</f>
        <v>3.44</v>
      </c>
      <c r="AA136" s="7" t="str">
        <f ca="1">IFERROR(__xludf.DUMMYFUNCTION("""COMPUTED_VALUE"""),"0.63")</f>
        <v>0.63</v>
      </c>
      <c r="AB136" s="7" t="str">
        <f ca="1">IFERROR(__xludf.DUMMYFUNCTION("""COMPUTED_VALUE"""),"29.49")</f>
        <v>29.49</v>
      </c>
      <c r="AC136" s="11">
        <f ca="1">IFERROR(__xludf.DUMMYFUNCTION("""COMPUTED_VALUE"""),44886)</f>
        <v>44886</v>
      </c>
      <c r="AD136" s="7" t="str">
        <f ca="1">IFERROR(__xludf.DUMMYFUNCTION("""COMPUTED_VALUE"""),"13.92")</f>
        <v>13.92</v>
      </c>
      <c r="AE136" s="7" t="str">
        <f ca="1">IFERROR(__xludf.DUMMYFUNCTION("""COMPUTED_VALUE"""),"13.83")</f>
        <v>13.83</v>
      </c>
      <c r="AF136" s="7" t="str">
        <f ca="1">IFERROR(__xludf.DUMMYFUNCTION("""COMPUTED_VALUE"""),"1.99")</f>
        <v>1.99</v>
      </c>
      <c r="AG136" s="7" t="str">
        <f ca="1">IFERROR(__xludf.DUMMYFUNCTION("""COMPUTED_VALUE"""),"5.58")</f>
        <v>5.58</v>
      </c>
      <c r="AH136" s="10">
        <f ca="1">IFERROR(__xludf.DUMMYFUNCTION("""COMPUTED_VALUE"""),44746.6743171296)</f>
        <v>44746.674317129597</v>
      </c>
      <c r="AI136" s="10">
        <f ca="1">IFERROR(__xludf.DUMMYFUNCTION("""COMPUTED_VALUE"""),44776.0708333333)</f>
        <v>44776.070833333302</v>
      </c>
      <c r="AJ136" s="7">
        <f ca="1">IFERROR(__xludf.DUMMYFUNCTION("""COMPUTED_VALUE"""),104)</f>
        <v>104</v>
      </c>
    </row>
    <row r="137" spans="1:36" ht="173.25" x14ac:dyDescent="0.2">
      <c r="A137" s="7">
        <f ca="1">IFERROR(__xludf.DUMMYFUNCTION("""COMPUTED_VALUE"""),180)</f>
        <v>180</v>
      </c>
      <c r="B137" s="7" t="str">
        <f ca="1">IFERROR(__xludf.DUMMYFUNCTION("""COMPUTED_VALUE"""),"FR-328")</f>
        <v>FR-328</v>
      </c>
      <c r="C137" s="9" t="str">
        <f ca="1">IFERROR(__xludf.DUMMYFUNCTION("""COMPUTED_VALUE"""),"Оказание услуг по санитарно-техническому обслуживанию дорожных опорных 
металлоконструкций")</f>
        <v>Оказание услуг по санитарно-техническому обслуживанию дорожных опорных 
металлоконструкций</v>
      </c>
      <c r="D137" s="7" t="str">
        <f ca="1">IFERROR(__xludf.DUMMYFUNCTION("""COMPUTED_VALUE"""),"План по стандартизации")</f>
        <v>План по стандартизации</v>
      </c>
      <c r="E137" s="7">
        <f ca="1">IFERROR(__xludf.DUMMYFUNCTION("""COMPUTED_VALUE"""),2022)</f>
        <v>2022</v>
      </c>
      <c r="F137" s="7">
        <f ca="1">IFERROR(__xludf.DUMMYFUNCTION("""COMPUTED_VALUE"""),2)</f>
        <v>2</v>
      </c>
      <c r="G137" s="7" t="str">
        <f ca="1">IFERROR(__xludf.DUMMYFUNCTION("""COMPUTED_VALUE"""),"ТТЗ")</f>
        <v>ТТЗ</v>
      </c>
      <c r="H137" s="7" t="str">
        <f ca="1">IFERROR(__xludf.DUMMYFUNCTION("""COMPUTED_VALUE"""),"DEPiR")</f>
        <v>DEPiR</v>
      </c>
      <c r="I137" s="7">
        <f ca="1">IFERROR(__xludf.DUMMYFUNCTION("""COMPUTED_VALUE"""),2)</f>
        <v>2</v>
      </c>
      <c r="J137" s="7">
        <f ca="1">IFERROR(__xludf.DUMMYFUNCTION("""COMPUTED_VALUE"""),1)</f>
        <v>1</v>
      </c>
      <c r="K137" s="7" t="str">
        <f ca="1">IFERROR(__xludf.DUMMYFUNCTION("""COMPUTED_VALUE"""),"Бибилашвили Надежда Михайловна")</f>
        <v>Бибилашвили Надежда Михайловна</v>
      </c>
      <c r="L137" s="7" t="str">
        <f ca="1">IFERROR(__xludf.DUMMYFUNCTION("""COMPUTED_VALUE"""),"Давлиев Ильнар Газинурович")</f>
        <v>Давлиев Ильнар Газинурович</v>
      </c>
      <c r="M137" s="7" t="str">
        <f ca="1">IFERROR(__xludf.DUMMYFUNCTION("""COMPUTED_VALUE"""),"Чурсина Мария Вячеславовна")</f>
        <v>Чурсина Мария Вячеславовна</v>
      </c>
      <c r="N137" s="7"/>
      <c r="O137" s="7"/>
      <c r="P137" s="7"/>
      <c r="Q137" s="7"/>
      <c r="R137" s="7"/>
      <c r="S137" s="7"/>
      <c r="T137" s="7"/>
      <c r="U137" s="7" t="str">
        <f ca="1">IFERROR(__xludf.DUMMYFUNCTION("""COMPUTED_VALUE"""),"Оказание услуг по санитарно-техническому обслуживанию дорожных опорных 
металлоконструкций")</f>
        <v>Оказание услуг по санитарно-техническому обслуживанию дорожных опорных 
металлоконструкций</v>
      </c>
      <c r="V137" s="10">
        <f ca="1">IFERROR(__xludf.DUMMYFUNCTION("""COMPUTED_VALUE"""),44572.4833217592)</f>
        <v>44572.483321759202</v>
      </c>
      <c r="W137" s="7" t="str">
        <f ca="1">IFERROR(__xludf.DUMMYFUNCTION("""COMPUTED_VALUE"""),"35.25")</f>
        <v>35.25</v>
      </c>
      <c r="X137" s="16" t="str">
        <f ca="1">IFERROR(__xludf.DUMMYFUNCTION("""COMPUTED_VALUE"""),"36.87")</f>
        <v>36.87</v>
      </c>
      <c r="Y137" s="7" t="str">
        <f ca="1">IFERROR(__xludf.DUMMYFUNCTION("""COMPUTED_VALUE"""),"6.96")</f>
        <v>6.96</v>
      </c>
      <c r="Z137" s="7" t="str">
        <f ca="1">IFERROR(__xludf.DUMMYFUNCTION("""COMPUTED_VALUE"""),"2.75")</f>
        <v>2.75</v>
      </c>
      <c r="AA137" s="8">
        <f ca="1">IFERROR(__xludf.DUMMYFUNCTION("""COMPUTED_VALUE"""),44808)</f>
        <v>44808</v>
      </c>
      <c r="AB137" s="7" t="str">
        <f ca="1">IFERROR(__xludf.DUMMYFUNCTION("""COMPUTED_VALUE"""),"44.95")</f>
        <v>44.95</v>
      </c>
      <c r="AC137" s="8">
        <f ca="1">IFERROR(__xludf.DUMMYFUNCTION("""COMPUTED_VALUE"""),44662)</f>
        <v>44662</v>
      </c>
      <c r="AD137" s="7"/>
      <c r="AE137" s="7"/>
      <c r="AF137" s="7"/>
      <c r="AG137" s="7"/>
      <c r="AH137" s="7"/>
      <c r="AI137" s="7"/>
      <c r="AJ137" s="7">
        <f ca="1">IFERROR(__xludf.DUMMYFUNCTION("""COMPUTED_VALUE"""),107)</f>
        <v>107</v>
      </c>
    </row>
    <row r="138" spans="1:36" ht="63" x14ac:dyDescent="0.2">
      <c r="A138" s="7">
        <f ca="1">IFERROR(__xludf.DUMMYFUNCTION("""COMPUTED_VALUE"""),181)</f>
        <v>181</v>
      </c>
      <c r="B138" s="7" t="str">
        <f ca="1">IFERROR(__xludf.DUMMYFUNCTION("""COMPUTED_VALUE"""),"FR-329")</f>
        <v>FR-329</v>
      </c>
      <c r="C138" s="9" t="str">
        <f ca="1">IFERROR(__xludf.DUMMYFUNCTION("""COMPUTED_VALUE"""),"Выполнение работ по реконструкции объектов инфраструктуры внеуличного 
транспорта")</f>
        <v>Выполнение работ по реконструкции объектов инфраструктуры внеуличного 
транспорта</v>
      </c>
      <c r="D138" s="7" t="str">
        <f ca="1">IFERROR(__xludf.DUMMYFUNCTION("""COMPUTED_VALUE"""),"План по стандартизации")</f>
        <v>План по стандартизации</v>
      </c>
      <c r="E138" s="7">
        <f ca="1">IFERROR(__xludf.DUMMYFUNCTION("""COMPUTED_VALUE"""),2022)</f>
        <v>2022</v>
      </c>
      <c r="F138" s="7">
        <f ca="1">IFERROR(__xludf.DUMMYFUNCTION("""COMPUTED_VALUE"""),3)</f>
        <v>3</v>
      </c>
      <c r="G138" s="7" t="str">
        <f ca="1">IFERROR(__xludf.DUMMYFUNCTION("""COMPUTED_VALUE"""),"ТТЗ")</f>
        <v>ТТЗ</v>
      </c>
      <c r="H138" s="7" t="str">
        <f ca="1">IFERROR(__xludf.DUMMYFUNCTION("""COMPUTED_VALUE"""),"DEPiR")</f>
        <v>DEPiR</v>
      </c>
      <c r="I138" s="7">
        <f ca="1">IFERROR(__xludf.DUMMYFUNCTION("""COMPUTED_VALUE"""),0)</f>
        <v>0</v>
      </c>
      <c r="J138" s="7">
        <f ca="1">IFERROR(__xludf.DUMMYFUNCTION("""COMPUTED_VALUE"""),0)</f>
        <v>0</v>
      </c>
      <c r="K138" s="7" t="str">
        <f ca="1">IFERROR(__xludf.DUMMYFUNCTION("""COMPUTED_VALUE"""),"Бибилашвили Надежда Михайловна")</f>
        <v>Бибилашвили Надежда Михайловна</v>
      </c>
      <c r="L138" s="7" t="str">
        <f ca="1">IFERROR(__xludf.DUMMYFUNCTION("""COMPUTED_VALUE"""),"Давлиев Ильнар Газинурович")</f>
        <v>Давлиев Ильнар Газинурович</v>
      </c>
      <c r="M138" s="7" t="str">
        <f ca="1">IFERROR(__xludf.DUMMYFUNCTION("""COMPUTED_VALUE"""),"Чурсина Мария Вячеславовна")</f>
        <v>Чурсина Мария Вячеславовна</v>
      </c>
      <c r="N138" s="7"/>
      <c r="O138" s="7"/>
      <c r="P138" s="7"/>
      <c r="Q138" s="7"/>
      <c r="R138" s="7"/>
      <c r="S138" s="7"/>
      <c r="T138" s="7"/>
      <c r="U138" s="7"/>
      <c r="V138" s="10">
        <f ca="1">IFERROR(__xludf.DUMMYFUNCTION("""COMPUTED_VALUE"""),44572.4900925925)</f>
        <v>44572.490092592503</v>
      </c>
      <c r="W138" s="7" t="str">
        <f ca="1">IFERROR(__xludf.DUMMYFUNCTION("""COMPUTED_VALUE"""),"125.02")</f>
        <v>125.02</v>
      </c>
      <c r="X138" s="16" t="str">
        <f ca="1">IFERROR(__xludf.DUMMYFUNCTION("""COMPUTED_VALUE"""),"6.15")</f>
        <v>6.15</v>
      </c>
      <c r="Y138" s="7"/>
      <c r="Z138" s="7"/>
      <c r="AA138" s="7" t="str">
        <f ca="1">IFERROR(__xludf.DUMMYFUNCTION("""COMPUTED_VALUE"""),"0.03")</f>
        <v>0.03</v>
      </c>
      <c r="AB138" s="11">
        <f ca="1">IFERROR(__xludf.DUMMYFUNCTION("""COMPUTED_VALUE"""),44752)</f>
        <v>44752</v>
      </c>
      <c r="AC138" s="7"/>
      <c r="AD138" s="7"/>
      <c r="AE138" s="7"/>
      <c r="AF138" s="7"/>
      <c r="AG138" s="7"/>
      <c r="AH138" s="7"/>
      <c r="AI138" s="7"/>
      <c r="AJ138" s="7">
        <f ca="1">IFERROR(__xludf.DUMMYFUNCTION("""COMPUTED_VALUE"""),17)</f>
        <v>17</v>
      </c>
    </row>
    <row r="139" spans="1:36" ht="63" x14ac:dyDescent="0.2">
      <c r="A139" s="7">
        <f ca="1">IFERROR(__xludf.DUMMYFUNCTION("""COMPUTED_VALUE"""),182)</f>
        <v>182</v>
      </c>
      <c r="B139" s="7" t="str">
        <f ca="1">IFERROR(__xludf.DUMMYFUNCTION("""COMPUTED_VALUE"""),"FR-330")</f>
        <v>FR-330</v>
      </c>
      <c r="C139" s="9" t="str">
        <f ca="1">IFERROR(__xludf.DUMMYFUNCTION("""COMPUTED_VALUE"""),"Выполнение работ по реконструкции нежилых объектов капитального 
строительства")</f>
        <v>Выполнение работ по реконструкции нежилых объектов капитального 
строительства</v>
      </c>
      <c r="D139" s="7" t="str">
        <f ca="1">IFERROR(__xludf.DUMMYFUNCTION("""COMPUTED_VALUE"""),"План по стандартизации")</f>
        <v>План по стандартизации</v>
      </c>
      <c r="E139" s="7">
        <f ca="1">IFERROR(__xludf.DUMMYFUNCTION("""COMPUTED_VALUE"""),2022)</f>
        <v>2022</v>
      </c>
      <c r="F139" s="7">
        <f ca="1">IFERROR(__xludf.DUMMYFUNCTION("""COMPUTED_VALUE"""),3)</f>
        <v>3</v>
      </c>
      <c r="G139" s="7" t="str">
        <f ca="1">IFERROR(__xludf.DUMMYFUNCTION("""COMPUTED_VALUE"""),"ТТЗ")</f>
        <v>ТТЗ</v>
      </c>
      <c r="H139" s="7" t="str">
        <f ca="1">IFERROR(__xludf.DUMMYFUNCTION("""COMPUTED_VALUE"""),"DEPiR")</f>
        <v>DEPiR</v>
      </c>
      <c r="I139" s="7">
        <f ca="1">IFERROR(__xludf.DUMMYFUNCTION("""COMPUTED_VALUE"""),1)</f>
        <v>1</v>
      </c>
      <c r="J139" s="7">
        <f ca="1">IFERROR(__xludf.DUMMYFUNCTION("""COMPUTED_VALUE"""),0)</f>
        <v>0</v>
      </c>
      <c r="K139" s="7" t="str">
        <f ca="1">IFERROR(__xludf.DUMMYFUNCTION("""COMPUTED_VALUE"""),"Шакиров Салават Ахматгаянович")</f>
        <v>Шакиров Салават Ахматгаянович</v>
      </c>
      <c r="L139" s="7" t="str">
        <f ca="1">IFERROR(__xludf.DUMMYFUNCTION("""COMPUTED_VALUE"""),"Давлиев Ильнар Газинурович")</f>
        <v>Давлиев Ильнар Газинурович</v>
      </c>
      <c r="M139" s="7" t="str">
        <f ca="1">IFERROR(__xludf.DUMMYFUNCTION("""COMPUTED_VALUE"""),"Чурсина Мария Вячеславовна")</f>
        <v>Чурсина Мария Вячеславовна</v>
      </c>
      <c r="N139" s="7"/>
      <c r="O139" s="7"/>
      <c r="P139" s="7"/>
      <c r="Q139" s="7"/>
      <c r="R139" s="7"/>
      <c r="S139" s="7"/>
      <c r="T139" s="7"/>
      <c r="U139" s="7"/>
      <c r="V139" s="10">
        <f ca="1">IFERROR(__xludf.DUMMYFUNCTION("""COMPUTED_VALUE"""),44572.4914351851)</f>
        <v>44572.491435185097</v>
      </c>
      <c r="W139" s="7" t="str">
        <f ca="1">IFERROR(__xludf.DUMMYFUNCTION("""COMPUTED_VALUE"""),"42.24")</f>
        <v>42.24</v>
      </c>
      <c r="X139" s="16" t="str">
        <f ca="1">IFERROR(__xludf.DUMMYFUNCTION("""COMPUTED_VALUE"""),"89.07")</f>
        <v>89.07</v>
      </c>
      <c r="Y139" s="7"/>
      <c r="Z139" s="7" t="str">
        <f ca="1">IFERROR(__xludf.DUMMYFUNCTION("""COMPUTED_VALUE"""),"2.81")</f>
        <v>2.81</v>
      </c>
      <c r="AA139" s="11">
        <f ca="1">IFERROR(__xludf.DUMMYFUNCTION("""COMPUTED_VALUE"""),44594)</f>
        <v>44594</v>
      </c>
      <c r="AB139" s="7" t="str">
        <f ca="1">IFERROR(__xludf.DUMMYFUNCTION("""COMPUTED_VALUE"""),"5.59")</f>
        <v>5.59</v>
      </c>
      <c r="AC139" s="7"/>
      <c r="AD139" s="7"/>
      <c r="AE139" s="7"/>
      <c r="AF139" s="7"/>
      <c r="AG139" s="7"/>
      <c r="AH139" s="7"/>
      <c r="AI139" s="7"/>
      <c r="AJ139" s="7">
        <f ca="1">IFERROR(__xludf.DUMMYFUNCTION("""COMPUTED_VALUE"""),99)</f>
        <v>99</v>
      </c>
    </row>
    <row r="140" spans="1:36" ht="63" x14ac:dyDescent="0.2">
      <c r="A140" s="7">
        <f ca="1">IFERROR(__xludf.DUMMYFUNCTION("""COMPUTED_VALUE"""),183)</f>
        <v>183</v>
      </c>
      <c r="B140" s="7" t="str">
        <f ca="1">IFERROR(__xludf.DUMMYFUNCTION("""COMPUTED_VALUE"""),"FR-331")</f>
        <v>FR-331</v>
      </c>
      <c r="C140" s="9" t="str">
        <f ca="1">IFERROR(__xludf.DUMMYFUNCTION("""COMPUTED_VALUE"""),"Поставка информационных панелей для остановочных павильонов")</f>
        <v>Поставка информационных панелей для остановочных павильонов</v>
      </c>
      <c r="D140" s="7" t="str">
        <f ca="1">IFERROR(__xludf.DUMMYFUNCTION("""COMPUTED_VALUE"""),"План по стандартизации")</f>
        <v>План по стандартизации</v>
      </c>
      <c r="E140" s="7">
        <f ca="1">IFERROR(__xludf.DUMMYFUNCTION("""COMPUTED_VALUE"""),2022)</f>
        <v>2022</v>
      </c>
      <c r="F140" s="7">
        <f ca="1">IFERROR(__xludf.DUMMYFUNCTION("""COMPUTED_VALUE"""),3)</f>
        <v>3</v>
      </c>
      <c r="G140" s="7" t="str">
        <f ca="1">IFERROR(__xludf.DUMMYFUNCTION("""COMPUTED_VALUE"""),"ТТЗ")</f>
        <v>ТТЗ</v>
      </c>
      <c r="H140" s="7" t="str">
        <f ca="1">IFERROR(__xludf.DUMMYFUNCTION("""COMPUTED_VALUE"""),"Develop")</f>
        <v>Develop</v>
      </c>
      <c r="I140" s="7">
        <f ca="1">IFERROR(__xludf.DUMMYFUNCTION("""COMPUTED_VALUE"""),0)</f>
        <v>0</v>
      </c>
      <c r="J140" s="7">
        <f ca="1">IFERROR(__xludf.DUMMYFUNCTION("""COMPUTED_VALUE"""),0)</f>
        <v>0</v>
      </c>
      <c r="K140" s="7" t="str">
        <f ca="1">IFERROR(__xludf.DUMMYFUNCTION("""COMPUTED_VALUE"""),"Давлиева Нигина Хикматджановна")</f>
        <v>Давлиева Нигина Хикматджановна</v>
      </c>
      <c r="L140" s="7" t="str">
        <f ca="1">IFERROR(__xludf.DUMMYFUNCTION("""COMPUTED_VALUE"""),"Давлиев Ильнар Газинурович")</f>
        <v>Давлиев Ильнар Газинурович</v>
      </c>
      <c r="M140" s="7" t="str">
        <f ca="1">IFERROR(__xludf.DUMMYFUNCTION("""COMPUTED_VALUE"""),"Чурсина Мария Вячеславовна")</f>
        <v>Чурсина Мария Вячеславовна</v>
      </c>
      <c r="N140" s="7"/>
      <c r="O140" s="7"/>
      <c r="P140" s="7"/>
      <c r="Q140" s="7"/>
      <c r="R140" s="7"/>
      <c r="S140" s="7"/>
      <c r="T140" s="7"/>
      <c r="U140" s="7"/>
      <c r="V140" s="10">
        <f ca="1">IFERROR(__xludf.DUMMYFUNCTION("""COMPUTED_VALUE"""),44572.4921527777)</f>
        <v>44572.492152777697</v>
      </c>
      <c r="W140" s="7" t="str">
        <f ca="1">IFERROR(__xludf.DUMMYFUNCTION("""COMPUTED_VALUE"""),"41.96")</f>
        <v>41.96</v>
      </c>
      <c r="X140" s="16" t="str">
        <f ca="1">IFERROR(__xludf.DUMMYFUNCTION("""COMPUTED_VALUE"""),"99.95")</f>
        <v>99.95</v>
      </c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>
        <f ca="1">IFERROR(__xludf.DUMMYFUNCTION("""COMPUTED_VALUE"""),100)</f>
        <v>100</v>
      </c>
    </row>
    <row r="141" spans="1:36" ht="126" x14ac:dyDescent="0.2">
      <c r="A141" s="7">
        <f ca="1">IFERROR(__xludf.DUMMYFUNCTION("""COMPUTED_VALUE"""),184)</f>
        <v>184</v>
      </c>
      <c r="B141" s="7" t="str">
        <f ca="1">IFERROR(__xludf.DUMMYFUNCTION("""COMPUTED_VALUE"""),"FR-332")</f>
        <v>FR-332</v>
      </c>
      <c r="C141" s="9" t="str">
        <f ca="1">IFERROR(__xludf.DUMMYFUNCTION("""COMPUTED_VALUE"""),"Поставка расходных изделий для укладки и (или) эксплуатации путей")</f>
        <v>Поставка расходных изделий для укладки и (или) эксплуатации путей</v>
      </c>
      <c r="D141" s="7" t="str">
        <f ca="1">IFERROR(__xludf.DUMMYFUNCTION("""COMPUTED_VALUE"""),"План по стандартизации")</f>
        <v>План по стандартизации</v>
      </c>
      <c r="E141" s="7">
        <f ca="1">IFERROR(__xludf.DUMMYFUNCTION("""COMPUTED_VALUE"""),2022)</f>
        <v>2022</v>
      </c>
      <c r="F141" s="7">
        <f ca="1">IFERROR(__xludf.DUMMYFUNCTION("""COMPUTED_VALUE"""),1)</f>
        <v>1</v>
      </c>
      <c r="G141" s="7" t="str">
        <f ca="1">IFERROR(__xludf.DUMMYFUNCTION("""COMPUTED_VALUE"""),"ТТЗ")</f>
        <v>ТТЗ</v>
      </c>
      <c r="H141" s="7" t="str">
        <f ca="1">IFERROR(__xludf.DUMMYFUNCTION("""COMPUTED_VALUE"""),"Подготовка к РГ")</f>
        <v>Подготовка к РГ</v>
      </c>
      <c r="I141" s="7">
        <f ca="1">IFERROR(__xludf.DUMMYFUNCTION("""COMPUTED_VALUE"""),4)</f>
        <v>4</v>
      </c>
      <c r="J141" s="7">
        <f ca="1">IFERROR(__xludf.DUMMYFUNCTION("""COMPUTED_VALUE"""),2)</f>
        <v>2</v>
      </c>
      <c r="K141" s="7" t="str">
        <f ca="1">IFERROR(__xludf.DUMMYFUNCTION("""COMPUTED_VALUE"""),"Коровина Анна Анатольевна")</f>
        <v>Коровина Анна Анатольевна</v>
      </c>
      <c r="L141" s="7" t="str">
        <f ca="1">IFERROR(__xludf.DUMMYFUNCTION("""COMPUTED_VALUE"""),"Осипенкова Елена Владимировна")</f>
        <v>Осипенкова Елена Владимировна</v>
      </c>
      <c r="M141" s="7" t="str">
        <f ca="1">IFERROR(__xludf.DUMMYFUNCTION("""COMPUTED_VALUE"""),"Чурсина Мария Вячеславовна")</f>
        <v>Чурсина Мария Вячеславовна</v>
      </c>
      <c r="N141" s="7"/>
      <c r="O141" s="7"/>
      <c r="P141" s="7"/>
      <c r="Q141" s="7"/>
      <c r="R141" s="7"/>
      <c r="S141" s="7"/>
      <c r="T141" s="7"/>
      <c r="U141" s="7" t="str">
        <f ca="1">IFERROR(__xludf.DUMMYFUNCTION("""COMPUTED_VALUE"""),"Поставка расходных изделий для укладки и (или) эксплуатации путей")</f>
        <v>Поставка расходных изделий для укладки и (или) эксплуатации путей</v>
      </c>
      <c r="V141" s="10">
        <f ca="1">IFERROR(__xludf.DUMMYFUNCTION("""COMPUTED_VALUE"""),44572.6090625)</f>
        <v>44572.6090625</v>
      </c>
      <c r="W141" s="8">
        <f ca="1">IFERROR(__xludf.DUMMYFUNCTION("""COMPUTED_VALUE"""),44631)</f>
        <v>44631</v>
      </c>
      <c r="X141" s="17">
        <f ca="1">IFERROR(__xludf.DUMMYFUNCTION("""COMPUTED_VALUE"""),44794)</f>
        <v>44794</v>
      </c>
      <c r="Y141" s="7" t="str">
        <f ca="1">IFERROR(__xludf.DUMMYFUNCTION("""COMPUTED_VALUE"""),"6.26")</f>
        <v>6.26</v>
      </c>
      <c r="Z141" s="7" t="str">
        <f ca="1">IFERROR(__xludf.DUMMYFUNCTION("""COMPUTED_VALUE"""),"9.51")</f>
        <v>9.51</v>
      </c>
      <c r="AA141" s="7" t="str">
        <f ca="1">IFERROR(__xludf.DUMMYFUNCTION("""COMPUTED_VALUE"""),"0.94")</f>
        <v>0.94</v>
      </c>
      <c r="AB141" s="7" t="str">
        <f ca="1">IFERROR(__xludf.DUMMYFUNCTION("""COMPUTED_VALUE"""),"28.99")</f>
        <v>28.99</v>
      </c>
      <c r="AC141" s="7" t="str">
        <f ca="1">IFERROR(__xludf.DUMMYFUNCTION("""COMPUTED_VALUE"""),"42.11")</f>
        <v>42.11</v>
      </c>
      <c r="AD141" s="7" t="str">
        <f ca="1">IFERROR(__xludf.DUMMYFUNCTION("""COMPUTED_VALUE"""),"21.88")</f>
        <v>21.88</v>
      </c>
      <c r="AE141" s="7"/>
      <c r="AF141" s="7"/>
      <c r="AG141" s="7"/>
      <c r="AH141" s="7"/>
      <c r="AI141" s="7"/>
      <c r="AJ141" s="7">
        <f ca="1">IFERROR(__xludf.DUMMYFUNCTION("""COMPUTED_VALUE"""),131)</f>
        <v>131</v>
      </c>
    </row>
    <row r="142" spans="1:36" ht="63" x14ac:dyDescent="0.2">
      <c r="A142" s="7">
        <f ca="1">IFERROR(__xludf.DUMMYFUNCTION("""COMPUTED_VALUE"""),185)</f>
        <v>185</v>
      </c>
      <c r="B142" s="7" t="str">
        <f ca="1">IFERROR(__xludf.DUMMYFUNCTION("""COMPUTED_VALUE"""),"FR-333")</f>
        <v>FR-333</v>
      </c>
      <c r="C142" s="9" t="str">
        <f ca="1">IFERROR(__xludf.DUMMYFUNCTION("""COMPUTED_VALUE"""),"Оказание услуг по оцифровке документов")</f>
        <v>Оказание услуг по оцифровке документов</v>
      </c>
      <c r="D142" s="7" t="str">
        <f ca="1">IFERROR(__xludf.DUMMYFUNCTION("""COMPUTED_VALUE"""),"План по стандартизации")</f>
        <v>План по стандартизации</v>
      </c>
      <c r="E142" s="7">
        <f ca="1">IFERROR(__xludf.DUMMYFUNCTION("""COMPUTED_VALUE"""),2022)</f>
        <v>2022</v>
      </c>
      <c r="F142" s="7">
        <f ca="1">IFERROR(__xludf.DUMMYFUNCTION("""COMPUTED_VALUE"""),2)</f>
        <v>2</v>
      </c>
      <c r="G142" s="7" t="str">
        <f ca="1">IFERROR(__xludf.DUMMYFUNCTION("""COMPUTED_VALUE"""),"ТТЗ")</f>
        <v>ТТЗ</v>
      </c>
      <c r="H142" s="7" t="str">
        <f ca="1">IFERROR(__xludf.DUMMYFUNCTION("""COMPUTED_VALUE"""),"Revision OIV")</f>
        <v>Revision OIV</v>
      </c>
      <c r="I142" s="7">
        <f ca="1">IFERROR(__xludf.DUMMYFUNCTION("""COMPUTED_VALUE"""),4)</f>
        <v>4</v>
      </c>
      <c r="J142" s="7">
        <f ca="1">IFERROR(__xludf.DUMMYFUNCTION("""COMPUTED_VALUE"""),1)</f>
        <v>1</v>
      </c>
      <c r="K142" s="7" t="str">
        <f ca="1">IFERROR(__xludf.DUMMYFUNCTION("""COMPUTED_VALUE"""),"Клюева Ангелина Эдуардовна")</f>
        <v>Клюева Ангелина Эдуардовна</v>
      </c>
      <c r="L142" s="7" t="str">
        <f ca="1">IFERROR(__xludf.DUMMYFUNCTION("""COMPUTED_VALUE"""),"Минин Александр Валерьевич")</f>
        <v>Минин Александр Валерьевич</v>
      </c>
      <c r="M142" s="7" t="str">
        <f ca="1">IFERROR(__xludf.DUMMYFUNCTION("""COMPUTED_VALUE"""),"Чурсина Мария Вячеславовна")</f>
        <v>Чурсина Мария Вячеславовна</v>
      </c>
      <c r="N142" s="7"/>
      <c r="O142" s="7"/>
      <c r="P142" s="7"/>
      <c r="Q142" s="7"/>
      <c r="R142" s="7"/>
      <c r="S142" s="7"/>
      <c r="T142" s="7"/>
      <c r="U142" s="7" t="str">
        <f ca="1">IFERROR(__xludf.DUMMYFUNCTION("""COMPUTED_VALUE"""),"Оказание услуг по оцифровке документов")</f>
        <v>Оказание услуг по оцифровке документов</v>
      </c>
      <c r="V142" s="10">
        <f ca="1">IFERROR(__xludf.DUMMYFUNCTION("""COMPUTED_VALUE"""),44572.6176041666)</f>
        <v>44572.617604166597</v>
      </c>
      <c r="W142" s="7" t="str">
        <f ca="1">IFERROR(__xludf.DUMMYFUNCTION("""COMPUTED_VALUE"""),"38.38")</f>
        <v>38.38</v>
      </c>
      <c r="X142" s="16" t="str">
        <f ca="1">IFERROR(__xludf.DUMMYFUNCTION("""COMPUTED_VALUE"""),"34.38")</f>
        <v>34.38</v>
      </c>
      <c r="Y142" s="7" t="str">
        <f ca="1">IFERROR(__xludf.DUMMYFUNCTION("""COMPUTED_VALUE"""),"2.97")</f>
        <v>2.97</v>
      </c>
      <c r="Z142" s="7" t="str">
        <f ca="1">IFERROR(__xludf.DUMMYFUNCTION("""COMPUTED_VALUE"""),"10.96")</f>
        <v>10.96</v>
      </c>
      <c r="AA142" s="7" t="str">
        <f ca="1">IFERROR(__xludf.DUMMYFUNCTION("""COMPUTED_VALUE"""),"3.18")</f>
        <v>3.18</v>
      </c>
      <c r="AB142" s="7" t="str">
        <f ca="1">IFERROR(__xludf.DUMMYFUNCTION("""COMPUTED_VALUE"""),"41.08")</f>
        <v>41.08</v>
      </c>
      <c r="AC142" s="7" t="str">
        <f ca="1">IFERROR(__xludf.DUMMYFUNCTION("""COMPUTED_VALUE"""),"10.82")</f>
        <v>10.82</v>
      </c>
      <c r="AD142" s="7"/>
      <c r="AE142" s="7"/>
      <c r="AF142" s="7"/>
      <c r="AG142" s="7"/>
      <c r="AH142" s="7"/>
      <c r="AI142" s="7"/>
      <c r="AJ142" s="7">
        <f ca="1">IFERROR(__xludf.DUMMYFUNCTION("""COMPUTED_VALUE"""),104)</f>
        <v>104</v>
      </c>
    </row>
    <row r="143" spans="1:36" ht="110.25" x14ac:dyDescent="0.2">
      <c r="A143" s="7">
        <f ca="1">IFERROR(__xludf.DUMMYFUNCTION("""COMPUTED_VALUE"""),186)</f>
        <v>186</v>
      </c>
      <c r="B143" s="7" t="str">
        <f ca="1">IFERROR(__xludf.DUMMYFUNCTION("""COMPUTED_VALUE"""),"FR-334")</f>
        <v>FR-334</v>
      </c>
      <c r="C143" s="9" t="str">
        <f ca="1">IFERROR(__xludf.DUMMYFUNCTION("""COMPUTED_VALUE"""),"Выполнение работ по установке радиоконтроллеров и радиочастотных меток")</f>
        <v>Выполнение работ по установке радиоконтроллеров и радиочастотных меток</v>
      </c>
      <c r="D143" s="7" t="str">
        <f ca="1">IFERROR(__xludf.DUMMYFUNCTION("""COMPUTED_VALUE"""),"План по стандартизации")</f>
        <v>План по стандартизации</v>
      </c>
      <c r="E143" s="7">
        <f ca="1">IFERROR(__xludf.DUMMYFUNCTION("""COMPUTED_VALUE"""),2022)</f>
        <v>2022</v>
      </c>
      <c r="F143" s="7">
        <f ca="1">IFERROR(__xludf.DUMMYFUNCTION("""COMPUTED_VALUE"""),3)</f>
        <v>3</v>
      </c>
      <c r="G143" s="7" t="str">
        <f ca="1">IFERROR(__xludf.DUMMYFUNCTION("""COMPUTED_VALUE"""),"ТТЗ")</f>
        <v>ТТЗ</v>
      </c>
      <c r="H143" s="7" t="str">
        <f ca="1">IFERROR(__xludf.DUMMYFUNCTION("""COMPUTED_VALUE"""),"Develop")</f>
        <v>Develop</v>
      </c>
      <c r="I143" s="7">
        <f ca="1">IFERROR(__xludf.DUMMYFUNCTION("""COMPUTED_VALUE"""),0)</f>
        <v>0</v>
      </c>
      <c r="J143" s="7">
        <f ca="1">IFERROR(__xludf.DUMMYFUNCTION("""COMPUTED_VALUE"""),0)</f>
        <v>0</v>
      </c>
      <c r="K143" s="7" t="str">
        <f ca="1">IFERROR(__xludf.DUMMYFUNCTION("""COMPUTED_VALUE"""),"Степанян Марк Маратович")</f>
        <v>Степанян Марк Маратович</v>
      </c>
      <c r="L143" s="7" t="str">
        <f ca="1">IFERROR(__xludf.DUMMYFUNCTION("""COMPUTED_VALUE"""),"Минин Александр Валерьевич")</f>
        <v>Минин Александр Валерьевич</v>
      </c>
      <c r="M143" s="7" t="str">
        <f ca="1">IFERROR(__xludf.DUMMYFUNCTION("""COMPUTED_VALUE"""),"Чурсина Мария Вячеславовна")</f>
        <v>Чурсина Мария Вячеславовна</v>
      </c>
      <c r="N143" s="7"/>
      <c r="O143" s="7"/>
      <c r="P143" s="7"/>
      <c r="Q143" s="7"/>
      <c r="R143" s="7"/>
      <c r="S143" s="7"/>
      <c r="T143" s="7"/>
      <c r="U143" s="7" t="str">
        <f ca="1">IFERROR(__xludf.DUMMYFUNCTION("""COMPUTED_VALUE"""),"Выполнение работ по установке радиоконтроллеров и радиочастотных меток")</f>
        <v>Выполнение работ по установке радиоконтроллеров и радиочастотных меток</v>
      </c>
      <c r="V143" s="10">
        <f ca="1">IFERROR(__xludf.DUMMYFUNCTION("""COMPUTED_VALUE"""),44572.6186226851)</f>
        <v>44572.618622685099</v>
      </c>
      <c r="W143" s="7" t="str">
        <f ca="1">IFERROR(__xludf.DUMMYFUNCTION("""COMPUTED_VALUE"""),"116.07")</f>
        <v>116.07</v>
      </c>
      <c r="X143" s="16" t="str">
        <f ca="1">IFERROR(__xludf.DUMMYFUNCTION("""COMPUTED_VALUE"""),"25.71")</f>
        <v>25.71</v>
      </c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>
        <f ca="1">IFERROR(__xludf.DUMMYFUNCTION("""COMPUTED_VALUE"""),26)</f>
        <v>26</v>
      </c>
    </row>
    <row r="144" spans="1:36" ht="110.25" x14ac:dyDescent="0.2">
      <c r="A144" s="7">
        <f ca="1">IFERROR(__xludf.DUMMYFUNCTION("""COMPUTED_VALUE"""),187)</f>
        <v>187</v>
      </c>
      <c r="B144" s="7" t="str">
        <f ca="1">IFERROR(__xludf.DUMMYFUNCTION("""COMPUTED_VALUE"""),"FR-335")</f>
        <v>FR-335</v>
      </c>
      <c r="C144" s="9" t="str">
        <f ca="1">IFERROR(__xludf.DUMMYFUNCTION("""COMPUTED_VALUE"""),"Выполнение работ по капитальному ремонту объектов газоснабжения")</f>
        <v>Выполнение работ по капитальному ремонту объектов газоснабжения</v>
      </c>
      <c r="D144" s="7" t="str">
        <f ca="1">IFERROR(__xludf.DUMMYFUNCTION("""COMPUTED_VALUE"""),"План по стандартизации")</f>
        <v>План по стандартизации</v>
      </c>
      <c r="E144" s="7">
        <f ca="1">IFERROR(__xludf.DUMMYFUNCTION("""COMPUTED_VALUE"""),2022)</f>
        <v>2022</v>
      </c>
      <c r="F144" s="7">
        <f ca="1">IFERROR(__xludf.DUMMYFUNCTION("""COMPUTED_VALUE"""),1)</f>
        <v>1</v>
      </c>
      <c r="G144" s="7" t="str">
        <f ca="1">IFERROR(__xludf.DUMMYFUNCTION("""COMPUTED_VALUE"""),"ТТЗ")</f>
        <v>ТТЗ</v>
      </c>
      <c r="H144" s="7" t="str">
        <f ca="1">IFERROR(__xludf.DUMMYFUNCTION("""COMPUTED_VALUE"""),"Завершено")</f>
        <v>Завершено</v>
      </c>
      <c r="I144" s="7">
        <f ca="1">IFERROR(__xludf.DUMMYFUNCTION("""COMPUTED_VALUE"""),4)</f>
        <v>4</v>
      </c>
      <c r="J144" s="7">
        <f ca="1">IFERROR(__xludf.DUMMYFUNCTION("""COMPUTED_VALUE"""),1)</f>
        <v>1</v>
      </c>
      <c r="K144" s="7" t="str">
        <f ca="1">IFERROR(__xludf.DUMMYFUNCTION("""COMPUTED_VALUE"""),"Жунова Анастасия Владимировна")</f>
        <v>Жунова Анастасия Владимировна</v>
      </c>
      <c r="L144" s="7" t="str">
        <f ca="1">IFERROR(__xludf.DUMMYFUNCTION("""COMPUTED_VALUE"""),"Минин Александр Валерьевич")</f>
        <v>Минин Александр Валерьевич</v>
      </c>
      <c r="M144" s="7" t="str">
        <f ca="1">IFERROR(__xludf.DUMMYFUNCTION("""COMPUTED_VALUE"""),"Чурсина Мария Вячеславовна")</f>
        <v>Чурсина Мария Вячеславовна</v>
      </c>
      <c r="N144" s="7"/>
      <c r="O144" s="7" t="str">
        <f ca="1">IFERROR(__xludf.DUMMYFUNCTION("""COMPUTED_VALUE"""),"Уникальный")</f>
        <v>Уникальный</v>
      </c>
      <c r="P144" s="7" t="str">
        <f ca="1">IFERROR(__xludf.DUMMYFUNCTION("""COMPUTED_VALUE"""),"Нет")</f>
        <v>Нет</v>
      </c>
      <c r="Q144" s="7"/>
      <c r="R144" s="7" t="str">
        <f ca="1">IFERROR(__xludf.DUMMYFUNCTION("""COMPUTED_VALUE"""),"Нет")</f>
        <v>Нет</v>
      </c>
      <c r="S144" s="7" t="str">
        <f ca="1">IFERROR(__xludf.DUMMYFUNCTION("""COMPUTED_VALUE"""),"Открытый конкурс")</f>
        <v>Открытый конкурс</v>
      </c>
      <c r="T144" s="7"/>
      <c r="U144" s="7" t="str">
        <f ca="1">IFERROR(__xludf.DUMMYFUNCTION("""COMPUTED_VALUE"""),"Выполнение работ по капитальному ремонту объектов газоснабжения")</f>
        <v>Выполнение работ по капитальному ремонту объектов газоснабжения</v>
      </c>
      <c r="V144" s="10">
        <f ca="1">IFERROR(__xludf.DUMMYFUNCTION("""COMPUTED_VALUE"""),44572.6556481481)</f>
        <v>44572.655648148102</v>
      </c>
      <c r="W144" s="7">
        <f ca="1">IFERROR(__xludf.DUMMYFUNCTION("""COMPUTED_VALUE"""),0)</f>
        <v>0</v>
      </c>
      <c r="X144" s="17">
        <f ca="1">IFERROR(__xludf.DUMMYFUNCTION("""COMPUTED_VALUE"""),44643)</f>
        <v>44643</v>
      </c>
      <c r="Y144" s="7" t="str">
        <f ca="1">IFERROR(__xludf.DUMMYFUNCTION("""COMPUTED_VALUE"""),"2.92")</f>
        <v>2.92</v>
      </c>
      <c r="Z144" s="7" t="str">
        <f ca="1">IFERROR(__xludf.DUMMYFUNCTION("""COMPUTED_VALUE"""),"4.97")</f>
        <v>4.97</v>
      </c>
      <c r="AA144" s="7" t="str">
        <f ca="1">IFERROR(__xludf.DUMMYFUNCTION("""COMPUTED_VALUE"""),"1.15")</f>
        <v>1.15</v>
      </c>
      <c r="AB144" s="7" t="str">
        <f ca="1">IFERROR(__xludf.DUMMYFUNCTION("""COMPUTED_VALUE"""),"50.92")</f>
        <v>50.92</v>
      </c>
      <c r="AC144" s="7" t="str">
        <f ca="1">IFERROR(__xludf.DUMMYFUNCTION("""COMPUTED_VALUE"""),"16.82")</f>
        <v>16.82</v>
      </c>
      <c r="AD144" s="7" t="str">
        <f ca="1">IFERROR(__xludf.DUMMYFUNCTION("""COMPUTED_VALUE"""),"17.21")</f>
        <v>17.21</v>
      </c>
      <c r="AE144" s="7" t="str">
        <f ca="1">IFERROR(__xludf.DUMMYFUNCTION("""COMPUTED_VALUE"""),"13.83")</f>
        <v>13.83</v>
      </c>
      <c r="AF144" s="7" t="str">
        <f ca="1">IFERROR(__xludf.DUMMYFUNCTION("""COMPUTED_VALUE"""),"1.99")</f>
        <v>1.99</v>
      </c>
      <c r="AG144" s="8">
        <f ca="1">IFERROR(__xludf.DUMMYFUNCTION("""COMPUTED_VALUE"""),44624)</f>
        <v>44624</v>
      </c>
      <c r="AH144" s="10">
        <f ca="1">IFERROR(__xludf.DUMMYFUNCTION("""COMPUTED_VALUE"""),44746.674386574)</f>
        <v>44746.674386573999</v>
      </c>
      <c r="AI144" s="10">
        <f ca="1">IFERROR(__xludf.DUMMYFUNCTION("""COMPUTED_VALUE"""),44774.5279513888)</f>
        <v>44774.527951388802</v>
      </c>
      <c r="AJ144" s="7">
        <f ca="1">IFERROR(__xludf.DUMMYFUNCTION("""COMPUTED_VALUE"""),137)</f>
        <v>137</v>
      </c>
    </row>
    <row r="145" spans="1:36" ht="110.25" x14ac:dyDescent="0.2">
      <c r="A145" s="7">
        <f ca="1">IFERROR(__xludf.DUMMYFUNCTION("""COMPUTED_VALUE"""),188)</f>
        <v>188</v>
      </c>
      <c r="B145" s="7" t="str">
        <f ca="1">IFERROR(__xludf.DUMMYFUNCTION("""COMPUTED_VALUE"""),"FR-336")</f>
        <v>FR-336</v>
      </c>
      <c r="C145" s="9" t="str">
        <f ca="1">IFERROR(__xludf.DUMMYFUNCTION("""COMPUTED_VALUE"""),"Поставка приборов учета воды, тепловой и электрической энергии")</f>
        <v>Поставка приборов учета воды, тепловой и электрической энергии</v>
      </c>
      <c r="D145" s="7" t="str">
        <f ca="1">IFERROR(__xludf.DUMMYFUNCTION("""COMPUTED_VALUE"""),"План по стандартизации")</f>
        <v>План по стандартизации</v>
      </c>
      <c r="E145" s="7">
        <f ca="1">IFERROR(__xludf.DUMMYFUNCTION("""COMPUTED_VALUE"""),2022)</f>
        <v>2022</v>
      </c>
      <c r="F145" s="7">
        <f ca="1">IFERROR(__xludf.DUMMYFUNCTION("""COMPUTED_VALUE"""),2)</f>
        <v>2</v>
      </c>
      <c r="G145" s="7" t="str">
        <f ca="1">IFERROR(__xludf.DUMMYFUNCTION("""COMPUTED_VALUE"""),"ТТЗ")</f>
        <v>ТТЗ</v>
      </c>
      <c r="H145" s="7" t="str">
        <f ca="1">IFERROR(__xludf.DUMMYFUNCTION("""COMPUTED_VALUE"""),"На согл. в ОИВ")</f>
        <v>На согл. в ОИВ</v>
      </c>
      <c r="I145" s="7">
        <f ca="1">IFERROR(__xludf.DUMMYFUNCTION("""COMPUTED_VALUE"""),2)</f>
        <v>2</v>
      </c>
      <c r="J145" s="7">
        <f ca="1">IFERROR(__xludf.DUMMYFUNCTION("""COMPUTED_VALUE"""),0)</f>
        <v>0</v>
      </c>
      <c r="K145" s="7" t="str">
        <f ca="1">IFERROR(__xludf.DUMMYFUNCTION("""COMPUTED_VALUE"""),"Жунова Анастасия Владимировна")</f>
        <v>Жунова Анастасия Владимировна</v>
      </c>
      <c r="L145" s="7" t="str">
        <f ca="1">IFERROR(__xludf.DUMMYFUNCTION("""COMPUTED_VALUE"""),"Минин Александр Валерьевич")</f>
        <v>Минин Александр Валерьевич</v>
      </c>
      <c r="M145" s="7" t="str">
        <f ca="1">IFERROR(__xludf.DUMMYFUNCTION("""COMPUTED_VALUE"""),"Чурсина Мария Вячеславовна")</f>
        <v>Чурсина Мария Вячеславовна</v>
      </c>
      <c r="N145" s="7"/>
      <c r="O145" s="7"/>
      <c r="P145" s="7"/>
      <c r="Q145" s="7"/>
      <c r="R145" s="7"/>
      <c r="S145" s="7"/>
      <c r="T145" s="7"/>
      <c r="U145" s="7" t="str">
        <f ca="1">IFERROR(__xludf.DUMMYFUNCTION("""COMPUTED_VALUE"""),"Поставка приборов учета воды, тепловой и электрической энергии")</f>
        <v>Поставка приборов учета воды, тепловой и электрической энергии</v>
      </c>
      <c r="V145" s="10">
        <f ca="1">IFERROR(__xludf.DUMMYFUNCTION("""COMPUTED_VALUE"""),44572.6573263888)</f>
        <v>44572.657326388799</v>
      </c>
      <c r="W145" s="7" t="str">
        <f ca="1">IFERROR(__xludf.DUMMYFUNCTION("""COMPUTED_VALUE"""),"65.8")</f>
        <v>65.8</v>
      </c>
      <c r="X145" s="16" t="str">
        <f ca="1">IFERROR(__xludf.DUMMYFUNCTION("""COMPUTED_VALUE"""),"34.27")</f>
        <v>34.27</v>
      </c>
      <c r="Y145" s="7"/>
      <c r="Z145" s="8">
        <f ca="1">IFERROR(__xludf.DUMMYFUNCTION("""COMPUTED_VALUE"""),44713)</f>
        <v>44713</v>
      </c>
      <c r="AA145" s="7" t="str">
        <f ca="1">IFERROR(__xludf.DUMMYFUNCTION("""COMPUTED_VALUE"""),"0.04")</f>
        <v>0.04</v>
      </c>
      <c r="AB145" s="7" t="str">
        <f ca="1">IFERROR(__xludf.DUMMYFUNCTION("""COMPUTED_VALUE"""),"16.87")</f>
        <v>16.87</v>
      </c>
      <c r="AC145" s="11">
        <f ca="1">IFERROR(__xludf.DUMMYFUNCTION("""COMPUTED_VALUE"""),44765)</f>
        <v>44765</v>
      </c>
      <c r="AD145" s="7"/>
      <c r="AE145" s="7"/>
      <c r="AF145" s="7"/>
      <c r="AG145" s="7"/>
      <c r="AH145" s="7"/>
      <c r="AI145" s="7"/>
      <c r="AJ145" s="7">
        <f ca="1">IFERROR(__xludf.DUMMYFUNCTION("""COMPUTED_VALUE"""),76)</f>
        <v>76</v>
      </c>
    </row>
    <row r="146" spans="1:36" ht="236.25" x14ac:dyDescent="0.2">
      <c r="A146" s="7">
        <f ca="1">IFERROR(__xludf.DUMMYFUNCTION("""COMPUTED_VALUE"""),189)</f>
        <v>189</v>
      </c>
      <c r="B146" s="7" t="str">
        <f ca="1">IFERROR(__xludf.DUMMYFUNCTION("""COMPUTED_VALUE"""),"FR-337")</f>
        <v>FR-337</v>
      </c>
      <c r="C146" s="9" t="str">
        <f ca="1">IFERROR(__xludf.DUMMYFUNCTION("""COMPUTED_VALUE"""),"Выполнение строительно-монтажных работ для создания автоматизированной 
системы контроля прохода на объекты метрополитена")</f>
        <v>Выполнение строительно-монтажных работ для создания автоматизированной 
системы контроля прохода на объекты метрополитена</v>
      </c>
      <c r="D146" s="7" t="str">
        <f ca="1">IFERROR(__xludf.DUMMYFUNCTION("""COMPUTED_VALUE"""),"План по стандартизации")</f>
        <v>План по стандартизации</v>
      </c>
      <c r="E146" s="7">
        <f ca="1">IFERROR(__xludf.DUMMYFUNCTION("""COMPUTED_VALUE"""),2022)</f>
        <v>2022</v>
      </c>
      <c r="F146" s="7">
        <f ca="1">IFERROR(__xludf.DUMMYFUNCTION("""COMPUTED_VALUE"""),2)</f>
        <v>2</v>
      </c>
      <c r="G146" s="7" t="str">
        <f ca="1">IFERROR(__xludf.DUMMYFUNCTION("""COMPUTED_VALUE"""),"ТТЗ")</f>
        <v>ТТЗ</v>
      </c>
      <c r="H146" s="7" t="str">
        <f ca="1">IFERROR(__xludf.DUMMYFUNCTION("""COMPUTED_VALUE"""),"Revision OIV")</f>
        <v>Revision OIV</v>
      </c>
      <c r="I146" s="7">
        <f ca="1">IFERROR(__xludf.DUMMYFUNCTION("""COMPUTED_VALUE"""),0)</f>
        <v>0</v>
      </c>
      <c r="J146" s="7">
        <f ca="1">IFERROR(__xludf.DUMMYFUNCTION("""COMPUTED_VALUE"""),1)</f>
        <v>1</v>
      </c>
      <c r="K146" s="7" t="str">
        <f ca="1">IFERROR(__xludf.DUMMYFUNCTION("""COMPUTED_VALUE"""),"Минин Александр Валерьевич")</f>
        <v>Минин Александр Валерьевич</v>
      </c>
      <c r="L146" s="7" t="str">
        <f ca="1">IFERROR(__xludf.DUMMYFUNCTION("""COMPUTED_VALUE"""),"Минин Александр Валерьевич")</f>
        <v>Минин Александр Валерьевич</v>
      </c>
      <c r="M146" s="7" t="str">
        <f ca="1">IFERROR(__xludf.DUMMYFUNCTION("""COMPUTED_VALUE"""),"Чурсина Мария Вячеславовна")</f>
        <v>Чурсина Мария Вячеславовна</v>
      </c>
      <c r="N146" s="7"/>
      <c r="O146" s="7"/>
      <c r="P146" s="7"/>
      <c r="Q146" s="7"/>
      <c r="R146" s="7"/>
      <c r="S146" s="7"/>
      <c r="T146" s="7"/>
      <c r="U146" s="7" t="str">
        <f ca="1">IFERROR(__xludf.DUMMYFUNCTION("""COMPUTED_VALUE"""),"Выполнение строительно-монтажных работ для создания автоматизированной 
системы контроля прохода на объекты метрополитена")</f>
        <v>Выполнение строительно-монтажных работ для создания автоматизированной 
системы контроля прохода на объекты метрополитена</v>
      </c>
      <c r="V146" s="10">
        <f ca="1">IFERROR(__xludf.DUMMYFUNCTION("""COMPUTED_VALUE"""),44572.6581597222)</f>
        <v>44572.658159722203</v>
      </c>
      <c r="W146" s="7" t="str">
        <f ca="1">IFERROR(__xludf.DUMMYFUNCTION("""COMPUTED_VALUE"""),"65.79")</f>
        <v>65.79</v>
      </c>
      <c r="X146" s="18">
        <f ca="1">IFERROR(__xludf.DUMMYFUNCTION("""COMPUTED_VALUE"""),44917)</f>
        <v>44917</v>
      </c>
      <c r="Y146" s="7" t="str">
        <f ca="1">IFERROR(__xludf.DUMMYFUNCTION("""COMPUTED_VALUE"""),"5.76")</f>
        <v>5.76</v>
      </c>
      <c r="Z146" s="7"/>
      <c r="AA146" s="7" t="str">
        <f ca="1">IFERROR(__xludf.DUMMYFUNCTION("""COMPUTED_VALUE"""),"2.13")</f>
        <v>2.13</v>
      </c>
      <c r="AB146" s="7" t="str">
        <f ca="1">IFERROR(__xludf.DUMMYFUNCTION("""COMPUTED_VALUE"""),"24.91")</f>
        <v>24.91</v>
      </c>
      <c r="AC146" s="8">
        <f ca="1">IFERROR(__xludf.DUMMYFUNCTION("""COMPUTED_VALUE"""),44613)</f>
        <v>44613</v>
      </c>
      <c r="AD146" s="7"/>
      <c r="AE146" s="7"/>
      <c r="AF146" s="7"/>
      <c r="AG146" s="7"/>
      <c r="AH146" s="7"/>
      <c r="AI146" s="7"/>
      <c r="AJ146" s="7">
        <f ca="1">IFERROR(__xludf.DUMMYFUNCTION("""COMPUTED_VALUE"""),76)</f>
        <v>76</v>
      </c>
    </row>
    <row r="147" spans="1:36" ht="110.25" x14ac:dyDescent="0.2">
      <c r="A147" s="7">
        <f ca="1">IFERROR(__xludf.DUMMYFUNCTION("""COMPUTED_VALUE"""),190)</f>
        <v>190</v>
      </c>
      <c r="B147" s="7" t="str">
        <f ca="1">IFERROR(__xludf.DUMMYFUNCTION("""COMPUTED_VALUE"""),"FR-338")</f>
        <v>FR-338</v>
      </c>
      <c r="C147" s="9" t="str">
        <f ca="1">IFERROR(__xludf.DUMMYFUNCTION("""COMPUTED_VALUE"""),"Выполнение работ по реконструкции объектов газоснабжения")</f>
        <v>Выполнение работ по реконструкции объектов газоснабжения</v>
      </c>
      <c r="D147" s="7" t="str">
        <f ca="1">IFERROR(__xludf.DUMMYFUNCTION("""COMPUTED_VALUE"""),"План по стандартизации")</f>
        <v>План по стандартизации</v>
      </c>
      <c r="E147" s="7">
        <f ca="1">IFERROR(__xludf.DUMMYFUNCTION("""COMPUTED_VALUE"""),2022)</f>
        <v>2022</v>
      </c>
      <c r="F147" s="7">
        <f ca="1">IFERROR(__xludf.DUMMYFUNCTION("""COMPUTED_VALUE"""),1)</f>
        <v>1</v>
      </c>
      <c r="G147" s="7" t="str">
        <f ca="1">IFERROR(__xludf.DUMMYFUNCTION("""COMPUTED_VALUE"""),"ТТЗ")</f>
        <v>ТТЗ</v>
      </c>
      <c r="H147" s="7" t="str">
        <f ca="1">IFERROR(__xludf.DUMMYFUNCTION("""COMPUTED_VALUE"""),"Подготовка к РГ")</f>
        <v>Подготовка к РГ</v>
      </c>
      <c r="I147" s="7">
        <f ca="1">IFERROR(__xludf.DUMMYFUNCTION("""COMPUTED_VALUE"""),6)</f>
        <v>6</v>
      </c>
      <c r="J147" s="7">
        <f ca="1">IFERROR(__xludf.DUMMYFUNCTION("""COMPUTED_VALUE"""),1)</f>
        <v>1</v>
      </c>
      <c r="K147" s="7"/>
      <c r="L147" s="7" t="str">
        <f ca="1">IFERROR(__xludf.DUMMYFUNCTION("""COMPUTED_VALUE"""),"Минин Александр Валерьевич")</f>
        <v>Минин Александр Валерьевич</v>
      </c>
      <c r="M147" s="7" t="str">
        <f ca="1">IFERROR(__xludf.DUMMYFUNCTION("""COMPUTED_VALUE"""),"Чурсина Мария Вячеславовна")</f>
        <v>Чурсина Мария Вячеславовна</v>
      </c>
      <c r="N147" s="7"/>
      <c r="O147" s="7"/>
      <c r="P147" s="7"/>
      <c r="Q147" s="7"/>
      <c r="R147" s="7"/>
      <c r="S147" s="7"/>
      <c r="T147" s="7"/>
      <c r="U147" s="7" t="str">
        <f ca="1">IFERROR(__xludf.DUMMYFUNCTION("""COMPUTED_VALUE"""),"Выполнение работ по реконструкции объектов газоснабжения")</f>
        <v>Выполнение работ по реконструкции объектов газоснабжения</v>
      </c>
      <c r="V147" s="10">
        <f ca="1">IFERROR(__xludf.DUMMYFUNCTION("""COMPUTED_VALUE"""),44572.6601736111)</f>
        <v>44572.660173611097</v>
      </c>
      <c r="W147" s="7">
        <f ca="1">IFERROR(__xludf.DUMMYFUNCTION("""COMPUTED_VALUE"""),0)</f>
        <v>0</v>
      </c>
      <c r="X147" s="17">
        <f ca="1">IFERROR(__xludf.DUMMYFUNCTION("""COMPUTED_VALUE"""),44704)</f>
        <v>44704</v>
      </c>
      <c r="Y147" s="8">
        <f ca="1">IFERROR(__xludf.DUMMYFUNCTION("""COMPUTED_VALUE"""),44713)</f>
        <v>44713</v>
      </c>
      <c r="Z147" s="7" t="str">
        <f ca="1">IFERROR(__xludf.DUMMYFUNCTION("""COMPUTED_VALUE"""),"6.49")</f>
        <v>6.49</v>
      </c>
      <c r="AA147" s="7" t="str">
        <f ca="1">IFERROR(__xludf.DUMMYFUNCTION("""COMPUTED_VALUE"""),"0.18")</f>
        <v>0.18</v>
      </c>
      <c r="AB147" s="7" t="str">
        <f ca="1">IFERROR(__xludf.DUMMYFUNCTION("""COMPUTED_VALUE"""),"50.36")</f>
        <v>50.36</v>
      </c>
      <c r="AC147" s="7" t="str">
        <f ca="1">IFERROR(__xludf.DUMMYFUNCTION("""COMPUTED_VALUE"""),"47.6")</f>
        <v>47.6</v>
      </c>
      <c r="AD147" s="7" t="str">
        <f ca="1">IFERROR(__xludf.DUMMYFUNCTION("""COMPUTED_VALUE"""),"12.99")</f>
        <v>12.99</v>
      </c>
      <c r="AE147" s="7"/>
      <c r="AF147" s="7"/>
      <c r="AG147" s="7"/>
      <c r="AH147" s="7"/>
      <c r="AI147" s="7"/>
      <c r="AJ147" s="7">
        <f ca="1">IFERROR(__xludf.DUMMYFUNCTION("""COMPUTED_VALUE"""),142)</f>
        <v>142</v>
      </c>
    </row>
    <row r="148" spans="1:36" ht="204.75" x14ac:dyDescent="0.2">
      <c r="A148" s="7">
        <f ca="1">IFERROR(__xludf.DUMMYFUNCTION("""COMPUTED_VALUE"""),191)</f>
        <v>191</v>
      </c>
      <c r="B148" s="7" t="str">
        <f ca="1">IFERROR(__xludf.DUMMYFUNCTION("""COMPUTED_VALUE"""),"FR-339")</f>
        <v>FR-339</v>
      </c>
      <c r="C148" s="9" t="str">
        <f ca="1">IFERROR(__xludf.DUMMYFUNCTION("""COMPUTED_VALUE"""),"Выполнение работ по разработке проектно-сметной документации на капитальный 
ремонт пешеходного перехода")</f>
        <v>Выполнение работ по разработке проектно-сметной документации на капитальный 
ремонт пешеходного перехода</v>
      </c>
      <c r="D148" s="7" t="str">
        <f ca="1">IFERROR(__xludf.DUMMYFUNCTION("""COMPUTED_VALUE"""),"План по стандартизации")</f>
        <v>План по стандартизации</v>
      </c>
      <c r="E148" s="7">
        <f ca="1">IFERROR(__xludf.DUMMYFUNCTION("""COMPUTED_VALUE"""),2022)</f>
        <v>2022</v>
      </c>
      <c r="F148" s="7">
        <f ca="1">IFERROR(__xludf.DUMMYFUNCTION("""COMPUTED_VALUE"""),4)</f>
        <v>4</v>
      </c>
      <c r="G148" s="7" t="str">
        <f ca="1">IFERROR(__xludf.DUMMYFUNCTION("""COMPUTED_VALUE"""),"ТТЗ")</f>
        <v>ТТЗ</v>
      </c>
      <c r="H148" s="7" t="str">
        <f ca="1">IFERROR(__xludf.DUMMYFUNCTION("""COMPUTED_VALUE"""),"Planned")</f>
        <v>Planned</v>
      </c>
      <c r="I148" s="7">
        <f ca="1">IFERROR(__xludf.DUMMYFUNCTION("""COMPUTED_VALUE"""),0)</f>
        <v>0</v>
      </c>
      <c r="J148" s="7">
        <f ca="1">IFERROR(__xludf.DUMMYFUNCTION("""COMPUTED_VALUE"""),0)</f>
        <v>0</v>
      </c>
      <c r="K148" s="7"/>
      <c r="L148" s="7" t="str">
        <f ca="1">IFERROR(__xludf.DUMMYFUNCTION("""COMPUTED_VALUE"""),"Минин Александр Валерьевич")</f>
        <v>Минин Александр Валерьевич</v>
      </c>
      <c r="M148" s="7" t="str">
        <f ca="1">IFERROR(__xludf.DUMMYFUNCTION("""COMPUTED_VALUE"""),"Чурсина Мария Вячеславовна")</f>
        <v>Чурсина Мария Вячеславовна</v>
      </c>
      <c r="N148" s="7"/>
      <c r="O148" s="7"/>
      <c r="P148" s="7"/>
      <c r="Q148" s="7"/>
      <c r="R148" s="7"/>
      <c r="S148" s="7"/>
      <c r="T148" s="7"/>
      <c r="U148" s="7" t="str">
        <f ca="1">IFERROR(__xludf.DUMMYFUNCTION("""COMPUTED_VALUE"""),"Выполнение работ по разработке проектно-сметной документации на капитальный 
ремонт пешеходного перехода")</f>
        <v>Выполнение работ по разработке проектно-сметной документации на капитальный 
ремонт пешеходного перехода</v>
      </c>
      <c r="V148" s="10">
        <f ca="1">IFERROR(__xludf.DUMMYFUNCTION("""COMPUTED_VALUE"""),44572.6613773148)</f>
        <v>44572.661377314798</v>
      </c>
      <c r="W148" s="7"/>
      <c r="X148" s="16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>
        <f ca="1">IFERROR(__xludf.DUMMYFUNCTION("""COMPUTED_VALUE"""),0)</f>
        <v>0</v>
      </c>
    </row>
    <row r="149" spans="1:36" ht="47.25" x14ac:dyDescent="0.2">
      <c r="A149" s="7">
        <f ca="1">IFERROR(__xludf.DUMMYFUNCTION("""COMPUTED_VALUE"""),192)</f>
        <v>192</v>
      </c>
      <c r="B149" s="7" t="str">
        <f ca="1">IFERROR(__xludf.DUMMYFUNCTION("""COMPUTED_VALUE"""),"FR-340")</f>
        <v>FR-340</v>
      </c>
      <c r="C149" s="9" t="str">
        <f ca="1">IFERROR(__xludf.DUMMYFUNCTION("""COMPUTED_VALUE"""),"Оказание услуг по финансовой аренде (лизингу) медицинского оборудования")</f>
        <v>Оказание услуг по финансовой аренде (лизингу) медицинского оборудования</v>
      </c>
      <c r="D149" s="7" t="str">
        <f ca="1">IFERROR(__xludf.DUMMYFUNCTION("""COMPUTED_VALUE"""),"План по стандартизации")</f>
        <v>План по стандартизации</v>
      </c>
      <c r="E149" s="7">
        <f ca="1">IFERROR(__xludf.DUMMYFUNCTION("""COMPUTED_VALUE"""),2022)</f>
        <v>2022</v>
      </c>
      <c r="F149" s="7">
        <f ca="1">IFERROR(__xludf.DUMMYFUNCTION("""COMPUTED_VALUE"""),3)</f>
        <v>3</v>
      </c>
      <c r="G149" s="7" t="str">
        <f ca="1">IFERROR(__xludf.DUMMYFUNCTION("""COMPUTED_VALUE"""),"ТТЗ")</f>
        <v>ТТЗ</v>
      </c>
      <c r="H149" s="7" t="str">
        <f ca="1">IFERROR(__xludf.DUMMYFUNCTION("""COMPUTED_VALUE"""),"Develop")</f>
        <v>Develop</v>
      </c>
      <c r="I149" s="7">
        <f ca="1">IFERROR(__xludf.DUMMYFUNCTION("""COMPUTED_VALUE"""),0)</f>
        <v>0</v>
      </c>
      <c r="J149" s="7">
        <f ca="1">IFERROR(__xludf.DUMMYFUNCTION("""COMPUTED_VALUE"""),0)</f>
        <v>0</v>
      </c>
      <c r="K149" s="7" t="str">
        <f ca="1">IFERROR(__xludf.DUMMYFUNCTION("""COMPUTED_VALUE"""),"Давлиев Ильнар Газинурович")</f>
        <v>Давлиев Ильнар Газинурович</v>
      </c>
      <c r="L149" s="7" t="str">
        <f ca="1">IFERROR(__xludf.DUMMYFUNCTION("""COMPUTED_VALUE"""),"Давлиев Ильнар Газинурович")</f>
        <v>Давлиев Ильнар Газинурович</v>
      </c>
      <c r="M149" s="7" t="str">
        <f ca="1">IFERROR(__xludf.DUMMYFUNCTION("""COMPUTED_VALUE"""),"Чурсина Мария Вячеславовна")</f>
        <v>Чурсина Мария Вячеславовна</v>
      </c>
      <c r="N149" s="7"/>
      <c r="O149" s="7"/>
      <c r="P149" s="7"/>
      <c r="Q149" s="7"/>
      <c r="R149" s="7"/>
      <c r="S149" s="7"/>
      <c r="T149" s="7"/>
      <c r="U149" s="7"/>
      <c r="V149" s="10">
        <f ca="1">IFERROR(__xludf.DUMMYFUNCTION("""COMPUTED_VALUE"""),44572.7466203703)</f>
        <v>44572.746620370301</v>
      </c>
      <c r="W149" s="7" t="str">
        <f ca="1">IFERROR(__xludf.DUMMYFUNCTION("""COMPUTED_VALUE"""),"41.7")</f>
        <v>41.7</v>
      </c>
      <c r="X149" s="16" t="str">
        <f ca="1">IFERROR(__xludf.DUMMYFUNCTION("""COMPUTED_VALUE"""),"99.95")</f>
        <v>99.95</v>
      </c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>
        <f ca="1">IFERROR(__xludf.DUMMYFUNCTION("""COMPUTED_VALUE"""),100)</f>
        <v>100</v>
      </c>
    </row>
    <row r="150" spans="1:36" ht="47.25" x14ac:dyDescent="0.2">
      <c r="A150" s="7">
        <f ca="1">IFERROR(__xludf.DUMMYFUNCTION("""COMPUTED_VALUE"""),193)</f>
        <v>193</v>
      </c>
      <c r="B150" s="7" t="str">
        <f ca="1">IFERROR(__xludf.DUMMYFUNCTION("""COMPUTED_VALUE"""),"FR-341")</f>
        <v>FR-341</v>
      </c>
      <c r="C150" s="9" t="str">
        <f ca="1">IFERROR(__xludf.DUMMYFUNCTION("""COMPUTED_VALUE"""),"Поставка реагентов для ПЦР диагностики")</f>
        <v>Поставка реагентов для ПЦР диагностики</v>
      </c>
      <c r="D150" s="7" t="str">
        <f ca="1">IFERROR(__xludf.DUMMYFUNCTION("""COMPUTED_VALUE"""),"План по стандартизации")</f>
        <v>План по стандартизации</v>
      </c>
      <c r="E150" s="7">
        <f ca="1">IFERROR(__xludf.DUMMYFUNCTION("""COMPUTED_VALUE"""),2022)</f>
        <v>2022</v>
      </c>
      <c r="F150" s="7">
        <f ca="1">IFERROR(__xludf.DUMMYFUNCTION("""COMPUTED_VALUE"""),4)</f>
        <v>4</v>
      </c>
      <c r="G150" s="7" t="str">
        <f ca="1">IFERROR(__xludf.DUMMYFUNCTION("""COMPUTED_VALUE"""),"ТТЗ")</f>
        <v>ТТЗ</v>
      </c>
      <c r="H150" s="7" t="str">
        <f ca="1">IFERROR(__xludf.DUMMYFUNCTION("""COMPUTED_VALUE"""),"Planned")</f>
        <v>Planned</v>
      </c>
      <c r="I150" s="7">
        <f ca="1">IFERROR(__xludf.DUMMYFUNCTION("""COMPUTED_VALUE"""),0)</f>
        <v>0</v>
      </c>
      <c r="J150" s="7">
        <f ca="1">IFERROR(__xludf.DUMMYFUNCTION("""COMPUTED_VALUE"""),0)</f>
        <v>0</v>
      </c>
      <c r="K150" s="7"/>
      <c r="L150" s="7" t="str">
        <f ca="1">IFERROR(__xludf.DUMMYFUNCTION("""COMPUTED_VALUE"""),"Давлиев Ильнар Газинурович")</f>
        <v>Давлиев Ильнар Газинурович</v>
      </c>
      <c r="M150" s="7" t="str">
        <f ca="1">IFERROR(__xludf.DUMMYFUNCTION("""COMPUTED_VALUE"""),"Чурсина Мария Вячеславовна")</f>
        <v>Чурсина Мария Вячеславовна</v>
      </c>
      <c r="N150" s="7"/>
      <c r="O150" s="7"/>
      <c r="P150" s="7"/>
      <c r="Q150" s="7"/>
      <c r="R150" s="7"/>
      <c r="S150" s="7"/>
      <c r="T150" s="7"/>
      <c r="U150" s="7"/>
      <c r="V150" s="10">
        <f ca="1">IFERROR(__xludf.DUMMYFUNCTION("""COMPUTED_VALUE"""),44573.4058564814)</f>
        <v>44573.405856481397</v>
      </c>
      <c r="W150" s="7"/>
      <c r="X150" s="16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>
        <f ca="1">IFERROR(__xludf.DUMMYFUNCTION("""COMPUTED_VALUE"""),0)</f>
        <v>0</v>
      </c>
    </row>
    <row r="151" spans="1:36" ht="78.75" x14ac:dyDescent="0.2">
      <c r="A151" s="7">
        <f ca="1">IFERROR(__xludf.DUMMYFUNCTION("""COMPUTED_VALUE"""),194)</f>
        <v>194</v>
      </c>
      <c r="B151" s="7" t="str">
        <f ca="1">IFERROR(__xludf.DUMMYFUNCTION("""COMPUTED_VALUE"""),"FR-342")</f>
        <v>FR-342</v>
      </c>
      <c r="C151" s="9" t="str">
        <f ca="1">IFERROR(__xludf.DUMMYFUNCTION("""COMPUTED_VALUE"""),"Выполнение работ по монтажу (демонтажу) лифтов")</f>
        <v>Выполнение работ по монтажу (демонтажу) лифтов</v>
      </c>
      <c r="D151" s="7" t="str">
        <f ca="1">IFERROR(__xludf.DUMMYFUNCTION("""COMPUTED_VALUE"""),"План по стандартизации")</f>
        <v>План по стандартизации</v>
      </c>
      <c r="E151" s="7">
        <f ca="1">IFERROR(__xludf.DUMMYFUNCTION("""COMPUTED_VALUE"""),2022)</f>
        <v>2022</v>
      </c>
      <c r="F151" s="7">
        <f ca="1">IFERROR(__xludf.DUMMYFUNCTION("""COMPUTED_VALUE"""),1)</f>
        <v>1</v>
      </c>
      <c r="G151" s="7" t="str">
        <f ca="1">IFERROR(__xludf.DUMMYFUNCTION("""COMPUTED_VALUE"""),"ТТЗ")</f>
        <v>ТТЗ</v>
      </c>
      <c r="H151" s="7" t="str">
        <f ca="1">IFERROR(__xludf.DUMMYFUNCTION("""COMPUTED_VALUE"""),"Завершено")</f>
        <v>Завершено</v>
      </c>
      <c r="I151" s="7">
        <f ca="1">IFERROR(__xludf.DUMMYFUNCTION("""COMPUTED_VALUE"""),1)</f>
        <v>1</v>
      </c>
      <c r="J151" s="7">
        <f ca="1">IFERROR(__xludf.DUMMYFUNCTION("""COMPUTED_VALUE"""),2)</f>
        <v>2</v>
      </c>
      <c r="K151" s="7" t="str">
        <f ca="1">IFERROR(__xludf.DUMMYFUNCTION("""COMPUTED_VALUE"""),"Желтова Яна Валерьевна")</f>
        <v>Желтова Яна Валерьевна</v>
      </c>
      <c r="L151" s="7" t="str">
        <f ca="1">IFERROR(__xludf.DUMMYFUNCTION("""COMPUTED_VALUE"""),"Бутасова Светлана Валерьевна")</f>
        <v>Бутасова Светлана Валерьевна</v>
      </c>
      <c r="M151" s="7" t="str">
        <f ca="1">IFERROR(__xludf.DUMMYFUNCTION("""COMPUTED_VALUE"""),"Чурсина Мария Вячеславовна")</f>
        <v>Чурсина Мария Вячеславовна</v>
      </c>
      <c r="N151" s="7"/>
      <c r="O151" s="7" t="str">
        <f ca="1">IFERROR(__xludf.DUMMYFUNCTION("""COMPUTED_VALUE"""),"Типовой")</f>
        <v>Типовой</v>
      </c>
      <c r="P151" s="7" t="str">
        <f ca="1">IFERROR(__xludf.DUMMYFUNCTION("""COMPUTED_VALUE"""),"Нет")</f>
        <v>Нет</v>
      </c>
      <c r="Q151" s="7" t="str">
        <f ca="1">IFERROR(__xludf.DUMMYFUNCTION("""COMPUTED_VALUE"""),"44-ФЗ / 223-ФЗ")</f>
        <v>44-ФЗ / 223-ФЗ</v>
      </c>
      <c r="R151" s="7" t="str">
        <f ca="1">IFERROR(__xludf.DUMMYFUNCTION("""COMPUTED_VALUE"""),"Нет")</f>
        <v>Нет</v>
      </c>
      <c r="S151" s="7" t="str">
        <f ca="1">IFERROR(__xludf.DUMMYFUNCTION("""COMPUTED_VALUE"""),"Открытый конкурс / Электронный аукцион")</f>
        <v>Открытый конкурс / Электронный аукцион</v>
      </c>
      <c r="T151" s="7"/>
      <c r="U151" s="7" t="str">
        <f ca="1">IFERROR(__xludf.DUMMYFUNCTION("""COMPUTED_VALUE"""),"Выполнение работ по монтажу (демонтажу) лифтов")</f>
        <v>Выполнение работ по монтажу (демонтажу) лифтов</v>
      </c>
      <c r="V151" s="10">
        <f ca="1">IFERROR(__xludf.DUMMYFUNCTION("""COMPUTED_VALUE"""),44573.4597337963)</f>
        <v>44573.459733796299</v>
      </c>
      <c r="W151" s="7"/>
      <c r="X151" s="16" t="str">
        <f ca="1">IFERROR(__xludf.DUMMYFUNCTION("""COMPUTED_VALUE"""),"16.28")</f>
        <v>16.28</v>
      </c>
      <c r="Y151" s="7" t="str">
        <f ca="1">IFERROR(__xludf.DUMMYFUNCTION("""COMPUTED_VALUE"""),"9.64")</f>
        <v>9.64</v>
      </c>
      <c r="Z151" s="7" t="str">
        <f ca="1">IFERROR(__xludf.DUMMYFUNCTION("""COMPUTED_VALUE"""),"2.15")</f>
        <v>2.15</v>
      </c>
      <c r="AA151" s="7" t="str">
        <f ca="1">IFERROR(__xludf.DUMMYFUNCTION("""COMPUTED_VALUE"""),"0.41")</f>
        <v>0.41</v>
      </c>
      <c r="AB151" s="7" t="str">
        <f ca="1">IFERROR(__xludf.DUMMYFUNCTION("""COMPUTED_VALUE"""),"24.73")</f>
        <v>24.73</v>
      </c>
      <c r="AC151" s="7" t="str">
        <f ca="1">IFERROR(__xludf.DUMMYFUNCTION("""COMPUTED_VALUE"""),"17.85")</f>
        <v>17.85</v>
      </c>
      <c r="AD151" s="11">
        <f ca="1">IFERROR(__xludf.DUMMYFUNCTION("""COMPUTED_VALUE"""),44911)</f>
        <v>44911</v>
      </c>
      <c r="AE151" s="7"/>
      <c r="AF151" s="7" t="str">
        <f ca="1">IFERROR(__xludf.DUMMYFUNCTION("""COMPUTED_VALUE"""),"1.74")</f>
        <v>1.74</v>
      </c>
      <c r="AG151" s="7" t="str">
        <f ca="1">IFERROR(__xludf.DUMMYFUNCTION("""COMPUTED_VALUE"""),"2.22")</f>
        <v>2.22</v>
      </c>
      <c r="AH151" s="7"/>
      <c r="AI151" s="10">
        <f ca="1">IFERROR(__xludf.DUMMYFUNCTION("""COMPUTED_VALUE"""),44708.5884027777)</f>
        <v>44708.588402777699</v>
      </c>
      <c r="AJ151" s="7">
        <f ca="1">IFERROR(__xludf.DUMMYFUNCTION("""COMPUTED_VALUE"""),92)</f>
        <v>92</v>
      </c>
    </row>
    <row r="152" spans="1:36" ht="189" x14ac:dyDescent="0.2">
      <c r="A152" s="7">
        <f ca="1">IFERROR(__xludf.DUMMYFUNCTION("""COMPUTED_VALUE"""),195)</f>
        <v>195</v>
      </c>
      <c r="B152" s="7" t="str">
        <f ca="1">IFERROR(__xludf.DUMMYFUNCTION("""COMPUTED_VALUE"""),"FR-343")</f>
        <v>FR-343</v>
      </c>
      <c r="C152" s="9" t="str">
        <f ca="1">IFERROR(__xludf.DUMMYFUNCTION("""COMPUTED_VALUE"""),"Выполнение комплекса проектных и строительно-монтажных работ на наружных 
водопроводных сетях")</f>
        <v>Выполнение комплекса проектных и строительно-монтажных работ на наружных 
водопроводных сетях</v>
      </c>
      <c r="D152" s="7" t="str">
        <f ca="1">IFERROR(__xludf.DUMMYFUNCTION("""COMPUTED_VALUE"""),"План по стандартизации")</f>
        <v>План по стандартизации</v>
      </c>
      <c r="E152" s="7">
        <f ca="1">IFERROR(__xludf.DUMMYFUNCTION("""COMPUTED_VALUE"""),2022)</f>
        <v>2022</v>
      </c>
      <c r="F152" s="7">
        <f ca="1">IFERROR(__xludf.DUMMYFUNCTION("""COMPUTED_VALUE"""),1)</f>
        <v>1</v>
      </c>
      <c r="G152" s="7" t="str">
        <f ca="1">IFERROR(__xludf.DUMMYFUNCTION("""COMPUTED_VALUE"""),"ТТЗ")</f>
        <v>ТТЗ</v>
      </c>
      <c r="H152" s="7" t="str">
        <f ca="1">IFERROR(__xludf.DUMMYFUNCTION("""COMPUTED_VALUE"""),"Подготовка к РГ")</f>
        <v>Подготовка к РГ</v>
      </c>
      <c r="I152" s="7">
        <f ca="1">IFERROR(__xludf.DUMMYFUNCTION("""COMPUTED_VALUE"""),3)</f>
        <v>3</v>
      </c>
      <c r="J152" s="7">
        <f ca="1">IFERROR(__xludf.DUMMYFUNCTION("""COMPUTED_VALUE"""),1)</f>
        <v>1</v>
      </c>
      <c r="K152" s="7" t="str">
        <f ca="1">IFERROR(__xludf.DUMMYFUNCTION("""COMPUTED_VALUE"""),"Морунов Олег Александрович")</f>
        <v>Морунов Олег Александрович</v>
      </c>
      <c r="L152" s="7" t="str">
        <f ca="1">IFERROR(__xludf.DUMMYFUNCTION("""COMPUTED_VALUE"""),"Осипенкова Елена Владимировна")</f>
        <v>Осипенкова Елена Владимировна</v>
      </c>
      <c r="M152" s="7" t="str">
        <f ca="1">IFERROR(__xludf.DUMMYFUNCTION("""COMPUTED_VALUE"""),"Чурсина Мария Вячеславовна")</f>
        <v>Чурсина Мария Вячеславовна</v>
      </c>
      <c r="N152" s="7"/>
      <c r="O152" s="7" t="str">
        <f ca="1">IFERROR(__xludf.DUMMYFUNCTION("""COMPUTED_VALUE"""),"Уникальный")</f>
        <v>Уникальный</v>
      </c>
      <c r="P152" s="7"/>
      <c r="Q152" s="7"/>
      <c r="R152" s="7"/>
      <c r="S152" s="7"/>
      <c r="T152" s="7"/>
      <c r="U152" s="7" t="str">
        <f ca="1">IFERROR(__xludf.DUMMYFUNCTION("""COMPUTED_VALUE"""),"Выполнение комплекса проектных и строительно-монтажных работ на наружных 
водопроводных сетях")</f>
        <v>Выполнение комплекса проектных и строительно-монтажных работ на наружных 
водопроводных сетях</v>
      </c>
      <c r="V152" s="10">
        <f ca="1">IFERROR(__xludf.DUMMYFUNCTION("""COMPUTED_VALUE"""),44573.4601157407)</f>
        <v>44573.460115740701</v>
      </c>
      <c r="W152" s="7" t="str">
        <f ca="1">IFERROR(__xludf.DUMMYFUNCTION("""COMPUTED_VALUE"""),"9.94")</f>
        <v>9.94</v>
      </c>
      <c r="X152" s="16" t="str">
        <f ca="1">IFERROR(__xludf.DUMMYFUNCTION("""COMPUTED_VALUE"""),"22.35")</f>
        <v>22.35</v>
      </c>
      <c r="Y152" s="7" t="str">
        <f ca="1">IFERROR(__xludf.DUMMYFUNCTION("""COMPUTED_VALUE"""),"7.87")</f>
        <v>7.87</v>
      </c>
      <c r="Z152" s="7" t="str">
        <f ca="1">IFERROR(__xludf.DUMMYFUNCTION("""COMPUTED_VALUE"""),"4.38")</f>
        <v>4.38</v>
      </c>
      <c r="AA152" s="7" t="str">
        <f ca="1">IFERROR(__xludf.DUMMYFUNCTION("""COMPUTED_VALUE"""),"0.21")</f>
        <v>0.21</v>
      </c>
      <c r="AB152" s="7" t="str">
        <f ca="1">IFERROR(__xludf.DUMMYFUNCTION("""COMPUTED_VALUE"""),"59.53")</f>
        <v>59.53</v>
      </c>
      <c r="AC152" s="7" t="str">
        <f ca="1">IFERROR(__xludf.DUMMYFUNCTION("""COMPUTED_VALUE"""),"14.61")</f>
        <v>14.61</v>
      </c>
      <c r="AD152" s="8">
        <f ca="1">IFERROR(__xludf.DUMMYFUNCTION("""COMPUTED_VALUE"""),44642)</f>
        <v>44642</v>
      </c>
      <c r="AE152" s="7"/>
      <c r="AF152" s="7"/>
      <c r="AG152" s="7"/>
      <c r="AH152" s="7"/>
      <c r="AI152" s="7"/>
      <c r="AJ152" s="7">
        <f ca="1">IFERROR(__xludf.DUMMYFUNCTION("""COMPUTED_VALUE"""),131)</f>
        <v>131</v>
      </c>
    </row>
    <row r="153" spans="1:36" ht="47.25" x14ac:dyDescent="0.2">
      <c r="A153" s="7">
        <f ca="1">IFERROR(__xludf.DUMMYFUNCTION("""COMPUTED_VALUE"""),196)</f>
        <v>196</v>
      </c>
      <c r="B153" s="7" t="str">
        <f ca="1">IFERROR(__xludf.DUMMYFUNCTION("""COMPUTED_VALUE"""),"FR-344")</f>
        <v>FR-344</v>
      </c>
      <c r="C153" s="9" t="str">
        <f ca="1">IFERROR(__xludf.DUMMYFUNCTION("""COMPUTED_VALUE"""),"Поставка батарей аккумуляторных")</f>
        <v>Поставка батарей аккумуляторных</v>
      </c>
      <c r="D153" s="7" t="str">
        <f ca="1">IFERROR(__xludf.DUMMYFUNCTION("""COMPUTED_VALUE"""),"План по стандартизации")</f>
        <v>План по стандартизации</v>
      </c>
      <c r="E153" s="7">
        <f ca="1">IFERROR(__xludf.DUMMYFUNCTION("""COMPUTED_VALUE"""),2022)</f>
        <v>2022</v>
      </c>
      <c r="F153" s="7">
        <f ca="1">IFERROR(__xludf.DUMMYFUNCTION("""COMPUTED_VALUE"""),2)</f>
        <v>2</v>
      </c>
      <c r="G153" s="7" t="str">
        <f ca="1">IFERROR(__xludf.DUMMYFUNCTION("""COMPUTED_VALUE"""),"ТТЗ")</f>
        <v>ТТЗ</v>
      </c>
      <c r="H153" s="7" t="str">
        <f ca="1">IFERROR(__xludf.DUMMYFUNCTION("""COMPUTED_VALUE"""),"DEPiR")</f>
        <v>DEPiR</v>
      </c>
      <c r="I153" s="7">
        <f ca="1">IFERROR(__xludf.DUMMYFUNCTION("""COMPUTED_VALUE"""),2)</f>
        <v>2</v>
      </c>
      <c r="J153" s="7">
        <f ca="1">IFERROR(__xludf.DUMMYFUNCTION("""COMPUTED_VALUE"""),1)</f>
        <v>1</v>
      </c>
      <c r="K153" s="7" t="str">
        <f ca="1">IFERROR(__xludf.DUMMYFUNCTION("""COMPUTED_VALUE"""),"Куркина Наталья Витальевна")</f>
        <v>Куркина Наталья Витальевна</v>
      </c>
      <c r="L153" s="7" t="str">
        <f ca="1">IFERROR(__xludf.DUMMYFUNCTION("""COMPUTED_VALUE"""),"Бутасова Светлана Валерьевна")</f>
        <v>Бутасова Светлана Валерьевна</v>
      </c>
      <c r="M153" s="7" t="str">
        <f ca="1">IFERROR(__xludf.DUMMYFUNCTION("""COMPUTED_VALUE"""),"Чурсина Мария Вячеславовна")</f>
        <v>Чурсина Мария Вячеславовна</v>
      </c>
      <c r="N153" s="7"/>
      <c r="O153" s="7"/>
      <c r="P153" s="7"/>
      <c r="Q153" s="7"/>
      <c r="R153" s="7"/>
      <c r="S153" s="7"/>
      <c r="T153" s="7"/>
      <c r="U153" s="7"/>
      <c r="V153" s="10">
        <f ca="1">IFERROR(__xludf.DUMMYFUNCTION("""COMPUTED_VALUE"""),44573.4919328703)</f>
        <v>44573.491932870304</v>
      </c>
      <c r="W153" s="7" t="str">
        <f ca="1">IFERROR(__xludf.DUMMYFUNCTION("""COMPUTED_VALUE"""),"87.25")</f>
        <v>87.25</v>
      </c>
      <c r="X153" s="16">
        <f ca="1">IFERROR(__xludf.DUMMYFUNCTION("""COMPUTED_VALUE"""),14)</f>
        <v>14</v>
      </c>
      <c r="Y153" s="7" t="str">
        <f ca="1">IFERROR(__xludf.DUMMYFUNCTION("""COMPUTED_VALUE"""),"6.21")</f>
        <v>6.21</v>
      </c>
      <c r="Z153" s="7" t="str">
        <f ca="1">IFERROR(__xludf.DUMMYFUNCTION("""COMPUTED_VALUE"""),"3.94")</f>
        <v>3.94</v>
      </c>
      <c r="AA153" s="7" t="str">
        <f ca="1">IFERROR(__xludf.DUMMYFUNCTION("""COMPUTED_VALUE"""),"0.09")</f>
        <v>0.09</v>
      </c>
      <c r="AB153" s="7" t="str">
        <f ca="1">IFERROR(__xludf.DUMMYFUNCTION("""COMPUTED_VALUE"""),"17.57")</f>
        <v>17.57</v>
      </c>
      <c r="AC153" s="7" t="str">
        <f ca="1">IFERROR(__xludf.DUMMYFUNCTION("""COMPUTED_VALUE"""),"11.86")</f>
        <v>11.86</v>
      </c>
      <c r="AD153" s="7"/>
      <c r="AE153" s="7"/>
      <c r="AF153" s="7"/>
      <c r="AG153" s="7"/>
      <c r="AH153" s="7"/>
      <c r="AI153" s="7"/>
      <c r="AJ153" s="7">
        <f ca="1">IFERROR(__xludf.DUMMYFUNCTION("""COMPUTED_VALUE"""),54)</f>
        <v>54</v>
      </c>
    </row>
    <row r="154" spans="1:36" ht="78.75" x14ac:dyDescent="0.2">
      <c r="A154" s="7">
        <f ca="1">IFERROR(__xludf.DUMMYFUNCTION("""COMPUTED_VALUE"""),197)</f>
        <v>197</v>
      </c>
      <c r="B154" s="7" t="str">
        <f ca="1">IFERROR(__xludf.DUMMYFUNCTION("""COMPUTED_VALUE"""),"FR-345")</f>
        <v>FR-345</v>
      </c>
      <c r="C154" s="9" t="str">
        <f ca="1">IFERROR(__xludf.DUMMYFUNCTION("""COMPUTED_VALUE"""),"Выполнение работ по созданию видеороликов")</f>
        <v>Выполнение работ по созданию видеороликов</v>
      </c>
      <c r="D154" s="7" t="str">
        <f ca="1">IFERROR(__xludf.DUMMYFUNCTION("""COMPUTED_VALUE"""),"План по стандартизации")</f>
        <v>План по стандартизации</v>
      </c>
      <c r="E154" s="7">
        <f ca="1">IFERROR(__xludf.DUMMYFUNCTION("""COMPUTED_VALUE"""),2022)</f>
        <v>2022</v>
      </c>
      <c r="F154" s="7">
        <f ca="1">IFERROR(__xludf.DUMMYFUNCTION("""COMPUTED_VALUE"""),1)</f>
        <v>1</v>
      </c>
      <c r="G154" s="7" t="str">
        <f ca="1">IFERROR(__xludf.DUMMYFUNCTION("""COMPUTED_VALUE"""),"СТЗ")</f>
        <v>СТЗ</v>
      </c>
      <c r="H154" s="7" t="str">
        <f ca="1">IFERROR(__xludf.DUMMYFUNCTION("""COMPUTED_VALUE"""),"Завершено")</f>
        <v>Завершено</v>
      </c>
      <c r="I154" s="7">
        <f ca="1">IFERROR(__xludf.DUMMYFUNCTION("""COMPUTED_VALUE"""),4)</f>
        <v>4</v>
      </c>
      <c r="J154" s="7">
        <f ca="1">IFERROR(__xludf.DUMMYFUNCTION("""COMPUTED_VALUE"""),1)</f>
        <v>1</v>
      </c>
      <c r="K154" s="7" t="str">
        <f ca="1">IFERROR(__xludf.DUMMYFUNCTION("""COMPUTED_VALUE"""),"Коровина Анна Анатольевна")</f>
        <v>Коровина Анна Анатольевна</v>
      </c>
      <c r="L154" s="7" t="str">
        <f ca="1">IFERROR(__xludf.DUMMYFUNCTION("""COMPUTED_VALUE"""),"Осипенкова Елена Владимировна")</f>
        <v>Осипенкова Елена Владимировна</v>
      </c>
      <c r="M154" s="7" t="str">
        <f ca="1">IFERROR(__xludf.DUMMYFUNCTION("""COMPUTED_VALUE"""),"Чурсина Мария Вячеславовна")</f>
        <v>Чурсина Мария Вячеславовна</v>
      </c>
      <c r="N154" s="7"/>
      <c r="O154" s="7"/>
      <c r="P154" s="7" t="str">
        <f ca="1">IFERROR(__xludf.DUMMYFUNCTION("""COMPUTED_VALUE"""),"Нет")</f>
        <v>Нет</v>
      </c>
      <c r="Q154" s="7"/>
      <c r="R154" s="7"/>
      <c r="S154" s="7"/>
      <c r="T154" s="7"/>
      <c r="U154" s="7" t="str">
        <f ca="1">IFERROR(__xludf.DUMMYFUNCTION("""COMPUTED_VALUE"""),"Выполнение работ по созданию видеороликов")</f>
        <v>Выполнение работ по созданию видеороликов</v>
      </c>
      <c r="V154" s="10">
        <f ca="1">IFERROR(__xludf.DUMMYFUNCTION("""COMPUTED_VALUE"""),44573.4929166666)</f>
        <v>44573.492916666597</v>
      </c>
      <c r="W154" s="7" t="str">
        <f ca="1">IFERROR(__xludf.DUMMYFUNCTION("""COMPUTED_VALUE"""),"27.24")</f>
        <v>27.24</v>
      </c>
      <c r="X154" s="16" t="str">
        <f ca="1">IFERROR(__xludf.DUMMYFUNCTION("""COMPUTED_VALUE"""),"9.99")</f>
        <v>9.99</v>
      </c>
      <c r="Y154" s="11">
        <f ca="1">IFERROR(__xludf.DUMMYFUNCTION("""COMPUTED_VALUE"""),44562)</f>
        <v>44562</v>
      </c>
      <c r="Z154" s="7" t="str">
        <f ca="1">IFERROR(__xludf.DUMMYFUNCTION("""COMPUTED_VALUE"""),"3.27")</f>
        <v>3.27</v>
      </c>
      <c r="AA154" s="7" t="str">
        <f ca="1">IFERROR(__xludf.DUMMYFUNCTION("""COMPUTED_VALUE"""),"0.75")</f>
        <v>0.75</v>
      </c>
      <c r="AB154" s="7" t="str">
        <f ca="1">IFERROR(__xludf.DUMMYFUNCTION("""COMPUTED_VALUE"""),"41.79")</f>
        <v>41.79</v>
      </c>
      <c r="AC154" s="11">
        <f ca="1">IFERROR(__xludf.DUMMYFUNCTION("""COMPUTED_VALUE"""),44798)</f>
        <v>44798</v>
      </c>
      <c r="AD154" s="7" t="str">
        <f ca="1">IFERROR(__xludf.DUMMYFUNCTION("""COMPUTED_VALUE"""),"6.24")</f>
        <v>6.24</v>
      </c>
      <c r="AE154" s="7" t="str">
        <f ca="1">IFERROR(__xludf.DUMMYFUNCTION("""COMPUTED_VALUE"""),"13.83")</f>
        <v>13.83</v>
      </c>
      <c r="AF154" s="7"/>
      <c r="AG154" s="8">
        <f ca="1">IFERROR(__xludf.DUMMYFUNCTION("""COMPUTED_VALUE"""),44626)</f>
        <v>44626</v>
      </c>
      <c r="AH154" s="10">
        <f ca="1">IFERROR(__xludf.DUMMYFUNCTION("""COMPUTED_VALUE"""),44746.6744560185)</f>
        <v>44746.674456018503</v>
      </c>
      <c r="AI154" s="10">
        <f ca="1">IFERROR(__xludf.DUMMYFUNCTION("""COMPUTED_VALUE"""),44774.5312152777)</f>
        <v>44774.531215277697</v>
      </c>
      <c r="AJ154" s="7">
        <f ca="1">IFERROR(__xludf.DUMMYFUNCTION("""COMPUTED_VALUE"""),109)</f>
        <v>109</v>
      </c>
    </row>
    <row r="155" spans="1:36" ht="47.25" x14ac:dyDescent="0.2">
      <c r="A155" s="7">
        <f ca="1">IFERROR(__xludf.DUMMYFUNCTION("""COMPUTED_VALUE"""),198)</f>
        <v>198</v>
      </c>
      <c r="B155" s="7" t="str">
        <f ca="1">IFERROR(__xludf.DUMMYFUNCTION("""COMPUTED_VALUE"""),"FR-346")</f>
        <v>FR-346</v>
      </c>
      <c r="C155" s="9" t="str">
        <f ca="1">IFERROR(__xludf.DUMMYFUNCTION("""COMPUTED_VALUE"""),"Поставка дверей, доводчиков и комплектующих к ним")</f>
        <v>Поставка дверей, доводчиков и комплектующих к ним</v>
      </c>
      <c r="D155" s="7" t="str">
        <f ca="1">IFERROR(__xludf.DUMMYFUNCTION("""COMPUTED_VALUE"""),"План по стандартизации")</f>
        <v>План по стандартизации</v>
      </c>
      <c r="E155" s="7">
        <f ca="1">IFERROR(__xludf.DUMMYFUNCTION("""COMPUTED_VALUE"""),2022)</f>
        <v>2022</v>
      </c>
      <c r="F155" s="7">
        <f ca="1">IFERROR(__xludf.DUMMYFUNCTION("""COMPUTED_VALUE"""),3)</f>
        <v>3</v>
      </c>
      <c r="G155" s="7" t="str">
        <f ca="1">IFERROR(__xludf.DUMMYFUNCTION("""COMPUTED_VALUE"""),"ТТЗ")</f>
        <v>ТТЗ</v>
      </c>
      <c r="H155" s="7" t="str">
        <f ca="1">IFERROR(__xludf.DUMMYFUNCTION("""COMPUTED_VALUE"""),"Planned")</f>
        <v>Planned</v>
      </c>
      <c r="I155" s="7">
        <f ca="1">IFERROR(__xludf.DUMMYFUNCTION("""COMPUTED_VALUE"""),0)</f>
        <v>0</v>
      </c>
      <c r="J155" s="7">
        <f ca="1">IFERROR(__xludf.DUMMYFUNCTION("""COMPUTED_VALUE"""),0)</f>
        <v>0</v>
      </c>
      <c r="K155" s="7" t="str">
        <f ca="1">IFERROR(__xludf.DUMMYFUNCTION("""COMPUTED_VALUE"""),"Куркина Наталья Витальевна")</f>
        <v>Куркина Наталья Витальевна</v>
      </c>
      <c r="L155" s="7" t="str">
        <f ca="1">IFERROR(__xludf.DUMMYFUNCTION("""COMPUTED_VALUE"""),"Бутасова Светлана Валерьевна")</f>
        <v>Бутасова Светлана Валерьевна</v>
      </c>
      <c r="M155" s="7" t="str">
        <f ca="1">IFERROR(__xludf.DUMMYFUNCTION("""COMPUTED_VALUE"""),"Чурсина Мария Вячеславовна")</f>
        <v>Чурсина Мария Вячеславовна</v>
      </c>
      <c r="N155" s="7"/>
      <c r="O155" s="7"/>
      <c r="P155" s="7"/>
      <c r="Q155" s="7"/>
      <c r="R155" s="7"/>
      <c r="S155" s="7"/>
      <c r="T155" s="7"/>
      <c r="U155" s="7"/>
      <c r="V155" s="10">
        <f ca="1">IFERROR(__xludf.DUMMYFUNCTION("""COMPUTED_VALUE"""),44573.4932638888)</f>
        <v>44573.493263888799</v>
      </c>
      <c r="W155" s="7"/>
      <c r="X155" s="16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>
        <f ca="1">IFERROR(__xludf.DUMMYFUNCTION("""COMPUTED_VALUE"""),0)</f>
        <v>0</v>
      </c>
    </row>
    <row r="156" spans="1:36" ht="47.25" x14ac:dyDescent="0.2">
      <c r="A156" s="7">
        <f ca="1">IFERROR(__xludf.DUMMYFUNCTION("""COMPUTED_VALUE"""),199)</f>
        <v>199</v>
      </c>
      <c r="B156" s="7" t="str">
        <f ca="1">IFERROR(__xludf.DUMMYFUNCTION("""COMPUTED_VALUE"""),"FR-347")</f>
        <v>FR-347</v>
      </c>
      <c r="C156" s="9" t="str">
        <f ca="1">IFERROR(__xludf.DUMMYFUNCTION("""COMPUTED_VALUE"""),"Выполнение работ по текущему ремонту мостов")</f>
        <v>Выполнение работ по текущему ремонту мостов</v>
      </c>
      <c r="D156" s="7" t="str">
        <f ca="1">IFERROR(__xludf.DUMMYFUNCTION("""COMPUTED_VALUE"""),"План по стандартизации")</f>
        <v>План по стандартизации</v>
      </c>
      <c r="E156" s="7">
        <f ca="1">IFERROR(__xludf.DUMMYFUNCTION("""COMPUTED_VALUE"""),2022)</f>
        <v>2022</v>
      </c>
      <c r="F156" s="7">
        <f ca="1">IFERROR(__xludf.DUMMYFUNCTION("""COMPUTED_VALUE"""),4)</f>
        <v>4</v>
      </c>
      <c r="G156" s="7" t="str">
        <f ca="1">IFERROR(__xludf.DUMMYFUNCTION("""COMPUTED_VALUE"""),"ТТЗ")</f>
        <v>ТТЗ</v>
      </c>
      <c r="H156" s="7" t="str">
        <f ca="1">IFERROR(__xludf.DUMMYFUNCTION("""COMPUTED_VALUE"""),"Planned")</f>
        <v>Planned</v>
      </c>
      <c r="I156" s="7">
        <f ca="1">IFERROR(__xludf.DUMMYFUNCTION("""COMPUTED_VALUE"""),0)</f>
        <v>0</v>
      </c>
      <c r="J156" s="7">
        <f ca="1">IFERROR(__xludf.DUMMYFUNCTION("""COMPUTED_VALUE"""),0)</f>
        <v>0</v>
      </c>
      <c r="K156" s="7" t="str">
        <f ca="1">IFERROR(__xludf.DUMMYFUNCTION("""COMPUTED_VALUE"""),"Куркина Наталья Витальевна")</f>
        <v>Куркина Наталья Витальевна</v>
      </c>
      <c r="L156" s="7" t="str">
        <f ca="1">IFERROR(__xludf.DUMMYFUNCTION("""COMPUTED_VALUE"""),"Бутасова Светлана Валерьевна")</f>
        <v>Бутасова Светлана Валерьевна</v>
      </c>
      <c r="M156" s="7" t="str">
        <f ca="1">IFERROR(__xludf.DUMMYFUNCTION("""COMPUTED_VALUE"""),"Чурсина Мария Вячеславовна")</f>
        <v>Чурсина Мария Вячеславовна</v>
      </c>
      <c r="N156" s="7"/>
      <c r="O156" s="7"/>
      <c r="P156" s="7"/>
      <c r="Q156" s="7"/>
      <c r="R156" s="7"/>
      <c r="S156" s="7"/>
      <c r="T156" s="7"/>
      <c r="U156" s="7"/>
      <c r="V156" s="10">
        <f ca="1">IFERROR(__xludf.DUMMYFUNCTION("""COMPUTED_VALUE"""),44573.4953703703)</f>
        <v>44573.495370370299</v>
      </c>
      <c r="W156" s="7"/>
      <c r="X156" s="16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>
        <f ca="1">IFERROR(__xludf.DUMMYFUNCTION("""COMPUTED_VALUE"""),0)</f>
        <v>0</v>
      </c>
    </row>
    <row r="157" spans="1:36" ht="204.75" x14ac:dyDescent="0.2">
      <c r="A157" s="7">
        <f ca="1">IFERROR(__xludf.DUMMYFUNCTION("""COMPUTED_VALUE"""),200)</f>
        <v>200</v>
      </c>
      <c r="B157" s="7" t="str">
        <f ca="1">IFERROR(__xludf.DUMMYFUNCTION("""COMPUTED_VALUE"""),"FR-348")</f>
        <v>FR-348</v>
      </c>
      <c r="C157" s="9" t="str">
        <f ca="1">IFERROR(__xludf.DUMMYFUNCTION("""COMPUTED_VALUE"""),"Выполнение работ по капитальному ремонту объектов водоснабжения, 
водоотведения (канализации) и теплоснабжения")</f>
        <v>Выполнение работ по капитальному ремонту объектов водоснабжения, 
водоотведения (канализации) и теплоснабжения</v>
      </c>
      <c r="D157" s="7" t="str">
        <f ca="1">IFERROR(__xludf.DUMMYFUNCTION("""COMPUTED_VALUE"""),"План по стандартизации")</f>
        <v>План по стандартизации</v>
      </c>
      <c r="E157" s="7">
        <f ca="1">IFERROR(__xludf.DUMMYFUNCTION("""COMPUTED_VALUE"""),2022)</f>
        <v>2022</v>
      </c>
      <c r="F157" s="7">
        <f ca="1">IFERROR(__xludf.DUMMYFUNCTION("""COMPUTED_VALUE"""),1)</f>
        <v>1</v>
      </c>
      <c r="G157" s="7" t="str">
        <f ca="1">IFERROR(__xludf.DUMMYFUNCTION("""COMPUTED_VALUE"""),"ТТЗ")</f>
        <v>ТТЗ</v>
      </c>
      <c r="H157" s="7" t="str">
        <f ca="1">IFERROR(__xludf.DUMMYFUNCTION("""COMPUTED_VALUE"""),"Завершено")</f>
        <v>Завершено</v>
      </c>
      <c r="I157" s="7">
        <f ca="1">IFERROR(__xludf.DUMMYFUNCTION("""COMPUTED_VALUE"""),5)</f>
        <v>5</v>
      </c>
      <c r="J157" s="7">
        <f ca="1">IFERROR(__xludf.DUMMYFUNCTION("""COMPUTED_VALUE"""),1)</f>
        <v>1</v>
      </c>
      <c r="K157" s="7" t="str">
        <f ca="1">IFERROR(__xludf.DUMMYFUNCTION("""COMPUTED_VALUE"""),"Уфаркина Наталья Геннадьевна")</f>
        <v>Уфаркина Наталья Геннадьевна</v>
      </c>
      <c r="L157" s="7" t="str">
        <f ca="1">IFERROR(__xludf.DUMMYFUNCTION("""COMPUTED_VALUE"""),"Уфаркина Наталья Геннадьевна")</f>
        <v>Уфаркина Наталья Геннадьевна</v>
      </c>
      <c r="M157" s="7" t="str">
        <f ca="1">IFERROR(__xludf.DUMMYFUNCTION("""COMPUTED_VALUE"""),"Гудиев Зелимхан Куйраевич")</f>
        <v>Гудиев Зелимхан Куйраевич</v>
      </c>
      <c r="N157" s="7"/>
      <c r="O157" s="7" t="str">
        <f ca="1">IFERROR(__xludf.DUMMYFUNCTION("""COMPUTED_VALUE"""),"Типовой")</f>
        <v>Типовой</v>
      </c>
      <c r="P157" s="7"/>
      <c r="Q157" s="7" t="str">
        <f ca="1">IFERROR(__xludf.DUMMYFUNCTION("""COMPUTED_VALUE"""),"44-ФЗ / 223-ФЗ")</f>
        <v>44-ФЗ / 223-ФЗ</v>
      </c>
      <c r="R157" s="7" t="str">
        <f ca="1">IFERROR(__xludf.DUMMYFUNCTION("""COMPUTED_VALUE"""),"Нет")</f>
        <v>Нет</v>
      </c>
      <c r="S157" s="7" t="str">
        <f ca="1">IFERROR(__xludf.DUMMYFUNCTION("""COMPUTED_VALUE"""),"Открытый конкурс / Электронный аукцион")</f>
        <v>Открытый конкурс / Электронный аукцион</v>
      </c>
      <c r="T157" s="7"/>
      <c r="U157" s="7" t="str">
        <f ca="1">IFERROR(__xludf.DUMMYFUNCTION("""COMPUTED_VALUE"""),"Выполнение работ по капитальному ремонту объектов водоснабжения, 
водоотведения (канализации) и теплоснабжения")</f>
        <v>Выполнение работ по капитальному ремонту объектов водоснабжения, 
водоотведения (канализации) и теплоснабжения</v>
      </c>
      <c r="V157" s="10">
        <f ca="1">IFERROR(__xludf.DUMMYFUNCTION("""COMPUTED_VALUE"""),44574.4032291666)</f>
        <v>44574.403229166601</v>
      </c>
      <c r="W157" s="11">
        <f ca="1">IFERROR(__xludf.DUMMYFUNCTION("""COMPUTED_VALUE"""),44636)</f>
        <v>44636</v>
      </c>
      <c r="X157" s="16">
        <f ca="1">IFERROR(__xludf.DUMMYFUNCTION("""COMPUTED_VALUE"""),0)</f>
        <v>0</v>
      </c>
      <c r="Y157" s="7" t="str">
        <f ca="1">IFERROR(__xludf.DUMMYFUNCTION("""COMPUTED_VALUE"""),"6.98")</f>
        <v>6.98</v>
      </c>
      <c r="Z157" s="11">
        <f ca="1">IFERROR(__xludf.DUMMYFUNCTION("""COMPUTED_VALUE"""),44810)</f>
        <v>44810</v>
      </c>
      <c r="AA157" s="7">
        <f ca="1">IFERROR(__xludf.DUMMYFUNCTION("""COMPUTED_VALUE"""),0)</f>
        <v>0</v>
      </c>
      <c r="AB157" s="7" t="str">
        <f ca="1">IFERROR(__xludf.DUMMYFUNCTION("""COMPUTED_VALUE"""),"53.75")</f>
        <v>53.75</v>
      </c>
      <c r="AC157" s="7" t="str">
        <f ca="1">IFERROR(__xludf.DUMMYFUNCTION("""COMPUTED_VALUE"""),"17.43")</f>
        <v>17.43</v>
      </c>
      <c r="AD157" s="7" t="str">
        <f ca="1">IFERROR(__xludf.DUMMYFUNCTION("""COMPUTED_VALUE"""),"13.91")</f>
        <v>13.91</v>
      </c>
      <c r="AE157" s="7" t="str">
        <f ca="1">IFERROR(__xludf.DUMMYFUNCTION("""COMPUTED_VALUE"""),"13.83")</f>
        <v>13.83</v>
      </c>
      <c r="AF157" s="7" t="str">
        <f ca="1">IFERROR(__xludf.DUMMYFUNCTION("""COMPUTED_VALUE"""),"1.99")</f>
        <v>1.99</v>
      </c>
      <c r="AG157" s="7" t="str">
        <f ca="1">IFERROR(__xludf.DUMMYFUNCTION("""COMPUTED_VALUE"""),"5.99")</f>
        <v>5.99</v>
      </c>
      <c r="AH157" s="10">
        <f ca="1">IFERROR(__xludf.DUMMYFUNCTION("""COMPUTED_VALUE"""),44746.6745254629)</f>
        <v>44746.674525462899</v>
      </c>
      <c r="AI157" s="10">
        <f ca="1">IFERROR(__xludf.DUMMYFUNCTION("""COMPUTED_VALUE"""),44776.4795023148)</f>
        <v>44776.479502314804</v>
      </c>
      <c r="AJ157" s="7">
        <f ca="1">IFERROR(__xludf.DUMMYFUNCTION("""COMPUTED_VALUE"""),121)</f>
        <v>121</v>
      </c>
    </row>
    <row r="158" spans="1:36" ht="236.25" x14ac:dyDescent="0.2">
      <c r="A158" s="7">
        <f ca="1">IFERROR(__xludf.DUMMYFUNCTION("""COMPUTED_VALUE"""),201)</f>
        <v>201</v>
      </c>
      <c r="B158" s="7" t="str">
        <f ca="1">IFERROR(__xludf.DUMMYFUNCTION("""COMPUTED_VALUE"""),"FR-349")</f>
        <v>FR-349</v>
      </c>
      <c r="C158" s="9" t="str">
        <f ca="1">IFERROR(__xludf.DUMMYFUNCTION("""COMPUTED_VALUE"""),"Оказание услуг по техническому обслуживанию и текущему ремонту водоотводных 
и регуляционных сооружений")</f>
        <v>Оказание услуг по техническому обслуживанию и текущему ремонту водоотводных 
и регуляционных сооружений</v>
      </c>
      <c r="D158" s="7" t="str">
        <f ca="1">IFERROR(__xludf.DUMMYFUNCTION("""COMPUTED_VALUE"""),"План по стандартизации")</f>
        <v>План по стандартизации</v>
      </c>
      <c r="E158" s="7">
        <f ca="1">IFERROR(__xludf.DUMMYFUNCTION("""COMPUTED_VALUE"""),2022)</f>
        <v>2022</v>
      </c>
      <c r="F158" s="7">
        <f ca="1">IFERROR(__xludf.DUMMYFUNCTION("""COMPUTED_VALUE"""),2)</f>
        <v>2</v>
      </c>
      <c r="G158" s="7" t="str">
        <f ca="1">IFERROR(__xludf.DUMMYFUNCTION("""COMPUTED_VALUE"""),"ТТЗ")</f>
        <v>ТТЗ</v>
      </c>
      <c r="H158" s="7" t="str">
        <f ca="1">IFERROR(__xludf.DUMMYFUNCTION("""COMPUTED_VALUE"""),"Revision OIV")</f>
        <v>Revision OIV</v>
      </c>
      <c r="I158" s="7">
        <f ca="1">IFERROR(__xludf.DUMMYFUNCTION("""COMPUTED_VALUE"""),1)</f>
        <v>1</v>
      </c>
      <c r="J158" s="7">
        <f ca="1">IFERROR(__xludf.DUMMYFUNCTION("""COMPUTED_VALUE"""),1)</f>
        <v>1</v>
      </c>
      <c r="K158" s="7" t="str">
        <f ca="1">IFERROR(__xludf.DUMMYFUNCTION("""COMPUTED_VALUE"""),"Першина Дарья Валерьевна")</f>
        <v>Першина Дарья Валерьевна</v>
      </c>
      <c r="L158" s="7" t="str">
        <f ca="1">IFERROR(__xludf.DUMMYFUNCTION("""COMPUTED_VALUE"""),"Уфаркина Наталья Геннадьевна")</f>
        <v>Уфаркина Наталья Геннадьевна</v>
      </c>
      <c r="M158" s="7" t="str">
        <f ca="1">IFERROR(__xludf.DUMMYFUNCTION("""COMPUTED_VALUE"""),"Гудиев Зелимхан Куйраевич")</f>
        <v>Гудиев Зелимхан Куйраевич</v>
      </c>
      <c r="N158" s="7"/>
      <c r="O158" s="7" t="str">
        <f ca="1">IFERROR(__xludf.DUMMYFUNCTION("""COMPUTED_VALUE"""),"Типовой")</f>
        <v>Типовой</v>
      </c>
      <c r="P158" s="7"/>
      <c r="Q158" s="7"/>
      <c r="R158" s="7"/>
      <c r="S158" s="7"/>
      <c r="T158" s="7"/>
      <c r="U158" s="7" t="str">
        <f ca="1">IFERROR(__xludf.DUMMYFUNCTION("""COMPUTED_VALUE"""),"Оказание услуг по техническому обслуживанию и текущему ремонту водоотводных 
и регуляционных сооружений")</f>
        <v>Оказание услуг по техническому обслуживанию и текущему ремонту водоотводных 
и регуляционных сооружений</v>
      </c>
      <c r="V158" s="10">
        <f ca="1">IFERROR(__xludf.DUMMYFUNCTION("""COMPUTED_VALUE"""),44574.4049537037)</f>
        <v>44574.404953703699</v>
      </c>
      <c r="W158" s="7" t="str">
        <f ca="1">IFERROR(__xludf.DUMMYFUNCTION("""COMPUTED_VALUE"""),"77.34")</f>
        <v>77.34</v>
      </c>
      <c r="X158" s="16">
        <f ca="1">IFERROR(__xludf.DUMMYFUNCTION("""COMPUTED_VALUE"""),0)</f>
        <v>0</v>
      </c>
      <c r="Y158" s="7" t="str">
        <f ca="1">IFERROR(__xludf.DUMMYFUNCTION("""COMPUTED_VALUE"""),"0.95")</f>
        <v>0.95</v>
      </c>
      <c r="Z158" s="7" t="str">
        <f ca="1">IFERROR(__xludf.DUMMYFUNCTION("""COMPUTED_VALUE"""),"1.17")</f>
        <v>1.17</v>
      </c>
      <c r="AA158" s="7" t="str">
        <f ca="1">IFERROR(__xludf.DUMMYFUNCTION("""COMPUTED_VALUE"""),"0.04")</f>
        <v>0.04</v>
      </c>
      <c r="AB158" s="7" t="str">
        <f ca="1">IFERROR(__xludf.DUMMYFUNCTION("""COMPUTED_VALUE"""),"36.76")</f>
        <v>36.76</v>
      </c>
      <c r="AC158" s="7" t="str">
        <f ca="1">IFERROR(__xludf.DUMMYFUNCTION("""COMPUTED_VALUE"""),"23.73")</f>
        <v>23.73</v>
      </c>
      <c r="AD158" s="7"/>
      <c r="AE158" s="7"/>
      <c r="AF158" s="7"/>
      <c r="AG158" s="7"/>
      <c r="AH158" s="7"/>
      <c r="AI158" s="7"/>
      <c r="AJ158" s="7">
        <f ca="1">IFERROR(__xludf.DUMMYFUNCTION("""COMPUTED_VALUE"""),63)</f>
        <v>63</v>
      </c>
    </row>
    <row r="159" spans="1:36" ht="63" x14ac:dyDescent="0.2">
      <c r="A159" s="7">
        <f ca="1">IFERROR(__xludf.DUMMYFUNCTION("""COMPUTED_VALUE"""),202)</f>
        <v>202</v>
      </c>
      <c r="B159" s="7" t="str">
        <f ca="1">IFERROR(__xludf.DUMMYFUNCTION("""COMPUTED_VALUE"""),"FR-351")</f>
        <v>FR-351</v>
      </c>
      <c r="C159" s="9" t="str">
        <f ca="1">IFERROR(__xludf.DUMMYFUNCTION("""COMPUTED_VALUE"""),"Выполнение работ по развитию, модернизации информационных систем и ресурсов")</f>
        <v>Выполнение работ по развитию, модернизации информационных систем и ресурсов</v>
      </c>
      <c r="D159" s="7" t="str">
        <f ca="1">IFERROR(__xludf.DUMMYFUNCTION("""COMPUTED_VALUE"""),"План по стандартизации")</f>
        <v>План по стандартизации</v>
      </c>
      <c r="E159" s="7">
        <f ca="1">IFERROR(__xludf.DUMMYFUNCTION("""COMPUTED_VALUE"""),2022)</f>
        <v>2022</v>
      </c>
      <c r="F159" s="7">
        <f ca="1">IFERROR(__xludf.DUMMYFUNCTION("""COMPUTED_VALUE"""),3)</f>
        <v>3</v>
      </c>
      <c r="G159" s="7" t="str">
        <f ca="1">IFERROR(__xludf.DUMMYFUNCTION("""COMPUTED_VALUE"""),"СТЗ")</f>
        <v>СТЗ</v>
      </c>
      <c r="H159" s="7" t="str">
        <f ca="1">IFERROR(__xludf.DUMMYFUNCTION("""COMPUTED_VALUE"""),"DEPiR")</f>
        <v>DEPiR</v>
      </c>
      <c r="I159" s="7">
        <f ca="1">IFERROR(__xludf.DUMMYFUNCTION("""COMPUTED_VALUE"""),0)</f>
        <v>0</v>
      </c>
      <c r="J159" s="7">
        <f ca="1">IFERROR(__xludf.DUMMYFUNCTION("""COMPUTED_VALUE"""),0)</f>
        <v>0</v>
      </c>
      <c r="K159" s="7" t="str">
        <f ca="1">IFERROR(__xludf.DUMMYFUNCTION("""COMPUTED_VALUE"""),"Уфаркина Наталья Геннадьевна")</f>
        <v>Уфаркина Наталья Геннадьевна</v>
      </c>
      <c r="L159" s="7" t="str">
        <f ca="1">IFERROR(__xludf.DUMMYFUNCTION("""COMPUTED_VALUE"""),"Уфаркина Наталья Геннадьевна")</f>
        <v>Уфаркина Наталья Геннадьевна</v>
      </c>
      <c r="M159" s="7" t="str">
        <f ca="1">IFERROR(__xludf.DUMMYFUNCTION("""COMPUTED_VALUE"""),"Гудиев Зелимхан Куйраевич")</f>
        <v>Гудиев Зелимхан Куйраевич</v>
      </c>
      <c r="N159" s="7"/>
      <c r="O159" s="7"/>
      <c r="P159" s="7"/>
      <c r="Q159" s="7"/>
      <c r="R159" s="7"/>
      <c r="S159" s="7"/>
      <c r="T159" s="7"/>
      <c r="U159" s="7"/>
      <c r="V159" s="10">
        <f ca="1">IFERROR(__xludf.DUMMYFUNCTION("""COMPUTED_VALUE"""),44574.4070833333)</f>
        <v>44574.407083333303</v>
      </c>
      <c r="W159" s="7" t="str">
        <f ca="1">IFERROR(__xludf.DUMMYFUNCTION("""COMPUTED_VALUE"""),"132.29")</f>
        <v>132.29</v>
      </c>
      <c r="X159" s="16">
        <f ca="1">IFERROR(__xludf.DUMMYFUNCTION("""COMPUTED_VALUE"""),7)</f>
        <v>7</v>
      </c>
      <c r="Y159" s="7"/>
      <c r="Z159" s="7"/>
      <c r="AA159" s="7">
        <f ca="1">IFERROR(__xludf.DUMMYFUNCTION("""COMPUTED_VALUE"""),0)</f>
        <v>0</v>
      </c>
      <c r="AB159" s="7" t="str">
        <f ca="1">IFERROR(__xludf.DUMMYFUNCTION("""COMPUTED_VALUE"""),"0.7")</f>
        <v>0.7</v>
      </c>
      <c r="AC159" s="7"/>
      <c r="AD159" s="7"/>
      <c r="AE159" s="7"/>
      <c r="AF159" s="7"/>
      <c r="AG159" s="7"/>
      <c r="AH159" s="7"/>
      <c r="AI159" s="7"/>
      <c r="AJ159" s="7">
        <f ca="1">IFERROR(__xludf.DUMMYFUNCTION("""COMPUTED_VALUE"""),8)</f>
        <v>8</v>
      </c>
    </row>
    <row r="160" spans="1:36" ht="63" x14ac:dyDescent="0.2">
      <c r="A160" s="7">
        <f ca="1">IFERROR(__xludf.DUMMYFUNCTION("""COMPUTED_VALUE"""),203)</f>
        <v>203</v>
      </c>
      <c r="B160" s="7" t="str">
        <f ca="1">IFERROR(__xludf.DUMMYFUNCTION("""COMPUTED_VALUE"""),"FR-352")</f>
        <v>FR-352</v>
      </c>
      <c r="C160" s="9" t="str">
        <f ca="1">IFERROR(__xludf.DUMMYFUNCTION("""COMPUTED_VALUE"""),"Выполнение работ по разработке, внедрению информационных систем и ресурсов")</f>
        <v>Выполнение работ по разработке, внедрению информационных систем и ресурсов</v>
      </c>
      <c r="D160" s="7" t="str">
        <f ca="1">IFERROR(__xludf.DUMMYFUNCTION("""COMPUTED_VALUE"""),"План по стандартизации")</f>
        <v>План по стандартизации</v>
      </c>
      <c r="E160" s="7">
        <f ca="1">IFERROR(__xludf.DUMMYFUNCTION("""COMPUTED_VALUE"""),2022)</f>
        <v>2022</v>
      </c>
      <c r="F160" s="7">
        <f ca="1">IFERROR(__xludf.DUMMYFUNCTION("""COMPUTED_VALUE"""),3)</f>
        <v>3</v>
      </c>
      <c r="G160" s="7" t="str">
        <f ca="1">IFERROR(__xludf.DUMMYFUNCTION("""COMPUTED_VALUE"""),"СТЗ")</f>
        <v>СТЗ</v>
      </c>
      <c r="H160" s="7" t="str">
        <f ca="1">IFERROR(__xludf.DUMMYFUNCTION("""COMPUTED_VALUE"""),"DEPiR")</f>
        <v>DEPiR</v>
      </c>
      <c r="I160" s="7">
        <f ca="1">IFERROR(__xludf.DUMMYFUNCTION("""COMPUTED_VALUE"""),0)</f>
        <v>0</v>
      </c>
      <c r="J160" s="7">
        <f ca="1">IFERROR(__xludf.DUMMYFUNCTION("""COMPUTED_VALUE"""),0)</f>
        <v>0</v>
      </c>
      <c r="K160" s="7" t="str">
        <f ca="1">IFERROR(__xludf.DUMMYFUNCTION("""COMPUTED_VALUE"""),"Уфаркина Наталья Геннадьевна")</f>
        <v>Уфаркина Наталья Геннадьевна</v>
      </c>
      <c r="L160" s="7" t="str">
        <f ca="1">IFERROR(__xludf.DUMMYFUNCTION("""COMPUTED_VALUE"""),"Уфаркина Наталья Геннадьевна")</f>
        <v>Уфаркина Наталья Геннадьевна</v>
      </c>
      <c r="M160" s="7" t="str">
        <f ca="1">IFERROR(__xludf.DUMMYFUNCTION("""COMPUTED_VALUE"""),"Гудиев Зелимхан Куйраевич")</f>
        <v>Гудиев Зелимхан Куйраевич</v>
      </c>
      <c r="N160" s="7"/>
      <c r="O160" s="7"/>
      <c r="P160" s="7"/>
      <c r="Q160" s="7"/>
      <c r="R160" s="7"/>
      <c r="S160" s="7"/>
      <c r="T160" s="7"/>
      <c r="U160" s="7"/>
      <c r="V160" s="10">
        <f ca="1">IFERROR(__xludf.DUMMYFUNCTION("""COMPUTED_VALUE"""),44574.4082060185)</f>
        <v>44574.408206018503</v>
      </c>
      <c r="W160" s="7" t="str">
        <f ca="1">IFERROR(__xludf.DUMMYFUNCTION("""COMPUTED_VALUE"""),"132.29")</f>
        <v>132.29</v>
      </c>
      <c r="X160" s="17">
        <f ca="1">IFERROR(__xludf.DUMMYFUNCTION("""COMPUTED_VALUE"""),44568)</f>
        <v>44568</v>
      </c>
      <c r="Y160" s="7"/>
      <c r="Z160" s="7"/>
      <c r="AA160" s="7">
        <f ca="1">IFERROR(__xludf.DUMMYFUNCTION("""COMPUTED_VALUE"""),0)</f>
        <v>0</v>
      </c>
      <c r="AB160" s="7" t="str">
        <f ca="1">IFERROR(__xludf.DUMMYFUNCTION("""COMPUTED_VALUE"""),"0.69")</f>
        <v>0.69</v>
      </c>
      <c r="AC160" s="7"/>
      <c r="AD160" s="7"/>
      <c r="AE160" s="7"/>
      <c r="AF160" s="7"/>
      <c r="AG160" s="7"/>
      <c r="AH160" s="7"/>
      <c r="AI160" s="7"/>
      <c r="AJ160" s="7">
        <f ca="1">IFERROR(__xludf.DUMMYFUNCTION("""COMPUTED_VALUE"""),8)</f>
        <v>8</v>
      </c>
    </row>
    <row r="161" spans="1:36" ht="94.5" x14ac:dyDescent="0.2">
      <c r="A161" s="7">
        <f ca="1">IFERROR(__xludf.DUMMYFUNCTION("""COMPUTED_VALUE"""),204)</f>
        <v>204</v>
      </c>
      <c r="B161" s="7" t="str">
        <f ca="1">IFERROR(__xludf.DUMMYFUNCTION("""COMPUTED_VALUE"""),"FR-353")</f>
        <v>FR-353</v>
      </c>
      <c r="C161" s="9" t="str">
        <f ca="1">IFERROR(__xludf.DUMMYFUNCTION("""COMPUTED_VALUE"""),"Оказание комплексной услуги по сбору, анализу и выявлению событий в области 
информационной безопасности")</f>
        <v>Оказание комплексной услуги по сбору, анализу и выявлению событий в области 
информационной безопасности</v>
      </c>
      <c r="D161" s="7" t="str">
        <f ca="1">IFERROR(__xludf.DUMMYFUNCTION("""COMPUTED_VALUE"""),"План по стандартизации")</f>
        <v>План по стандартизации</v>
      </c>
      <c r="E161" s="7">
        <f ca="1">IFERROR(__xludf.DUMMYFUNCTION("""COMPUTED_VALUE"""),2022)</f>
        <v>2022</v>
      </c>
      <c r="F161" s="7">
        <f ca="1">IFERROR(__xludf.DUMMYFUNCTION("""COMPUTED_VALUE"""),3)</f>
        <v>3</v>
      </c>
      <c r="G161" s="7" t="str">
        <f ca="1">IFERROR(__xludf.DUMMYFUNCTION("""COMPUTED_VALUE"""),"ТТЗ")</f>
        <v>ТТЗ</v>
      </c>
      <c r="H161" s="7" t="str">
        <f ca="1">IFERROR(__xludf.DUMMYFUNCTION("""COMPUTED_VALUE"""),"Planned")</f>
        <v>Planned</v>
      </c>
      <c r="I161" s="7">
        <f ca="1">IFERROR(__xludf.DUMMYFUNCTION("""COMPUTED_VALUE"""),0)</f>
        <v>0</v>
      </c>
      <c r="J161" s="7">
        <f ca="1">IFERROR(__xludf.DUMMYFUNCTION("""COMPUTED_VALUE"""),0)</f>
        <v>0</v>
      </c>
      <c r="K161" s="7"/>
      <c r="L161" s="7" t="str">
        <f ca="1">IFERROR(__xludf.DUMMYFUNCTION("""COMPUTED_VALUE"""),"Уфаркина Наталья Геннадьевна")</f>
        <v>Уфаркина Наталья Геннадьевна</v>
      </c>
      <c r="M161" s="7" t="str">
        <f ca="1">IFERROR(__xludf.DUMMYFUNCTION("""COMPUTED_VALUE"""),"Гудиев Зелимхан Куйраевич")</f>
        <v>Гудиев Зелимхан Куйраевич</v>
      </c>
      <c r="N161" s="7"/>
      <c r="O161" s="7"/>
      <c r="P161" s="7"/>
      <c r="Q161" s="7"/>
      <c r="R161" s="7"/>
      <c r="S161" s="7"/>
      <c r="T161" s="7"/>
      <c r="U161" s="7"/>
      <c r="V161" s="10">
        <f ca="1">IFERROR(__xludf.DUMMYFUNCTION("""COMPUTED_VALUE"""),44574.409699074)</f>
        <v>44574.409699074</v>
      </c>
      <c r="W161" s="7"/>
      <c r="X161" s="16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>
        <f ca="1">IFERROR(__xludf.DUMMYFUNCTION("""COMPUTED_VALUE"""),0)</f>
        <v>0</v>
      </c>
    </row>
    <row r="162" spans="1:36" ht="47.25" x14ac:dyDescent="0.2">
      <c r="A162" s="7">
        <f ca="1">IFERROR(__xludf.DUMMYFUNCTION("""COMPUTED_VALUE"""),205)</f>
        <v>205</v>
      </c>
      <c r="B162" s="7" t="str">
        <f ca="1">IFERROR(__xludf.DUMMYFUNCTION("""COMPUTED_VALUE"""),"FR-354")</f>
        <v>FR-354</v>
      </c>
      <c r="C162" s="9" t="str">
        <f ca="1">IFERROR(__xludf.DUMMYFUNCTION("""COMPUTED_VALUE"""),"Оказание услуг по обработке данных информационных систем")</f>
        <v>Оказание услуг по обработке данных информационных систем</v>
      </c>
      <c r="D162" s="7" t="str">
        <f ca="1">IFERROR(__xludf.DUMMYFUNCTION("""COMPUTED_VALUE"""),"План по стандартизации")</f>
        <v>План по стандартизации</v>
      </c>
      <c r="E162" s="7">
        <f ca="1">IFERROR(__xludf.DUMMYFUNCTION("""COMPUTED_VALUE"""),2022)</f>
        <v>2022</v>
      </c>
      <c r="F162" s="7">
        <f ca="1">IFERROR(__xludf.DUMMYFUNCTION("""COMPUTED_VALUE"""),3)</f>
        <v>3</v>
      </c>
      <c r="G162" s="7" t="str">
        <f ca="1">IFERROR(__xludf.DUMMYFUNCTION("""COMPUTED_VALUE"""),"ТТЗ")</f>
        <v>ТТЗ</v>
      </c>
      <c r="H162" s="7" t="str">
        <f ca="1">IFERROR(__xludf.DUMMYFUNCTION("""COMPUTED_VALUE"""),"Planned")</f>
        <v>Planned</v>
      </c>
      <c r="I162" s="7">
        <f ca="1">IFERROR(__xludf.DUMMYFUNCTION("""COMPUTED_VALUE"""),0)</f>
        <v>0</v>
      </c>
      <c r="J162" s="7">
        <f ca="1">IFERROR(__xludf.DUMMYFUNCTION("""COMPUTED_VALUE"""),0)</f>
        <v>0</v>
      </c>
      <c r="K162" s="7"/>
      <c r="L162" s="7" t="str">
        <f ca="1">IFERROR(__xludf.DUMMYFUNCTION("""COMPUTED_VALUE"""),"Уфаркина Наталья Геннадьевна")</f>
        <v>Уфаркина Наталья Геннадьевна</v>
      </c>
      <c r="M162" s="7" t="str">
        <f ca="1">IFERROR(__xludf.DUMMYFUNCTION("""COMPUTED_VALUE"""),"Гудиев Зелимхан Куйраевич")</f>
        <v>Гудиев Зелимхан Куйраевич</v>
      </c>
      <c r="N162" s="7"/>
      <c r="O162" s="7"/>
      <c r="P162" s="7"/>
      <c r="Q162" s="7"/>
      <c r="R162" s="7"/>
      <c r="S162" s="7"/>
      <c r="T162" s="7"/>
      <c r="U162" s="7"/>
      <c r="V162" s="10">
        <f ca="1">IFERROR(__xludf.DUMMYFUNCTION("""COMPUTED_VALUE"""),44574.4106712962)</f>
        <v>44574.410671296202</v>
      </c>
      <c r="W162" s="7"/>
      <c r="X162" s="16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>
        <f ca="1">IFERROR(__xludf.DUMMYFUNCTION("""COMPUTED_VALUE"""),0)</f>
        <v>0</v>
      </c>
    </row>
    <row r="163" spans="1:36" ht="63" x14ac:dyDescent="0.2">
      <c r="A163" s="7">
        <f ca="1">IFERROR(__xludf.DUMMYFUNCTION("""COMPUTED_VALUE"""),206)</f>
        <v>206</v>
      </c>
      <c r="B163" s="7" t="str">
        <f ca="1">IFERROR(__xludf.DUMMYFUNCTION("""COMPUTED_VALUE"""),"FR-355")</f>
        <v>FR-355</v>
      </c>
      <c r="C163" s="9" t="str">
        <f ca="1">IFERROR(__xludf.DUMMYFUNCTION("""COMPUTED_VALUE"""),"Выполнение работ по устройству и восстановлению комплекса ограждений и 
(или) его элементов")</f>
        <v>Выполнение работ по устройству и восстановлению комплекса ограждений и 
(или) его элементов</v>
      </c>
      <c r="D163" s="7" t="str">
        <f ca="1">IFERROR(__xludf.DUMMYFUNCTION("""COMPUTED_VALUE"""),"План по стандартизации")</f>
        <v>План по стандартизации</v>
      </c>
      <c r="E163" s="7">
        <f ca="1">IFERROR(__xludf.DUMMYFUNCTION("""COMPUTED_VALUE"""),2022)</f>
        <v>2022</v>
      </c>
      <c r="F163" s="7">
        <f ca="1">IFERROR(__xludf.DUMMYFUNCTION("""COMPUTED_VALUE"""),4)</f>
        <v>4</v>
      </c>
      <c r="G163" s="7" t="str">
        <f ca="1">IFERROR(__xludf.DUMMYFUNCTION("""COMPUTED_VALUE"""),"ТТЗ")</f>
        <v>ТТЗ</v>
      </c>
      <c r="H163" s="7" t="str">
        <f ca="1">IFERROR(__xludf.DUMMYFUNCTION("""COMPUTED_VALUE"""),"Planned")</f>
        <v>Planned</v>
      </c>
      <c r="I163" s="7">
        <f ca="1">IFERROR(__xludf.DUMMYFUNCTION("""COMPUTED_VALUE"""),0)</f>
        <v>0</v>
      </c>
      <c r="J163" s="7">
        <f ca="1">IFERROR(__xludf.DUMMYFUNCTION("""COMPUTED_VALUE"""),0)</f>
        <v>0</v>
      </c>
      <c r="K163" s="7"/>
      <c r="L163" s="7" t="str">
        <f ca="1">IFERROR(__xludf.DUMMYFUNCTION("""COMPUTED_VALUE"""),"Уфаркина Наталья Геннадьевна")</f>
        <v>Уфаркина Наталья Геннадьевна</v>
      </c>
      <c r="M163" s="7" t="str">
        <f ca="1">IFERROR(__xludf.DUMMYFUNCTION("""COMPUTED_VALUE"""),"Гудиев Зелимхан Куйраевич")</f>
        <v>Гудиев Зелимхан Куйраевич</v>
      </c>
      <c r="N163" s="7"/>
      <c r="O163" s="7"/>
      <c r="P163" s="7"/>
      <c r="Q163" s="7"/>
      <c r="R163" s="7"/>
      <c r="S163" s="7"/>
      <c r="T163" s="7"/>
      <c r="U163" s="7"/>
      <c r="V163" s="10">
        <f ca="1">IFERROR(__xludf.DUMMYFUNCTION("""COMPUTED_VALUE"""),44574.4120717592)</f>
        <v>44574.412071759201</v>
      </c>
      <c r="W163" s="7"/>
      <c r="X163" s="16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>
        <f ca="1">IFERROR(__xludf.DUMMYFUNCTION("""COMPUTED_VALUE"""),0)</f>
        <v>0</v>
      </c>
    </row>
    <row r="164" spans="1:36" ht="63" x14ac:dyDescent="0.2">
      <c r="A164" s="7">
        <f ca="1">IFERROR(__xludf.DUMMYFUNCTION("""COMPUTED_VALUE"""),207)</f>
        <v>207</v>
      </c>
      <c r="B164" s="7" t="str">
        <f ca="1">IFERROR(__xludf.DUMMYFUNCTION("""COMPUTED_VALUE"""),"FR-356")</f>
        <v>FR-356</v>
      </c>
      <c r="C164" s="9" t="str">
        <f ca="1">IFERROR(__xludf.DUMMYFUNCTION("""COMPUTED_VALUE"""),"Оказание услуг по ассенизации и (или) заправке водой неканализированных 
санитарных объектов")</f>
        <v>Оказание услуг по ассенизации и (или) заправке водой неканализированных 
санитарных объектов</v>
      </c>
      <c r="D164" s="7" t="str">
        <f ca="1">IFERROR(__xludf.DUMMYFUNCTION("""COMPUTED_VALUE"""),"План по стандартизации")</f>
        <v>План по стандартизации</v>
      </c>
      <c r="E164" s="7">
        <f ca="1">IFERROR(__xludf.DUMMYFUNCTION("""COMPUTED_VALUE"""),2022)</f>
        <v>2022</v>
      </c>
      <c r="F164" s="7">
        <f ca="1">IFERROR(__xludf.DUMMYFUNCTION("""COMPUTED_VALUE"""),4)</f>
        <v>4</v>
      </c>
      <c r="G164" s="7" t="str">
        <f ca="1">IFERROR(__xludf.DUMMYFUNCTION("""COMPUTED_VALUE"""),"ТТЗ")</f>
        <v>ТТЗ</v>
      </c>
      <c r="H164" s="7" t="str">
        <f ca="1">IFERROR(__xludf.DUMMYFUNCTION("""COMPUTED_VALUE"""),"Planned")</f>
        <v>Planned</v>
      </c>
      <c r="I164" s="7">
        <f ca="1">IFERROR(__xludf.DUMMYFUNCTION("""COMPUTED_VALUE"""),0)</f>
        <v>0</v>
      </c>
      <c r="J164" s="7">
        <f ca="1">IFERROR(__xludf.DUMMYFUNCTION("""COMPUTED_VALUE"""),0)</f>
        <v>0</v>
      </c>
      <c r="K164" s="7"/>
      <c r="L164" s="7" t="str">
        <f ca="1">IFERROR(__xludf.DUMMYFUNCTION("""COMPUTED_VALUE"""),"Уфаркина Наталья Геннадьевна")</f>
        <v>Уфаркина Наталья Геннадьевна</v>
      </c>
      <c r="M164" s="7" t="str">
        <f ca="1">IFERROR(__xludf.DUMMYFUNCTION("""COMPUTED_VALUE"""),"Гудиев Зелимхан Куйраевич")</f>
        <v>Гудиев Зелимхан Куйраевич</v>
      </c>
      <c r="N164" s="7"/>
      <c r="O164" s="7"/>
      <c r="P164" s="7"/>
      <c r="Q164" s="7"/>
      <c r="R164" s="7"/>
      <c r="S164" s="7"/>
      <c r="T164" s="7"/>
      <c r="U164" s="7"/>
      <c r="V164" s="10">
        <f ca="1">IFERROR(__xludf.DUMMYFUNCTION("""COMPUTED_VALUE"""),44574.4132175925)</f>
        <v>44574.413217592497</v>
      </c>
      <c r="W164" s="7"/>
      <c r="X164" s="16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>
        <f ca="1">IFERROR(__xludf.DUMMYFUNCTION("""COMPUTED_VALUE"""),0)</f>
        <v>0</v>
      </c>
    </row>
    <row r="165" spans="1:36" ht="47.25" x14ac:dyDescent="0.2">
      <c r="A165" s="7">
        <f ca="1">IFERROR(__xludf.DUMMYFUNCTION("""COMPUTED_VALUE"""),208)</f>
        <v>208</v>
      </c>
      <c r="B165" s="7" t="str">
        <f ca="1">IFERROR(__xludf.DUMMYFUNCTION("""COMPUTED_VALUE"""),"FR-357")</f>
        <v>FR-357</v>
      </c>
      <c r="C165" s="9" t="str">
        <f ca="1">IFERROR(__xludf.DUMMYFUNCTION("""COMPUTED_VALUE"""),"Оказание услуг по открытию кредитной линии")</f>
        <v>Оказание услуг по открытию кредитной линии</v>
      </c>
      <c r="D165" s="7" t="str">
        <f ca="1">IFERROR(__xludf.DUMMYFUNCTION("""COMPUTED_VALUE"""),"План по стандартизации")</f>
        <v>План по стандартизации</v>
      </c>
      <c r="E165" s="7">
        <f ca="1">IFERROR(__xludf.DUMMYFUNCTION("""COMPUTED_VALUE"""),2022)</f>
        <v>2022</v>
      </c>
      <c r="F165" s="7">
        <f ca="1">IFERROR(__xludf.DUMMYFUNCTION("""COMPUTED_VALUE"""),2)</f>
        <v>2</v>
      </c>
      <c r="G165" s="7" t="str">
        <f ca="1">IFERROR(__xludf.DUMMYFUNCTION("""COMPUTED_VALUE"""),"СТЗ")</f>
        <v>СТЗ</v>
      </c>
      <c r="H165" s="7" t="str">
        <f ca="1">IFERROR(__xludf.DUMMYFUNCTION("""COMPUTED_VALUE"""),"Подготовка к РГ")</f>
        <v>Подготовка к РГ</v>
      </c>
      <c r="I165" s="7">
        <f ca="1">IFERROR(__xludf.DUMMYFUNCTION("""COMPUTED_VALUE"""),2)</f>
        <v>2</v>
      </c>
      <c r="J165" s="7">
        <f ca="1">IFERROR(__xludf.DUMMYFUNCTION("""COMPUTED_VALUE"""),0)</f>
        <v>0</v>
      </c>
      <c r="K165" s="7" t="str">
        <f ca="1">IFERROR(__xludf.DUMMYFUNCTION("""COMPUTED_VALUE"""),"Желтова Яна Валерьевна")</f>
        <v>Желтова Яна Валерьевна</v>
      </c>
      <c r="L165" s="7" t="str">
        <f ca="1">IFERROR(__xludf.DUMMYFUNCTION("""COMPUTED_VALUE"""),"Бутасова Светлана Валерьевна")</f>
        <v>Бутасова Светлана Валерьевна</v>
      </c>
      <c r="M165" s="7" t="str">
        <f ca="1">IFERROR(__xludf.DUMMYFUNCTION("""COMPUTED_VALUE"""),"Чурсина Мария Вячеславовна")</f>
        <v>Чурсина Мария Вячеславовна</v>
      </c>
      <c r="N165" s="7"/>
      <c r="O165" s="7"/>
      <c r="P165" s="7"/>
      <c r="Q165" s="7"/>
      <c r="R165" s="7"/>
      <c r="S165" s="7"/>
      <c r="T165" s="7"/>
      <c r="U165" s="7"/>
      <c r="V165" s="10">
        <f ca="1">IFERROR(__xludf.DUMMYFUNCTION("""COMPUTED_VALUE"""),44574.4796412037)</f>
        <v>44574.479641203703</v>
      </c>
      <c r="W165" s="7" t="str">
        <f ca="1">IFERROR(__xludf.DUMMYFUNCTION("""COMPUTED_VALUE"""),"54.93")</f>
        <v>54.93</v>
      </c>
      <c r="X165" s="16" t="str">
        <f ca="1">IFERROR(__xludf.DUMMYFUNCTION("""COMPUTED_VALUE"""),"30.17")</f>
        <v>30.17</v>
      </c>
      <c r="Y165" s="7"/>
      <c r="Z165" s="7" t="str">
        <f ca="1">IFERROR(__xludf.DUMMYFUNCTION("""COMPUTED_VALUE"""),"0.87")</f>
        <v>0.87</v>
      </c>
      <c r="AA165" s="7" t="str">
        <f ca="1">IFERROR(__xludf.DUMMYFUNCTION("""COMPUTED_VALUE"""),"3.14")</f>
        <v>3.14</v>
      </c>
      <c r="AB165" s="7" t="str">
        <f ca="1">IFERROR(__xludf.DUMMYFUNCTION("""COMPUTED_VALUE"""),"16.81")</f>
        <v>16.81</v>
      </c>
      <c r="AC165" s="7" t="str">
        <f ca="1">IFERROR(__xludf.DUMMYFUNCTION("""COMPUTED_VALUE"""),"9.34")</f>
        <v>9.34</v>
      </c>
      <c r="AD165" s="7" t="str">
        <f ca="1">IFERROR(__xludf.DUMMYFUNCTION("""COMPUTED_VALUE"""),"24.65")</f>
        <v>24.65</v>
      </c>
      <c r="AE165" s="7"/>
      <c r="AF165" s="7"/>
      <c r="AG165" s="7"/>
      <c r="AH165" s="7"/>
      <c r="AI165" s="7"/>
      <c r="AJ165" s="7">
        <f ca="1">IFERROR(__xludf.DUMMYFUNCTION("""COMPUTED_VALUE"""),85)</f>
        <v>85</v>
      </c>
    </row>
    <row r="166" spans="1:36" ht="47.25" x14ac:dyDescent="0.2">
      <c r="A166" s="7">
        <f ca="1">IFERROR(__xludf.DUMMYFUNCTION("""COMPUTED_VALUE"""),209)</f>
        <v>209</v>
      </c>
      <c r="B166" s="7" t="str">
        <f ca="1">IFERROR(__xludf.DUMMYFUNCTION("""COMPUTED_VALUE"""),"FR-358")</f>
        <v>FR-358</v>
      </c>
      <c r="C166" s="9" t="str">
        <f ca="1">IFERROR(__xludf.DUMMYFUNCTION("""COMPUTED_VALUE"""),"Поставка вентиляционного оборудования")</f>
        <v>Поставка вентиляционного оборудования</v>
      </c>
      <c r="D166" s="7" t="str">
        <f ca="1">IFERROR(__xludf.DUMMYFUNCTION("""COMPUTED_VALUE"""),"План по стандартизации")</f>
        <v>План по стандартизации</v>
      </c>
      <c r="E166" s="7">
        <f ca="1">IFERROR(__xludf.DUMMYFUNCTION("""COMPUTED_VALUE"""),2022)</f>
        <v>2022</v>
      </c>
      <c r="F166" s="7">
        <f ca="1">IFERROR(__xludf.DUMMYFUNCTION("""COMPUTED_VALUE"""),3)</f>
        <v>3</v>
      </c>
      <c r="G166" s="7" t="str">
        <f ca="1">IFERROR(__xludf.DUMMYFUNCTION("""COMPUTED_VALUE"""),"ТТЗ")</f>
        <v>ТТЗ</v>
      </c>
      <c r="H166" s="7" t="str">
        <f ca="1">IFERROR(__xludf.DUMMYFUNCTION("""COMPUTED_VALUE"""),"Develop")</f>
        <v>Develop</v>
      </c>
      <c r="I166" s="7">
        <f ca="1">IFERROR(__xludf.DUMMYFUNCTION("""COMPUTED_VALUE"""),0)</f>
        <v>0</v>
      </c>
      <c r="J166" s="7">
        <f ca="1">IFERROR(__xludf.DUMMYFUNCTION("""COMPUTED_VALUE"""),0)</f>
        <v>0</v>
      </c>
      <c r="K166" s="7" t="str">
        <f ca="1">IFERROR(__xludf.DUMMYFUNCTION("""COMPUTED_VALUE"""),"Желтова Яна Валерьевна")</f>
        <v>Желтова Яна Валерьевна</v>
      </c>
      <c r="L166" s="7" t="str">
        <f ca="1">IFERROR(__xludf.DUMMYFUNCTION("""COMPUTED_VALUE"""),"Бутасова Светлана Валерьевна")</f>
        <v>Бутасова Светлана Валерьевна</v>
      </c>
      <c r="M166" s="7" t="str">
        <f ca="1">IFERROR(__xludf.DUMMYFUNCTION("""COMPUTED_VALUE"""),"Чурсина Мария Вячеславовна")</f>
        <v>Чурсина Мария Вячеславовна</v>
      </c>
      <c r="N166" s="7"/>
      <c r="O166" s="7"/>
      <c r="P166" s="7"/>
      <c r="Q166" s="7"/>
      <c r="R166" s="7"/>
      <c r="S166" s="7"/>
      <c r="T166" s="7"/>
      <c r="U166" s="7"/>
      <c r="V166" s="10">
        <f ca="1">IFERROR(__xludf.DUMMYFUNCTION("""COMPUTED_VALUE"""),44574.4843171296)</f>
        <v>44574.484317129602</v>
      </c>
      <c r="W166" s="7" t="str">
        <f ca="1">IFERROR(__xludf.DUMMYFUNCTION("""COMPUTED_VALUE"""),"106.12")</f>
        <v>106.12</v>
      </c>
      <c r="X166" s="16" t="str">
        <f ca="1">IFERROR(__xludf.DUMMYFUNCTION("""COMPUTED_VALUE"""),"33.79")</f>
        <v>33.79</v>
      </c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>
        <f ca="1">IFERROR(__xludf.DUMMYFUNCTION("""COMPUTED_VALUE"""),34)</f>
        <v>34</v>
      </c>
    </row>
    <row r="167" spans="1:36" ht="189" x14ac:dyDescent="0.2">
      <c r="A167" s="7">
        <f ca="1">IFERROR(__xludf.DUMMYFUNCTION("""COMPUTED_VALUE"""),210)</f>
        <v>210</v>
      </c>
      <c r="B167" s="7" t="str">
        <f ca="1">IFERROR(__xludf.DUMMYFUNCTION("""COMPUTED_VALUE"""),"FR-359")</f>
        <v>FR-359</v>
      </c>
      <c r="C167" s="9" t="str">
        <f ca="1">IFERROR(__xludf.DUMMYFUNCTION("""COMPUTED_VALUE"""),"Выполнение комплекса работ по созданию экспозиций с изготовлением 
выставочных элементов")</f>
        <v>Выполнение комплекса работ по созданию экспозиций с изготовлением 
выставочных элементов</v>
      </c>
      <c r="D167" s="7" t="str">
        <f ca="1">IFERROR(__xludf.DUMMYFUNCTION("""COMPUTED_VALUE"""),"План по стандартизации")</f>
        <v>План по стандартизации</v>
      </c>
      <c r="E167" s="7">
        <f ca="1">IFERROR(__xludf.DUMMYFUNCTION("""COMPUTED_VALUE"""),2022)</f>
        <v>2022</v>
      </c>
      <c r="F167" s="7">
        <f ca="1">IFERROR(__xludf.DUMMYFUNCTION("""COMPUTED_VALUE"""),2)</f>
        <v>2</v>
      </c>
      <c r="G167" s="7" t="str">
        <f ca="1">IFERROR(__xludf.DUMMYFUNCTION("""COMPUTED_VALUE"""),"СТЗ")</f>
        <v>СТЗ</v>
      </c>
      <c r="H167" s="7" t="str">
        <f ca="1">IFERROR(__xludf.DUMMYFUNCTION("""COMPUTED_VALUE"""),"DEPiR")</f>
        <v>DEPiR</v>
      </c>
      <c r="I167" s="7">
        <f ca="1">IFERROR(__xludf.DUMMYFUNCTION("""COMPUTED_VALUE"""),3)</f>
        <v>3</v>
      </c>
      <c r="J167" s="7">
        <f ca="1">IFERROR(__xludf.DUMMYFUNCTION("""COMPUTED_VALUE"""),1)</f>
        <v>1</v>
      </c>
      <c r="K167" s="7" t="str">
        <f ca="1">IFERROR(__xludf.DUMMYFUNCTION("""COMPUTED_VALUE"""),"Бутасова Светлана Валерьевна")</f>
        <v>Бутасова Светлана Валерьевна</v>
      </c>
      <c r="L167" s="7" t="str">
        <f ca="1">IFERROR(__xludf.DUMMYFUNCTION("""COMPUTED_VALUE"""),"Бутасова Светлана Валерьевна")</f>
        <v>Бутасова Светлана Валерьевна</v>
      </c>
      <c r="M167" s="7" t="str">
        <f ca="1">IFERROR(__xludf.DUMMYFUNCTION("""COMPUTED_VALUE"""),"Чурсина Мария Вячеславовна")</f>
        <v>Чурсина Мария Вячеславовна</v>
      </c>
      <c r="N167" s="7"/>
      <c r="O167" s="7"/>
      <c r="P167" s="7"/>
      <c r="Q167" s="7"/>
      <c r="R167" s="7"/>
      <c r="S167" s="7"/>
      <c r="T167" s="7"/>
      <c r="U167" s="7" t="str">
        <f ca="1">IFERROR(__xludf.DUMMYFUNCTION("""COMPUTED_VALUE"""),"Выполнение комплекса работ по созданию экспозиций с изготовлением 
выставочных элементов")</f>
        <v>Выполнение комплекса работ по созданию экспозиций с изготовлением 
выставочных элементов</v>
      </c>
      <c r="V167" s="10">
        <f ca="1">IFERROR(__xludf.DUMMYFUNCTION("""COMPUTED_VALUE"""),44574.4851041666)</f>
        <v>44574.485104166597</v>
      </c>
      <c r="W167" s="7" t="str">
        <f ca="1">IFERROR(__xludf.DUMMYFUNCTION("""COMPUTED_VALUE"""),"85.89")</f>
        <v>85.89</v>
      </c>
      <c r="X167" s="16" t="str">
        <f ca="1">IFERROR(__xludf.DUMMYFUNCTION("""COMPUTED_VALUE"""),"4.31")</f>
        <v>4.31</v>
      </c>
      <c r="Y167" s="7" t="str">
        <f ca="1">IFERROR(__xludf.DUMMYFUNCTION("""COMPUTED_VALUE"""),"8.23")</f>
        <v>8.23</v>
      </c>
      <c r="Z167" s="7" t="str">
        <f ca="1">IFERROR(__xludf.DUMMYFUNCTION("""COMPUTED_VALUE"""),"2.13")</f>
        <v>2.13</v>
      </c>
      <c r="AA167" s="7" t="str">
        <f ca="1">IFERROR(__xludf.DUMMYFUNCTION("""COMPUTED_VALUE"""),"0.09")</f>
        <v>0.09</v>
      </c>
      <c r="AB167" s="11">
        <f ca="1">IFERROR(__xludf.DUMMYFUNCTION("""COMPUTED_VALUE"""),44680)</f>
        <v>44680</v>
      </c>
      <c r="AC167" s="7" t="str">
        <f ca="1">IFERROR(__xludf.DUMMYFUNCTION("""COMPUTED_VALUE"""),"9.85")</f>
        <v>9.85</v>
      </c>
      <c r="AD167" s="7"/>
      <c r="AE167" s="7"/>
      <c r="AF167" s="7"/>
      <c r="AG167" s="7"/>
      <c r="AH167" s="7"/>
      <c r="AI167" s="7"/>
      <c r="AJ167" s="7">
        <f ca="1">IFERROR(__xludf.DUMMYFUNCTION("""COMPUTED_VALUE"""),54)</f>
        <v>54</v>
      </c>
    </row>
    <row r="168" spans="1:36" ht="63" x14ac:dyDescent="0.2">
      <c r="A168" s="7">
        <f ca="1">IFERROR(__xludf.DUMMYFUNCTION("""COMPUTED_VALUE"""),211)</f>
        <v>211</v>
      </c>
      <c r="B168" s="7" t="str">
        <f ca="1">IFERROR(__xludf.DUMMYFUNCTION("""COMPUTED_VALUE"""),"FR-360")</f>
        <v>FR-360</v>
      </c>
      <c r="C168" s="9" t="str">
        <f ca="1">IFERROR(__xludf.DUMMYFUNCTION("""COMPUTED_VALUE"""),"Выполнение работ по капитальному ремонту мостов и тоннелей")</f>
        <v>Выполнение работ по капитальному ремонту мостов и тоннелей</v>
      </c>
      <c r="D168" s="7" t="str">
        <f ca="1">IFERROR(__xludf.DUMMYFUNCTION("""COMPUTED_VALUE"""),"План по стандартизации")</f>
        <v>План по стандартизации</v>
      </c>
      <c r="E168" s="7">
        <f ca="1">IFERROR(__xludf.DUMMYFUNCTION("""COMPUTED_VALUE"""),2022)</f>
        <v>2022</v>
      </c>
      <c r="F168" s="7">
        <f ca="1">IFERROR(__xludf.DUMMYFUNCTION("""COMPUTED_VALUE"""),4)</f>
        <v>4</v>
      </c>
      <c r="G168" s="7" t="str">
        <f ca="1">IFERROR(__xludf.DUMMYFUNCTION("""COMPUTED_VALUE"""),"ТТЗ")</f>
        <v>ТТЗ</v>
      </c>
      <c r="H168" s="7" t="str">
        <f ca="1">IFERROR(__xludf.DUMMYFUNCTION("""COMPUTED_VALUE"""),"Planned")</f>
        <v>Planned</v>
      </c>
      <c r="I168" s="7">
        <f ca="1">IFERROR(__xludf.DUMMYFUNCTION("""COMPUTED_VALUE"""),0)</f>
        <v>0</v>
      </c>
      <c r="J168" s="7">
        <f ca="1">IFERROR(__xludf.DUMMYFUNCTION("""COMPUTED_VALUE"""),0)</f>
        <v>0</v>
      </c>
      <c r="K168" s="7" t="str">
        <f ca="1">IFERROR(__xludf.DUMMYFUNCTION("""COMPUTED_VALUE"""),"Спицына Наталья Владимировна")</f>
        <v>Спицына Наталья Владимировна</v>
      </c>
      <c r="L168" s="7" t="str">
        <f ca="1">IFERROR(__xludf.DUMMYFUNCTION("""COMPUTED_VALUE"""),"Бутасова Светлана Валерьевна")</f>
        <v>Бутасова Светлана Валерьевна</v>
      </c>
      <c r="M168" s="7" t="str">
        <f ca="1">IFERROR(__xludf.DUMMYFUNCTION("""COMPUTED_VALUE"""),"Чурсина Мария Вячеславовна")</f>
        <v>Чурсина Мария Вячеславовна</v>
      </c>
      <c r="N168" s="7"/>
      <c r="O168" s="7"/>
      <c r="P168" s="7"/>
      <c r="Q168" s="7"/>
      <c r="R168" s="7"/>
      <c r="S168" s="7"/>
      <c r="T168" s="7"/>
      <c r="U168" s="7"/>
      <c r="V168" s="10">
        <f ca="1">IFERROR(__xludf.DUMMYFUNCTION("""COMPUTED_VALUE"""),44574.4861805555)</f>
        <v>44574.486180555497</v>
      </c>
      <c r="W168" s="7"/>
      <c r="X168" s="16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>
        <f ca="1">IFERROR(__xludf.DUMMYFUNCTION("""COMPUTED_VALUE"""),0)</f>
        <v>0</v>
      </c>
    </row>
    <row r="169" spans="1:36" ht="126" x14ac:dyDescent="0.2">
      <c r="A169" s="7">
        <f ca="1">IFERROR(__xludf.DUMMYFUNCTION("""COMPUTED_VALUE"""),212)</f>
        <v>212</v>
      </c>
      <c r="B169" s="7" t="str">
        <f ca="1">IFERROR(__xludf.DUMMYFUNCTION("""COMPUTED_VALUE"""),"FR-361")</f>
        <v>FR-361</v>
      </c>
      <c r="C169" s="9" t="str">
        <f ca="1">IFERROR(__xludf.DUMMYFUNCTION("""COMPUTED_VALUE"""),"Поставка штор медицинских для зонирования помещений")</f>
        <v>Поставка штор медицинских для зонирования помещений</v>
      </c>
      <c r="D169" s="7" t="str">
        <f ca="1">IFERROR(__xludf.DUMMYFUNCTION("""COMPUTED_VALUE"""),"План по стандартизации")</f>
        <v>План по стандартизации</v>
      </c>
      <c r="E169" s="7">
        <f ca="1">IFERROR(__xludf.DUMMYFUNCTION("""COMPUTED_VALUE"""),2022)</f>
        <v>2022</v>
      </c>
      <c r="F169" s="7">
        <f ca="1">IFERROR(__xludf.DUMMYFUNCTION("""COMPUTED_VALUE"""),2)</f>
        <v>2</v>
      </c>
      <c r="G169" s="7" t="str">
        <f ca="1">IFERROR(__xludf.DUMMYFUNCTION("""COMPUTED_VALUE"""),"ТТЗ")</f>
        <v>ТТЗ</v>
      </c>
      <c r="H169" s="7" t="str">
        <f ca="1">IFERROR(__xludf.DUMMYFUNCTION("""COMPUTED_VALUE"""),"Подготовка к РГ")</f>
        <v>Подготовка к РГ</v>
      </c>
      <c r="I169" s="7">
        <f ca="1">IFERROR(__xludf.DUMMYFUNCTION("""COMPUTED_VALUE"""),2)</f>
        <v>2</v>
      </c>
      <c r="J169" s="7">
        <f ca="1">IFERROR(__xludf.DUMMYFUNCTION("""COMPUTED_VALUE"""),0)</f>
        <v>0</v>
      </c>
      <c r="K169" s="7" t="str">
        <f ca="1">IFERROR(__xludf.DUMMYFUNCTION("""COMPUTED_VALUE"""),"Спицына Наталья Владимировна")</f>
        <v>Спицына Наталья Владимировна</v>
      </c>
      <c r="L169" s="7" t="str">
        <f ca="1">IFERROR(__xludf.DUMMYFUNCTION("""COMPUTED_VALUE"""),"Бутасова Светлана Валерьевна")</f>
        <v>Бутасова Светлана Валерьевна</v>
      </c>
      <c r="M169" s="7" t="str">
        <f ca="1">IFERROR(__xludf.DUMMYFUNCTION("""COMPUTED_VALUE"""),"Чурсина Мария Вячеславовна")</f>
        <v>Чурсина Мария Вячеславовна</v>
      </c>
      <c r="N169" s="7"/>
      <c r="O169" s="7"/>
      <c r="P169" s="7"/>
      <c r="Q169" s="7"/>
      <c r="R169" s="7"/>
      <c r="S169" s="7"/>
      <c r="T169" s="7"/>
      <c r="U169" s="7" t="str">
        <f ca="1">IFERROR(__xludf.DUMMYFUNCTION("""COMPUTED_VALUE"""),"Поставка штор медицинских для зонирования помещений")</f>
        <v>Поставка штор медицинских для зонирования помещений</v>
      </c>
      <c r="V169" s="10">
        <f ca="1">IFERROR(__xludf.DUMMYFUNCTION("""COMPUTED_VALUE"""),44574.5699189814)</f>
        <v>44574.569918981397</v>
      </c>
      <c r="W169" s="7" t="str">
        <f ca="1">IFERROR(__xludf.DUMMYFUNCTION("""COMPUTED_VALUE"""),"14.91")</f>
        <v>14.91</v>
      </c>
      <c r="X169" s="16" t="str">
        <f ca="1">IFERROR(__xludf.DUMMYFUNCTION("""COMPUTED_VALUE"""),"87.05")</f>
        <v>87.05</v>
      </c>
      <c r="Y169" s="7"/>
      <c r="Z169" s="11">
        <f ca="1">IFERROR(__xludf.DUMMYFUNCTION("""COMPUTED_VALUE"""),44596)</f>
        <v>44596</v>
      </c>
      <c r="AA169" s="7" t="str">
        <f ca="1">IFERROR(__xludf.DUMMYFUNCTION("""COMPUTED_VALUE"""),"0.07")</f>
        <v>0.07</v>
      </c>
      <c r="AB169" s="7" t="str">
        <f ca="1">IFERROR(__xludf.DUMMYFUNCTION("""COMPUTED_VALUE"""),"10.92")</f>
        <v>10.92</v>
      </c>
      <c r="AC169" s="7" t="str">
        <f ca="1">IFERROR(__xludf.DUMMYFUNCTION("""COMPUTED_VALUE"""),"9.63")</f>
        <v>9.63</v>
      </c>
      <c r="AD169" s="8">
        <f ca="1">IFERROR(__xludf.DUMMYFUNCTION("""COMPUTED_VALUE"""),44664)</f>
        <v>44664</v>
      </c>
      <c r="AE169" s="7"/>
      <c r="AF169" s="7"/>
      <c r="AG169" s="7"/>
      <c r="AH169" s="7"/>
      <c r="AI169" s="7"/>
      <c r="AJ169" s="7">
        <f ca="1">IFERROR(__xludf.DUMMYFUNCTION("""COMPUTED_VALUE"""),125)</f>
        <v>125</v>
      </c>
    </row>
    <row r="170" spans="1:36" ht="110.25" x14ac:dyDescent="0.2">
      <c r="A170" s="7">
        <f ca="1">IFERROR(__xludf.DUMMYFUNCTION("""COMPUTED_VALUE"""),213)</f>
        <v>213</v>
      </c>
      <c r="B170" s="7" t="str">
        <f ca="1">IFERROR(__xludf.DUMMYFUNCTION("""COMPUTED_VALUE"""),"FR-362")</f>
        <v>FR-362</v>
      </c>
      <c r="C170" s="9" t="str">
        <f ca="1">IFERROR(__xludf.DUMMYFUNCTION("""COMPUTED_VALUE"""),"Оказание услуг по предоставлению простых (неисключительных) лицензий на 
использование электронных форм учебных пособий (ЭФУП) в виде пакетов")</f>
        <v>Оказание услуг по предоставлению простых (неисключительных) лицензий на 
использование электронных форм учебных пособий (ЭФУП) в виде пакетов</v>
      </c>
      <c r="D170" s="7"/>
      <c r="E170" s="7"/>
      <c r="F170" s="7"/>
      <c r="G170" s="7" t="str">
        <f ca="1">IFERROR(__xludf.DUMMYFUNCTION("""COMPUTED_VALUE"""),"ТТЗ")</f>
        <v>ТТЗ</v>
      </c>
      <c r="H170" s="7" t="str">
        <f ca="1">IFERROR(__xludf.DUMMYFUNCTION("""COMPUTED_VALUE"""),"Planned")</f>
        <v>Planned</v>
      </c>
      <c r="I170" s="7">
        <f ca="1">IFERROR(__xludf.DUMMYFUNCTION("""COMPUTED_VALUE"""),0)</f>
        <v>0</v>
      </c>
      <c r="J170" s="7">
        <f ca="1">IFERROR(__xludf.DUMMYFUNCTION("""COMPUTED_VALUE"""),0)</f>
        <v>0</v>
      </c>
      <c r="K170" s="7" t="str">
        <f ca="1">IFERROR(__xludf.DUMMYFUNCTION("""COMPUTED_VALUE"""),"Воробьев Вадим Владимирович")</f>
        <v>Воробьев Вадим Владимирович</v>
      </c>
      <c r="L170" s="7" t="str">
        <f ca="1">IFERROR(__xludf.DUMMYFUNCTION("""COMPUTED_VALUE"""),"Уфаркина Наталья Геннадьевна")</f>
        <v>Уфаркина Наталья Геннадьевна</v>
      </c>
      <c r="M170" s="7" t="str">
        <f ca="1">IFERROR(__xludf.DUMMYFUNCTION("""COMPUTED_VALUE"""),"Гудиев Зелимхан Куйраевич")</f>
        <v>Гудиев Зелимхан Куйраевич</v>
      </c>
      <c r="N170" s="7"/>
      <c r="O170" s="7"/>
      <c r="P170" s="7"/>
      <c r="Q170" s="7"/>
      <c r="R170" s="7"/>
      <c r="S170" s="7"/>
      <c r="T170" s="7"/>
      <c r="U170" s="7"/>
      <c r="V170" s="10">
        <f ca="1">IFERROR(__xludf.DUMMYFUNCTION("""COMPUTED_VALUE"""),44601.6795138888)</f>
        <v>44601.679513888797</v>
      </c>
      <c r="W170" s="7"/>
      <c r="X170" s="16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>
        <f ca="1">IFERROR(__xludf.DUMMYFUNCTION("""COMPUTED_VALUE"""),0)</f>
        <v>0</v>
      </c>
    </row>
    <row r="171" spans="1:36" ht="409.5" x14ac:dyDescent="0.2">
      <c r="A171" s="7">
        <f ca="1">IFERROR(__xludf.DUMMYFUNCTION("""COMPUTED_VALUE"""),214)</f>
        <v>214</v>
      </c>
      <c r="B171" s="7" t="str">
        <f ca="1">IFERROR(__xludf.DUMMYFUNCTION("""COMPUTED_VALUE"""),"FR-363")</f>
        <v>FR-363</v>
      </c>
      <c r="C171" s="9" t="str">
        <f ca="1">IFERROR(__xludf.DUMMYFUNCTION("""COMPUTED_VALUE"""),"Оказание услуг по документационному сопровождению сводного перечня 
городских строительных программ с формированием баз данных и подготовкой 
материалов для официальных публикаций, информационно-аналитическому 
сопровождению взаимодействия со средствами м"&amp;"ассовой информации")</f>
        <v>Оказание услуг по документационному сопровождению сводного перечня 
городских строительных программ с формированием баз данных и подготовкой 
материалов для официальных публикаций, информационно-аналитическому 
сопровождению взаимодействия со средствами массовой информации</v>
      </c>
      <c r="D171" s="7" t="str">
        <f ca="1">IFERROR(__xludf.DUMMYFUNCTION("""COMPUTED_VALUE"""),"План по стандартизации")</f>
        <v>План по стандартизации</v>
      </c>
      <c r="E171" s="7">
        <f ca="1">IFERROR(__xludf.DUMMYFUNCTION("""COMPUTED_VALUE"""),2022)</f>
        <v>2022</v>
      </c>
      <c r="F171" s="7">
        <f ca="1">IFERROR(__xludf.DUMMYFUNCTION("""COMPUTED_VALUE"""),4)</f>
        <v>4</v>
      </c>
      <c r="G171" s="7" t="str">
        <f ca="1">IFERROR(__xludf.DUMMYFUNCTION("""COMPUTED_VALUE"""),"ТТЗ")</f>
        <v>ТТЗ</v>
      </c>
      <c r="H171" s="7" t="str">
        <f ca="1">IFERROR(__xludf.DUMMYFUNCTION("""COMPUTED_VALUE"""),"Planned")</f>
        <v>Planned</v>
      </c>
      <c r="I171" s="7">
        <f ca="1">IFERROR(__xludf.DUMMYFUNCTION("""COMPUTED_VALUE"""),0)</f>
        <v>0</v>
      </c>
      <c r="J171" s="7">
        <f ca="1">IFERROR(__xludf.DUMMYFUNCTION("""COMPUTED_VALUE"""),0)</f>
        <v>0</v>
      </c>
      <c r="K171" s="7" t="str">
        <f ca="1">IFERROR(__xludf.DUMMYFUNCTION("""COMPUTED_VALUE"""),"Минин Александр Валерьевич")</f>
        <v>Минин Александр Валерьевич</v>
      </c>
      <c r="L171" s="7" t="str">
        <f ca="1">IFERROR(__xludf.DUMMYFUNCTION("""COMPUTED_VALUE"""),"Минин Александр Валерьевич")</f>
        <v>Минин Александр Валерьевич</v>
      </c>
      <c r="M171" s="7" t="str">
        <f ca="1">IFERROR(__xludf.DUMMYFUNCTION("""COMPUTED_VALUE"""),"Чурсина Мария Вячеславовна")</f>
        <v>Чурсина Мария Вячеславовна</v>
      </c>
      <c r="N171" s="7"/>
      <c r="O171" s="7"/>
      <c r="P171" s="7"/>
      <c r="Q171" s="7"/>
      <c r="R171" s="7"/>
      <c r="S171" s="7"/>
      <c r="T171" s="7"/>
      <c r="U171" s="7" t="str">
        <f ca="1">IFERROR(__xludf.DUMMYFUNCTION("""COMPUTED_VALUE"""),"Оказание услуг по документационному сопровождению сводного перечня 
городских строительных программ с формированием баз данных и подготовкой 
материалов для официальных публикаций, информационно-аналитическому 
сопровождению взаимодействия со средствами м"&amp;"ассовой информации")</f>
        <v>Оказание услуг по документационному сопровождению сводного перечня 
городских строительных программ с формированием баз данных и подготовкой 
материалов для официальных публикаций, информационно-аналитическому 
сопровождению взаимодействия со средствами массовой информации</v>
      </c>
      <c r="V171" s="10">
        <f ca="1">IFERROR(__xludf.DUMMYFUNCTION("""COMPUTED_VALUE"""),44601.7459027777)</f>
        <v>44601.7459027777</v>
      </c>
      <c r="W171" s="7"/>
      <c r="X171" s="16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>
        <f ca="1">IFERROR(__xludf.DUMMYFUNCTION("""COMPUTED_VALUE"""),0)</f>
        <v>0</v>
      </c>
    </row>
    <row r="172" spans="1:36" ht="299.25" x14ac:dyDescent="0.2">
      <c r="A172" s="7">
        <f ca="1">IFERROR(__xludf.DUMMYFUNCTION("""COMPUTED_VALUE"""),215)</f>
        <v>215</v>
      </c>
      <c r="B172" s="7" t="str">
        <f ca="1">IFERROR(__xludf.DUMMYFUNCTION("""COMPUTED_VALUE"""),"FR-364")</f>
        <v>FR-364</v>
      </c>
      <c r="C172" s="9" t="str">
        <f ca="1">IFERROR(__xludf.DUMMYFUNCTION("""COMPUTED_VALUE"""),"Оказание услуг по проведению строительного контроля при выполнении 
строительно-монтажных работ на объектах капитального строительства")</f>
        <v>Оказание услуг по проведению строительного контроля при выполнении 
строительно-монтажных работ на объектах капитального строительства</v>
      </c>
      <c r="D172" s="7" t="str">
        <f ca="1">IFERROR(__xludf.DUMMYFUNCTION("""COMPUTED_VALUE"""),"План по стандартизации")</f>
        <v>План по стандартизации</v>
      </c>
      <c r="E172" s="7">
        <f ca="1">IFERROR(__xludf.DUMMYFUNCTION("""COMPUTED_VALUE"""),2022)</f>
        <v>2022</v>
      </c>
      <c r="F172" s="7">
        <f ca="1">IFERROR(__xludf.DUMMYFUNCTION("""COMPUTED_VALUE"""),2)</f>
        <v>2</v>
      </c>
      <c r="G172" s="7" t="str">
        <f ca="1">IFERROR(__xludf.DUMMYFUNCTION("""COMPUTED_VALUE"""),"ТТЗ")</f>
        <v>ТТЗ</v>
      </c>
      <c r="H172" s="7" t="str">
        <f ca="1">IFERROR(__xludf.DUMMYFUNCTION("""COMPUTED_VALUE"""),"На согл. в ОИВ")</f>
        <v>На согл. в ОИВ</v>
      </c>
      <c r="I172" s="7">
        <f ca="1">IFERROR(__xludf.DUMMYFUNCTION("""COMPUTED_VALUE"""),1)</f>
        <v>1</v>
      </c>
      <c r="J172" s="7">
        <f ca="1">IFERROR(__xludf.DUMMYFUNCTION("""COMPUTED_VALUE"""),1)</f>
        <v>1</v>
      </c>
      <c r="K172" s="7" t="str">
        <f ca="1">IFERROR(__xludf.DUMMYFUNCTION("""COMPUTED_VALUE"""),"Морунов Олег Александрович")</f>
        <v>Морунов Олег Александрович</v>
      </c>
      <c r="L172" s="7" t="str">
        <f ca="1">IFERROR(__xludf.DUMMYFUNCTION("""COMPUTED_VALUE"""),"Осипенкова Елена Владимировна")</f>
        <v>Осипенкова Елена Владимировна</v>
      </c>
      <c r="M172" s="7" t="str">
        <f ca="1">IFERROR(__xludf.DUMMYFUNCTION("""COMPUTED_VALUE"""),"Чурсина Мария Вячеславовна")</f>
        <v>Чурсина Мария Вячеславовна</v>
      </c>
      <c r="N172" s="7"/>
      <c r="O172" s="7" t="str">
        <f ca="1">IFERROR(__xludf.DUMMYFUNCTION("""COMPUTED_VALUE"""),"Типовой")</f>
        <v>Типовой</v>
      </c>
      <c r="P172" s="7"/>
      <c r="Q172" s="7"/>
      <c r="R172" s="7"/>
      <c r="S172" s="7"/>
      <c r="T172" s="7"/>
      <c r="U172" s="7" t="str">
        <f ca="1">IFERROR(__xludf.DUMMYFUNCTION("""COMPUTED_VALUE"""),"Оказание услуг по проведению строительного контроля при выполнении 
строительно-монтажных работ на объектах капитального строительства")</f>
        <v>Оказание услуг по проведению строительного контроля при выполнении 
строительно-монтажных работ на объектах капитального строительства</v>
      </c>
      <c r="V172" s="10">
        <f ca="1">IFERROR(__xludf.DUMMYFUNCTION("""COMPUTED_VALUE"""),44642.5053819444)</f>
        <v>44642.5053819444</v>
      </c>
      <c r="W172" s="8">
        <f ca="1">IFERROR(__xludf.DUMMYFUNCTION("""COMPUTED_VALUE"""),44732)</f>
        <v>44732</v>
      </c>
      <c r="X172" s="16" t="str">
        <f ca="1">IFERROR(__xludf.DUMMYFUNCTION("""COMPUTED_VALUE"""),"22.18")</f>
        <v>22.18</v>
      </c>
      <c r="Y172" s="7" t="str">
        <f ca="1">IFERROR(__xludf.DUMMYFUNCTION("""COMPUTED_VALUE"""),"4.92")</f>
        <v>4.92</v>
      </c>
      <c r="Z172" s="7" t="str">
        <f ca="1">IFERROR(__xludf.DUMMYFUNCTION("""COMPUTED_VALUE"""),"12.26")</f>
        <v>12.26</v>
      </c>
      <c r="AA172" s="7" t="str">
        <f ca="1">IFERROR(__xludf.DUMMYFUNCTION("""COMPUTED_VALUE"""),"0.23")</f>
        <v>0.23</v>
      </c>
      <c r="AB172" s="7" t="str">
        <f ca="1">IFERROR(__xludf.DUMMYFUNCTION("""COMPUTED_VALUE"""),"17.89")</f>
        <v>17.89</v>
      </c>
      <c r="AC172" s="7" t="str">
        <f ca="1">IFERROR(__xludf.DUMMYFUNCTION("""COMPUTED_VALUE"""),"16.33")</f>
        <v>16.33</v>
      </c>
      <c r="AD172" s="7"/>
      <c r="AE172" s="7"/>
      <c r="AF172" s="7"/>
      <c r="AG172" s="7"/>
      <c r="AH172" s="7"/>
      <c r="AI172" s="7"/>
      <c r="AJ172" s="7">
        <f ca="1">IFERROR(__xludf.DUMMYFUNCTION("""COMPUTED_VALUE"""),74)</f>
        <v>74</v>
      </c>
    </row>
    <row r="173" spans="1:36" ht="283.5" x14ac:dyDescent="0.2">
      <c r="A173" s="7">
        <f ca="1">IFERROR(__xludf.DUMMYFUNCTION("""COMPUTED_VALUE"""),216)</f>
        <v>216</v>
      </c>
      <c r="B173" s="7" t="str">
        <f ca="1">IFERROR(__xludf.DUMMYFUNCTION("""COMPUTED_VALUE"""),"FR-365")</f>
        <v>FR-365</v>
      </c>
      <c r="C173" s="9" t="str">
        <f ca="1">IFERROR(__xludf.DUMMYFUNCTION("""COMPUTED_VALUE"""),"Оказание услуг по страхованию строительно-монтажных рисков и гражданской 
ответственности при проведении строительно-монтажных работ")</f>
        <v>Оказание услуг по страхованию строительно-монтажных рисков и гражданской 
ответственности при проведении строительно-монтажных работ</v>
      </c>
      <c r="D173" s="7" t="str">
        <f ca="1">IFERROR(__xludf.DUMMYFUNCTION("""COMPUTED_VALUE"""),"План по стандартизации")</f>
        <v>План по стандартизации</v>
      </c>
      <c r="E173" s="7">
        <f ca="1">IFERROR(__xludf.DUMMYFUNCTION("""COMPUTED_VALUE"""),2022)</f>
        <v>2022</v>
      </c>
      <c r="F173" s="7">
        <f ca="1">IFERROR(__xludf.DUMMYFUNCTION("""COMPUTED_VALUE"""),2)</f>
        <v>2</v>
      </c>
      <c r="G173" s="7" t="str">
        <f ca="1">IFERROR(__xludf.DUMMYFUNCTION("""COMPUTED_VALUE"""),"ТТЗ")</f>
        <v>ТТЗ</v>
      </c>
      <c r="H173" s="7" t="str">
        <f ca="1">IFERROR(__xludf.DUMMYFUNCTION("""COMPUTED_VALUE"""),"Revision OIV")</f>
        <v>Revision OIV</v>
      </c>
      <c r="I173" s="7">
        <f ca="1">IFERROR(__xludf.DUMMYFUNCTION("""COMPUTED_VALUE"""),5)</f>
        <v>5</v>
      </c>
      <c r="J173" s="7">
        <f ca="1">IFERROR(__xludf.DUMMYFUNCTION("""COMPUTED_VALUE"""),1)</f>
        <v>1</v>
      </c>
      <c r="K173" s="7" t="str">
        <f ca="1">IFERROR(__xludf.DUMMYFUNCTION("""COMPUTED_VALUE"""),"Степанян Марк Маратович / Лисова Анна Сергеевна")</f>
        <v>Степанян Марк Маратович / Лисова Анна Сергеевна</v>
      </c>
      <c r="L173" s="7" t="str">
        <f ca="1">IFERROR(__xludf.DUMMYFUNCTION("""COMPUTED_VALUE"""),"Осипенкова Елена Владимировна")</f>
        <v>Осипенкова Елена Владимировна</v>
      </c>
      <c r="M173" s="7" t="str">
        <f ca="1">IFERROR(__xludf.DUMMYFUNCTION("""COMPUTED_VALUE"""),"Чурсина Мария Вячеславовна")</f>
        <v>Чурсина Мария Вячеславовна</v>
      </c>
      <c r="N173" s="7"/>
      <c r="O173" s="7"/>
      <c r="P173" s="7"/>
      <c r="Q173" s="7"/>
      <c r="R173" s="7"/>
      <c r="S173" s="7"/>
      <c r="T173" s="7"/>
      <c r="U173" s="7" t="str">
        <f ca="1">IFERROR(__xludf.DUMMYFUNCTION("""COMPUTED_VALUE"""),"Оказание услуг по страхованию строительно-монтажных рисков и гражданской 
ответственности при проведении строительно-монтажных работ")</f>
        <v>Оказание услуг по страхованию строительно-монтажных рисков и гражданской 
ответственности при проведении строительно-монтажных работ</v>
      </c>
      <c r="V173" s="10">
        <f ca="1">IFERROR(__xludf.DUMMYFUNCTION("""COMPUTED_VALUE"""),44642.5059375)</f>
        <v>44642.505937499998</v>
      </c>
      <c r="W173" s="7" t="str">
        <f ca="1">IFERROR(__xludf.DUMMYFUNCTION("""COMPUTED_VALUE"""),"34.3")</f>
        <v>34.3</v>
      </c>
      <c r="X173" s="16" t="str">
        <f ca="1">IFERROR(__xludf.DUMMYFUNCTION("""COMPUTED_VALUE"""),"15.83")</f>
        <v>15.83</v>
      </c>
      <c r="Y173" s="7" t="str">
        <f ca="1">IFERROR(__xludf.DUMMYFUNCTION("""COMPUTED_VALUE"""),"0.72")</f>
        <v>0.72</v>
      </c>
      <c r="Z173" s="7" t="str">
        <f ca="1">IFERROR(__xludf.DUMMYFUNCTION("""COMPUTED_VALUE"""),"5.31")</f>
        <v>5.31</v>
      </c>
      <c r="AA173" s="7" t="str">
        <f ca="1">IFERROR(__xludf.DUMMYFUNCTION("""COMPUTED_VALUE"""),"0.31")</f>
        <v>0.31</v>
      </c>
      <c r="AB173" s="7" t="str">
        <f ca="1">IFERROR(__xludf.DUMMYFUNCTION("""COMPUTED_VALUE"""),"20.23")</f>
        <v>20.23</v>
      </c>
      <c r="AC173" s="7" t="str">
        <f ca="1">IFERROR(__xludf.DUMMYFUNCTION("""COMPUTED_VALUE"""),"17.19")</f>
        <v>17.19</v>
      </c>
      <c r="AD173" s="7"/>
      <c r="AE173" s="7"/>
      <c r="AF173" s="7"/>
      <c r="AG173" s="7"/>
      <c r="AH173" s="7"/>
      <c r="AI173" s="7"/>
      <c r="AJ173" s="7">
        <f ca="1">IFERROR(__xludf.DUMMYFUNCTION("""COMPUTED_VALUE"""),60)</f>
        <v>60</v>
      </c>
    </row>
    <row r="174" spans="1:36" ht="157.5" x14ac:dyDescent="0.2">
      <c r="A174" s="7">
        <f ca="1">IFERROR(__xludf.DUMMYFUNCTION("""COMPUTED_VALUE"""),217)</f>
        <v>217</v>
      </c>
      <c r="B174" s="7" t="str">
        <f ca="1">IFERROR(__xludf.DUMMYFUNCTION("""COMPUTED_VALUE"""),"FR-366")</f>
        <v>FR-366</v>
      </c>
      <c r="C174" s="9" t="str">
        <f ca="1">IFERROR(__xludf.DUMMYFUNCTION("""COMPUTED_VALUE"""),"Оказание услуг по формированию и передаче видеоизображений от систем 
видеонаблюдения")</f>
        <v>Оказание услуг по формированию и передаче видеоизображений от систем 
видеонаблюдения</v>
      </c>
      <c r="D174" s="7" t="str">
        <f ca="1">IFERROR(__xludf.DUMMYFUNCTION("""COMPUTED_VALUE"""),"План по стандартизации")</f>
        <v>План по стандартизации</v>
      </c>
      <c r="E174" s="7">
        <f ca="1">IFERROR(__xludf.DUMMYFUNCTION("""COMPUTED_VALUE"""),2022)</f>
        <v>2022</v>
      </c>
      <c r="F174" s="7">
        <f ca="1">IFERROR(__xludf.DUMMYFUNCTION("""COMPUTED_VALUE"""),2)</f>
        <v>2</v>
      </c>
      <c r="G174" s="7" t="str">
        <f ca="1">IFERROR(__xludf.DUMMYFUNCTION("""COMPUTED_VALUE"""),"ТТЗ")</f>
        <v>ТТЗ</v>
      </c>
      <c r="H174" s="7" t="str">
        <f ca="1">IFERROR(__xludf.DUMMYFUNCTION("""COMPUTED_VALUE"""),"Revision OIV")</f>
        <v>Revision OIV</v>
      </c>
      <c r="I174" s="7">
        <f ca="1">IFERROR(__xludf.DUMMYFUNCTION("""COMPUTED_VALUE"""),1)</f>
        <v>1</v>
      </c>
      <c r="J174" s="7">
        <f ca="1">IFERROR(__xludf.DUMMYFUNCTION("""COMPUTED_VALUE"""),1)</f>
        <v>1</v>
      </c>
      <c r="K174" s="7" t="str">
        <f ca="1">IFERROR(__xludf.DUMMYFUNCTION("""COMPUTED_VALUE"""),"Коровина Анна Анатольевна")</f>
        <v>Коровина Анна Анатольевна</v>
      </c>
      <c r="L174" s="7" t="str">
        <f ca="1">IFERROR(__xludf.DUMMYFUNCTION("""COMPUTED_VALUE"""),"Осипенкова Елена Владимировна")</f>
        <v>Осипенкова Елена Владимировна</v>
      </c>
      <c r="M174" s="7" t="str">
        <f ca="1">IFERROR(__xludf.DUMMYFUNCTION("""COMPUTED_VALUE"""),"Чурсина Мария Вячеславовна")</f>
        <v>Чурсина Мария Вячеславовна</v>
      </c>
      <c r="N174" s="7"/>
      <c r="O174" s="7" t="str">
        <f ca="1">IFERROR(__xludf.DUMMYFUNCTION("""COMPUTED_VALUE"""),"Типовой")</f>
        <v>Типовой</v>
      </c>
      <c r="P174" s="7"/>
      <c r="Q174" s="7"/>
      <c r="R174" s="7"/>
      <c r="S174" s="7"/>
      <c r="T174" s="7"/>
      <c r="U174" s="7" t="str">
        <f ca="1">IFERROR(__xludf.DUMMYFUNCTION("""COMPUTED_VALUE"""),"Оказание услуг по формированию и передаче видеоизображений от систем 
видеонаблюдения")</f>
        <v>Оказание услуг по формированию и передаче видеоизображений от систем 
видеонаблюдения</v>
      </c>
      <c r="V174" s="10">
        <f ca="1">IFERROR(__xludf.DUMMYFUNCTION("""COMPUTED_VALUE"""),44642.6936574074)</f>
        <v>44642.693657407399</v>
      </c>
      <c r="W174" s="7" t="str">
        <f ca="1">IFERROR(__xludf.DUMMYFUNCTION("""COMPUTED_VALUE"""),"20.69")</f>
        <v>20.69</v>
      </c>
      <c r="X174" s="16" t="str">
        <f ca="1">IFERROR(__xludf.DUMMYFUNCTION("""COMPUTED_VALUE"""),"13.41")</f>
        <v>13.41</v>
      </c>
      <c r="Y174" s="11">
        <f ca="1">IFERROR(__xludf.DUMMYFUNCTION("""COMPUTED_VALUE"""),44813)</f>
        <v>44813</v>
      </c>
      <c r="Z174" s="7" t="str">
        <f ca="1">IFERROR(__xludf.DUMMYFUNCTION("""COMPUTED_VALUE"""),"0.26")</f>
        <v>0.26</v>
      </c>
      <c r="AA174" s="7">
        <f ca="1">IFERROR(__xludf.DUMMYFUNCTION("""COMPUTED_VALUE"""),0)</f>
        <v>0</v>
      </c>
      <c r="AB174" s="7" t="str">
        <f ca="1">IFERROR(__xludf.DUMMYFUNCTION("""COMPUTED_VALUE"""),"32.74")</f>
        <v>32.74</v>
      </c>
      <c r="AC174" s="7" t="str">
        <f ca="1">IFERROR(__xludf.DUMMYFUNCTION("""COMPUTED_VALUE"""),"16.69")</f>
        <v>16.69</v>
      </c>
      <c r="AD174" s="7"/>
      <c r="AE174" s="7"/>
      <c r="AF174" s="7"/>
      <c r="AG174" s="7"/>
      <c r="AH174" s="7"/>
      <c r="AI174" s="7"/>
      <c r="AJ174" s="7">
        <f ca="1">IFERROR(__xludf.DUMMYFUNCTION("""COMPUTED_VALUE"""),73)</f>
        <v>73</v>
      </c>
    </row>
    <row r="175" spans="1:36" ht="204.75" x14ac:dyDescent="0.2">
      <c r="A175" s="7">
        <f ca="1">IFERROR(__xludf.DUMMYFUNCTION("""COMPUTED_VALUE"""),218)</f>
        <v>218</v>
      </c>
      <c r="B175" s="7" t="str">
        <f ca="1">IFERROR(__xludf.DUMMYFUNCTION("""COMPUTED_VALUE"""),"FR-367")</f>
        <v>FR-367</v>
      </c>
      <c r="C175" s="9" t="str">
        <f ca="1">IFERROR(__xludf.DUMMYFUNCTION("""COMPUTED_VALUE"""),"Оказание услуг по обслуживанию и ремонту контрольно-кассовой техники, в том 
числе автоматов продажи билетов")</f>
        <v>Оказание услуг по обслуживанию и ремонту контрольно-кассовой техники, в том 
числе автоматов продажи билетов</v>
      </c>
      <c r="D175" s="7" t="str">
        <f ca="1">IFERROR(__xludf.DUMMYFUNCTION("""COMPUTED_VALUE"""),"План по стандартизации")</f>
        <v>План по стандартизации</v>
      </c>
      <c r="E175" s="7">
        <f ca="1">IFERROR(__xludf.DUMMYFUNCTION("""COMPUTED_VALUE"""),2022)</f>
        <v>2022</v>
      </c>
      <c r="F175" s="7">
        <f ca="1">IFERROR(__xludf.DUMMYFUNCTION("""COMPUTED_VALUE"""),3)</f>
        <v>3</v>
      </c>
      <c r="G175" s="7" t="str">
        <f ca="1">IFERROR(__xludf.DUMMYFUNCTION("""COMPUTED_VALUE"""),"ТТЗ")</f>
        <v>ТТЗ</v>
      </c>
      <c r="H175" s="7" t="str">
        <f ca="1">IFERROR(__xludf.DUMMYFUNCTION("""COMPUTED_VALUE"""),"Develop")</f>
        <v>Develop</v>
      </c>
      <c r="I175" s="7">
        <f ca="1">IFERROR(__xludf.DUMMYFUNCTION("""COMPUTED_VALUE"""),0)</f>
        <v>0</v>
      </c>
      <c r="J175" s="7">
        <f ca="1">IFERROR(__xludf.DUMMYFUNCTION("""COMPUTED_VALUE"""),0)</f>
        <v>0</v>
      </c>
      <c r="K175" s="7" t="str">
        <f ca="1">IFERROR(__xludf.DUMMYFUNCTION("""COMPUTED_VALUE"""),"Морунов Олег Александрович")</f>
        <v>Морунов Олег Александрович</v>
      </c>
      <c r="L175" s="7" t="str">
        <f ca="1">IFERROR(__xludf.DUMMYFUNCTION("""COMPUTED_VALUE"""),"Осипенкова Елена Владимировна")</f>
        <v>Осипенкова Елена Владимировна</v>
      </c>
      <c r="M175" s="7" t="str">
        <f ca="1">IFERROR(__xludf.DUMMYFUNCTION("""COMPUTED_VALUE"""),"Чурсина Мария Вячеславовна")</f>
        <v>Чурсина Мария Вячеславовна</v>
      </c>
      <c r="N175" s="7"/>
      <c r="O175" s="7"/>
      <c r="P175" s="7"/>
      <c r="Q175" s="7"/>
      <c r="R175" s="7"/>
      <c r="S175" s="7"/>
      <c r="T175" s="7"/>
      <c r="U175" s="7" t="str">
        <f ca="1">IFERROR(__xludf.DUMMYFUNCTION("""COMPUTED_VALUE"""),"Оказание услуг по обслуживанию и ремонту контрольно-кассовой техники, в том 
числе автоматов продажи билетов")</f>
        <v>Оказание услуг по обслуживанию и ремонту контрольно-кассовой техники, в том 
числе автоматов продажи билетов</v>
      </c>
      <c r="V175" s="10">
        <f ca="1">IFERROR(__xludf.DUMMYFUNCTION("""COMPUTED_VALUE"""),44643.7134837962)</f>
        <v>44643.7134837962</v>
      </c>
      <c r="W175" s="7" t="str">
        <f ca="1">IFERROR(__xludf.DUMMYFUNCTION("""COMPUTED_VALUE"""),"55.73")</f>
        <v>55.73</v>
      </c>
      <c r="X175" s="16" t="str">
        <f ca="1">IFERROR(__xludf.DUMMYFUNCTION("""COMPUTED_VALUE"""),"36.95")</f>
        <v>36.95</v>
      </c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>
        <f ca="1">IFERROR(__xludf.DUMMYFUNCTION("""COMPUTED_VALUE"""),37)</f>
        <v>37</v>
      </c>
    </row>
    <row r="176" spans="1:36" ht="63" x14ac:dyDescent="0.2">
      <c r="A176" s="7">
        <f ca="1">IFERROR(__xludf.DUMMYFUNCTION("""COMPUTED_VALUE"""),219)</f>
        <v>219</v>
      </c>
      <c r="B176" s="7" t="str">
        <f ca="1">IFERROR(__xludf.DUMMYFUNCTION("""COMPUTED_VALUE"""),"FR-368")</f>
        <v>FR-368</v>
      </c>
      <c r="C176" s="9" t="str">
        <f ca="1">IFERROR(__xludf.DUMMYFUNCTION("""COMPUTED_VALUE"""),"Поставка парковочного оборудования")</f>
        <v>Поставка парковочного оборудования</v>
      </c>
      <c r="D176" s="7" t="str">
        <f ca="1">IFERROR(__xludf.DUMMYFUNCTION("""COMPUTED_VALUE"""),"План по стандартизации")</f>
        <v>План по стандартизации</v>
      </c>
      <c r="E176" s="7">
        <f ca="1">IFERROR(__xludf.DUMMYFUNCTION("""COMPUTED_VALUE"""),2022)</f>
        <v>2022</v>
      </c>
      <c r="F176" s="7">
        <f ca="1">IFERROR(__xludf.DUMMYFUNCTION("""COMPUTED_VALUE"""),3)</f>
        <v>3</v>
      </c>
      <c r="G176" s="7" t="str">
        <f ca="1">IFERROR(__xludf.DUMMYFUNCTION("""COMPUTED_VALUE"""),"ТТЗ")</f>
        <v>ТТЗ</v>
      </c>
      <c r="H176" s="7" t="str">
        <f ca="1">IFERROR(__xludf.DUMMYFUNCTION("""COMPUTED_VALUE"""),"Planned")</f>
        <v>Planned</v>
      </c>
      <c r="I176" s="7">
        <f ca="1">IFERROR(__xludf.DUMMYFUNCTION("""COMPUTED_VALUE"""),0)</f>
        <v>0</v>
      </c>
      <c r="J176" s="7">
        <f ca="1">IFERROR(__xludf.DUMMYFUNCTION("""COMPUTED_VALUE"""),0)</f>
        <v>0</v>
      </c>
      <c r="K176" s="7"/>
      <c r="L176" s="7" t="str">
        <f ca="1">IFERROR(__xludf.DUMMYFUNCTION("""COMPUTED_VALUE"""),"Осипенкова Елена Владимировна")</f>
        <v>Осипенкова Елена Владимировна</v>
      </c>
      <c r="M176" s="7" t="str">
        <f ca="1">IFERROR(__xludf.DUMMYFUNCTION("""COMPUTED_VALUE"""),"Чурсина Мария Вячеславовна")</f>
        <v>Чурсина Мария Вячеславовна</v>
      </c>
      <c r="N176" s="7"/>
      <c r="O176" s="7"/>
      <c r="P176" s="7"/>
      <c r="Q176" s="7"/>
      <c r="R176" s="7"/>
      <c r="S176" s="7"/>
      <c r="T176" s="7"/>
      <c r="U176" s="7"/>
      <c r="V176" s="10">
        <f ca="1">IFERROR(__xludf.DUMMYFUNCTION("""COMPUTED_VALUE"""),44643.7147569444)</f>
        <v>44643.714756944399</v>
      </c>
      <c r="W176" s="7"/>
      <c r="X176" s="16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>
        <f ca="1">IFERROR(__xludf.DUMMYFUNCTION("""COMPUTED_VALUE"""),0)</f>
        <v>0</v>
      </c>
    </row>
    <row r="177" spans="1:36" ht="94.5" x14ac:dyDescent="0.2">
      <c r="A177" s="7">
        <f ca="1">IFERROR(__xludf.DUMMYFUNCTION("""COMPUTED_VALUE"""),220)</f>
        <v>220</v>
      </c>
      <c r="B177" s="7" t="str">
        <f ca="1">IFERROR(__xludf.DUMMYFUNCTION("""COMPUTED_VALUE"""),"FR-369")</f>
        <v>FR-369</v>
      </c>
      <c r="C177" s="9" t="str">
        <f ca="1">IFERROR(__xludf.DUMMYFUNCTION("""COMPUTED_VALUE"""),"Оказание услуг по организации аудио- и видеопротоколирования на судебных 
участках мировых судей города Москвы")</f>
        <v>Оказание услуг по организации аудио- и видеопротоколирования на судебных 
участках мировых судей города Москвы</v>
      </c>
      <c r="D177" s="7" t="str">
        <f ca="1">IFERROR(__xludf.DUMMYFUNCTION("""COMPUTED_VALUE"""),"План по стандартизации")</f>
        <v>План по стандартизации</v>
      </c>
      <c r="E177" s="7">
        <f ca="1">IFERROR(__xludf.DUMMYFUNCTION("""COMPUTED_VALUE"""),2022)</f>
        <v>2022</v>
      </c>
      <c r="F177" s="7">
        <f ca="1">IFERROR(__xludf.DUMMYFUNCTION("""COMPUTED_VALUE"""),4)</f>
        <v>4</v>
      </c>
      <c r="G177" s="7" t="str">
        <f ca="1">IFERROR(__xludf.DUMMYFUNCTION("""COMPUTED_VALUE"""),"ТТЗ")</f>
        <v>ТТЗ</v>
      </c>
      <c r="H177" s="7" t="str">
        <f ca="1">IFERROR(__xludf.DUMMYFUNCTION("""COMPUTED_VALUE"""),"Develop")</f>
        <v>Develop</v>
      </c>
      <c r="I177" s="7">
        <f ca="1">IFERROR(__xludf.DUMMYFUNCTION("""COMPUTED_VALUE"""),0)</f>
        <v>0</v>
      </c>
      <c r="J177" s="7">
        <f ca="1">IFERROR(__xludf.DUMMYFUNCTION("""COMPUTED_VALUE"""),0)</f>
        <v>0</v>
      </c>
      <c r="K177" s="7" t="str">
        <f ca="1">IFERROR(__xludf.DUMMYFUNCTION("""COMPUTED_VALUE"""),"Лисова Анна Сергеевна")</f>
        <v>Лисова Анна Сергеевна</v>
      </c>
      <c r="L177" s="7" t="str">
        <f ca="1">IFERROR(__xludf.DUMMYFUNCTION("""COMPUTED_VALUE"""),"Осипенкова Елена Владимировна")</f>
        <v>Осипенкова Елена Владимировна</v>
      </c>
      <c r="M177" s="7" t="str">
        <f ca="1">IFERROR(__xludf.DUMMYFUNCTION("""COMPUTED_VALUE"""),"Чурсина Мария Вячеславовна")</f>
        <v>Чурсина Мария Вячеславовна</v>
      </c>
      <c r="N177" s="7"/>
      <c r="O177" s="7"/>
      <c r="P177" s="7"/>
      <c r="Q177" s="7"/>
      <c r="R177" s="7"/>
      <c r="S177" s="7"/>
      <c r="T177" s="7"/>
      <c r="U177" s="7"/>
      <c r="V177" s="10">
        <f ca="1">IFERROR(__xludf.DUMMYFUNCTION("""COMPUTED_VALUE"""),44643.7155092592)</f>
        <v>44643.7155092592</v>
      </c>
      <c r="W177" s="7" t="str">
        <f ca="1">IFERROR(__xludf.DUMMYFUNCTION("""COMPUTED_VALUE"""),"91.77")</f>
        <v>91.77</v>
      </c>
      <c r="X177" s="16" t="str">
        <f ca="1">IFERROR(__xludf.DUMMYFUNCTION("""COMPUTED_VALUE"""),"0.91")</f>
        <v>0.91</v>
      </c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>
        <f ca="1">IFERROR(__xludf.DUMMYFUNCTION("""COMPUTED_VALUE"""),1)</f>
        <v>1</v>
      </c>
    </row>
    <row r="178" spans="1:36" ht="63" x14ac:dyDescent="0.2">
      <c r="A178" s="7">
        <f ca="1">IFERROR(__xludf.DUMMYFUNCTION("""COMPUTED_VALUE"""),221)</f>
        <v>221</v>
      </c>
      <c r="B178" s="7" t="str">
        <f ca="1">IFERROR(__xludf.DUMMYFUNCTION("""COMPUTED_VALUE"""),"FR-373")</f>
        <v>FR-373</v>
      </c>
      <c r="C178" s="9" t="str">
        <f ca="1">IFERROR(__xludf.DUMMYFUNCTION("""COMPUTED_VALUE"""),"Поставка светофоров и комплектующих к ним")</f>
        <v>Поставка светофоров и комплектующих к ним</v>
      </c>
      <c r="D178" s="7" t="str">
        <f ca="1">IFERROR(__xludf.DUMMYFUNCTION("""COMPUTED_VALUE"""),"План по стандартизации")</f>
        <v>План по стандартизации</v>
      </c>
      <c r="E178" s="7">
        <f ca="1">IFERROR(__xludf.DUMMYFUNCTION("""COMPUTED_VALUE"""),2022)</f>
        <v>2022</v>
      </c>
      <c r="F178" s="7">
        <f ca="1">IFERROR(__xludf.DUMMYFUNCTION("""COMPUTED_VALUE"""),3)</f>
        <v>3</v>
      </c>
      <c r="G178" s="7" t="str">
        <f ca="1">IFERROR(__xludf.DUMMYFUNCTION("""COMPUTED_VALUE"""),"ТТЗ")</f>
        <v>ТТЗ</v>
      </c>
      <c r="H178" s="7" t="str">
        <f ca="1">IFERROR(__xludf.DUMMYFUNCTION("""COMPUTED_VALUE"""),"Develop")</f>
        <v>Develop</v>
      </c>
      <c r="I178" s="7">
        <f ca="1">IFERROR(__xludf.DUMMYFUNCTION("""COMPUTED_VALUE"""),0)</f>
        <v>0</v>
      </c>
      <c r="J178" s="7">
        <f ca="1">IFERROR(__xludf.DUMMYFUNCTION("""COMPUTED_VALUE"""),0)</f>
        <v>0</v>
      </c>
      <c r="K178" s="7" t="str">
        <f ca="1">IFERROR(__xludf.DUMMYFUNCTION("""COMPUTED_VALUE"""),"Букешев Марат Адылбекович")</f>
        <v>Букешев Марат Адылбекович</v>
      </c>
      <c r="L178" s="7" t="str">
        <f ca="1">IFERROR(__xludf.DUMMYFUNCTION("""COMPUTED_VALUE"""),"Минин Александр Валерьевич")</f>
        <v>Минин Александр Валерьевич</v>
      </c>
      <c r="M178" s="7" t="str">
        <f ca="1">IFERROR(__xludf.DUMMYFUNCTION("""COMPUTED_VALUE"""),"Чурсина Мария Вячеславовна")</f>
        <v>Чурсина Мария Вячеславовна</v>
      </c>
      <c r="N178" s="7"/>
      <c r="O178" s="7"/>
      <c r="P178" s="7"/>
      <c r="Q178" s="7"/>
      <c r="R178" s="7"/>
      <c r="S178" s="7"/>
      <c r="T178" s="7"/>
      <c r="U178" s="7"/>
      <c r="V178" s="10">
        <f ca="1">IFERROR(__xludf.DUMMYFUNCTION("""COMPUTED_VALUE"""),44720.3791666666)</f>
        <v>44720.3791666666</v>
      </c>
      <c r="W178" s="7" t="str">
        <f ca="1">IFERROR(__xludf.DUMMYFUNCTION("""COMPUTED_VALUE"""),"16.15")</f>
        <v>16.15</v>
      </c>
      <c r="X178" s="16" t="str">
        <f ca="1">IFERROR(__xludf.DUMMYFUNCTION("""COMPUTED_VALUE"""),"25.87")</f>
        <v>25.87</v>
      </c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>
        <f ca="1">IFERROR(__xludf.DUMMYFUNCTION("""COMPUTED_VALUE"""),26)</f>
        <v>26</v>
      </c>
    </row>
    <row r="179" spans="1:36" ht="141.75" x14ac:dyDescent="0.2">
      <c r="A179" s="7">
        <f ca="1">IFERROR(__xludf.DUMMYFUNCTION("""COMPUTED_VALUE"""),222)</f>
        <v>222</v>
      </c>
      <c r="B179" s="7" t="str">
        <f ca="1">IFERROR(__xludf.DUMMYFUNCTION("""COMPUTED_VALUE"""),"FR-375")</f>
        <v>FR-375</v>
      </c>
      <c r="C179" s="9" t="str">
        <f ca="1">IFERROR(__xludf.DUMMYFUNCTION("""COMPUTED_VALUE"""),"Поставка расходных материалов для обработки, утилизации и стерилизации")</f>
        <v>Поставка расходных материалов для обработки, утилизации и стерилизации</v>
      </c>
      <c r="D179" s="7" t="str">
        <f ca="1">IFERROR(__xludf.DUMMYFUNCTION("""COMPUTED_VALUE"""),"Дорожная карта и план по стандартизации")</f>
        <v>Дорожная карта и план по стандартизации</v>
      </c>
      <c r="E179" s="7">
        <f ca="1">IFERROR(__xludf.DUMMYFUNCTION("""COMPUTED_VALUE"""),2022)</f>
        <v>2022</v>
      </c>
      <c r="F179" s="7">
        <f ca="1">IFERROR(__xludf.DUMMYFUNCTION("""COMPUTED_VALUE"""),2)</f>
        <v>2</v>
      </c>
      <c r="G179" s="7" t="str">
        <f ca="1">IFERROR(__xludf.DUMMYFUNCTION("""COMPUTED_VALUE"""),"ТТЗ")</f>
        <v>ТТЗ</v>
      </c>
      <c r="H179" s="7" t="str">
        <f ca="1">IFERROR(__xludf.DUMMYFUNCTION("""COMPUTED_VALUE"""),"Подготовка к РГ")</f>
        <v>Подготовка к РГ</v>
      </c>
      <c r="I179" s="7">
        <f ca="1">IFERROR(__xludf.DUMMYFUNCTION("""COMPUTED_VALUE"""),0)</f>
        <v>0</v>
      </c>
      <c r="J179" s="7">
        <f ca="1">IFERROR(__xludf.DUMMYFUNCTION("""COMPUTED_VALUE"""),0)</f>
        <v>0</v>
      </c>
      <c r="K179" s="7" t="str">
        <f ca="1">IFERROR(__xludf.DUMMYFUNCTION("""COMPUTED_VALUE"""),"Моисеев Евгений Александрович")</f>
        <v>Моисеев Евгений Александрович</v>
      </c>
      <c r="L179" s="7" t="str">
        <f ca="1">IFERROR(__xludf.DUMMYFUNCTION("""COMPUTED_VALUE"""),"Давлиев Ильнар Газинурович")</f>
        <v>Давлиев Ильнар Газинурович</v>
      </c>
      <c r="M179" s="7" t="str">
        <f ca="1">IFERROR(__xludf.DUMMYFUNCTION("""COMPUTED_VALUE"""),"Чурсина Мария Вячеславовна")</f>
        <v>Чурсина Мария Вячеславовна</v>
      </c>
      <c r="N179" s="7"/>
      <c r="O179" s="7"/>
      <c r="P179" s="7"/>
      <c r="Q179" s="7"/>
      <c r="R179" s="7"/>
      <c r="S179" s="7"/>
      <c r="T179" s="7"/>
      <c r="U179" s="7" t="str">
        <f ca="1">IFERROR(__xludf.DUMMYFUNCTION("""COMPUTED_VALUE"""),"Поставка расходных материалов для обработки, утилизации и стерилизации")</f>
        <v>Поставка расходных материалов для обработки, утилизации и стерилизации</v>
      </c>
      <c r="V179" s="10">
        <f ca="1">IFERROR(__xludf.DUMMYFUNCTION("""COMPUTED_VALUE"""),44740.6849652777)</f>
        <v>44740.684965277702</v>
      </c>
      <c r="W179" s="7">
        <f ca="1">IFERROR(__xludf.DUMMYFUNCTION("""COMPUTED_VALUE"""),0)</f>
        <v>0</v>
      </c>
      <c r="X179" s="16" t="str">
        <f ca="1">IFERROR(__xludf.DUMMYFUNCTION("""COMPUTED_VALUE"""),"0.06")</f>
        <v>0.06</v>
      </c>
      <c r="Y179" s="7"/>
      <c r="Z179" s="7"/>
      <c r="AA179" s="7" t="str">
        <f ca="1">IFERROR(__xludf.DUMMYFUNCTION("""COMPUTED_VALUE"""),"0.01")</f>
        <v>0.01</v>
      </c>
      <c r="AB179" s="7" t="str">
        <f ca="1">IFERROR(__xludf.DUMMYFUNCTION("""COMPUTED_VALUE"""),"0.96")</f>
        <v>0.96</v>
      </c>
      <c r="AC179" s="7" t="str">
        <f ca="1">IFERROR(__xludf.DUMMYFUNCTION("""COMPUTED_VALUE"""),"5.67")</f>
        <v>5.67</v>
      </c>
      <c r="AD179" s="8">
        <f ca="1">IFERROR(__xludf.DUMMYFUNCTION("""COMPUTED_VALUE"""),44583)</f>
        <v>44583</v>
      </c>
      <c r="AE179" s="7"/>
      <c r="AF179" s="7"/>
      <c r="AG179" s="7"/>
      <c r="AH179" s="7"/>
      <c r="AI179" s="7"/>
      <c r="AJ179" s="7">
        <f ca="1">IFERROR(__xludf.DUMMYFUNCTION("""COMPUTED_VALUE"""),29)</f>
        <v>29</v>
      </c>
    </row>
    <row r="180" spans="1:36" ht="63" x14ac:dyDescent="0.2">
      <c r="A180" s="7">
        <f ca="1">IFERROR(__xludf.DUMMYFUNCTION("""COMPUTED_VALUE"""),223)</f>
        <v>223</v>
      </c>
      <c r="B180" s="7" t="str">
        <f ca="1">IFERROR(__xludf.DUMMYFUNCTION("""COMPUTED_VALUE"""),"FR-376")</f>
        <v>FR-376</v>
      </c>
      <c r="C180" s="9" t="str">
        <f ca="1">IFERROR(__xludf.DUMMYFUNCTION("""COMPUTED_VALUE"""),"Поставка расходных материалов для функциональной диагностики")</f>
        <v>Поставка расходных материалов для функциональной диагностики</v>
      </c>
      <c r="D180" s="7" t="str">
        <f ca="1">IFERROR(__xludf.DUMMYFUNCTION("""COMPUTED_VALUE"""),"План по стандартизации")</f>
        <v>План по стандартизации</v>
      </c>
      <c r="E180" s="7">
        <f ca="1">IFERROR(__xludf.DUMMYFUNCTION("""COMPUTED_VALUE"""),2022)</f>
        <v>2022</v>
      </c>
      <c r="F180" s="7">
        <f ca="1">IFERROR(__xludf.DUMMYFUNCTION("""COMPUTED_VALUE"""),3)</f>
        <v>3</v>
      </c>
      <c r="G180" s="7" t="str">
        <f ca="1">IFERROR(__xludf.DUMMYFUNCTION("""COMPUTED_VALUE"""),"ТТЗ")</f>
        <v>ТТЗ</v>
      </c>
      <c r="H180" s="7" t="str">
        <f ca="1">IFERROR(__xludf.DUMMYFUNCTION("""COMPUTED_VALUE"""),"На согл. в ОИВ")</f>
        <v>На согл. в ОИВ</v>
      </c>
      <c r="I180" s="7">
        <f ca="1">IFERROR(__xludf.DUMMYFUNCTION("""COMPUTED_VALUE"""),1)</f>
        <v>1</v>
      </c>
      <c r="J180" s="7">
        <f ca="1">IFERROR(__xludf.DUMMYFUNCTION("""COMPUTED_VALUE"""),0)</f>
        <v>0</v>
      </c>
      <c r="K180" s="7" t="str">
        <f ca="1">IFERROR(__xludf.DUMMYFUNCTION("""COMPUTED_VALUE"""),"Шакиров Салават Ахматгаянович")</f>
        <v>Шакиров Салават Ахматгаянович</v>
      </c>
      <c r="L180" s="7" t="str">
        <f ca="1">IFERROR(__xludf.DUMMYFUNCTION("""COMPUTED_VALUE"""),"Давлиев Ильнар Газинурович")</f>
        <v>Давлиев Ильнар Газинурович</v>
      </c>
      <c r="M180" s="7" t="str">
        <f ca="1">IFERROR(__xludf.DUMMYFUNCTION("""COMPUTED_VALUE"""),"Чурсина Мария Вячеславовна")</f>
        <v>Чурсина Мария Вячеславовна</v>
      </c>
      <c r="N180" s="7"/>
      <c r="O180" s="7"/>
      <c r="P180" s="7"/>
      <c r="Q180" s="7"/>
      <c r="R180" s="7"/>
      <c r="S180" s="7"/>
      <c r="T180" s="7"/>
      <c r="U180" s="7"/>
      <c r="V180" s="10">
        <f ca="1">IFERROR(__xludf.DUMMYFUNCTION("""COMPUTED_VALUE"""),44747.6690856481)</f>
        <v>44747.6690856481</v>
      </c>
      <c r="W180" s="7"/>
      <c r="X180" s="16" t="str">
        <f ca="1">IFERROR(__xludf.DUMMYFUNCTION("""COMPUTED_VALUE"""),"6.21")</f>
        <v>6.21</v>
      </c>
      <c r="Y180" s="7"/>
      <c r="Z180" s="7" t="str">
        <f ca="1">IFERROR(__xludf.DUMMYFUNCTION("""COMPUTED_VALUE"""),"2.82")</f>
        <v>2.82</v>
      </c>
      <c r="AA180" s="7" t="str">
        <f ca="1">IFERROR(__xludf.DUMMYFUNCTION("""COMPUTED_VALUE"""),"3.78")</f>
        <v>3.78</v>
      </c>
      <c r="AB180" s="7" t="str">
        <f ca="1">IFERROR(__xludf.DUMMYFUNCTION("""COMPUTED_VALUE"""),"6.28")</f>
        <v>6.28</v>
      </c>
      <c r="AC180" s="7" t="str">
        <f ca="1">IFERROR(__xludf.DUMMYFUNCTION("""COMPUTED_VALUE"""),"4.63")</f>
        <v>4.63</v>
      </c>
      <c r="AD180" s="7"/>
      <c r="AE180" s="7"/>
      <c r="AF180" s="7"/>
      <c r="AG180" s="7"/>
      <c r="AH180" s="7"/>
      <c r="AI180" s="7"/>
      <c r="AJ180" s="7">
        <f ca="1">IFERROR(__xludf.DUMMYFUNCTION("""COMPUTED_VALUE"""),25)</f>
        <v>25</v>
      </c>
    </row>
    <row r="181" spans="1:36" x14ac:dyDescent="0.2">
      <c r="A181" s="7">
        <f ca="1">IFERROR(__xludf.DUMMYFUNCTION("""COMPUTED_VALUE"""),224)</f>
        <v>224</v>
      </c>
      <c r="B181" s="7" t="str">
        <f ca="1">IFERROR(__xludf.DUMMYFUNCTION("""COMPUTED_VALUE"""),"FR-377")</f>
        <v>FR-377</v>
      </c>
      <c r="C181" s="9" t="str">
        <f ca="1">IFERROR(__xludf.DUMMYFUNCTION("""COMPUTED_VALUE"""),"проверка")</f>
        <v>проверка</v>
      </c>
      <c r="D181" s="7"/>
      <c r="E181" s="7"/>
      <c r="F181" s="7"/>
      <c r="G181" s="7" t="str">
        <f ca="1">IFERROR(__xludf.DUMMYFUNCTION("""COMPUTED_VALUE"""),"ТТЗ")</f>
        <v>ТТЗ</v>
      </c>
      <c r="H181" s="7" t="str">
        <f ca="1">IFERROR(__xludf.DUMMYFUNCTION("""COMPUTED_VALUE"""),"Planned")</f>
        <v>Planned</v>
      </c>
      <c r="I181" s="7">
        <f ca="1">IFERROR(__xludf.DUMMYFUNCTION("""COMPUTED_VALUE"""),0)</f>
        <v>0</v>
      </c>
      <c r="J181" s="7">
        <f ca="1">IFERROR(__xludf.DUMMYFUNCTION("""COMPUTED_VALUE"""),0)</f>
        <v>0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10">
        <f ca="1">IFERROR(__xludf.DUMMYFUNCTION("""COMPUTED_VALUE"""),44756.5213657407)</f>
        <v>44756.5213657407</v>
      </c>
      <c r="W181" s="7"/>
      <c r="X181" s="16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>
        <f ca="1">IFERROR(__xludf.DUMMYFUNCTION("""COMPUTED_VALUE"""),0)</f>
        <v>0</v>
      </c>
    </row>
    <row r="182" spans="1:36" ht="110.25" x14ac:dyDescent="0.2">
      <c r="A182" s="7">
        <f ca="1">IFERROR(__xludf.DUMMYFUNCTION("""COMPUTED_VALUE"""),225)</f>
        <v>225</v>
      </c>
      <c r="B182" s="7" t="str">
        <f ca="1">IFERROR(__xludf.DUMMYFUNCTION("""COMPUTED_VALUE"""),"FR-379")</f>
        <v>FR-379</v>
      </c>
      <c r="C182" s="9" t="str">
        <f ca="1">IFERROR(__xludf.DUMMYFUNCTION("""COMPUTED_VALUE"""),"Оказание услуг по организации природоохранных мероприятий в отношении 
объектов животного мира , обитающих на природных территориях города Москвы .")</f>
        <v>Оказание услуг по организации природоохранных мероприятий в отношении 
объектов животного мира , обитающих на природных территориях города Москвы .</v>
      </c>
      <c r="D182" s="7" t="str">
        <f ca="1">IFERROR(__xludf.DUMMYFUNCTION("""COMPUTED_VALUE"""),"План по стандартизации")</f>
        <v>План по стандартизации</v>
      </c>
      <c r="E182" s="7">
        <f ca="1">IFERROR(__xludf.DUMMYFUNCTION("""COMPUTED_VALUE"""),2022)</f>
        <v>2022</v>
      </c>
      <c r="F182" s="7">
        <f ca="1">IFERROR(__xludf.DUMMYFUNCTION("""COMPUTED_VALUE"""),3)</f>
        <v>3</v>
      </c>
      <c r="G182" s="7" t="str">
        <f ca="1">IFERROR(__xludf.DUMMYFUNCTION("""COMPUTED_VALUE"""),"ТТЗ")</f>
        <v>ТТЗ</v>
      </c>
      <c r="H182" s="7" t="str">
        <f ca="1">IFERROR(__xludf.DUMMYFUNCTION("""COMPUTED_VALUE"""),"Planned")</f>
        <v>Planned</v>
      </c>
      <c r="I182" s="7">
        <f ca="1">IFERROR(__xludf.DUMMYFUNCTION("""COMPUTED_VALUE"""),0)</f>
        <v>0</v>
      </c>
      <c r="J182" s="7">
        <f ca="1">IFERROR(__xludf.DUMMYFUNCTION("""COMPUTED_VALUE"""),0)</f>
        <v>0</v>
      </c>
      <c r="K182" s="7" t="str">
        <f ca="1">IFERROR(__xludf.DUMMYFUNCTION("""COMPUTED_VALUE"""),"Осипенкова Елена Владимировна")</f>
        <v>Осипенкова Елена Владимировна</v>
      </c>
      <c r="L182" s="7" t="str">
        <f ca="1">IFERROR(__xludf.DUMMYFUNCTION("""COMPUTED_VALUE"""),"Осипенкова Елена Владимировна")</f>
        <v>Осипенкова Елена Владимировна</v>
      </c>
      <c r="M182" s="7" t="str">
        <f ca="1">IFERROR(__xludf.DUMMYFUNCTION("""COMPUTED_VALUE"""),"Чурсина Мария Вячеславовна")</f>
        <v>Чурсина Мария Вячеславовна</v>
      </c>
      <c r="N182" s="7"/>
      <c r="O182" s="7"/>
      <c r="P182" s="7"/>
      <c r="Q182" s="7"/>
      <c r="R182" s="7"/>
      <c r="S182" s="7"/>
      <c r="T182" s="7"/>
      <c r="U182" s="7"/>
      <c r="V182" s="10">
        <f ca="1">IFERROR(__xludf.DUMMYFUNCTION("""COMPUTED_VALUE"""),44778.4897222222)</f>
        <v>44778.489722222199</v>
      </c>
      <c r="W182" s="7"/>
      <c r="X182" s="16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>
        <f ca="1">IFERROR(__xludf.DUMMYFUNCTION("""COMPUTED_VALUE"""),0)</f>
        <v>0</v>
      </c>
    </row>
    <row r="183" spans="1:36" ht="12.75" x14ac:dyDescent="0.2">
      <c r="C183" s="1"/>
    </row>
    <row r="184" spans="1:36" ht="12.75" x14ac:dyDescent="0.2">
      <c r="C184" s="1"/>
    </row>
    <row r="185" spans="1:36" ht="12.75" x14ac:dyDescent="0.2">
      <c r="C185" s="1"/>
    </row>
    <row r="186" spans="1:36" ht="12.75" x14ac:dyDescent="0.2">
      <c r="C186" s="1"/>
    </row>
    <row r="187" spans="1:36" ht="12.75" x14ac:dyDescent="0.2">
      <c r="C187" s="1"/>
    </row>
    <row r="188" spans="1:36" ht="12.75" x14ac:dyDescent="0.2">
      <c r="C188" s="1"/>
    </row>
    <row r="189" spans="1:36" ht="12.75" x14ac:dyDescent="0.2">
      <c r="C189" s="1"/>
    </row>
    <row r="190" spans="1:36" ht="12.75" x14ac:dyDescent="0.2">
      <c r="C190" s="1"/>
    </row>
    <row r="191" spans="1:36" ht="12.75" x14ac:dyDescent="0.2">
      <c r="C191" s="1"/>
    </row>
    <row r="192" spans="1:36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5.75" customHeight="1" x14ac:dyDescent="0.2">
      <c r="C95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Долгих Татьяна Витальевна</dc:creator>
  <cp:lastModifiedBy>Долгих Татьяна Витальевна</cp:lastModifiedBy>
  <dcterms:created xsi:type="dcterms:W3CDTF">2022-08-08T06:52:45Z</dcterms:created>
  <dcterms:modified xsi:type="dcterms:W3CDTF">2022-08-08T07:24:32Z</dcterms:modified>
</cp:coreProperties>
</file>