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3. Pengantar Model Linier\"/>
    </mc:Choice>
  </mc:AlternateContent>
  <xr:revisionPtr revIDLastSave="0" documentId="13_ncr:1_{B30684C9-AF80-4B8C-B979-5DEB2CDDE2C1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1" sheetId="2" r:id="rId1"/>
    <sheet name="4-7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1" i="1" l="1"/>
  <c r="R192" i="1"/>
  <c r="R191" i="1"/>
  <c r="W163" i="1"/>
  <c r="U162" i="1"/>
  <c r="U161" i="1" a="1"/>
  <c r="U161" i="1" s="1"/>
  <c r="S161" i="1"/>
  <c r="S160" i="1" a="1"/>
  <c r="S160" i="1" s="1"/>
  <c r="R199" i="1"/>
  <c r="F153" i="1"/>
  <c r="R140" i="1"/>
  <c r="X155" i="1"/>
  <c r="W156" i="1"/>
  <c r="W154" i="1"/>
  <c r="S156" i="1"/>
  <c r="S155" i="1" a="1"/>
  <c r="S155" i="1" s="1"/>
  <c r="U145" i="1" a="1"/>
  <c r="U145" i="1" s="1"/>
  <c r="W153" i="1" a="1"/>
  <c r="W153" i="1" s="1"/>
  <c r="U153" i="1"/>
  <c r="U151" i="1" a="1"/>
  <c r="U151" i="1" s="1"/>
  <c r="S151" i="1"/>
  <c r="U148" i="1"/>
  <c r="U147" i="1"/>
  <c r="O50" i="1"/>
  <c r="O49" i="1"/>
  <c r="O18" i="1"/>
  <c r="O47" i="1"/>
  <c r="O46" i="1"/>
  <c r="O45" i="1" a="1"/>
  <c r="O45" i="1" s="1"/>
  <c r="Q46" i="1"/>
  <c r="L45" i="1"/>
  <c r="L43" i="1" a="1"/>
  <c r="L43" i="1" s="1"/>
  <c r="P41" i="1"/>
  <c r="P37" i="1"/>
  <c r="M7" i="1"/>
  <c r="M8" i="1" a="1"/>
  <c r="M8" i="1" s="1"/>
  <c r="L39" i="1"/>
  <c r="N37" i="1"/>
  <c r="N36" i="1"/>
  <c r="L38" i="1"/>
  <c r="L37" i="1"/>
  <c r="L36" i="1"/>
  <c r="O32" i="1"/>
  <c r="M31" i="1"/>
  <c r="M32" i="1"/>
  <c r="M33" i="1"/>
  <c r="M34" i="1"/>
  <c r="M30" i="1"/>
  <c r="K30" i="1" a="1"/>
  <c r="K30" i="1" s="1"/>
  <c r="O26" i="1"/>
  <c r="O25" i="1"/>
  <c r="O27" i="1"/>
  <c r="O28" i="1"/>
  <c r="O24" i="1"/>
  <c r="M24" i="1"/>
  <c r="N19" i="1" a="1"/>
  <c r="N19" i="1" s="1"/>
  <c r="O15" i="1"/>
  <c r="O17" i="1"/>
  <c r="O16" i="1"/>
  <c r="K15" i="1" a="1"/>
  <c r="K15" i="1" s="1"/>
  <c r="N2" i="1" a="1"/>
  <c r="N2" i="1" s="1"/>
  <c r="A206" i="1"/>
  <c r="A205" i="1"/>
  <c r="F200" i="1"/>
  <c r="C200" i="1"/>
  <c r="C199" i="1"/>
  <c r="U18" i="2" a="1"/>
  <c r="U18" i="2" s="1"/>
  <c r="M6" i="2"/>
  <c r="M10" i="2" s="1"/>
  <c r="M14" i="2" s="1"/>
  <c r="M20" i="2" s="1"/>
  <c r="M8" i="2"/>
  <c r="M12" i="2" s="1"/>
  <c r="M16" i="2" s="1"/>
  <c r="M18" i="2" s="1"/>
  <c r="N8" i="2"/>
  <c r="N12" i="2" s="1"/>
  <c r="N16" i="2" s="1"/>
  <c r="N18" i="2" s="1"/>
  <c r="O8" i="2"/>
  <c r="O12" i="2" s="1"/>
  <c r="O16" i="2" s="1"/>
  <c r="O18" i="2" s="1"/>
  <c r="Q8" i="2"/>
  <c r="Q12" i="2" s="1"/>
  <c r="Q16" i="2" s="1"/>
  <c r="Q18" i="2" s="1"/>
  <c r="R8" i="2"/>
  <c r="R12" i="2" s="1"/>
  <c r="R16" i="2" s="1"/>
  <c r="R18" i="2" s="1"/>
  <c r="S8" i="2"/>
  <c r="S12" i="2" s="1"/>
  <c r="S16" i="2" s="1"/>
  <c r="S18" i="2" s="1"/>
  <c r="N6" i="2"/>
  <c r="N10" i="2" s="1"/>
  <c r="N14" i="2" s="1"/>
  <c r="N20" i="2" s="1"/>
  <c r="O6" i="2"/>
  <c r="O10" i="2" s="1"/>
  <c r="Q6" i="2"/>
  <c r="Q10" i="2" s="1"/>
  <c r="Q14" i="2" s="1"/>
  <c r="Q20" i="2" s="1"/>
  <c r="R6" i="2"/>
  <c r="R10" i="2" s="1"/>
  <c r="R14" i="2" s="1"/>
  <c r="R20" i="2" s="1"/>
  <c r="S6" i="2"/>
  <c r="S10" i="2" s="1"/>
  <c r="N7" i="2"/>
  <c r="N11" i="2" s="1"/>
  <c r="N15" i="2" s="1"/>
  <c r="N19" i="2" s="1"/>
  <c r="O7" i="2"/>
  <c r="O11" i="2" s="1"/>
  <c r="O15" i="2" s="1"/>
  <c r="O19" i="2" s="1"/>
  <c r="Q7" i="2"/>
  <c r="Q11" i="2" s="1"/>
  <c r="Q15" i="2" s="1"/>
  <c r="Q19" i="2" s="1"/>
  <c r="R7" i="2"/>
  <c r="R11" i="2" s="1"/>
  <c r="S7" i="2"/>
  <c r="S11" i="2" s="1"/>
  <c r="M7" i="2"/>
  <c r="M11" i="2" s="1"/>
  <c r="M15" i="2" s="1"/>
  <c r="M19" i="2" s="1"/>
  <c r="I18" i="2" a="1"/>
  <c r="I18" i="2" s="1"/>
  <c r="A23" i="2"/>
  <c r="B14" i="2"/>
  <c r="B19" i="2" s="1"/>
  <c r="J12" i="2"/>
  <c r="J11" i="2"/>
  <c r="J7" i="2"/>
  <c r="E11" i="2"/>
  <c r="E15" i="2" s="1"/>
  <c r="E20" i="2" s="1"/>
  <c r="F11" i="2"/>
  <c r="F15" i="2" s="1"/>
  <c r="F20" i="2" s="1"/>
  <c r="G11" i="2"/>
  <c r="A11" i="2"/>
  <c r="A15" i="2" s="1"/>
  <c r="A20" i="2" s="1"/>
  <c r="J8" i="2"/>
  <c r="B7" i="2"/>
  <c r="B11" i="2" s="1"/>
  <c r="B15" i="2" s="1"/>
  <c r="B20" i="2" s="1"/>
  <c r="C7" i="2"/>
  <c r="C11" i="2" s="1"/>
  <c r="C15" i="2" s="1"/>
  <c r="C20" i="2" s="1"/>
  <c r="E7" i="2"/>
  <c r="F7" i="2"/>
  <c r="G7" i="2"/>
  <c r="A7" i="2"/>
  <c r="B8" i="2"/>
  <c r="B12" i="2" s="1"/>
  <c r="B16" i="2" s="1"/>
  <c r="B18" i="2" s="1"/>
  <c r="C8" i="2"/>
  <c r="C12" i="2" s="1"/>
  <c r="C16" i="2" s="1"/>
  <c r="C18" i="2" s="1"/>
  <c r="E8" i="2"/>
  <c r="E12" i="2" s="1"/>
  <c r="E16" i="2" s="1"/>
  <c r="E18" i="2" s="1"/>
  <c r="F8" i="2"/>
  <c r="F12" i="2" s="1"/>
  <c r="F16" i="2" s="1"/>
  <c r="F18" i="2" s="1"/>
  <c r="G8" i="2"/>
  <c r="G12" i="2" s="1"/>
  <c r="G15" i="2" s="1"/>
  <c r="G20" i="2" s="1"/>
  <c r="A8" i="2"/>
  <c r="A12" i="2" s="1"/>
  <c r="A16" i="2" s="1"/>
  <c r="A18" i="2" s="1"/>
  <c r="B6" i="2"/>
  <c r="B10" i="2" s="1"/>
  <c r="C6" i="2"/>
  <c r="E6" i="2"/>
  <c r="E10" i="2" s="1"/>
  <c r="E14" i="2" s="1"/>
  <c r="E19" i="2" s="1"/>
  <c r="F6" i="2"/>
  <c r="G6" i="2"/>
  <c r="A6" i="2"/>
  <c r="A10" i="2" s="1"/>
  <c r="A14" i="2" s="1"/>
  <c r="A19" i="2" s="1"/>
  <c r="E200" i="1"/>
  <c r="D201" i="1"/>
  <c r="D200" i="1"/>
  <c r="C201" i="1"/>
  <c r="C202" i="1"/>
  <c r="C154" i="1"/>
  <c r="A186" i="1"/>
  <c r="E184" i="1" a="1"/>
  <c r="E184" i="1" s="1"/>
  <c r="C184" i="1" a="1"/>
  <c r="C184" i="1" s="1"/>
  <c r="G187" i="1" s="1" a="1"/>
  <c r="G187" i="1" s="1"/>
  <c r="B200" i="1"/>
  <c r="S15" i="2" l="1"/>
  <c r="S19" i="2" s="1"/>
  <c r="S14" i="2"/>
  <c r="S20" i="2" s="1"/>
  <c r="R15" i="2"/>
  <c r="R19" i="2" s="1"/>
  <c r="O14" i="2"/>
  <c r="O20" i="2" s="1"/>
  <c r="G16" i="2"/>
  <c r="G18" i="2" s="1"/>
  <c r="G10" i="2"/>
  <c r="G14" i="2" s="1"/>
  <c r="G19" i="2" s="1"/>
  <c r="F10" i="2"/>
  <c r="F14" i="2" s="1"/>
  <c r="F19" i="2" s="1"/>
  <c r="C10" i="2"/>
  <c r="C14" i="2" s="1"/>
  <c r="C19" i="2" s="1"/>
  <c r="C192" i="1" a="1"/>
  <c r="C192" i="1" s="1"/>
  <c r="E192" i="1" s="1" a="1"/>
  <c r="E192" i="1" s="1"/>
  <c r="G184" i="1" a="1"/>
  <c r="G184" i="1" s="1"/>
  <c r="A184" i="1" l="1" a="1"/>
  <c r="A184" i="1" s="1"/>
  <c r="A148" i="1" a="1"/>
  <c r="A148" i="1" s="1"/>
  <c r="C155" i="1" s="1"/>
  <c r="G139" i="1" a="1"/>
  <c r="G139" i="1" s="1"/>
  <c r="G136" i="1" a="1"/>
  <c r="G136" i="1" s="1"/>
  <c r="D136" i="1" a="1"/>
  <c r="D136" i="1" s="1"/>
  <c r="D140" i="1" s="1" a="1"/>
  <c r="D140" i="1" s="1"/>
  <c r="D144" i="1" s="1" a="1"/>
  <c r="D144" i="1" s="1"/>
  <c r="A143" i="1" s="1" a="1"/>
  <c r="A143" i="1" s="1"/>
  <c r="B137" i="1"/>
  <c r="B136" i="1"/>
  <c r="B198" i="1" s="1"/>
  <c r="B199" i="1" s="1"/>
  <c r="B135" i="1"/>
  <c r="I117" i="1"/>
  <c r="H96" i="1"/>
  <c r="H95" i="1"/>
  <c r="E95" i="1" a="1"/>
  <c r="E95" i="1" s="1"/>
  <c r="A95" i="1" a="1"/>
  <c r="A95" i="1" s="1"/>
  <c r="A100" i="1" s="1" a="1"/>
  <c r="A100" i="1" s="1"/>
  <c r="E3" i="1"/>
  <c r="E2" i="1"/>
  <c r="A33" i="1" s="1"/>
  <c r="A16" i="1" a="1"/>
  <c r="A16" i="1" s="1"/>
  <c r="A20" i="1" s="1" a="1"/>
  <c r="A20" i="1" s="1"/>
  <c r="F10" i="1"/>
  <c r="F11" i="1"/>
  <c r="F12" i="1"/>
  <c r="F13" i="1"/>
  <c r="F9" i="1"/>
  <c r="G117" i="1" l="1"/>
  <c r="D16" i="1" a="1"/>
  <c r="D16" i="1" s="1"/>
  <c r="C45" i="1" a="1"/>
  <c r="C45" i="1" s="1"/>
  <c r="A25" i="1" a="1"/>
  <c r="A25" i="1" s="1"/>
  <c r="A106" i="1" a="1"/>
  <c r="A106" i="1" s="1"/>
  <c r="E117" i="1" a="1"/>
  <c r="E117" i="1" s="1"/>
  <c r="A140" i="1" a="1"/>
  <c r="A140" i="1" s="1"/>
  <c r="B143" i="1" s="1"/>
  <c r="B53" i="1"/>
  <c r="B54" i="1"/>
  <c r="B201" i="1"/>
  <c r="B202" i="1"/>
  <c r="B52" i="1"/>
  <c r="B153" i="1"/>
  <c r="B154" i="1"/>
  <c r="D154" i="1" s="1"/>
  <c r="B155" i="1"/>
  <c r="C198" i="1" l="1"/>
  <c r="C153" i="1"/>
  <c r="D153" i="1" s="1"/>
  <c r="E153" i="1" s="1"/>
  <c r="A159" i="1" s="1"/>
  <c r="A160" i="1" s="1"/>
  <c r="D106" i="1" a="1"/>
  <c r="D106" i="1" s="1"/>
  <c r="F106" i="1" s="1" a="1"/>
  <c r="F106" i="1" s="1"/>
  <c r="C117" i="1" a="1"/>
  <c r="C117" i="1" s="1"/>
  <c r="D25" i="1" a="1"/>
  <c r="D25" i="1" s="1"/>
  <c r="F25" i="1" s="1" a="1"/>
  <c r="F25" i="1" s="1"/>
  <c r="C42" i="1" a="1"/>
  <c r="C42" i="1" s="1"/>
  <c r="B57" i="1" a="1"/>
  <c r="B57" i="1" s="1"/>
  <c r="B55" i="1" a="1"/>
  <c r="B55" i="1" s="1"/>
  <c r="B50" i="1" l="1"/>
  <c r="C33" i="1"/>
  <c r="C34" i="1"/>
  <c r="C38" i="1"/>
  <c r="A47" i="1"/>
  <c r="A46" i="1"/>
  <c r="C37" i="1"/>
  <c r="A122" i="1"/>
  <c r="A1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<sst xmlns="http://schemas.openxmlformats.org/spreadsheetml/2006/main" count="137" uniqueCount="99">
  <si>
    <t>Pendapatan Rumah Tangga</t>
  </si>
  <si>
    <t>Konsumsi Energi</t>
  </si>
  <si>
    <t>Matrix X</t>
  </si>
  <si>
    <t>X'X</t>
  </si>
  <si>
    <t>X'z</t>
  </si>
  <si>
    <t>Vektor z</t>
  </si>
  <si>
    <t>Vektor y</t>
  </si>
  <si>
    <t>X'X.inv</t>
  </si>
  <si>
    <t>Penduga tak bias bagi Beta0 dan Beta1</t>
  </si>
  <si>
    <t>Beta0</t>
  </si>
  <si>
    <t>Beta1</t>
  </si>
  <si>
    <t>Penduga tak bias bagi ragam</t>
  </si>
  <si>
    <t>y-Xb</t>
  </si>
  <si>
    <t>n</t>
  </si>
  <si>
    <t>p</t>
  </si>
  <si>
    <t>s^2</t>
  </si>
  <si>
    <t>Selang kepercayaan bagi Beta0 dan Beta1 dengan alpha = 0,05</t>
  </si>
  <si>
    <t>alpha</t>
  </si>
  <si>
    <t>t(3; 0,025)</t>
  </si>
  <si>
    <t>SK Bagi Beta0</t>
  </si>
  <si>
    <t>Batas Atas</t>
  </si>
  <si>
    <t>Batas Bawah</t>
  </si>
  <si>
    <t>SK Bagi Beta1</t>
  </si>
  <si>
    <t>Selang kepercayaan bagi dugaan rata-rata peubah respon dengan x = 57</t>
  </si>
  <si>
    <t>x'*b</t>
  </si>
  <si>
    <t>SK x'*b</t>
  </si>
  <si>
    <t>x*</t>
  </si>
  <si>
    <t>x'*(X'X.inv)x*</t>
  </si>
  <si>
    <t>Daerah kepercayaan gabungan 90% pada pasangan parameter (Beta0, dan Beta1)</t>
  </si>
  <si>
    <t>s^2 p F(p, n-p)</t>
  </si>
  <si>
    <t>c1</t>
  </si>
  <si>
    <t>c2</t>
  </si>
  <si>
    <t>c3</t>
  </si>
  <si>
    <t>c4</t>
  </si>
  <si>
    <t>c5</t>
  </si>
  <si>
    <t>c6</t>
  </si>
  <si>
    <t>Jarak Rumah dari pasar (km)</t>
  </si>
  <si>
    <t>Jarak rumah dari pusat kota (km)</t>
  </si>
  <si>
    <t>Harga (juta rupiah)</t>
  </si>
  <si>
    <t>Selang kepercayaan 90% bagi dugaan rata-rata peubah respons (ukuran rumah 76 m^2m, lokasi berjarak 1,2 km dari pasar dan 1,2 dari pusat kota)</t>
  </si>
  <si>
    <t>X'y</t>
  </si>
  <si>
    <t>Vektor b</t>
  </si>
  <si>
    <t>t(5; 0,025)</t>
  </si>
  <si>
    <t>1+x'*(X'X.inv)x*</t>
  </si>
  <si>
    <t>x</t>
  </si>
  <si>
    <t>y</t>
  </si>
  <si>
    <t>Matriks X</t>
  </si>
  <si>
    <t>vektor y</t>
  </si>
  <si>
    <t>Tabel Anova</t>
  </si>
  <si>
    <t>SK</t>
  </si>
  <si>
    <t>Regresi</t>
  </si>
  <si>
    <t>Galat</t>
  </si>
  <si>
    <t>Total</t>
  </si>
  <si>
    <t>db</t>
  </si>
  <si>
    <t>JK</t>
  </si>
  <si>
    <t>KT</t>
  </si>
  <si>
    <t>F.hitung</t>
  </si>
  <si>
    <t>y'X</t>
  </si>
  <si>
    <t>y'X(X'X.inv)X'y</t>
  </si>
  <si>
    <t>X(X'X.inv)X'</t>
  </si>
  <si>
    <t>I(6)</t>
  </si>
  <si>
    <t>y'(I-X(X'X.inv)X')y</t>
  </si>
  <si>
    <t>atau</t>
  </si>
  <si>
    <t>y'y</t>
  </si>
  <si>
    <t>Keputusan</t>
  </si>
  <si>
    <t>F(2;4;0,05)</t>
  </si>
  <si>
    <t>Regresi Model Penuh</t>
  </si>
  <si>
    <t>Regresi M Tereduksi</t>
  </si>
  <si>
    <t>Regresi b0 setelah b1</t>
  </si>
  <si>
    <t>r</t>
  </si>
  <si>
    <t>y'X1(X1'X1.inv)X1'y</t>
  </si>
  <si>
    <t>X1</t>
  </si>
  <si>
    <t>X1'X1</t>
  </si>
  <si>
    <t>X1'X1.inv</t>
  </si>
  <si>
    <t>y'X1</t>
  </si>
  <si>
    <t>X1'y</t>
  </si>
  <si>
    <t>(sum y)^2 / n</t>
  </si>
  <si>
    <t>F(1;4;0,05)</t>
  </si>
  <si>
    <t>A1 3 + A2</t>
  </si>
  <si>
    <t>A3 3 + A1</t>
  </si>
  <si>
    <t>A1 1/5 - A3</t>
  </si>
  <si>
    <t>A2 1/3 - A1</t>
  </si>
  <si>
    <t>A3 1/16</t>
  </si>
  <si>
    <t>A1 5/32</t>
  </si>
  <si>
    <t>A2 3/8+ A3 1/16</t>
  </si>
  <si>
    <t>A2 4/3</t>
  </si>
  <si>
    <t>A1 A2</t>
  </si>
  <si>
    <t>A3 A1</t>
  </si>
  <si>
    <t>INVERSE MATRIKS</t>
  </si>
  <si>
    <t>Determinan matriks</t>
  </si>
  <si>
    <t>Rank matriks</t>
  </si>
  <si>
    <t>Jika det != 0,  maka rank nya penuh</t>
  </si>
  <si>
    <t>Jika sudah cari inverse nya. Dan ada, maka rank nya penuh</t>
  </si>
  <si>
    <t>Karena Identitas sama dengan bentuk pivot. Yang mana punya rank penuh</t>
  </si>
  <si>
    <t>Jadi rank = 3</t>
  </si>
  <si>
    <t>A3 - A2</t>
  </si>
  <si>
    <t>A1 - 2 A3</t>
  </si>
  <si>
    <t>A2 - A1</t>
  </si>
  <si>
    <t>A1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</si>
</sst>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4" borderId="0" xfId="0" applyFill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4" borderId="7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12" fontId="0" fillId="0" borderId="1" xfId="0" applyNumberFormat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0" borderId="1" xfId="0" applyBorder="1"/>
    <xf numFmtId="12" fontId="0" fillId="0" borderId="1" xfId="0" applyNumberFormat="1" applyBorder="1"/>
    <xf numFmtId="12" fontId="0" fillId="0" borderId="0" xfId="0" applyNumberFormat="1"/>
    <xf numFmtId="12" fontId="0" fillId="6" borderId="1" xfId="0" applyNumberFormat="1" applyFill="1" applyBorder="1"/>
    <xf numFmtId="12" fontId="0" fillId="0" borderId="7" xfId="0" applyNumberFormat="1" applyBorder="1"/>
    <xf numFmtId="0" fontId="0" fillId="0" borderId="8" xfId="0" applyBorder="1"/>
    <xf numFmtId="12" fontId="0" fillId="0" borderId="9" xfId="0" applyNumberFormat="1" applyBorder="1"/>
    <xf numFmtId="12" fontId="0" fillId="0" borderId="8" xfId="0" applyNumberFormat="1" applyBorder="1"/>
    <xf numFmtId="0" fontId="0" fillId="0" borderId="9" xfId="0" applyBorder="1"/>
    <xf numFmtId="12" fontId="0" fillId="0" borderId="16" xfId="0" applyNumberFormat="1" applyBorder="1"/>
    <xf numFmtId="12" fontId="0" fillId="0" borderId="17" xfId="0" applyNumberFormat="1" applyBorder="1"/>
    <xf numFmtId="12" fontId="0" fillId="0" borderId="12" xfId="0" applyNumberFormat="1" applyBorder="1"/>
    <xf numFmtId="12" fontId="0" fillId="6" borderId="17" xfId="0" applyNumberFormat="1" applyFill="1" applyBorder="1"/>
    <xf numFmtId="0" fontId="0" fillId="0" borderId="12" xfId="0" applyBorder="1"/>
    <xf numFmtId="0" fontId="0" fillId="5" borderId="0" xfId="0" applyFill="1"/>
    <xf numFmtId="12" fontId="0" fillId="8" borderId="1" xfId="0" applyNumberFormat="1" applyFill="1" applyBorder="1"/>
    <xf numFmtId="0" fontId="0" fillId="6" borderId="1" xfId="0" applyFill="1" applyBorder="1"/>
    <xf numFmtId="0" fontId="0" fillId="9" borderId="1" xfId="0" applyFill="1" applyBorder="1"/>
    <xf numFmtId="0" fontId="0" fillId="0" borderId="6" xfId="0" applyBorder="1"/>
    <xf numFmtId="0" fontId="0" fillId="0" borderId="7" xfId="0" applyBorder="1"/>
    <xf numFmtId="0" fontId="0" fillId="9" borderId="15" xfId="0" applyFill="1" applyBorder="1"/>
    <xf numFmtId="0" fontId="0" fillId="0" borderId="16" xfId="0" applyBorder="1"/>
    <xf numFmtId="0" fontId="0" fillId="0" borderId="17" xfId="0" applyBorder="1"/>
    <xf numFmtId="0" fontId="0" fillId="6" borderId="17" xfId="0" applyFill="1" applyBorder="1"/>
    <xf numFmtId="0" fontId="0" fillId="9" borderId="17" xfId="0" applyFill="1" applyBorder="1"/>
    <xf numFmtId="0" fontId="0" fillId="9" borderId="18" xfId="0" applyFill="1" applyBorder="1"/>
    <xf numFmtId="0" fontId="0" fillId="5" borderId="1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24848</xdr:colOff>
      <xdr:row>17</xdr:row>
      <xdr:rowOff>66261</xdr:rowOff>
    </xdr:from>
    <xdr:ext cx="579783" cy="28989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379539-92E4-472C-BE9E-5AA5EE3E2191}"/>
            </a:ext>
          </a:extLst>
        </xdr:cNvPr>
        <xdr:cNvSpPr txBox="1"/>
      </xdr:nvSpPr>
      <xdr:spPr>
        <a:xfrm>
          <a:off x="4315239" y="3304761"/>
          <a:ext cx="579783" cy="2898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Sama</a:t>
          </a:r>
        </a:p>
      </xdr:txBody>
    </xdr:sp>
    <xdr:clientData/>
  </xdr:oneCellAnchor>
  <xdr:oneCellAnchor>
    <xdr:from>
      <xdr:col>19</xdr:col>
      <xdr:colOff>19707</xdr:colOff>
      <xdr:row>17</xdr:row>
      <xdr:rowOff>0</xdr:rowOff>
    </xdr:from>
    <xdr:ext cx="579783" cy="28989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AEEE75F-B53D-47F4-B87F-8A58FE6720EB}"/>
            </a:ext>
          </a:extLst>
        </xdr:cNvPr>
        <xdr:cNvSpPr txBox="1"/>
      </xdr:nvSpPr>
      <xdr:spPr>
        <a:xfrm>
          <a:off x="4296104" y="8198069"/>
          <a:ext cx="579783" cy="2898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Sama</a:t>
          </a:r>
        </a:p>
      </xdr:txBody>
    </xdr:sp>
    <xdr:clientData/>
  </xdr:oneCellAnchor>
  <xdr:twoCellAnchor editAs="oneCell">
    <xdr:from>
      <xdr:col>0</xdr:col>
      <xdr:colOff>538370</xdr:colOff>
      <xdr:row>28</xdr:row>
      <xdr:rowOff>49695</xdr:rowOff>
    </xdr:from>
    <xdr:to>
      <xdr:col>13</xdr:col>
      <xdr:colOff>580024</xdr:colOff>
      <xdr:row>40</xdr:row>
      <xdr:rowOff>68457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CBA5BD-AD33-498D-7D30-3E3924141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370" y="5391978"/>
          <a:ext cx="8009524" cy="2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858080</xdr:colOff>
      <xdr:row>45</xdr:row>
      <xdr:rowOff>65551</xdr:rowOff>
    </xdr:from>
    <xdr:to>
      <xdr:col>4</xdr:col>
      <xdr:colOff>245639</xdr:colOff>
      <xdr:row>47</xdr:row>
      <xdr:rowOff>32833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01494-0405-5C89-4506-23573CC99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841" y="8828551"/>
          <a:ext cx="1806081" cy="348282"/>
        </a:xfrm>
        <a:prstGeom prst="rect">
          <a:avLst/>
        </a:prstGeom>
      </xdr:spPr>
    </xdr:pic>
    <xdr:clientData/>
  </xdr:twoCellAnchor>
  <xdr:twoCellAnchor editAs="oneCell">
    <xdr:from>
      <xdr:col>2</xdr:col>
      <xdr:colOff>107674</xdr:colOff>
      <xdr:row>49</xdr:row>
      <xdr:rowOff>49696</xdr:rowOff>
    </xdr:from>
    <xdr:to>
      <xdr:col>6</xdr:col>
      <xdr:colOff>371163</xdr:colOff>
      <xdr:row>50</xdr:row>
      <xdr:rowOff>132522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F4A0E4-A555-8182-AEC8-933A4274C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326" y="9574696"/>
          <a:ext cx="3046445" cy="273326"/>
        </a:xfrm>
        <a:prstGeom prst="rect">
          <a:avLst/>
        </a:prstGeom>
      </xdr:spPr>
    </xdr:pic>
    <xdr:clientData/>
  </xdr:twoCellAnchor>
  <xdr:twoCellAnchor editAs="oneCell">
    <xdr:from>
      <xdr:col>2</xdr:col>
      <xdr:colOff>168557</xdr:colOff>
      <xdr:row>50</xdr:row>
      <xdr:rowOff>182216</xdr:rowOff>
    </xdr:from>
    <xdr:to>
      <xdr:col>8</xdr:col>
      <xdr:colOff>5218</xdr:colOff>
      <xdr:row>62</xdr:row>
      <xdr:rowOff>124239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C98750-822C-139D-20A1-B3CB32D6A2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34909"/>
        <a:stretch/>
      </xdr:blipFill>
      <xdr:spPr>
        <a:xfrm>
          <a:off x="2239209" y="9897716"/>
          <a:ext cx="3845443" cy="2228023"/>
        </a:xfrm>
        <a:prstGeom prst="rect">
          <a:avLst/>
        </a:prstGeom>
      </xdr:spPr>
    </xdr:pic>
    <xdr:clientData/>
  </xdr:twoCellAnchor>
  <xdr:twoCellAnchor editAs="oneCell">
    <xdr:from>
      <xdr:col>2</xdr:col>
      <xdr:colOff>165653</xdr:colOff>
      <xdr:row>62</xdr:row>
      <xdr:rowOff>111512</xdr:rowOff>
    </xdr:from>
    <xdr:to>
      <xdr:col>8</xdr:col>
      <xdr:colOff>1</xdr:colOff>
      <xdr:row>75</xdr:row>
      <xdr:rowOff>107174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3A55CBA-C142-64A5-9C96-09E3E0808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36305" y="12113012"/>
          <a:ext cx="3843130" cy="2472162"/>
        </a:xfrm>
        <a:prstGeom prst="rect">
          <a:avLst/>
        </a:prstGeom>
      </xdr:spPr>
    </xdr:pic>
    <xdr:clientData/>
  </xdr:twoCellAnchor>
  <xdr:twoCellAnchor editAs="oneCell">
    <xdr:from>
      <xdr:col>2</xdr:col>
      <xdr:colOff>182218</xdr:colOff>
      <xdr:row>75</xdr:row>
      <xdr:rowOff>190012</xdr:rowOff>
    </xdr:from>
    <xdr:to>
      <xdr:col>7</xdr:col>
      <xdr:colOff>512509</xdr:colOff>
      <xdr:row>80</xdr:row>
      <xdr:rowOff>132521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DC53FF8-F736-A916-9C32-DD5F66917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52870" y="14668012"/>
          <a:ext cx="3726160" cy="895009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</xdr:colOff>
      <xdr:row>25</xdr:row>
      <xdr:rowOff>121691</xdr:rowOff>
    </xdr:from>
    <xdr:to>
      <xdr:col>7</xdr:col>
      <xdr:colOff>297276</xdr:colOff>
      <xdr:row>28</xdr:row>
      <xdr:rowOff>56497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1EBCBB-EBDD-52B4-4519-1590CE52E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8999" y="5074691"/>
          <a:ext cx="2193994" cy="506306"/>
        </a:xfrm>
        <a:prstGeom prst="rect">
          <a:avLst/>
        </a:prstGeom>
      </xdr:spPr>
    </xdr:pic>
    <xdr:clientData/>
  </xdr:twoCellAnchor>
  <xdr:twoCellAnchor>
    <xdr:from>
      <xdr:col>6</xdr:col>
      <xdr:colOff>124239</xdr:colOff>
      <xdr:row>21</xdr:row>
      <xdr:rowOff>173935</xdr:rowOff>
    </xdr:from>
    <xdr:to>
      <xdr:col>6</xdr:col>
      <xdr:colOff>521805</xdr:colOff>
      <xdr:row>24</xdr:row>
      <xdr:rowOff>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C39D741-F0E2-D62A-FAC8-BFC2AA798514}"/>
            </a:ext>
          </a:extLst>
        </xdr:cNvPr>
        <xdr:cNvSpPr/>
      </xdr:nvSpPr>
      <xdr:spPr>
        <a:xfrm>
          <a:off x="4646543" y="4364935"/>
          <a:ext cx="397566" cy="397566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4</a:t>
          </a:r>
          <a:endParaRPr lang="id-ID" sz="2000" b="1"/>
        </a:p>
      </xdr:txBody>
    </xdr:sp>
    <xdr:clientData/>
  </xdr:twoCellAnchor>
  <xdr:twoCellAnchor editAs="oneCell">
    <xdr:from>
      <xdr:col>0</xdr:col>
      <xdr:colOff>16566</xdr:colOff>
      <xdr:row>26</xdr:row>
      <xdr:rowOff>41414</xdr:rowOff>
    </xdr:from>
    <xdr:to>
      <xdr:col>1</xdr:col>
      <xdr:colOff>190500</xdr:colOff>
      <xdr:row>27</xdr:row>
      <xdr:rowOff>124820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4099F3E-134A-CACB-D85B-9BCABA705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66" y="5184914"/>
          <a:ext cx="1457738" cy="273906"/>
        </a:xfrm>
        <a:prstGeom prst="rect">
          <a:avLst/>
        </a:prstGeom>
      </xdr:spPr>
    </xdr:pic>
    <xdr:clientData/>
  </xdr:twoCellAnchor>
  <xdr:twoCellAnchor editAs="oneCell">
    <xdr:from>
      <xdr:col>2</xdr:col>
      <xdr:colOff>91110</xdr:colOff>
      <xdr:row>4</xdr:row>
      <xdr:rowOff>107674</xdr:rowOff>
    </xdr:from>
    <xdr:to>
      <xdr:col>5</xdr:col>
      <xdr:colOff>367509</xdr:colOff>
      <xdr:row>6</xdr:row>
      <xdr:rowOff>73742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4F497B-FCE3-D81B-7A5B-AB9C14A74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61762" y="1060174"/>
          <a:ext cx="2255942" cy="347068"/>
        </a:xfrm>
        <a:prstGeom prst="rect">
          <a:avLst/>
        </a:prstGeom>
      </xdr:spPr>
    </xdr:pic>
    <xdr:clientData/>
  </xdr:twoCellAnchor>
  <xdr:twoCellAnchor editAs="oneCell">
    <xdr:from>
      <xdr:col>4</xdr:col>
      <xdr:colOff>524086</xdr:colOff>
      <xdr:row>13</xdr:row>
      <xdr:rowOff>24849</xdr:rowOff>
    </xdr:from>
    <xdr:to>
      <xdr:col>5</xdr:col>
      <xdr:colOff>770283</xdr:colOff>
      <xdr:row>14</xdr:row>
      <xdr:rowOff>132942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4F8707-0D0E-39DA-0F3E-7C00264FC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20564" y="2691849"/>
          <a:ext cx="859110" cy="298593"/>
        </a:xfrm>
        <a:prstGeom prst="rect">
          <a:avLst/>
        </a:prstGeom>
      </xdr:spPr>
    </xdr:pic>
    <xdr:clientData/>
  </xdr:twoCellAnchor>
  <xdr:twoCellAnchor editAs="oneCell">
    <xdr:from>
      <xdr:col>0</xdr:col>
      <xdr:colOff>24848</xdr:colOff>
      <xdr:row>33</xdr:row>
      <xdr:rowOff>8282</xdr:rowOff>
    </xdr:from>
    <xdr:to>
      <xdr:col>1</xdr:col>
      <xdr:colOff>585004</xdr:colOff>
      <xdr:row>36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B0B9AC7-63AE-6572-A0AE-E4E0B8621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48" y="6485282"/>
          <a:ext cx="1843960" cy="563218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397566</xdr:colOff>
      <xdr:row>32</xdr:row>
      <xdr:rowOff>16566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20714D1-9D6E-4825-9C12-43A0B768D67F}"/>
            </a:ext>
          </a:extLst>
        </xdr:cNvPr>
        <xdr:cNvSpPr/>
      </xdr:nvSpPr>
      <xdr:spPr>
        <a:xfrm>
          <a:off x="3909391" y="5905500"/>
          <a:ext cx="397566" cy="397566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5</a:t>
          </a:r>
          <a:endParaRPr lang="id-ID" sz="2000" b="1"/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7</xdr:col>
      <xdr:colOff>397566</xdr:colOff>
      <xdr:row>50</xdr:row>
      <xdr:rowOff>16566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B6A6568-913A-4889-A5F8-550173DAAD08}"/>
            </a:ext>
          </a:extLst>
        </xdr:cNvPr>
        <xdr:cNvSpPr/>
      </xdr:nvSpPr>
      <xdr:spPr>
        <a:xfrm>
          <a:off x="5135217" y="9334500"/>
          <a:ext cx="397566" cy="397566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6</a:t>
          </a:r>
          <a:endParaRPr lang="id-ID" sz="2000" b="1"/>
        </a:p>
      </xdr:txBody>
    </xdr:sp>
    <xdr:clientData/>
  </xdr:twoCellAnchor>
  <xdr:twoCellAnchor editAs="oneCell">
    <xdr:from>
      <xdr:col>0</xdr:col>
      <xdr:colOff>33131</xdr:colOff>
      <xdr:row>108</xdr:row>
      <xdr:rowOff>82826</xdr:rowOff>
    </xdr:from>
    <xdr:to>
      <xdr:col>1</xdr:col>
      <xdr:colOff>207065</xdr:colOff>
      <xdr:row>109</xdr:row>
      <xdr:rowOff>166232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14B3ECA-AF52-4C53-97A4-1A513F150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131" y="20847326"/>
          <a:ext cx="1457738" cy="273906"/>
        </a:xfrm>
        <a:prstGeom prst="rect">
          <a:avLst/>
        </a:prstGeom>
      </xdr:spPr>
    </xdr:pic>
    <xdr:clientData/>
  </xdr:twoCellAnchor>
  <xdr:twoCellAnchor editAs="oneCell">
    <xdr:from>
      <xdr:col>4</xdr:col>
      <xdr:colOff>99392</xdr:colOff>
      <xdr:row>106</xdr:row>
      <xdr:rowOff>49697</xdr:rowOff>
    </xdr:from>
    <xdr:to>
      <xdr:col>7</xdr:col>
      <xdr:colOff>264147</xdr:colOff>
      <xdr:row>108</xdr:row>
      <xdr:rowOff>175003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AA50029-CE89-482A-A27B-E930F4EB9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36675" y="20623697"/>
          <a:ext cx="2193994" cy="506306"/>
        </a:xfrm>
        <a:prstGeom prst="rect">
          <a:avLst/>
        </a:prstGeom>
      </xdr:spPr>
    </xdr:pic>
    <xdr:clientData/>
  </xdr:twoCellAnchor>
  <xdr:twoCellAnchor editAs="oneCell">
    <xdr:from>
      <xdr:col>2</xdr:col>
      <xdr:colOff>397567</xdr:colOff>
      <xdr:row>117</xdr:row>
      <xdr:rowOff>33130</xdr:rowOff>
    </xdr:from>
    <xdr:to>
      <xdr:col>5</xdr:col>
      <xdr:colOff>712306</xdr:colOff>
      <xdr:row>119</xdr:row>
      <xdr:rowOff>65587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F3D6F77-B3E9-4A5A-497F-51AC85F22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68219" y="22702630"/>
          <a:ext cx="2294282" cy="413457"/>
        </a:xfrm>
        <a:prstGeom prst="rect">
          <a:avLst/>
        </a:prstGeom>
      </xdr:spPr>
    </xdr:pic>
    <xdr:clientData/>
  </xdr:twoCellAnchor>
  <xdr:twoCellAnchor editAs="oneCell">
    <xdr:from>
      <xdr:col>4</xdr:col>
      <xdr:colOff>107672</xdr:colOff>
      <xdr:row>15</xdr:row>
      <xdr:rowOff>16566</xdr:rowOff>
    </xdr:from>
    <xdr:to>
      <xdr:col>7</xdr:col>
      <xdr:colOff>438294</xdr:colOff>
      <xdr:row>20</xdr:row>
      <xdr:rowOff>79580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6BD765-1867-7045-C22B-B6D8C16EE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44955" y="3064566"/>
          <a:ext cx="2359861" cy="1015514"/>
        </a:xfrm>
        <a:prstGeom prst="rect">
          <a:avLst/>
        </a:prstGeom>
      </xdr:spPr>
    </xdr:pic>
    <xdr:clientData/>
  </xdr:twoCellAnchor>
  <xdr:twoCellAnchor editAs="oneCell">
    <xdr:from>
      <xdr:col>7</xdr:col>
      <xdr:colOff>131335</xdr:colOff>
      <xdr:row>127</xdr:row>
      <xdr:rowOff>16565</xdr:rowOff>
    </xdr:from>
    <xdr:to>
      <xdr:col>11</xdr:col>
      <xdr:colOff>221332</xdr:colOff>
      <xdr:row>132</xdr:row>
      <xdr:rowOff>157369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AF7A876-4D29-0A1A-3F0F-71D1D25A1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07357" y="24615913"/>
          <a:ext cx="2541649" cy="1093304"/>
        </a:xfrm>
        <a:prstGeom prst="rect">
          <a:avLst/>
        </a:prstGeom>
      </xdr:spPr>
    </xdr:pic>
    <xdr:clientData/>
  </xdr:twoCellAnchor>
  <xdr:twoCellAnchor editAs="oneCell">
    <xdr:from>
      <xdr:col>6</xdr:col>
      <xdr:colOff>56509</xdr:colOff>
      <xdr:row>149</xdr:row>
      <xdr:rowOff>82336</xdr:rowOff>
    </xdr:from>
    <xdr:to>
      <xdr:col>13</xdr:col>
      <xdr:colOff>2219</xdr:colOff>
      <xdr:row>156</xdr:row>
      <xdr:rowOff>165162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A19B763-5C5E-B642-C9CE-AB48156F8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19618" y="28872684"/>
          <a:ext cx="4229324" cy="1416326"/>
        </a:xfrm>
        <a:prstGeom prst="rect">
          <a:avLst/>
        </a:prstGeom>
      </xdr:spPr>
    </xdr:pic>
    <xdr:clientData/>
  </xdr:twoCellAnchor>
  <xdr:twoCellAnchor editAs="oneCell">
    <xdr:from>
      <xdr:col>0</xdr:col>
      <xdr:colOff>24848</xdr:colOff>
      <xdr:row>155</xdr:row>
      <xdr:rowOff>66261</xdr:rowOff>
    </xdr:from>
    <xdr:to>
      <xdr:col>1</xdr:col>
      <xdr:colOff>690642</xdr:colOff>
      <xdr:row>156</xdr:row>
      <xdr:rowOff>173935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30F5F8A-8971-B7AB-6FEF-AF39BE1B5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848" y="29999609"/>
          <a:ext cx="1949598" cy="298174"/>
        </a:xfrm>
        <a:prstGeom prst="rect">
          <a:avLst/>
        </a:prstGeom>
      </xdr:spPr>
    </xdr:pic>
    <xdr:clientData/>
  </xdr:twoCellAnchor>
  <xdr:oneCellAnchor>
    <xdr:from>
      <xdr:col>1</xdr:col>
      <xdr:colOff>124239</xdr:colOff>
      <xdr:row>158</xdr:row>
      <xdr:rowOff>33130</xdr:rowOff>
    </xdr:from>
    <xdr:ext cx="4532586" cy="47624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A82A6A3-004C-46E4-B71F-37B7415E8EE0}"/>
            </a:ext>
          </a:extLst>
        </xdr:cNvPr>
        <xdr:cNvSpPr txBox="1"/>
      </xdr:nvSpPr>
      <xdr:spPr>
        <a:xfrm>
          <a:off x="1143000" y="30537978"/>
          <a:ext cx="4532586" cy="4762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Artinya</a:t>
          </a:r>
          <a:r>
            <a:rPr lang="en-US" sz="1100" b="0"/>
            <a:t> cukup bukti untuk menyatakan bahwa </a:t>
          </a:r>
          <a:r>
            <a:rPr lang="en-US" sz="1100" b="1"/>
            <a:t>ada</a:t>
          </a:r>
          <a:r>
            <a:rPr lang="en-US" sz="1100" b="1" baseline="0"/>
            <a:t> pengaruh yang signifikan </a:t>
          </a:r>
          <a:r>
            <a:rPr lang="en-US" sz="1100" b="0" baseline="0"/>
            <a:t>antara parameter terhadap model pada taraf nyata 5%.</a:t>
          </a:r>
          <a:endParaRPr lang="id-ID" b="0">
            <a:effectLst/>
          </a:endParaRPr>
        </a:p>
      </xdr:txBody>
    </xdr:sp>
    <xdr:clientData/>
  </xdr:oneCellAnchor>
  <xdr:oneCellAnchor>
    <xdr:from>
      <xdr:col>0</xdr:col>
      <xdr:colOff>8282</xdr:colOff>
      <xdr:row>143</xdr:row>
      <xdr:rowOff>24848</xdr:rowOff>
    </xdr:from>
    <xdr:ext cx="1921565" cy="47624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A9AE146-72BC-43BC-AD4B-B590F4D6B0B2}"/>
            </a:ext>
          </a:extLst>
        </xdr:cNvPr>
        <xdr:cNvSpPr txBox="1"/>
      </xdr:nvSpPr>
      <xdr:spPr>
        <a:xfrm>
          <a:off x="8282" y="27672196"/>
          <a:ext cx="1921565" cy="4762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Jangan Pake </a:t>
          </a:r>
          <a:r>
            <a:rPr lang="en-US" sz="1100" b="0"/>
            <a:t>cara ini, susah. </a:t>
          </a:r>
        </a:p>
        <a:p>
          <a:r>
            <a:rPr lang="en-US" sz="1100" b="0"/>
            <a:t>Pake yang</a:t>
          </a:r>
          <a:r>
            <a:rPr lang="en-US" sz="1100" b="0" baseline="0"/>
            <a:t> JKG =</a:t>
          </a:r>
          <a:r>
            <a:rPr lang="en-US" sz="1100" b="0"/>
            <a:t> JKT</a:t>
          </a:r>
          <a:r>
            <a:rPr lang="en-US" sz="1100" b="0" baseline="0"/>
            <a:t> - JKR saja.</a:t>
          </a:r>
          <a:endParaRPr lang="id-ID" b="0">
            <a:effectLst/>
          </a:endParaRPr>
        </a:p>
      </xdr:txBody>
    </xdr:sp>
    <xdr:clientData/>
  </xdr:oneCellAnchor>
  <xdr:twoCellAnchor editAs="oneCell">
    <xdr:from>
      <xdr:col>0</xdr:col>
      <xdr:colOff>0</xdr:colOff>
      <xdr:row>160</xdr:row>
      <xdr:rowOff>182217</xdr:rowOff>
    </xdr:from>
    <xdr:to>
      <xdr:col>3</xdr:col>
      <xdr:colOff>312874</xdr:colOff>
      <xdr:row>169</xdr:row>
      <xdr:rowOff>181029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1E59300-4EF5-A60D-6C84-25317DAB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1068065"/>
          <a:ext cx="3402287" cy="1713312"/>
        </a:xfrm>
        <a:prstGeom prst="rect">
          <a:avLst/>
        </a:prstGeom>
      </xdr:spPr>
    </xdr:pic>
    <xdr:clientData/>
  </xdr:twoCellAnchor>
  <xdr:twoCellAnchor editAs="oneCell">
    <xdr:from>
      <xdr:col>3</xdr:col>
      <xdr:colOff>611030</xdr:colOff>
      <xdr:row>160</xdr:row>
      <xdr:rowOff>149086</xdr:rowOff>
    </xdr:from>
    <xdr:to>
      <xdr:col>7</xdr:col>
      <xdr:colOff>348137</xdr:colOff>
      <xdr:row>171</xdr:row>
      <xdr:rowOff>136017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EEC25A6-BFD6-B3BF-983E-33EE10B3B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35400" y="31034934"/>
          <a:ext cx="2379259" cy="2082431"/>
        </a:xfrm>
        <a:prstGeom prst="rect">
          <a:avLst/>
        </a:prstGeom>
      </xdr:spPr>
    </xdr:pic>
    <xdr:clientData/>
  </xdr:twoCellAnchor>
  <xdr:twoCellAnchor editAs="oneCell">
    <xdr:from>
      <xdr:col>0</xdr:col>
      <xdr:colOff>16565</xdr:colOff>
      <xdr:row>171</xdr:row>
      <xdr:rowOff>155190</xdr:rowOff>
    </xdr:from>
    <xdr:to>
      <xdr:col>4</xdr:col>
      <xdr:colOff>589075</xdr:colOff>
      <xdr:row>181</xdr:row>
      <xdr:rowOff>50121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FC2A411-0698-40B7-0E0C-270896800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565" y="33136538"/>
          <a:ext cx="4274836" cy="1799931"/>
        </a:xfrm>
        <a:prstGeom prst="rect">
          <a:avLst/>
        </a:prstGeom>
      </xdr:spPr>
    </xdr:pic>
    <xdr:clientData/>
  </xdr:twoCellAnchor>
  <xdr:oneCellAnchor>
    <xdr:from>
      <xdr:col>5</xdr:col>
      <xdr:colOff>34845</xdr:colOff>
      <xdr:row>177</xdr:row>
      <xdr:rowOff>94537</xdr:rowOff>
    </xdr:from>
    <xdr:ext cx="1159565" cy="72658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392B7B7-3C60-433A-9363-A81B2676ADCE}"/>
            </a:ext>
          </a:extLst>
        </xdr:cNvPr>
        <xdr:cNvSpPr txBox="1"/>
      </xdr:nvSpPr>
      <xdr:spPr>
        <a:xfrm>
          <a:off x="4350655" y="34213744"/>
          <a:ext cx="1159565" cy="72658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Notes : </a:t>
          </a:r>
        </a:p>
        <a:p>
          <a:r>
            <a:rPr lang="en-US" sz="1100" b="0"/>
            <a:t>Gamma 1 = b0</a:t>
          </a:r>
        </a:p>
        <a:p>
          <a:r>
            <a:rPr lang="en-US" sz="1100" b="0">
              <a:effectLst/>
            </a:rPr>
            <a:t>Gamma 2 = b1</a:t>
          </a:r>
        </a:p>
      </xdr:txBody>
    </xdr:sp>
    <xdr:clientData/>
  </xdr:oneCellAnchor>
  <xdr:twoCellAnchor editAs="oneCell">
    <xdr:from>
      <xdr:col>7</xdr:col>
      <xdr:colOff>358587</xdr:colOff>
      <xdr:row>158</xdr:row>
      <xdr:rowOff>2186</xdr:rowOff>
    </xdr:from>
    <xdr:to>
      <xdr:col>14</xdr:col>
      <xdr:colOff>41212</xdr:colOff>
      <xdr:row>170</xdr:row>
      <xdr:rowOff>93538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1566B9A-77FF-3E81-49CA-C6EA84841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73587" y="30510761"/>
          <a:ext cx="3949825" cy="2377352"/>
        </a:xfrm>
        <a:prstGeom prst="rect">
          <a:avLst/>
        </a:prstGeom>
      </xdr:spPr>
    </xdr:pic>
    <xdr:clientData/>
  </xdr:twoCellAnchor>
  <xdr:twoCellAnchor editAs="oneCell">
    <xdr:from>
      <xdr:col>7</xdr:col>
      <xdr:colOff>419156</xdr:colOff>
      <xdr:row>170</xdr:row>
      <xdr:rowOff>190499</xdr:rowOff>
    </xdr:from>
    <xdr:to>
      <xdr:col>15</xdr:col>
      <xdr:colOff>68112</xdr:colOff>
      <xdr:row>185</xdr:row>
      <xdr:rowOff>20134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2337F04-E37E-99E7-72CF-BE5902AB8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34156" y="32985074"/>
          <a:ext cx="4525756" cy="2687135"/>
        </a:xfrm>
        <a:prstGeom prst="rect">
          <a:avLst/>
        </a:prstGeom>
      </xdr:spPr>
    </xdr:pic>
    <xdr:clientData/>
  </xdr:twoCellAnchor>
  <xdr:oneCellAnchor>
    <xdr:from>
      <xdr:col>0</xdr:col>
      <xdr:colOff>9525</xdr:colOff>
      <xdr:row>186</xdr:row>
      <xdr:rowOff>9525</xdr:rowOff>
    </xdr:from>
    <xdr:ext cx="1159565" cy="48577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DEADF74-DDF2-49E2-ACA9-8400C64FFD6A}"/>
            </a:ext>
          </a:extLst>
        </xdr:cNvPr>
        <xdr:cNvSpPr txBox="1"/>
      </xdr:nvSpPr>
      <xdr:spPr>
        <a:xfrm>
          <a:off x="9525" y="35852100"/>
          <a:ext cx="1159565" cy="4857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Mending</a:t>
          </a:r>
          <a:r>
            <a:rPr lang="en-US" sz="1100" b="1" baseline="0"/>
            <a:t> pake yang bawah</a:t>
          </a:r>
          <a:endParaRPr lang="en-US" sz="1100" b="1"/>
        </a:p>
      </xdr:txBody>
    </xdr:sp>
    <xdr:clientData/>
  </xdr:oneCellAnchor>
  <xdr:oneCellAnchor>
    <xdr:from>
      <xdr:col>1</xdr:col>
      <xdr:colOff>41413</xdr:colOff>
      <xdr:row>203</xdr:row>
      <xdr:rowOff>140805</xdr:rowOff>
    </xdr:from>
    <xdr:ext cx="4704521" cy="476249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50AB7F0-7740-4558-83E7-0E109DBF9A15}"/>
            </a:ext>
          </a:extLst>
        </xdr:cNvPr>
        <xdr:cNvSpPr txBox="1"/>
      </xdr:nvSpPr>
      <xdr:spPr>
        <a:xfrm>
          <a:off x="1325217" y="39218153"/>
          <a:ext cx="4704521" cy="4762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Artinya</a:t>
          </a:r>
          <a:r>
            <a:rPr lang="en-US" sz="1100" b="0"/>
            <a:t> cukup bukti untuk menyatakan bahwa </a:t>
          </a:r>
          <a:r>
            <a:rPr lang="en-US" sz="1100" b="1"/>
            <a:t>peubah</a:t>
          </a:r>
          <a:r>
            <a:rPr lang="en-US" sz="1100" b="1" baseline="0"/>
            <a:t> penjelas </a:t>
          </a:r>
          <a:r>
            <a:rPr lang="en-US" sz="1100" b="0" baseline="0"/>
            <a:t>berpengaruh </a:t>
          </a:r>
          <a:r>
            <a:rPr lang="en-US" sz="1100" b="1" baseline="0"/>
            <a:t>signifikan</a:t>
          </a:r>
          <a:r>
            <a:rPr lang="en-US" sz="1100" b="0" baseline="0"/>
            <a:t> setelah ada</a:t>
          </a:r>
          <a:r>
            <a:rPr lang="en-US" sz="1100" b="1" baseline="0"/>
            <a:t> intersep </a:t>
          </a:r>
          <a:r>
            <a:rPr lang="en-US" sz="1100" b="0" baseline="0"/>
            <a:t>dalam model pada taraf nyata 5%.</a:t>
          </a:r>
          <a:endParaRPr lang="id-ID" b="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A2D0-B612-40A6-BE20-3655C0F4288E}">
  <dimension ref="A1:W26"/>
  <sheetViews>
    <sheetView zoomScale="115" zoomScaleNormal="115" workbookViewId="0">
      <selection activeCell="L27" sqref="L27"/>
    </sheetView>
  </sheetViews>
  <sheetFormatPr defaultRowHeight="15" x14ac:dyDescent="0.25"/>
  <sheetData>
    <row r="1" spans="1:23" x14ac:dyDescent="0.25">
      <c r="A1" s="55" t="s">
        <v>88</v>
      </c>
      <c r="B1" s="56"/>
      <c r="C1" s="56"/>
      <c r="D1" s="56"/>
      <c r="E1" s="56"/>
      <c r="F1" s="56"/>
      <c r="G1" s="56"/>
      <c r="H1" s="56"/>
      <c r="I1" s="56"/>
      <c r="J1" s="57"/>
      <c r="M1" s="55" t="s">
        <v>88</v>
      </c>
      <c r="N1" s="56"/>
      <c r="O1" s="56"/>
      <c r="P1" s="56"/>
      <c r="Q1" s="56"/>
      <c r="R1" s="56"/>
      <c r="S1" s="56"/>
      <c r="T1" s="56"/>
      <c r="U1" s="56"/>
      <c r="V1" s="57"/>
      <c r="W1" s="47"/>
    </row>
    <row r="2" spans="1:23" x14ac:dyDescent="0.25">
      <c r="A2" s="33">
        <v>3</v>
      </c>
      <c r="B2" s="30">
        <v>2</v>
      </c>
      <c r="C2" s="30">
        <v>-1</v>
      </c>
      <c r="D2" s="31"/>
      <c r="E2" s="30">
        <v>1</v>
      </c>
      <c r="F2" s="30">
        <v>0</v>
      </c>
      <c r="G2" s="30">
        <v>0</v>
      </c>
      <c r="H2" t="s">
        <v>78</v>
      </c>
      <c r="J2" s="34"/>
      <c r="M2" s="48">
        <v>2</v>
      </c>
      <c r="N2" s="29">
        <v>0</v>
      </c>
      <c r="O2" s="29">
        <v>1</v>
      </c>
      <c r="Q2" s="29">
        <v>1</v>
      </c>
      <c r="R2" s="29">
        <v>0</v>
      </c>
      <c r="S2" s="29">
        <v>0</v>
      </c>
      <c r="W2" s="34"/>
    </row>
    <row r="3" spans="1:23" x14ac:dyDescent="0.25">
      <c r="A3" s="33">
        <v>1</v>
      </c>
      <c r="B3" s="30">
        <v>6</v>
      </c>
      <c r="C3" s="30">
        <v>3</v>
      </c>
      <c r="D3" s="31"/>
      <c r="E3" s="30">
        <v>0</v>
      </c>
      <c r="F3" s="30">
        <v>1</v>
      </c>
      <c r="G3" s="30">
        <v>0</v>
      </c>
      <c r="H3" t="s">
        <v>81</v>
      </c>
      <c r="J3" s="34"/>
      <c r="M3" s="48">
        <v>0</v>
      </c>
      <c r="N3" s="29">
        <v>1</v>
      </c>
      <c r="O3" s="29">
        <v>1</v>
      </c>
      <c r="Q3" s="29">
        <v>0</v>
      </c>
      <c r="R3" s="29">
        <v>1</v>
      </c>
      <c r="S3" s="29">
        <v>0</v>
      </c>
      <c r="W3" s="34"/>
    </row>
    <row r="4" spans="1:23" x14ac:dyDescent="0.25">
      <c r="A4" s="33">
        <v>2</v>
      </c>
      <c r="B4" s="30">
        <v>-4</v>
      </c>
      <c r="C4" s="30">
        <v>0</v>
      </c>
      <c r="D4" s="31"/>
      <c r="E4" s="30">
        <v>0</v>
      </c>
      <c r="F4" s="30">
        <v>0</v>
      </c>
      <c r="G4" s="30">
        <v>1</v>
      </c>
      <c r="J4" s="34"/>
      <c r="M4" s="48">
        <v>1</v>
      </c>
      <c r="N4" s="29">
        <v>1</v>
      </c>
      <c r="O4" s="29">
        <v>1</v>
      </c>
      <c r="Q4" s="29">
        <v>0</v>
      </c>
      <c r="R4" s="29">
        <v>0</v>
      </c>
      <c r="S4" s="29">
        <v>1</v>
      </c>
      <c r="T4" t="s">
        <v>95</v>
      </c>
      <c r="W4" s="34"/>
    </row>
    <row r="5" spans="1:23" x14ac:dyDescent="0.25">
      <c r="A5" s="35"/>
      <c r="B5" s="31"/>
      <c r="C5" s="31"/>
      <c r="D5" s="31"/>
      <c r="E5" s="31"/>
      <c r="F5" s="31"/>
      <c r="G5" s="31"/>
      <c r="J5" s="34"/>
      <c r="M5" s="37"/>
      <c r="W5" s="34"/>
    </row>
    <row r="6" spans="1:23" x14ac:dyDescent="0.25">
      <c r="A6" s="33">
        <f>A2 * 3 +A3</f>
        <v>10</v>
      </c>
      <c r="B6" s="30">
        <f t="shared" ref="B6:G6" si="0">B2 * 3 +B3</f>
        <v>12</v>
      </c>
      <c r="C6" s="30">
        <f t="shared" si="0"/>
        <v>0</v>
      </c>
      <c r="D6" s="31"/>
      <c r="E6" s="30">
        <f t="shared" si="0"/>
        <v>3</v>
      </c>
      <c r="F6" s="30">
        <f t="shared" si="0"/>
        <v>1</v>
      </c>
      <c r="G6" s="30">
        <f t="shared" si="0"/>
        <v>0</v>
      </c>
      <c r="H6" t="s">
        <v>80</v>
      </c>
      <c r="J6" s="36">
        <v>-2.6666666666666665</v>
      </c>
      <c r="M6" s="48">
        <f>M2</f>
        <v>2</v>
      </c>
      <c r="N6" s="29">
        <f t="shared" ref="N6:S6" si="1">N2</f>
        <v>0</v>
      </c>
      <c r="O6" s="29">
        <f t="shared" si="1"/>
        <v>1</v>
      </c>
      <c r="Q6" s="29">
        <f t="shared" si="1"/>
        <v>1</v>
      </c>
      <c r="R6" s="29">
        <f t="shared" si="1"/>
        <v>0</v>
      </c>
      <c r="S6" s="29">
        <f t="shared" si="1"/>
        <v>0</v>
      </c>
      <c r="T6" t="s">
        <v>96</v>
      </c>
      <c r="W6" s="34"/>
    </row>
    <row r="7" spans="1:23" x14ac:dyDescent="0.25">
      <c r="A7" s="33">
        <f>A3*(1/3) -A2</f>
        <v>-2.6666666666666665</v>
      </c>
      <c r="B7" s="30">
        <f t="shared" ref="B7:G7" si="2">B3*(1/3) -B2</f>
        <v>0</v>
      </c>
      <c r="C7" s="30">
        <f t="shared" si="2"/>
        <v>2</v>
      </c>
      <c r="D7" s="31"/>
      <c r="E7" s="30">
        <f t="shared" si="2"/>
        <v>-1</v>
      </c>
      <c r="F7" s="30">
        <f t="shared" si="2"/>
        <v>0.33333333333333331</v>
      </c>
      <c r="G7" s="30">
        <f t="shared" si="2"/>
        <v>0</v>
      </c>
      <c r="J7" s="34">
        <f>(2*3 + 2)/3</f>
        <v>2.6666666666666665</v>
      </c>
      <c r="M7" s="48">
        <f>M3</f>
        <v>0</v>
      </c>
      <c r="N7" s="29">
        <f t="shared" ref="N7:S7" si="3">N3</f>
        <v>1</v>
      </c>
      <c r="O7" s="29">
        <f t="shared" si="3"/>
        <v>1</v>
      </c>
      <c r="Q7" s="29">
        <f t="shared" si="3"/>
        <v>0</v>
      </c>
      <c r="R7" s="29">
        <f t="shared" si="3"/>
        <v>1</v>
      </c>
      <c r="S7" s="29">
        <f t="shared" si="3"/>
        <v>0</v>
      </c>
      <c r="W7" s="34"/>
    </row>
    <row r="8" spans="1:23" x14ac:dyDescent="0.25">
      <c r="A8" s="33">
        <f>A4</f>
        <v>2</v>
      </c>
      <c r="B8" s="30">
        <f t="shared" ref="B8:G8" si="4">B4</f>
        <v>-4</v>
      </c>
      <c r="C8" s="30">
        <f t="shared" si="4"/>
        <v>0</v>
      </c>
      <c r="D8" s="31"/>
      <c r="E8" s="30">
        <f t="shared" si="4"/>
        <v>0</v>
      </c>
      <c r="F8" s="30">
        <f t="shared" si="4"/>
        <v>0</v>
      </c>
      <c r="G8" s="30">
        <f t="shared" si="4"/>
        <v>1</v>
      </c>
      <c r="H8" t="s">
        <v>79</v>
      </c>
      <c r="J8" s="34">
        <f>8/3</f>
        <v>2.6666666666666665</v>
      </c>
      <c r="M8" s="48">
        <f>M4-M3</f>
        <v>1</v>
      </c>
      <c r="N8" s="29">
        <f t="shared" ref="N8:S8" si="5">N4-N3</f>
        <v>0</v>
      </c>
      <c r="O8" s="29">
        <f t="shared" si="5"/>
        <v>0</v>
      </c>
      <c r="Q8" s="29">
        <f t="shared" si="5"/>
        <v>0</v>
      </c>
      <c r="R8" s="29">
        <f t="shared" si="5"/>
        <v>-1</v>
      </c>
      <c r="S8" s="29">
        <f t="shared" si="5"/>
        <v>1</v>
      </c>
      <c r="W8" s="34"/>
    </row>
    <row r="9" spans="1:23" x14ac:dyDescent="0.25">
      <c r="A9" s="35"/>
      <c r="B9" s="31"/>
      <c r="C9" s="31"/>
      <c r="D9" s="31"/>
      <c r="E9" s="31"/>
      <c r="F9" s="31"/>
      <c r="G9" s="31"/>
      <c r="J9" s="34"/>
      <c r="M9" s="37"/>
      <c r="W9" s="34"/>
    </row>
    <row r="10" spans="1:23" x14ac:dyDescent="0.25">
      <c r="A10" s="33">
        <f>A6 *(1/5) - A8</f>
        <v>0</v>
      </c>
      <c r="B10" s="30">
        <f t="shared" ref="B10:G10" si="6">B6 *(1/5) - B8</f>
        <v>6.4</v>
      </c>
      <c r="C10" s="30">
        <f t="shared" si="6"/>
        <v>0</v>
      </c>
      <c r="D10" s="31"/>
      <c r="E10" s="30">
        <f t="shared" si="6"/>
        <v>0.60000000000000009</v>
      </c>
      <c r="F10" s="30">
        <f t="shared" si="6"/>
        <v>0.2</v>
      </c>
      <c r="G10" s="30">
        <f t="shared" si="6"/>
        <v>-1</v>
      </c>
      <c r="H10" t="s">
        <v>83</v>
      </c>
      <c r="J10" s="36">
        <v>6.4</v>
      </c>
      <c r="M10" s="48">
        <f>M6 - 2*M8</f>
        <v>0</v>
      </c>
      <c r="N10" s="29">
        <f t="shared" ref="N10:S10" si="7">N6 - 2*N8</f>
        <v>0</v>
      </c>
      <c r="O10" s="29">
        <f t="shared" si="7"/>
        <v>1</v>
      </c>
      <c r="Q10" s="29">
        <f t="shared" si="7"/>
        <v>1</v>
      </c>
      <c r="R10" s="29">
        <f t="shared" si="7"/>
        <v>2</v>
      </c>
      <c r="S10" s="29">
        <f t="shared" si="7"/>
        <v>-2</v>
      </c>
      <c r="W10" s="34"/>
    </row>
    <row r="11" spans="1:23" x14ac:dyDescent="0.25">
      <c r="A11" s="33">
        <f>A7</f>
        <v>-2.6666666666666665</v>
      </c>
      <c r="B11" s="30">
        <f t="shared" ref="B11:G11" si="8">B7</f>
        <v>0</v>
      </c>
      <c r="C11" s="30">
        <f t="shared" si="8"/>
        <v>2</v>
      </c>
      <c r="D11" s="31"/>
      <c r="E11" s="30">
        <f t="shared" si="8"/>
        <v>-1</v>
      </c>
      <c r="F11" s="30">
        <f t="shared" si="8"/>
        <v>0.33333333333333331</v>
      </c>
      <c r="G11" s="30">
        <f t="shared" si="8"/>
        <v>0</v>
      </c>
      <c r="H11" t="s">
        <v>84</v>
      </c>
      <c r="J11" s="34">
        <f>(6*5 + 2)/5</f>
        <v>6.4</v>
      </c>
      <c r="M11" s="48">
        <f>M7</f>
        <v>0</v>
      </c>
      <c r="N11" s="29">
        <f t="shared" ref="N11:S11" si="9">N7</f>
        <v>1</v>
      </c>
      <c r="O11" s="29">
        <f t="shared" si="9"/>
        <v>1</v>
      </c>
      <c r="Q11" s="29">
        <f t="shared" si="9"/>
        <v>0</v>
      </c>
      <c r="R11" s="29">
        <f t="shared" si="9"/>
        <v>1</v>
      </c>
      <c r="S11" s="29">
        <f t="shared" si="9"/>
        <v>0</v>
      </c>
      <c r="T11" t="s">
        <v>97</v>
      </c>
      <c r="W11" s="34"/>
    </row>
    <row r="12" spans="1:23" x14ac:dyDescent="0.25">
      <c r="A12" s="33">
        <f>A8*3+A6</f>
        <v>16</v>
      </c>
      <c r="B12" s="30">
        <f t="shared" ref="B12:G12" si="10">B8*3+B6</f>
        <v>0</v>
      </c>
      <c r="C12" s="30">
        <f t="shared" si="10"/>
        <v>0</v>
      </c>
      <c r="D12" s="31"/>
      <c r="E12" s="30">
        <f t="shared" si="10"/>
        <v>3</v>
      </c>
      <c r="F12" s="30">
        <f t="shared" si="10"/>
        <v>1</v>
      </c>
      <c r="G12" s="30">
        <f t="shared" si="10"/>
        <v>3</v>
      </c>
      <c r="H12" t="s">
        <v>82</v>
      </c>
      <c r="J12" s="34">
        <f>32/5</f>
        <v>6.4</v>
      </c>
      <c r="M12" s="48">
        <f>M8</f>
        <v>1</v>
      </c>
      <c r="N12" s="29">
        <f t="shared" ref="N12:S12" si="11">N8</f>
        <v>0</v>
      </c>
      <c r="O12" s="29">
        <f t="shared" si="11"/>
        <v>0</v>
      </c>
      <c r="Q12" s="29">
        <f t="shared" si="11"/>
        <v>0</v>
      </c>
      <c r="R12" s="29">
        <f t="shared" si="11"/>
        <v>-1</v>
      </c>
      <c r="S12" s="29">
        <f t="shared" si="11"/>
        <v>1</v>
      </c>
      <c r="W12" s="34"/>
    </row>
    <row r="13" spans="1:23" x14ac:dyDescent="0.25">
      <c r="A13" s="35"/>
      <c r="B13" s="31"/>
      <c r="C13" s="31"/>
      <c r="D13" s="31"/>
      <c r="E13" s="31"/>
      <c r="F13" s="31"/>
      <c r="G13" s="31"/>
      <c r="J13" s="34"/>
      <c r="M13" s="37"/>
      <c r="W13" s="34"/>
    </row>
    <row r="14" spans="1:23" x14ac:dyDescent="0.25">
      <c r="A14" s="33">
        <f>A10* (5/32)</f>
        <v>0</v>
      </c>
      <c r="B14" s="30">
        <f t="shared" ref="B14:G14" si="12">B10* (5/32)</f>
        <v>1</v>
      </c>
      <c r="C14" s="30">
        <f t="shared" si="12"/>
        <v>0</v>
      </c>
      <c r="D14" s="31"/>
      <c r="E14" s="30">
        <f t="shared" si="12"/>
        <v>9.3750000000000014E-2</v>
      </c>
      <c r="F14" s="30">
        <f t="shared" si="12"/>
        <v>3.125E-2</v>
      </c>
      <c r="G14" s="30">
        <f t="shared" si="12"/>
        <v>-0.15625</v>
      </c>
      <c r="H14" t="s">
        <v>86</v>
      </c>
      <c r="J14" s="34"/>
      <c r="M14" s="48">
        <f>M10</f>
        <v>0</v>
      </c>
      <c r="N14" s="29">
        <f t="shared" ref="N14:S14" si="13">N10</f>
        <v>0</v>
      </c>
      <c r="O14" s="29">
        <f t="shared" si="13"/>
        <v>1</v>
      </c>
      <c r="Q14" s="29">
        <f t="shared" si="13"/>
        <v>1</v>
      </c>
      <c r="R14" s="29">
        <f t="shared" si="13"/>
        <v>2</v>
      </c>
      <c r="S14" s="29">
        <f t="shared" si="13"/>
        <v>-2</v>
      </c>
      <c r="T14" t="s">
        <v>98</v>
      </c>
      <c r="W14" s="34"/>
    </row>
    <row r="15" spans="1:23" x14ac:dyDescent="0.25">
      <c r="A15" s="33">
        <f>A11*3/8 + A12*1/16</f>
        <v>0</v>
      </c>
      <c r="B15" s="30">
        <f t="shared" ref="B15:G15" si="14">B11*3/8 + B12*1/16</f>
        <v>0</v>
      </c>
      <c r="C15" s="30">
        <f t="shared" si="14"/>
        <v>0.75</v>
      </c>
      <c r="D15" s="31"/>
      <c r="E15" s="30">
        <f t="shared" si="14"/>
        <v>-0.1875</v>
      </c>
      <c r="F15" s="30">
        <f t="shared" si="14"/>
        <v>0.1875</v>
      </c>
      <c r="G15" s="30">
        <f t="shared" si="14"/>
        <v>0.1875</v>
      </c>
      <c r="H15" t="s">
        <v>85</v>
      </c>
      <c r="J15" s="34"/>
      <c r="M15" s="48">
        <f>M11-M10</f>
        <v>0</v>
      </c>
      <c r="N15" s="29">
        <f t="shared" ref="N15:S15" si="15">N11-N10</f>
        <v>1</v>
      </c>
      <c r="O15" s="29">
        <f t="shared" si="15"/>
        <v>0</v>
      </c>
      <c r="Q15" s="29">
        <f t="shared" si="15"/>
        <v>-1</v>
      </c>
      <c r="R15" s="29">
        <f t="shared" si="15"/>
        <v>-1</v>
      </c>
      <c r="S15" s="29">
        <f t="shared" si="15"/>
        <v>2</v>
      </c>
      <c r="W15" s="34"/>
    </row>
    <row r="16" spans="1:23" x14ac:dyDescent="0.25">
      <c r="A16" s="33">
        <f>A12*1/16</f>
        <v>1</v>
      </c>
      <c r="B16" s="30">
        <f t="shared" ref="B16:G16" si="16">B12*1/16</f>
        <v>0</v>
      </c>
      <c r="C16" s="30">
        <f t="shared" si="16"/>
        <v>0</v>
      </c>
      <c r="D16" s="31"/>
      <c r="E16" s="30">
        <f t="shared" si="16"/>
        <v>0.1875</v>
      </c>
      <c r="F16" s="30">
        <f t="shared" si="16"/>
        <v>6.25E-2</v>
      </c>
      <c r="G16" s="30">
        <f t="shared" si="16"/>
        <v>0.1875</v>
      </c>
      <c r="H16" t="s">
        <v>87</v>
      </c>
      <c r="J16" s="34"/>
      <c r="M16" s="48">
        <f>M12</f>
        <v>1</v>
      </c>
      <c r="N16" s="29">
        <f t="shared" ref="N16:S16" si="17">N12</f>
        <v>0</v>
      </c>
      <c r="O16" s="29">
        <f t="shared" si="17"/>
        <v>0</v>
      </c>
      <c r="Q16" s="29">
        <f t="shared" si="17"/>
        <v>0</v>
      </c>
      <c r="R16" s="29">
        <f t="shared" si="17"/>
        <v>-1</v>
      </c>
      <c r="S16" s="29">
        <f t="shared" si="17"/>
        <v>1</v>
      </c>
      <c r="W16" s="34"/>
    </row>
    <row r="17" spans="1:23" x14ac:dyDescent="0.25">
      <c r="A17" s="37"/>
      <c r="J17" s="34"/>
      <c r="M17" s="37"/>
      <c r="W17" s="34"/>
    </row>
    <row r="18" spans="1:23" x14ac:dyDescent="0.25">
      <c r="A18" s="33">
        <f>A16</f>
        <v>1</v>
      </c>
      <c r="B18" s="30">
        <f t="shared" ref="B18:G18" si="18">B16</f>
        <v>0</v>
      </c>
      <c r="C18" s="30">
        <f t="shared" si="18"/>
        <v>0</v>
      </c>
      <c r="D18" s="31"/>
      <c r="E18" s="32">
        <f t="shared" si="18"/>
        <v>0.1875</v>
      </c>
      <c r="F18" s="32">
        <f t="shared" si="18"/>
        <v>6.25E-2</v>
      </c>
      <c r="G18" s="32">
        <f t="shared" si="18"/>
        <v>0.1875</v>
      </c>
      <c r="I18" s="44" cm="1">
        <f t="array" ref="I18:K20">MINVERSE(A2:C4)</f>
        <v>0.1875</v>
      </c>
      <c r="J18" s="44">
        <v>6.25E-2</v>
      </c>
      <c r="K18" s="44">
        <v>0.1875</v>
      </c>
      <c r="M18" s="48">
        <f>M16</f>
        <v>1</v>
      </c>
      <c r="N18" s="29">
        <f t="shared" ref="N18:S18" si="19">N16</f>
        <v>0</v>
      </c>
      <c r="O18" s="29">
        <f t="shared" si="19"/>
        <v>0</v>
      </c>
      <c r="Q18" s="45">
        <f t="shared" si="19"/>
        <v>0</v>
      </c>
      <c r="R18" s="45">
        <f t="shared" si="19"/>
        <v>-1</v>
      </c>
      <c r="S18" s="45">
        <f t="shared" si="19"/>
        <v>1</v>
      </c>
      <c r="U18" s="46" cm="1">
        <f t="array" ref="U18:W20">MINVERSE(M2:O4)</f>
        <v>0</v>
      </c>
      <c r="V18" s="46">
        <v>-1</v>
      </c>
      <c r="W18" s="49">
        <v>1</v>
      </c>
    </row>
    <row r="19" spans="1:23" x14ac:dyDescent="0.25">
      <c r="A19" s="33">
        <f>A14</f>
        <v>0</v>
      </c>
      <c r="B19" s="30">
        <f t="shared" ref="B19:G19" si="20">B14</f>
        <v>1</v>
      </c>
      <c r="C19" s="30">
        <f t="shared" si="20"/>
        <v>0</v>
      </c>
      <c r="D19" s="31"/>
      <c r="E19" s="32">
        <f t="shared" si="20"/>
        <v>9.3750000000000014E-2</v>
      </c>
      <c r="F19" s="32">
        <f t="shared" si="20"/>
        <v>3.125E-2</v>
      </c>
      <c r="G19" s="32">
        <f t="shared" si="20"/>
        <v>-0.15625</v>
      </c>
      <c r="I19" s="44">
        <v>9.375E-2</v>
      </c>
      <c r="J19" s="44">
        <v>3.1249999999999993E-2</v>
      </c>
      <c r="K19" s="44">
        <v>-0.15625000000000003</v>
      </c>
      <c r="M19" s="48">
        <f>M15</f>
        <v>0</v>
      </c>
      <c r="N19" s="29">
        <f t="shared" ref="N19:S19" si="21">N15</f>
        <v>1</v>
      </c>
      <c r="O19" s="29">
        <f t="shared" si="21"/>
        <v>0</v>
      </c>
      <c r="Q19" s="45">
        <f t="shared" si="21"/>
        <v>-1</v>
      </c>
      <c r="R19" s="45">
        <f t="shared" si="21"/>
        <v>-1</v>
      </c>
      <c r="S19" s="45">
        <f t="shared" si="21"/>
        <v>2</v>
      </c>
      <c r="U19" s="46">
        <v>-1</v>
      </c>
      <c r="V19" s="46">
        <v>-1</v>
      </c>
      <c r="W19" s="49">
        <v>2</v>
      </c>
    </row>
    <row r="20" spans="1:23" ht="15.75" thickBot="1" x14ac:dyDescent="0.3">
      <c r="A20" s="38">
        <f>A15*4/3</f>
        <v>0</v>
      </c>
      <c r="B20" s="39">
        <f t="shared" ref="B20:G20" si="22">B15*4/3</f>
        <v>0</v>
      </c>
      <c r="C20" s="39">
        <f t="shared" si="22"/>
        <v>1</v>
      </c>
      <c r="D20" s="40"/>
      <c r="E20" s="41">
        <f t="shared" si="22"/>
        <v>-0.25</v>
      </c>
      <c r="F20" s="41">
        <f t="shared" si="22"/>
        <v>0.25</v>
      </c>
      <c r="G20" s="41">
        <f t="shared" si="22"/>
        <v>0.25</v>
      </c>
      <c r="H20" s="42"/>
      <c r="I20" s="44">
        <v>-0.25</v>
      </c>
      <c r="J20" s="44">
        <v>0.25</v>
      </c>
      <c r="K20" s="44">
        <v>0.25</v>
      </c>
      <c r="M20" s="50">
        <f>M14</f>
        <v>0</v>
      </c>
      <c r="N20" s="51">
        <f t="shared" ref="N20:S20" si="23">N14</f>
        <v>0</v>
      </c>
      <c r="O20" s="51">
        <f t="shared" si="23"/>
        <v>1</v>
      </c>
      <c r="P20" s="42"/>
      <c r="Q20" s="52">
        <f t="shared" si="23"/>
        <v>1</v>
      </c>
      <c r="R20" s="52">
        <f t="shared" si="23"/>
        <v>2</v>
      </c>
      <c r="S20" s="52">
        <f t="shared" si="23"/>
        <v>-2</v>
      </c>
      <c r="T20" s="42"/>
      <c r="U20" s="53">
        <v>1</v>
      </c>
      <c r="V20" s="53">
        <v>2</v>
      </c>
      <c r="W20" s="54">
        <v>-2</v>
      </c>
    </row>
    <row r="22" spans="1:23" x14ac:dyDescent="0.25">
      <c r="A22" s="43" t="s">
        <v>89</v>
      </c>
      <c r="B22" s="43"/>
      <c r="D22" s="43" t="s">
        <v>90</v>
      </c>
      <c r="E22" s="43"/>
    </row>
    <row r="23" spans="1:23" x14ac:dyDescent="0.25">
      <c r="A23">
        <f>MDETERM(A2:C4)</f>
        <v>64</v>
      </c>
      <c r="D23" t="s">
        <v>91</v>
      </c>
    </row>
    <row r="24" spans="1:23" x14ac:dyDescent="0.25">
      <c r="D24" t="s">
        <v>92</v>
      </c>
    </row>
    <row r="25" spans="1:23" x14ac:dyDescent="0.25">
      <c r="D25" t="s">
        <v>93</v>
      </c>
    </row>
    <row r="26" spans="1:23" x14ac:dyDescent="0.25">
      <c r="D26" t="s">
        <v>94</v>
      </c>
    </row>
  </sheetData>
  <mergeCells count="2">
    <mergeCell ref="A1:J1"/>
    <mergeCell ref="M1:V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7"/>
  <sheetViews>
    <sheetView tabSelected="1" topLeftCell="A180" zoomScale="130" zoomScaleNormal="130" workbookViewId="0">
      <selection activeCell="S196" sqref="S196"/>
    </sheetView>
  </sheetViews>
  <sheetFormatPr defaultRowHeight="15" x14ac:dyDescent="0.25"/>
  <cols>
    <col min="1" max="1" width="19.28515625" style="2" customWidth="1"/>
    <col min="2" max="2" width="15.7109375" style="2" customWidth="1"/>
    <col min="3" max="3" width="11.28515625" style="2" customWidth="1"/>
    <col min="4" max="5" width="9.140625" style="2"/>
    <col min="6" max="6" width="12" style="2" customWidth="1"/>
    <col min="7" max="7" width="9.140625" style="2" customWidth="1"/>
    <col min="8" max="16384" width="9.140625" style="2"/>
  </cols>
  <sheetData>
    <row r="1" spans="1:15" ht="30" x14ac:dyDescent="0.25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8"/>
    </row>
    <row r="2" spans="1:15" x14ac:dyDescent="0.25">
      <c r="A2" s="9">
        <v>20</v>
      </c>
      <c r="B2" s="1">
        <v>18</v>
      </c>
      <c r="D2" s="10" t="s">
        <v>13</v>
      </c>
      <c r="E2" s="1">
        <f>COUNT(A2:A6)</f>
        <v>5</v>
      </c>
      <c r="I2" s="11"/>
      <c r="K2" s="2">
        <v>1</v>
      </c>
      <c r="L2" s="2">
        <v>1</v>
      </c>
      <c r="N2" s="66" cm="1">
        <f t="array" ref="N2:O3">MINVERSE(K2:L3)</f>
        <v>0.66666666666666663</v>
      </c>
      <c r="O2" s="66">
        <v>-0.16666666666666669</v>
      </c>
    </row>
    <row r="3" spans="1:15" x14ac:dyDescent="0.25">
      <c r="A3" s="9">
        <v>30</v>
      </c>
      <c r="B3" s="1">
        <v>30</v>
      </c>
      <c r="D3" s="10" t="s">
        <v>14</v>
      </c>
      <c r="E3" s="1">
        <f>COUNTA(A1)+1</f>
        <v>2</v>
      </c>
      <c r="I3" s="11"/>
      <c r="K3" s="2">
        <v>-2</v>
      </c>
      <c r="L3" s="2">
        <v>4</v>
      </c>
      <c r="N3" s="66">
        <v>0.33333333333333331</v>
      </c>
      <c r="O3" s="66">
        <v>0.16666666666666666</v>
      </c>
    </row>
    <row r="4" spans="1:15" x14ac:dyDescent="0.25">
      <c r="A4" s="9">
        <v>40</v>
      </c>
      <c r="B4" s="1">
        <v>48</v>
      </c>
      <c r="D4" s="10" t="s">
        <v>17</v>
      </c>
      <c r="E4" s="1">
        <v>0.05</v>
      </c>
      <c r="I4" s="11"/>
    </row>
    <row r="5" spans="1:15" x14ac:dyDescent="0.25">
      <c r="A5" s="9">
        <v>55</v>
      </c>
      <c r="B5" s="1">
        <v>50</v>
      </c>
      <c r="I5" s="11"/>
    </row>
    <row r="6" spans="1:15" x14ac:dyDescent="0.25">
      <c r="A6" s="9">
        <v>60</v>
      </c>
      <c r="B6" s="1">
        <v>65</v>
      </c>
      <c r="I6" s="11"/>
    </row>
    <row r="7" spans="1:15" x14ac:dyDescent="0.25">
      <c r="A7" s="12"/>
      <c r="I7" s="11"/>
      <c r="M7" s="2">
        <f>K16*M16</f>
        <v>10.400000000000009</v>
      </c>
    </row>
    <row r="8" spans="1:15" x14ac:dyDescent="0.25">
      <c r="A8" s="58" t="s">
        <v>2</v>
      </c>
      <c r="B8" s="59"/>
      <c r="D8" s="2" t="s">
        <v>6</v>
      </c>
      <c r="F8" s="13" t="s">
        <v>5</v>
      </c>
      <c r="I8" s="11"/>
      <c r="M8" s="2" cm="1">
        <f t="array" ref="M8">MMULT(TRANSPOSE(M15:M16),_xlfn.ANCHORARRAY(K15))</f>
        <v>11.600000000000012</v>
      </c>
    </row>
    <row r="9" spans="1:15" x14ac:dyDescent="0.25">
      <c r="A9" s="9">
        <v>1</v>
      </c>
      <c r="B9" s="1">
        <v>20</v>
      </c>
      <c r="D9" s="1">
        <v>18</v>
      </c>
      <c r="F9" s="1">
        <f>LN(D9)</f>
        <v>2.8903717578961645</v>
      </c>
      <c r="I9" s="11"/>
    </row>
    <row r="10" spans="1:15" x14ac:dyDescent="0.25">
      <c r="A10" s="9">
        <v>1</v>
      </c>
      <c r="B10" s="1">
        <v>30</v>
      </c>
      <c r="D10" s="1">
        <v>30</v>
      </c>
      <c r="F10" s="1">
        <f t="shared" ref="F10:F13" si="0">LN(D10)</f>
        <v>3.4011973816621555</v>
      </c>
      <c r="I10" s="11"/>
    </row>
    <row r="11" spans="1:15" x14ac:dyDescent="0.25">
      <c r="A11" s="9">
        <v>1</v>
      </c>
      <c r="B11" s="1">
        <v>40</v>
      </c>
      <c r="D11" s="1">
        <v>48</v>
      </c>
      <c r="F11" s="1">
        <f t="shared" si="0"/>
        <v>3.8712010109078911</v>
      </c>
      <c r="I11" s="11"/>
    </row>
    <row r="12" spans="1:15" x14ac:dyDescent="0.25">
      <c r="A12" s="9">
        <v>1</v>
      </c>
      <c r="B12" s="1">
        <v>55</v>
      </c>
      <c r="D12" s="1">
        <v>50</v>
      </c>
      <c r="F12" s="1">
        <f t="shared" si="0"/>
        <v>3.912023005428146</v>
      </c>
      <c r="I12" s="11"/>
      <c r="K12" s="2">
        <v>1.1000000000000001</v>
      </c>
      <c r="L12" s="2">
        <v>-0.3</v>
      </c>
      <c r="N12" s="2">
        <v>30</v>
      </c>
    </row>
    <row r="13" spans="1:15" x14ac:dyDescent="0.25">
      <c r="A13" s="9">
        <v>1</v>
      </c>
      <c r="B13" s="1">
        <v>60</v>
      </c>
      <c r="D13" s="1">
        <v>65</v>
      </c>
      <c r="F13" s="1">
        <f t="shared" si="0"/>
        <v>4.1743872698956368</v>
      </c>
      <c r="I13" s="11"/>
      <c r="K13" s="2">
        <v>-0.3</v>
      </c>
      <c r="L13" s="2">
        <v>0.1</v>
      </c>
      <c r="N13" s="2">
        <v>106</v>
      </c>
    </row>
    <row r="14" spans="1:15" x14ac:dyDescent="0.25">
      <c r="A14" s="12"/>
      <c r="I14" s="11"/>
    </row>
    <row r="15" spans="1:15" x14ac:dyDescent="0.25">
      <c r="A15" s="63" t="s">
        <v>3</v>
      </c>
      <c r="B15" s="61"/>
      <c r="D15" s="2" t="s">
        <v>4</v>
      </c>
      <c r="I15" s="11"/>
      <c r="K15" s="2" cm="1">
        <f t="array" ref="K15:K16">MMULT(K12:L13,N12:N13)</f>
        <v>1.2000000000000028</v>
      </c>
      <c r="M15" s="2">
        <v>1</v>
      </c>
      <c r="O15" s="2">
        <f>K12*N12</f>
        <v>33</v>
      </c>
    </row>
    <row r="16" spans="1:15" x14ac:dyDescent="0.25">
      <c r="A16" s="9" cm="1">
        <f t="array" ref="A16:B17">MMULT(TRANSPOSE(A9:B13),A9:B13)</f>
        <v>5</v>
      </c>
      <c r="B16" s="1">
        <v>205</v>
      </c>
      <c r="D16" s="1" cm="1">
        <f t="array" ref="D16:D17">MMULT(TRANSPOSE(A9:B13),F9:F13)</f>
        <v>18.249180425789994</v>
      </c>
      <c r="I16" s="11"/>
      <c r="K16" s="2">
        <v>1.6000000000000014</v>
      </c>
      <c r="M16" s="2">
        <v>6.5</v>
      </c>
      <c r="O16" s="2">
        <f>L12*N13</f>
        <v>-31.799999999999997</v>
      </c>
    </row>
    <row r="17" spans="1:16" x14ac:dyDescent="0.25">
      <c r="A17" s="9">
        <v>205</v>
      </c>
      <c r="B17" s="1">
        <v>9525</v>
      </c>
      <c r="D17" s="1">
        <v>780.31589853638991</v>
      </c>
      <c r="I17" s="11"/>
      <c r="O17" s="2">
        <f>L12*N12</f>
        <v>-9</v>
      </c>
    </row>
    <row r="18" spans="1:16" x14ac:dyDescent="0.25">
      <c r="A18" s="12"/>
      <c r="I18" s="11"/>
      <c r="O18" s="2">
        <f>L13*N13</f>
        <v>10.600000000000001</v>
      </c>
    </row>
    <row r="19" spans="1:16" x14ac:dyDescent="0.25">
      <c r="A19" s="63" t="s">
        <v>7</v>
      </c>
      <c r="B19" s="61"/>
      <c r="I19" s="11"/>
      <c r="K19" s="2">
        <v>1</v>
      </c>
      <c r="L19" s="2">
        <v>1</v>
      </c>
      <c r="N19" s="2" cm="1">
        <f t="array" ref="N19:N23">MMULT(K19:L23,_xlfn.ANCHORARRAY(K15))</f>
        <v>2.8000000000000043</v>
      </c>
      <c r="P19" s="2">
        <v>3</v>
      </c>
    </row>
    <row r="20" spans="1:16" x14ac:dyDescent="0.25">
      <c r="A20" s="9" cm="1">
        <f t="array" ref="A20:B21">MINVERSE(_xlfn.ANCHORARRAY(A16))</f>
        <v>1.7008928571428574</v>
      </c>
      <c r="B20" s="1">
        <v>-3.6607142857142873E-2</v>
      </c>
      <c r="I20" s="11"/>
      <c r="K20" s="2">
        <v>1</v>
      </c>
      <c r="L20" s="2">
        <v>2</v>
      </c>
      <c r="N20" s="2">
        <v>4.4000000000000057</v>
      </c>
      <c r="P20" s="2">
        <v>4</v>
      </c>
    </row>
    <row r="21" spans="1:16" x14ac:dyDescent="0.25">
      <c r="A21" s="9">
        <v>-3.6607142857142866E-2</v>
      </c>
      <c r="B21" s="1">
        <v>8.9285714285714305E-4</v>
      </c>
      <c r="I21" s="11"/>
      <c r="K21" s="2">
        <v>1</v>
      </c>
      <c r="L21" s="2">
        <v>3</v>
      </c>
      <c r="N21" s="2">
        <v>6.0000000000000071</v>
      </c>
      <c r="P21" s="2">
        <v>6</v>
      </c>
    </row>
    <row r="22" spans="1:16" x14ac:dyDescent="0.25">
      <c r="A22" s="12"/>
      <c r="I22" s="11"/>
      <c r="K22" s="2">
        <v>1</v>
      </c>
      <c r="L22" s="2">
        <v>4</v>
      </c>
      <c r="N22" s="2">
        <v>7.6000000000000085</v>
      </c>
      <c r="P22" s="2">
        <v>8</v>
      </c>
    </row>
    <row r="23" spans="1:16" x14ac:dyDescent="0.25">
      <c r="A23" s="14" t="s">
        <v>8</v>
      </c>
      <c r="B23" s="15"/>
      <c r="D23" s="15" t="s">
        <v>11</v>
      </c>
      <c r="E23" s="15"/>
      <c r="F23" s="15"/>
      <c r="I23" s="11"/>
      <c r="K23" s="2">
        <v>1</v>
      </c>
      <c r="L23" s="2">
        <v>5</v>
      </c>
      <c r="N23" s="2">
        <v>9.2000000000000099</v>
      </c>
      <c r="P23" s="2">
        <v>9</v>
      </c>
    </row>
    <row r="24" spans="1:16" x14ac:dyDescent="0.25">
      <c r="A24" s="64" t="s">
        <v>41</v>
      </c>
      <c r="B24" s="65"/>
      <c r="D24" s="2" t="s">
        <v>12</v>
      </c>
      <c r="F24" s="13" t="s">
        <v>15</v>
      </c>
      <c r="I24" s="11"/>
      <c r="L24" s="2">
        <v>0.19999999999999574</v>
      </c>
      <c r="M24" s="2">
        <f>1.6*5</f>
        <v>8</v>
      </c>
      <c r="O24" s="2">
        <f>P19-N19</f>
        <v>0.19999999999999574</v>
      </c>
    </row>
    <row r="25" spans="1:16" x14ac:dyDescent="0.25">
      <c r="A25" s="9" cm="1">
        <f t="array" ref="A25:A26">MMULT(_xlfn.ANCHORARRAY(A20),_xlfn.ANCHORARRAY(D16))</f>
        <v>2.4747650635160205</v>
      </c>
      <c r="B25" s="2" t="s">
        <v>9</v>
      </c>
      <c r="D25" s="1" cm="1">
        <f t="array" ref="D25:D29">F9:F13 - MMULT((A9:B13),_xlfn.ANCHORARRAY(A25))</f>
        <v>-0.15759868203057303</v>
      </c>
      <c r="F25" s="1" cm="1">
        <f t="array" ref="F25">MMULT(TRANSPOSE(_xlfn.ANCHORARRAY(D25)),_xlfn.ANCHORARRAY(D25)) / (E2-E3)</f>
        <v>3.7175098750934235E-2</v>
      </c>
      <c r="I25" s="11"/>
      <c r="L25" s="2">
        <v>-0.40000000000000568</v>
      </c>
      <c r="O25" s="2">
        <f t="shared" ref="O25:O28" si="1">P20-N20</f>
        <v>-0.40000000000000568</v>
      </c>
    </row>
    <row r="26" spans="1:16" x14ac:dyDescent="0.25">
      <c r="A26" s="9">
        <v>2.866026882053585E-2</v>
      </c>
      <c r="B26" s="2" t="s">
        <v>10</v>
      </c>
      <c r="D26" s="1">
        <v>6.6624253530059629E-2</v>
      </c>
      <c r="I26" s="11"/>
      <c r="L26" s="2">
        <v>0</v>
      </c>
      <c r="O26" s="2">
        <f t="shared" si="1"/>
        <v>-7.1054273576010019E-15</v>
      </c>
    </row>
    <row r="27" spans="1:16" x14ac:dyDescent="0.25">
      <c r="A27" s="12"/>
      <c r="D27" s="1">
        <v>0.25002519457043659</v>
      </c>
      <c r="I27" s="11"/>
      <c r="L27" s="2">
        <v>0.39999999999999147</v>
      </c>
      <c r="O27" s="2">
        <f t="shared" si="1"/>
        <v>0.39999999999999147</v>
      </c>
    </row>
    <row r="28" spans="1:16" x14ac:dyDescent="0.25">
      <c r="A28" s="12"/>
      <c r="D28" s="1">
        <v>-0.13905684321734624</v>
      </c>
      <c r="I28" s="11"/>
      <c r="L28" s="2">
        <v>-0.20000000000000995</v>
      </c>
      <c r="O28" s="2">
        <f t="shared" si="1"/>
        <v>-0.20000000000000995</v>
      </c>
    </row>
    <row r="29" spans="1:16" x14ac:dyDescent="0.25">
      <c r="A29" s="12"/>
      <c r="D29" s="1">
        <v>-1.9993922852534318E-2</v>
      </c>
      <c r="I29" s="11"/>
    </row>
    <row r="30" spans="1:16" x14ac:dyDescent="0.25">
      <c r="A30" s="12"/>
      <c r="I30" s="11"/>
      <c r="K30" s="2" cm="1">
        <f t="array" ref="K30">MMULT(TRANSPOSE(L24:L28),L24:L28)</f>
        <v>0.39999999999999997</v>
      </c>
      <c r="M30" s="2">
        <f>L24^2</f>
        <v>3.9999999999998294E-2</v>
      </c>
    </row>
    <row r="31" spans="1:16" x14ac:dyDescent="0.25">
      <c r="A31" s="14" t="s">
        <v>16</v>
      </c>
      <c r="B31" s="15"/>
      <c r="C31" s="15"/>
      <c r="D31" s="15"/>
      <c r="E31" s="15"/>
      <c r="I31" s="11"/>
      <c r="M31" s="2">
        <f t="shared" ref="M31:M34" si="2">L25^2</f>
        <v>0.16000000000000456</v>
      </c>
    </row>
    <row r="32" spans="1:16" x14ac:dyDescent="0.25">
      <c r="A32" s="12" t="s">
        <v>18</v>
      </c>
      <c r="C32" s="13" t="s">
        <v>19</v>
      </c>
      <c r="D32" s="13"/>
      <c r="I32" s="11"/>
      <c r="M32" s="2">
        <f t="shared" si="2"/>
        <v>0</v>
      </c>
      <c r="O32" s="2">
        <f>0.4/3</f>
        <v>0.13333333333333333</v>
      </c>
    </row>
    <row r="33" spans="1:17" x14ac:dyDescent="0.25">
      <c r="A33" s="9">
        <f>ABS(_xlfn.T.INV(1-E4/2,E2-E3))</f>
        <v>3.1824463052837078</v>
      </c>
      <c r="C33" s="1">
        <f>A25+A33*SQRT(F25)*SQRT(A20)</f>
        <v>3.2750149643479309</v>
      </c>
      <c r="D33" s="2" t="s">
        <v>20</v>
      </c>
      <c r="I33" s="11"/>
      <c r="M33" s="2">
        <f t="shared" si="2"/>
        <v>0.15999999999999318</v>
      </c>
    </row>
    <row r="34" spans="1:17" x14ac:dyDescent="0.25">
      <c r="A34" s="12"/>
      <c r="C34" s="1">
        <f>A25-A33*SQRT(F25)*SQRT(A20)</f>
        <v>1.6745151626841102</v>
      </c>
      <c r="D34" s="2" t="s">
        <v>21</v>
      </c>
      <c r="I34" s="11"/>
      <c r="M34" s="2">
        <f t="shared" si="2"/>
        <v>4.0000000000003977E-2</v>
      </c>
    </row>
    <row r="35" spans="1:17" x14ac:dyDescent="0.25">
      <c r="A35" s="12"/>
      <c r="I35" s="11"/>
    </row>
    <row r="36" spans="1:17" x14ac:dyDescent="0.25">
      <c r="A36" s="12"/>
      <c r="C36" s="13" t="s">
        <v>22</v>
      </c>
      <c r="D36" s="13"/>
      <c r="I36" s="11"/>
      <c r="L36" s="2">
        <f>ABS(_xlfn.T.INV(1-0.05,3))</f>
        <v>2.3533634348018233</v>
      </c>
      <c r="N36" s="2">
        <f>1.6+L36*L37*L38</f>
        <v>1.8717430025167712</v>
      </c>
    </row>
    <row r="37" spans="1:17" x14ac:dyDescent="0.25">
      <c r="A37" s="12"/>
      <c r="C37" s="1">
        <f>A26+A33*SQRT(F25)*SQRT(B21)</f>
        <v>4.6995151653382548E-2</v>
      </c>
      <c r="D37" s="2" t="s">
        <v>20</v>
      </c>
      <c r="I37" s="11"/>
      <c r="L37" s="2">
        <f>SQRT(O32)</f>
        <v>0.36514837167011072</v>
      </c>
      <c r="N37" s="2">
        <f>1.6-L36*L37*L38</f>
        <v>1.328256997483229</v>
      </c>
      <c r="P37" s="2">
        <f>L36*L37</f>
        <v>0.85932682616586453</v>
      </c>
    </row>
    <row r="38" spans="1:17" x14ac:dyDescent="0.25">
      <c r="A38" s="12"/>
      <c r="C38" s="1">
        <f>A26-A33*SQRT(F25)*SQRT(B21)</f>
        <v>1.0325385987689152E-2</v>
      </c>
      <c r="D38" s="2" t="s">
        <v>21</v>
      </c>
      <c r="I38" s="11"/>
      <c r="L38" s="2">
        <f>SQRT(0.1)</f>
        <v>0.31622776601683794</v>
      </c>
    </row>
    <row r="39" spans="1:17" x14ac:dyDescent="0.25">
      <c r="A39" s="12"/>
      <c r="I39" s="11"/>
      <c r="L39" s="2">
        <f>L36*L37*L38</f>
        <v>0.27174300251677097</v>
      </c>
    </row>
    <row r="40" spans="1:17" x14ac:dyDescent="0.25">
      <c r="A40" s="14" t="s">
        <v>23</v>
      </c>
      <c r="B40" s="15"/>
      <c r="C40" s="15"/>
      <c r="D40" s="15"/>
      <c r="E40" s="15"/>
      <c r="F40" s="15"/>
      <c r="I40" s="11"/>
    </row>
    <row r="41" spans="1:17" x14ac:dyDescent="0.25">
      <c r="A41" s="12" t="s">
        <v>26</v>
      </c>
      <c r="C41" s="2" t="s">
        <v>24</v>
      </c>
      <c r="I41" s="11"/>
      <c r="J41" s="2">
        <v>1</v>
      </c>
      <c r="L41" s="2">
        <v>1</v>
      </c>
      <c r="M41" s="2">
        <v>6.5</v>
      </c>
      <c r="O41" s="2">
        <v>1.1000000000000001</v>
      </c>
      <c r="P41" s="2">
        <f>O42</f>
        <v>-0.3</v>
      </c>
    </row>
    <row r="42" spans="1:17" x14ac:dyDescent="0.25">
      <c r="A42" s="9">
        <v>1</v>
      </c>
      <c r="C42" s="1" cm="1">
        <f t="array" ref="C42">MMULT(TRANSPOSE(A42:A43),_xlfn.ANCHORARRAY(A25))</f>
        <v>4.1084003862865641</v>
      </c>
      <c r="I42" s="11"/>
      <c r="J42" s="2">
        <v>6.5</v>
      </c>
      <c r="O42" s="2">
        <v>-0.3</v>
      </c>
      <c r="P42" s="2">
        <v>0.1</v>
      </c>
    </row>
    <row r="43" spans="1:17" x14ac:dyDescent="0.25">
      <c r="A43" s="9">
        <v>57</v>
      </c>
      <c r="I43" s="11"/>
      <c r="L43" s="2" cm="1">
        <f t="array" ref="L43:M43">MMULT(L41:M41,O41:P42)</f>
        <v>-0.84999999999999987</v>
      </c>
      <c r="M43" s="2">
        <v>0.35000000000000003</v>
      </c>
    </row>
    <row r="44" spans="1:17" x14ac:dyDescent="0.25">
      <c r="A44" s="12"/>
      <c r="C44" s="2" t="s">
        <v>27</v>
      </c>
      <c r="I44" s="11"/>
    </row>
    <row r="45" spans="1:17" x14ac:dyDescent="0.25">
      <c r="A45" s="17" t="s">
        <v>25</v>
      </c>
      <c r="C45" s="1" cm="1">
        <f t="array" ref="C45">(MMULT(MMULT(TRANSPOSE(A42:A43),_xlfn.ANCHORARRAY(A20)),A42:A43))</f>
        <v>0.42857142857142827</v>
      </c>
      <c r="I45" s="11"/>
      <c r="L45" s="2">
        <f>0.3*6.5</f>
        <v>1.95</v>
      </c>
      <c r="O45" s="2" cm="1">
        <f t="array" ref="O45">MMULT(_xlfn.ANCHORARRAY(L43),J41:J42)</f>
        <v>1.4250000000000005</v>
      </c>
    </row>
    <row r="46" spans="1:17" x14ac:dyDescent="0.25">
      <c r="A46" s="9">
        <f>C42+A33*SQRT(F25)*SQRT(C45)</f>
        <v>4.5100975429571379</v>
      </c>
      <c r="B46" s="2" t="s">
        <v>20</v>
      </c>
      <c r="I46" s="11"/>
      <c r="O46" s="2">
        <f>SQRT(O45)</f>
        <v>1.1937336386313324</v>
      </c>
      <c r="Q46" s="2">
        <f>M43*J42</f>
        <v>2.2750000000000004</v>
      </c>
    </row>
    <row r="47" spans="1:17" x14ac:dyDescent="0.25">
      <c r="A47" s="9">
        <f>C42-A33*SQRT(F25)*SQRT(C45)</f>
        <v>3.7067032296159899</v>
      </c>
      <c r="B47" s="2" t="s">
        <v>21</v>
      </c>
      <c r="I47" s="11"/>
      <c r="O47" s="2">
        <f>P37*O46</f>
        <v>1.025807338972492</v>
      </c>
    </row>
    <row r="48" spans="1:17" x14ac:dyDescent="0.25">
      <c r="A48" s="12"/>
      <c r="I48" s="11"/>
    </row>
    <row r="49" spans="1:15" x14ac:dyDescent="0.25">
      <c r="A49" s="14" t="s">
        <v>28</v>
      </c>
      <c r="B49" s="15"/>
      <c r="C49" s="15"/>
      <c r="D49" s="15"/>
      <c r="E49" s="15"/>
      <c r="F49" s="15"/>
      <c r="G49" s="15"/>
      <c r="I49" s="11"/>
      <c r="O49" s="2">
        <f>11.6+O47</f>
        <v>12.625807338972491</v>
      </c>
    </row>
    <row r="50" spans="1:15" x14ac:dyDescent="0.25">
      <c r="A50" s="12" t="s">
        <v>29</v>
      </c>
      <c r="B50" s="1">
        <f>F25*E3*_xlfn.F.INV(1-E4,E3,E2-E3)</f>
        <v>0.71020011232824864</v>
      </c>
      <c r="I50" s="11"/>
      <c r="O50" s="2">
        <f>11.6-O47</f>
        <v>10.574192661027508</v>
      </c>
    </row>
    <row r="51" spans="1:15" x14ac:dyDescent="0.25">
      <c r="A51" s="12"/>
      <c r="I51" s="11"/>
    </row>
    <row r="52" spans="1:15" x14ac:dyDescent="0.25">
      <c r="A52" s="12" t="s">
        <v>30</v>
      </c>
      <c r="B52" s="1">
        <f>A16</f>
        <v>5</v>
      </c>
      <c r="I52" s="11"/>
    </row>
    <row r="53" spans="1:15" x14ac:dyDescent="0.25">
      <c r="A53" s="12" t="s">
        <v>31</v>
      </c>
      <c r="B53" s="1">
        <f>B17</f>
        <v>9525</v>
      </c>
      <c r="I53" s="11"/>
    </row>
    <row r="54" spans="1:15" x14ac:dyDescent="0.25">
      <c r="A54" s="12" t="s">
        <v>32</v>
      </c>
      <c r="B54" s="1">
        <f>A17+B16</f>
        <v>410</v>
      </c>
      <c r="I54" s="11"/>
    </row>
    <row r="55" spans="1:15" x14ac:dyDescent="0.25">
      <c r="A55" s="12" t="s">
        <v>33</v>
      </c>
      <c r="B55" s="1" cm="1">
        <f t="array" ref="B55:B56">TRANSPOSE(-MMULT(TRANSPOSE(_xlfn.ANCHORARRAY(A25)),_xlfn.ANCHORARRAY(A16))-TRANSPOSE(MMULT(TRANSPOSE(_xlfn.ANCHORARRAY(A16)),_xlfn.ANCHORARRAY(A25))))</f>
        <v>-36.498360851579903</v>
      </c>
      <c r="I55" s="11"/>
    </row>
    <row r="56" spans="1:15" x14ac:dyDescent="0.25">
      <c r="A56" s="12" t="s">
        <v>34</v>
      </c>
      <c r="B56" s="1">
        <v>-1560.6317970727764</v>
      </c>
      <c r="I56" s="11"/>
    </row>
    <row r="57" spans="1:15" x14ac:dyDescent="0.25">
      <c r="A57" s="12" t="s">
        <v>35</v>
      </c>
      <c r="B57" s="1" cm="1">
        <f t="array" ref="B57">MMULT(MMULT(TRANSPOSE(_xlfn.ANCHORARRAY(A25)),_xlfn.ANCHORARRAY(A16)),_xlfn.ANCHORARRAY(A25))</f>
        <v>67.526497572536258</v>
      </c>
      <c r="I57" s="11"/>
    </row>
    <row r="58" spans="1:15" x14ac:dyDescent="0.25">
      <c r="A58" s="12"/>
      <c r="I58" s="11"/>
    </row>
    <row r="59" spans="1:15" x14ac:dyDescent="0.25">
      <c r="A59" s="12"/>
      <c r="I59" s="11"/>
    </row>
    <row r="60" spans="1:15" x14ac:dyDescent="0.25">
      <c r="A60" s="12"/>
      <c r="I60" s="11"/>
    </row>
    <row r="61" spans="1:15" x14ac:dyDescent="0.25">
      <c r="A61" s="12"/>
      <c r="I61" s="11"/>
    </row>
    <row r="62" spans="1:15" x14ac:dyDescent="0.25">
      <c r="A62" s="12"/>
      <c r="I62" s="11"/>
    </row>
    <row r="63" spans="1:15" x14ac:dyDescent="0.25">
      <c r="A63" s="12"/>
      <c r="I63" s="11"/>
    </row>
    <row r="64" spans="1:15" x14ac:dyDescent="0.25">
      <c r="A64" s="12"/>
      <c r="I64" s="11"/>
    </row>
    <row r="65" spans="1:9" x14ac:dyDescent="0.25">
      <c r="A65" s="12"/>
      <c r="I65" s="11"/>
    </row>
    <row r="66" spans="1:9" x14ac:dyDescent="0.25">
      <c r="A66" s="12"/>
      <c r="I66" s="11"/>
    </row>
    <row r="67" spans="1:9" x14ac:dyDescent="0.25">
      <c r="A67" s="12"/>
      <c r="I67" s="11"/>
    </row>
    <row r="68" spans="1:9" x14ac:dyDescent="0.25">
      <c r="A68" s="12"/>
      <c r="I68" s="11"/>
    </row>
    <row r="69" spans="1:9" x14ac:dyDescent="0.25">
      <c r="A69" s="12"/>
      <c r="I69" s="11"/>
    </row>
    <row r="70" spans="1:9" x14ac:dyDescent="0.25">
      <c r="A70" s="12"/>
      <c r="I70" s="11"/>
    </row>
    <row r="71" spans="1:9" x14ac:dyDescent="0.25">
      <c r="A71" s="12"/>
      <c r="I71" s="11"/>
    </row>
    <row r="72" spans="1:9" x14ac:dyDescent="0.25">
      <c r="A72" s="12"/>
      <c r="I72" s="11"/>
    </row>
    <row r="73" spans="1:9" x14ac:dyDescent="0.25">
      <c r="A73" s="12"/>
      <c r="I73" s="11"/>
    </row>
    <row r="74" spans="1:9" x14ac:dyDescent="0.25">
      <c r="A74" s="12"/>
      <c r="I74" s="11"/>
    </row>
    <row r="75" spans="1:9" x14ac:dyDescent="0.25">
      <c r="A75" s="12"/>
      <c r="I75" s="11"/>
    </row>
    <row r="76" spans="1:9" x14ac:dyDescent="0.25">
      <c r="A76" s="12"/>
      <c r="I76" s="11"/>
    </row>
    <row r="77" spans="1:9" x14ac:dyDescent="0.25">
      <c r="A77" s="12"/>
      <c r="I77" s="11"/>
    </row>
    <row r="78" spans="1:9" x14ac:dyDescent="0.25">
      <c r="A78" s="12"/>
      <c r="I78" s="11"/>
    </row>
    <row r="79" spans="1:9" x14ac:dyDescent="0.25">
      <c r="A79" s="12"/>
      <c r="I79" s="11"/>
    </row>
    <row r="80" spans="1:9" x14ac:dyDescent="0.25">
      <c r="A80" s="12"/>
      <c r="I80" s="11"/>
    </row>
    <row r="81" spans="1:14" ht="15.75" thickBot="1" x14ac:dyDescent="0.3">
      <c r="A81" s="18"/>
      <c r="B81" s="19"/>
      <c r="C81" s="19"/>
      <c r="D81" s="19"/>
      <c r="E81" s="19"/>
      <c r="F81" s="19"/>
      <c r="G81" s="19"/>
      <c r="H81" s="19"/>
      <c r="I81" s="20"/>
    </row>
    <row r="82" spans="1:14" ht="15.75" thickBot="1" x14ac:dyDescent="0.3"/>
    <row r="83" spans="1:14" x14ac:dyDescent="0.25">
      <c r="A83" s="2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8"/>
    </row>
    <row r="84" spans="1:14" ht="30" x14ac:dyDescent="0.25">
      <c r="A84" s="22" t="s">
        <v>36</v>
      </c>
      <c r="B84" s="3" t="s">
        <v>37</v>
      </c>
      <c r="C84" s="3" t="s">
        <v>38</v>
      </c>
      <c r="E84" s="65" t="s">
        <v>2</v>
      </c>
      <c r="F84" s="65"/>
      <c r="G84" s="65"/>
      <c r="I84" s="2" t="s">
        <v>6</v>
      </c>
      <c r="N84" s="11"/>
    </row>
    <row r="85" spans="1:14" x14ac:dyDescent="0.25">
      <c r="A85" s="9">
        <v>1.1000000000000001</v>
      </c>
      <c r="B85" s="1">
        <v>1.5</v>
      </c>
      <c r="C85" s="1">
        <v>400</v>
      </c>
      <c r="E85" s="1">
        <v>1</v>
      </c>
      <c r="F85" s="1">
        <v>1.1000000000000001</v>
      </c>
      <c r="G85" s="1">
        <v>1.5</v>
      </c>
      <c r="I85" s="1">
        <v>400</v>
      </c>
      <c r="N85" s="11"/>
    </row>
    <row r="86" spans="1:14" x14ac:dyDescent="0.25">
      <c r="A86" s="9">
        <v>0.8</v>
      </c>
      <c r="B86" s="1">
        <v>0.7</v>
      </c>
      <c r="C86" s="1">
        <v>550</v>
      </c>
      <c r="E86" s="1">
        <v>1</v>
      </c>
      <c r="F86" s="1">
        <v>0.8</v>
      </c>
      <c r="G86" s="1">
        <v>0.7</v>
      </c>
      <c r="I86" s="1">
        <v>550</v>
      </c>
      <c r="N86" s="11"/>
    </row>
    <row r="87" spans="1:14" x14ac:dyDescent="0.25">
      <c r="A87" s="9">
        <v>1.2</v>
      </c>
      <c r="B87" s="1">
        <v>0.6</v>
      </c>
      <c r="C87" s="1">
        <v>360</v>
      </c>
      <c r="E87" s="1">
        <v>1</v>
      </c>
      <c r="F87" s="1">
        <v>1.2</v>
      </c>
      <c r="G87" s="1">
        <v>0.6</v>
      </c>
      <c r="I87" s="1">
        <v>360</v>
      </c>
      <c r="N87" s="11"/>
    </row>
    <row r="88" spans="1:14" x14ac:dyDescent="0.25">
      <c r="A88" s="9">
        <v>2.1</v>
      </c>
      <c r="B88" s="1">
        <v>1.1000000000000001</v>
      </c>
      <c r="C88" s="1">
        <v>350</v>
      </c>
      <c r="E88" s="1">
        <v>1</v>
      </c>
      <c r="F88" s="1">
        <v>2.1</v>
      </c>
      <c r="G88" s="1">
        <v>1.1000000000000001</v>
      </c>
      <c r="I88" s="1">
        <v>350</v>
      </c>
      <c r="N88" s="11"/>
    </row>
    <row r="89" spans="1:14" x14ac:dyDescent="0.25">
      <c r="A89" s="9">
        <v>1.4</v>
      </c>
      <c r="B89" s="1">
        <v>1</v>
      </c>
      <c r="C89" s="1">
        <v>390</v>
      </c>
      <c r="E89" s="1">
        <v>1</v>
      </c>
      <c r="F89" s="1">
        <v>1.4</v>
      </c>
      <c r="G89" s="1">
        <v>1</v>
      </c>
      <c r="I89" s="1">
        <v>390</v>
      </c>
      <c r="N89" s="11"/>
    </row>
    <row r="90" spans="1:14" x14ac:dyDescent="0.25">
      <c r="A90" s="9">
        <v>0.3</v>
      </c>
      <c r="B90" s="1">
        <v>1.8</v>
      </c>
      <c r="C90" s="1">
        <v>450</v>
      </c>
      <c r="E90" s="1">
        <v>1</v>
      </c>
      <c r="F90" s="1">
        <v>0.3</v>
      </c>
      <c r="G90" s="1">
        <v>1.8</v>
      </c>
      <c r="I90" s="1">
        <v>450</v>
      </c>
      <c r="N90" s="11"/>
    </row>
    <row r="91" spans="1:14" x14ac:dyDescent="0.25">
      <c r="A91" s="9">
        <v>0.6</v>
      </c>
      <c r="B91" s="1">
        <v>1</v>
      </c>
      <c r="C91" s="1">
        <v>500</v>
      </c>
      <c r="E91" s="1">
        <v>1</v>
      </c>
      <c r="F91" s="1">
        <v>0.6</v>
      </c>
      <c r="G91" s="1">
        <v>1</v>
      </c>
      <c r="I91" s="1">
        <v>500</v>
      </c>
      <c r="N91" s="11"/>
    </row>
    <row r="92" spans="1:14" x14ac:dyDescent="0.25">
      <c r="A92" s="9">
        <v>0.4</v>
      </c>
      <c r="B92" s="1">
        <v>0.3</v>
      </c>
      <c r="C92" s="1">
        <v>600</v>
      </c>
      <c r="E92" s="1">
        <v>1</v>
      </c>
      <c r="F92" s="1">
        <v>0.4</v>
      </c>
      <c r="G92" s="1">
        <v>0.3</v>
      </c>
      <c r="I92" s="1">
        <v>600</v>
      </c>
      <c r="N92" s="11"/>
    </row>
    <row r="93" spans="1:14" x14ac:dyDescent="0.25">
      <c r="A93" s="12"/>
      <c r="N93" s="11"/>
    </row>
    <row r="94" spans="1:14" x14ac:dyDescent="0.25">
      <c r="A94" s="63" t="s">
        <v>3</v>
      </c>
      <c r="B94" s="61"/>
      <c r="C94" s="61"/>
      <c r="E94" s="2" t="s">
        <v>40</v>
      </c>
      <c r="N94" s="11"/>
    </row>
    <row r="95" spans="1:14" x14ac:dyDescent="0.25">
      <c r="A95" s="9" cm="1">
        <f t="array" ref="A95:C97">MMULT(TRANSPOSE(E85:G92),E85:G92)</f>
        <v>8</v>
      </c>
      <c r="B95" s="1">
        <v>7.8999999999999995</v>
      </c>
      <c r="C95" s="1">
        <v>8</v>
      </c>
      <c r="E95" s="1" cm="1">
        <f t="array" ref="E95:E97">MMULT(TRANSPOSE(E85:G92),I85:I92)</f>
        <v>3600</v>
      </c>
      <c r="G95" s="10" t="s">
        <v>13</v>
      </c>
      <c r="H95" s="1">
        <f>COUNTA(A85:A92)</f>
        <v>8</v>
      </c>
      <c r="N95" s="11"/>
    </row>
    <row r="96" spans="1:14" x14ac:dyDescent="0.25">
      <c r="A96" s="9">
        <v>7.8999999999999995</v>
      </c>
      <c r="B96" s="1">
        <v>10.27</v>
      </c>
      <c r="C96" s="1">
        <v>7.9</v>
      </c>
      <c r="E96" s="1">
        <v>3268</v>
      </c>
      <c r="G96" s="10" t="s">
        <v>14</v>
      </c>
      <c r="H96" s="1">
        <f>COUNT(F85:G85)+1</f>
        <v>3</v>
      </c>
      <c r="N96" s="11"/>
    </row>
    <row r="97" spans="1:14" x14ac:dyDescent="0.25">
      <c r="A97" s="9">
        <v>8</v>
      </c>
      <c r="B97" s="1">
        <v>7.9</v>
      </c>
      <c r="C97" s="1">
        <v>9.64</v>
      </c>
      <c r="E97" s="1">
        <v>3466</v>
      </c>
      <c r="N97" s="11"/>
    </row>
    <row r="98" spans="1:14" x14ac:dyDescent="0.25">
      <c r="A98" s="12"/>
      <c r="N98" s="11"/>
    </row>
    <row r="99" spans="1:14" x14ac:dyDescent="0.25">
      <c r="A99" s="63" t="s">
        <v>7</v>
      </c>
      <c r="B99" s="61"/>
      <c r="C99" s="61"/>
      <c r="N99" s="11"/>
    </row>
    <row r="100" spans="1:14" x14ac:dyDescent="0.25">
      <c r="A100" s="9" cm="1">
        <f t="array" ref="A100:C102">MINVERSE(_xlfn.ANCHORARRAY(A95))</f>
        <v>1.1297560975609748</v>
      </c>
      <c r="B100" s="1">
        <v>-0.39999999999999958</v>
      </c>
      <c r="C100" s="1">
        <v>-0.60975609756097515</v>
      </c>
      <c r="N100" s="11"/>
    </row>
    <row r="101" spans="1:14" x14ac:dyDescent="0.25">
      <c r="A101" s="9">
        <v>-0.39999999999999958</v>
      </c>
      <c r="B101" s="1">
        <v>0.40506329113924033</v>
      </c>
      <c r="C101" s="1">
        <v>-2.1937102061133056E-16</v>
      </c>
      <c r="N101" s="11"/>
    </row>
    <row r="102" spans="1:14" x14ac:dyDescent="0.25">
      <c r="A102" s="9">
        <v>-0.60975609756097515</v>
      </c>
      <c r="B102" s="1">
        <v>-2.1937102061133054E-16</v>
      </c>
      <c r="C102" s="1">
        <v>0.60975609756097537</v>
      </c>
      <c r="N102" s="11"/>
    </row>
    <row r="103" spans="1:14" x14ac:dyDescent="0.25">
      <c r="A103" s="12"/>
      <c r="N103" s="11"/>
    </row>
    <row r="104" spans="1:14" x14ac:dyDescent="0.25">
      <c r="A104" s="14" t="s">
        <v>8</v>
      </c>
      <c r="B104" s="15"/>
      <c r="D104" s="15" t="s">
        <v>11</v>
      </c>
      <c r="E104" s="15"/>
      <c r="F104" s="15"/>
      <c r="N104" s="11"/>
    </row>
    <row r="105" spans="1:14" x14ac:dyDescent="0.25">
      <c r="A105" s="16" t="s">
        <v>41</v>
      </c>
      <c r="D105" s="2" t="s">
        <v>12</v>
      </c>
      <c r="F105" s="13" t="s">
        <v>15</v>
      </c>
      <c r="N105" s="11"/>
    </row>
    <row r="106" spans="1:14" x14ac:dyDescent="0.25">
      <c r="A106" s="9" cm="1">
        <f t="array" ref="A106:A108">MMULT(_xlfn.ANCHORARRAY(A100),_xlfn.ANCHORARRAY(E95))</f>
        <v>646.50731707317073</v>
      </c>
      <c r="D106" s="1" cm="1">
        <f t="array" ref="D106:D113">I85:I92-MMULT(E85:G92,_xlfn.ANCHORARRAY(A106))</f>
        <v>3.9321395492438569</v>
      </c>
      <c r="F106" s="1" cm="1">
        <f t="array" ref="F106">MMULT(TRANSPOSE(_xlfn.ANCHORARRAY(D106)),_xlfn.ANCHORARRAY(D106))/(H95-H96)</f>
        <v>2977.3122568694057</v>
      </c>
      <c r="N106" s="11"/>
    </row>
    <row r="107" spans="1:14" x14ac:dyDescent="0.25">
      <c r="A107" s="9">
        <v>-116.25316455696188</v>
      </c>
      <c r="D107" s="1">
        <v>53.690336523618498</v>
      </c>
      <c r="N107" s="11"/>
    </row>
    <row r="108" spans="1:14" x14ac:dyDescent="0.25">
      <c r="A108" s="9">
        <v>-81.707317073170998</v>
      </c>
      <c r="D108" s="1">
        <v>-97.979129360913873</v>
      </c>
      <c r="N108" s="11"/>
    </row>
    <row r="109" spans="1:14" x14ac:dyDescent="0.25">
      <c r="A109" s="12"/>
      <c r="D109" s="1">
        <v>37.502377276937352</v>
      </c>
      <c r="N109" s="11"/>
    </row>
    <row r="110" spans="1:14" x14ac:dyDescent="0.25">
      <c r="A110" s="12"/>
      <c r="D110" s="1">
        <v>-12.045569620253104</v>
      </c>
      <c r="N110" s="11"/>
    </row>
    <row r="111" spans="1:14" x14ac:dyDescent="0.25">
      <c r="A111" s="12"/>
      <c r="D111" s="1">
        <v>-14.558196974374368</v>
      </c>
      <c r="N111" s="11"/>
    </row>
    <row r="112" spans="1:14" x14ac:dyDescent="0.25">
      <c r="A112" s="12"/>
      <c r="D112" s="1">
        <v>4.9518987341773482</v>
      </c>
      <c r="N112" s="11"/>
    </row>
    <row r="113" spans="1:16" x14ac:dyDescent="0.25">
      <c r="A113" s="12"/>
      <c r="D113" s="1">
        <v>24.506143871565314</v>
      </c>
      <c r="N113" s="11"/>
    </row>
    <row r="114" spans="1:16" x14ac:dyDescent="0.25">
      <c r="A114" s="12"/>
      <c r="N114" s="11"/>
    </row>
    <row r="115" spans="1:16" x14ac:dyDescent="0.25">
      <c r="A115" s="14" t="s">
        <v>39</v>
      </c>
      <c r="B115" s="15"/>
      <c r="C115" s="15"/>
      <c r="D115" s="15"/>
      <c r="E115" s="15"/>
      <c r="F115" s="15"/>
      <c r="G115" s="15"/>
      <c r="H115" s="15"/>
      <c r="I115" s="15"/>
      <c r="J115" s="15"/>
      <c r="N115" s="11"/>
    </row>
    <row r="116" spans="1:16" x14ac:dyDescent="0.25">
      <c r="A116" s="12" t="s">
        <v>26</v>
      </c>
      <c r="C116" s="2" t="s">
        <v>24</v>
      </c>
      <c r="E116" s="2" t="s">
        <v>43</v>
      </c>
      <c r="G116" s="2" t="s">
        <v>42</v>
      </c>
      <c r="I116" s="2" t="s">
        <v>17</v>
      </c>
      <c r="N116" s="11"/>
    </row>
    <row r="117" spans="1:16" x14ac:dyDescent="0.25">
      <c r="A117" s="12">
        <v>1</v>
      </c>
      <c r="C117" s="2" cm="1">
        <f t="array" ref="C117">MMULT(TRANSPOSE(A117:A119),_xlfn.ANCHORARRAY(A106))</f>
        <v>408.95473911701129</v>
      </c>
      <c r="E117" s="2" cm="1">
        <f t="array" ref="E117">1+MMULT(MMULT(TRANSPOSE(A117:A119),_xlfn.ANCHORARRAY(A100)),A117:A119)</f>
        <v>1.1676813831429453</v>
      </c>
      <c r="G117" s="2">
        <f>ABS(_xlfn.T.INV(1-I117/2,H95-H96))</f>
        <v>2.0150483733330233</v>
      </c>
      <c r="I117" s="2">
        <f>10/100</f>
        <v>0.1</v>
      </c>
      <c r="N117" s="11"/>
    </row>
    <row r="118" spans="1:16" x14ac:dyDescent="0.25">
      <c r="A118" s="12">
        <v>1.2</v>
      </c>
      <c r="N118" s="11"/>
    </row>
    <row r="119" spans="1:16" x14ac:dyDescent="0.25">
      <c r="A119" s="12">
        <v>1.2</v>
      </c>
      <c r="N119" s="11"/>
    </row>
    <row r="120" spans="1:16" x14ac:dyDescent="0.25">
      <c r="A120" s="12"/>
      <c r="N120" s="11"/>
    </row>
    <row r="121" spans="1:16" x14ac:dyDescent="0.25">
      <c r="A121" s="17" t="s">
        <v>25</v>
      </c>
      <c r="N121" s="11"/>
    </row>
    <row r="122" spans="1:16" x14ac:dyDescent="0.25">
      <c r="A122" s="9">
        <f>C117+G117*SQRT(F106)*SQRT(E117)</f>
        <v>527.76661339490215</v>
      </c>
      <c r="B122" s="2" t="s">
        <v>20</v>
      </c>
      <c r="N122" s="11"/>
    </row>
    <row r="123" spans="1:16" x14ac:dyDescent="0.25">
      <c r="A123" s="9">
        <f>C117-G117*SQRT(F106)*SQRT(E117)</f>
        <v>290.14286483912048</v>
      </c>
      <c r="B123" s="2" t="s">
        <v>21</v>
      </c>
      <c r="N123" s="11"/>
    </row>
    <row r="124" spans="1:16" ht="15.75" thickBot="1" x14ac:dyDescent="0.3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20"/>
    </row>
    <row r="125" spans="1:16" ht="15.75" thickBot="1" x14ac:dyDescent="0.3"/>
    <row r="126" spans="1:16" x14ac:dyDescent="0.25">
      <c r="A126" s="2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8"/>
    </row>
    <row r="127" spans="1:16" x14ac:dyDescent="0.25">
      <c r="A127" s="25" t="s">
        <v>44</v>
      </c>
      <c r="B127" s="4" t="s">
        <v>45</v>
      </c>
      <c r="D127" s="61" t="s">
        <v>46</v>
      </c>
      <c r="E127" s="61"/>
      <c r="G127" s="2" t="s">
        <v>47</v>
      </c>
      <c r="P127" s="11"/>
    </row>
    <row r="128" spans="1:16" x14ac:dyDescent="0.25">
      <c r="A128" s="9">
        <v>2</v>
      </c>
      <c r="B128" s="1">
        <v>1.9</v>
      </c>
      <c r="D128" s="1">
        <v>1</v>
      </c>
      <c r="E128" s="1">
        <v>2</v>
      </c>
      <c r="G128" s="1">
        <v>1.9</v>
      </c>
      <c r="P128" s="11"/>
    </row>
    <row r="129" spans="1:22" x14ac:dyDescent="0.25">
      <c r="A129" s="9">
        <v>3</v>
      </c>
      <c r="B129" s="1">
        <v>2.7</v>
      </c>
      <c r="D129" s="1">
        <v>1</v>
      </c>
      <c r="E129" s="1">
        <v>3</v>
      </c>
      <c r="G129" s="1">
        <v>2.7</v>
      </c>
      <c r="P129" s="11"/>
    </row>
    <row r="130" spans="1:22" x14ac:dyDescent="0.25">
      <c r="A130" s="9">
        <v>4</v>
      </c>
      <c r="B130" s="1">
        <v>4.2</v>
      </c>
      <c r="D130" s="1">
        <v>1</v>
      </c>
      <c r="E130" s="1">
        <v>4</v>
      </c>
      <c r="G130" s="1">
        <v>4.2</v>
      </c>
      <c r="P130" s="11"/>
    </row>
    <row r="131" spans="1:22" x14ac:dyDescent="0.25">
      <c r="A131" s="9">
        <v>5</v>
      </c>
      <c r="B131" s="1">
        <v>4.8</v>
      </c>
      <c r="D131" s="1">
        <v>1</v>
      </c>
      <c r="E131" s="1">
        <v>5</v>
      </c>
      <c r="G131" s="1">
        <v>4.8</v>
      </c>
      <c r="P131" s="11"/>
    </row>
    <row r="132" spans="1:22" x14ac:dyDescent="0.25">
      <c r="A132" s="9">
        <v>6</v>
      </c>
      <c r="B132" s="1">
        <v>4.8</v>
      </c>
      <c r="D132" s="1">
        <v>1</v>
      </c>
      <c r="E132" s="1">
        <v>6</v>
      </c>
      <c r="G132" s="1">
        <v>4.8</v>
      </c>
      <c r="P132" s="11"/>
    </row>
    <row r="133" spans="1:22" x14ac:dyDescent="0.25">
      <c r="A133" s="9">
        <v>7</v>
      </c>
      <c r="B133" s="1">
        <v>5.0999999999999996</v>
      </c>
      <c r="D133" s="1">
        <v>1</v>
      </c>
      <c r="E133" s="1">
        <v>7</v>
      </c>
      <c r="G133" s="1">
        <v>5.0999999999999996</v>
      </c>
      <c r="P133" s="11"/>
    </row>
    <row r="134" spans="1:22" x14ac:dyDescent="0.25">
      <c r="A134" s="12"/>
      <c r="P134" s="11"/>
    </row>
    <row r="135" spans="1:22" x14ac:dyDescent="0.25">
      <c r="A135" s="26" t="s">
        <v>13</v>
      </c>
      <c r="B135" s="1">
        <f>COUNTA(A128:A133)</f>
        <v>6</v>
      </c>
      <c r="D135" s="60" t="s">
        <v>3</v>
      </c>
      <c r="E135" s="60"/>
      <c r="G135" s="2" t="s">
        <v>57</v>
      </c>
      <c r="P135" s="11"/>
    </row>
    <row r="136" spans="1:22" x14ac:dyDescent="0.25">
      <c r="A136" s="26" t="s">
        <v>14</v>
      </c>
      <c r="B136" s="1">
        <f>COUNTA(A127)+1</f>
        <v>2</v>
      </c>
      <c r="D136" s="1" cm="1">
        <f t="array" ref="D136:E137">MMULT(TRANSPOSE(D128:E133),D128:E133)</f>
        <v>6</v>
      </c>
      <c r="E136" s="1">
        <v>27</v>
      </c>
      <c r="G136" s="1" cm="1">
        <f t="array" ref="G136:H136">MMULT(TRANSPOSE(G128:G133),D128:E133)</f>
        <v>23.5</v>
      </c>
      <c r="H136" s="1">
        <v>117.19999999999999</v>
      </c>
      <c r="P136" s="11"/>
    </row>
    <row r="137" spans="1:22" x14ac:dyDescent="0.25">
      <c r="A137" s="26" t="s">
        <v>17</v>
      </c>
      <c r="B137" s="1">
        <f>5/100</f>
        <v>0.05</v>
      </c>
      <c r="D137" s="1">
        <v>27</v>
      </c>
      <c r="E137" s="1">
        <v>139</v>
      </c>
      <c r="P137" s="11"/>
    </row>
    <row r="138" spans="1:22" x14ac:dyDescent="0.25">
      <c r="A138" s="12"/>
      <c r="G138" s="2" t="s">
        <v>40</v>
      </c>
      <c r="P138" s="11"/>
    </row>
    <row r="139" spans="1:22" x14ac:dyDescent="0.25">
      <c r="A139" s="17" t="s">
        <v>58</v>
      </c>
      <c r="D139" s="60" t="s">
        <v>7</v>
      </c>
      <c r="E139" s="60"/>
      <c r="G139" s="1" cm="1">
        <f t="array" ref="G139:G140">MMULT(TRANSPOSE(D128:E133),G128:G133)</f>
        <v>23.5</v>
      </c>
      <c r="P139" s="11"/>
    </row>
    <row r="140" spans="1:22" x14ac:dyDescent="0.25">
      <c r="A140" s="12" cm="1">
        <f t="array" ref="A140">MMULT(MMULT(_xlfn.ANCHORARRAY(G136),_xlfn.ANCHORARRAY(D140)),_xlfn.ANCHORARRAY(G139))</f>
        <v>99.533238095238048</v>
      </c>
      <c r="D140" s="1" cm="1">
        <f t="array" ref="D140:E141">MINVERSE(_xlfn.ANCHORARRAY(D136))</f>
        <v>1.3238095238095247</v>
      </c>
      <c r="E140" s="1">
        <v>-0.25714285714285734</v>
      </c>
      <c r="G140" s="1">
        <v>117.19999999999999</v>
      </c>
      <c r="P140" s="11"/>
      <c r="R140" s="2">
        <f>_xlfn.F.INV(1-0.05,2,3)</f>
        <v>9.5520944959211551</v>
      </c>
    </row>
    <row r="141" spans="1:22" x14ac:dyDescent="0.25">
      <c r="A141" s="12"/>
      <c r="D141" s="1">
        <v>-0.25714285714285734</v>
      </c>
      <c r="E141" s="1">
        <v>5.7142857142857183E-2</v>
      </c>
      <c r="P141" s="11"/>
    </row>
    <row r="142" spans="1:22" x14ac:dyDescent="0.25">
      <c r="A142" s="17" t="s">
        <v>61</v>
      </c>
      <c r="B142" s="2" t="s">
        <v>62</v>
      </c>
      <c r="P142" s="11"/>
    </row>
    <row r="143" spans="1:22" x14ac:dyDescent="0.25">
      <c r="A143" s="12" cm="1">
        <f t="array" ref="A143">MMULT(MMULT(TRANSPOSE(G128:G133), (K144:P149-_xlfn.ANCHORARRAY(D144))),G128:G133)</f>
        <v>1.0967619047619594</v>
      </c>
      <c r="B143" s="2">
        <f>A148-A140</f>
        <v>1.0967619047619479</v>
      </c>
      <c r="D143" s="61" t="s">
        <v>59</v>
      </c>
      <c r="E143" s="61"/>
      <c r="F143" s="61"/>
      <c r="G143" s="61"/>
      <c r="H143" s="61"/>
      <c r="I143" s="61"/>
      <c r="K143" s="61" t="s">
        <v>60</v>
      </c>
      <c r="L143" s="61"/>
      <c r="M143" s="61"/>
      <c r="N143" s="61"/>
      <c r="O143" s="61"/>
      <c r="P143" s="62"/>
      <c r="R143" s="2">
        <v>3</v>
      </c>
      <c r="S143" s="2">
        <v>4</v>
      </c>
      <c r="T143" s="2">
        <v>6</v>
      </c>
      <c r="U143" s="2">
        <v>8</v>
      </c>
      <c r="V143" s="2">
        <v>9</v>
      </c>
    </row>
    <row r="144" spans="1:22" x14ac:dyDescent="0.25">
      <c r="A144" s="12"/>
      <c r="D144" s="1" cm="1">
        <f t="array" ref="D144:I149">MMULT(MMULT(D128:E133,_xlfn.ANCHORARRAY(D140)),TRANSPOSE(D128:E133))</f>
        <v>0.52380952380952406</v>
      </c>
      <c r="E144" s="1">
        <v>0.3809523809523811</v>
      </c>
      <c r="F144" s="1">
        <v>0.23809523809523814</v>
      </c>
      <c r="G144" s="1">
        <v>9.5238095238095122E-2</v>
      </c>
      <c r="H144" s="1">
        <v>-4.7619047619047783E-2</v>
      </c>
      <c r="I144" s="1">
        <v>-0.19047619047619069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27">
        <v>0</v>
      </c>
    </row>
    <row r="145" spans="1:24" x14ac:dyDescent="0.25">
      <c r="A145" s="12"/>
      <c r="D145" s="1">
        <v>0.38095238095238104</v>
      </c>
      <c r="E145" s="1">
        <v>0.29523809523809524</v>
      </c>
      <c r="F145" s="1">
        <v>0.20952380952380945</v>
      </c>
      <c r="G145" s="1">
        <v>0.12380952380952365</v>
      </c>
      <c r="H145" s="1">
        <v>3.8095238095237849E-2</v>
      </c>
      <c r="I145" s="1">
        <v>-4.7619047619047894E-2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27">
        <v>0</v>
      </c>
      <c r="Q145" s="2">
        <v>3</v>
      </c>
      <c r="R145" s="2">
        <v>1</v>
      </c>
      <c r="S145" s="2">
        <v>1</v>
      </c>
      <c r="U145" s="2" cm="1">
        <f t="array" ref="U145:V145">MMULT(R143:V143,R145:S149)</f>
        <v>30</v>
      </c>
      <c r="V145" s="2">
        <v>106</v>
      </c>
      <c r="X145" s="2">
        <v>30</v>
      </c>
    </row>
    <row r="146" spans="1:24" x14ac:dyDescent="0.25">
      <c r="A146" s="12"/>
      <c r="D146" s="1">
        <v>0.23809523809523808</v>
      </c>
      <c r="E146" s="1">
        <v>0.20952380952380947</v>
      </c>
      <c r="F146" s="1">
        <v>0.18095238095238086</v>
      </c>
      <c r="G146" s="1">
        <v>0.15238095238095226</v>
      </c>
      <c r="H146" s="1">
        <v>0.12380952380952365</v>
      </c>
      <c r="I146" s="1">
        <v>9.5238095238095039E-2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27">
        <v>0</v>
      </c>
      <c r="Q146" s="2">
        <v>4</v>
      </c>
      <c r="R146" s="2">
        <v>1</v>
      </c>
      <c r="S146" s="2">
        <v>2</v>
      </c>
      <c r="X146" s="2">
        <v>106</v>
      </c>
    </row>
    <row r="147" spans="1:24" x14ac:dyDescent="0.25">
      <c r="A147" s="17" t="s">
        <v>63</v>
      </c>
      <c r="D147" s="1">
        <v>9.5238095238095122E-2</v>
      </c>
      <c r="E147" s="1">
        <v>0.1238095238095237</v>
      </c>
      <c r="F147" s="1">
        <v>0.15238095238095228</v>
      </c>
      <c r="G147" s="1">
        <v>0.18095238095238086</v>
      </c>
      <c r="H147" s="1">
        <v>0.20952380952380945</v>
      </c>
      <c r="I147" s="1">
        <v>0.23809523809523803</v>
      </c>
      <c r="K147" s="1">
        <v>0</v>
      </c>
      <c r="L147" s="1">
        <v>0</v>
      </c>
      <c r="M147" s="1">
        <v>0</v>
      </c>
      <c r="N147" s="1">
        <v>1</v>
      </c>
      <c r="O147" s="1"/>
      <c r="P147" s="27">
        <v>0</v>
      </c>
      <c r="Q147" s="2">
        <v>6</v>
      </c>
      <c r="R147" s="2">
        <v>1</v>
      </c>
      <c r="S147" s="2">
        <v>3</v>
      </c>
      <c r="U147" s="2">
        <f>106*0.3</f>
        <v>31.799999999999997</v>
      </c>
    </row>
    <row r="148" spans="1:24" x14ac:dyDescent="0.25">
      <c r="A148" s="12" cm="1">
        <f t="array" ref="A148">MMULT(TRANSPOSE(G128:G133),G128:G133)</f>
        <v>100.63</v>
      </c>
      <c r="D148" s="1">
        <v>-4.7619047619047894E-2</v>
      </c>
      <c r="E148" s="1">
        <v>3.8095238095237849E-2</v>
      </c>
      <c r="F148" s="1">
        <v>0.12380952380952359</v>
      </c>
      <c r="G148" s="1">
        <v>0.20952380952380933</v>
      </c>
      <c r="H148" s="1">
        <v>0.29523809523809508</v>
      </c>
      <c r="I148" s="1">
        <v>0.38095238095238082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27"/>
      <c r="Q148" s="2">
        <v>8</v>
      </c>
      <c r="R148" s="2">
        <v>1</v>
      </c>
      <c r="S148" s="2">
        <v>4</v>
      </c>
      <c r="U148" s="2">
        <f>0.3*30</f>
        <v>9</v>
      </c>
    </row>
    <row r="149" spans="1:24" x14ac:dyDescent="0.25">
      <c r="A149" s="12"/>
      <c r="D149" s="1">
        <v>-0.1904761904761908</v>
      </c>
      <c r="E149" s="1">
        <v>-4.7619047619047838E-2</v>
      </c>
      <c r="F149" s="1">
        <v>9.5238095238095122E-2</v>
      </c>
      <c r="G149" s="1">
        <v>0.23809523809523814</v>
      </c>
      <c r="H149" s="1">
        <v>0.38095238095238104</v>
      </c>
      <c r="I149" s="1">
        <v>0.52380952380952395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7">
        <v>1</v>
      </c>
      <c r="Q149" s="2">
        <v>9</v>
      </c>
      <c r="R149" s="2">
        <v>1</v>
      </c>
      <c r="S149" s="2">
        <v>5</v>
      </c>
    </row>
    <row r="150" spans="1:24" x14ac:dyDescent="0.25">
      <c r="A150" s="12"/>
      <c r="P150" s="11"/>
    </row>
    <row r="151" spans="1:24" x14ac:dyDescent="0.25">
      <c r="A151" s="58" t="s">
        <v>48</v>
      </c>
      <c r="B151" s="59"/>
      <c r="C151" s="59"/>
      <c r="D151" s="59"/>
      <c r="E151" s="59"/>
      <c r="F151" s="59"/>
      <c r="P151" s="11"/>
      <c r="R151" s="2">
        <v>1.1000000000000001</v>
      </c>
      <c r="S151" s="2">
        <f>R152</f>
        <v>-0.3</v>
      </c>
      <c r="U151" s="2" cm="1">
        <f t="array" ref="U151:V151">MMULT(_xlfn.ANCHORARRAY(U145),R151:S152)</f>
        <v>1.2000000000000028</v>
      </c>
      <c r="V151" s="2">
        <v>1.6000000000000014</v>
      </c>
    </row>
    <row r="152" spans="1:24" x14ac:dyDescent="0.25">
      <c r="A152" s="9" t="s">
        <v>49</v>
      </c>
      <c r="B152" s="1" t="s">
        <v>53</v>
      </c>
      <c r="C152" s="1" t="s">
        <v>54</v>
      </c>
      <c r="D152" s="1" t="s">
        <v>55</v>
      </c>
      <c r="E152" s="1" t="s">
        <v>56</v>
      </c>
      <c r="F152" s="1" t="s">
        <v>65</v>
      </c>
      <c r="P152" s="11"/>
      <c r="R152" s="2">
        <v>-0.3</v>
      </c>
      <c r="S152" s="2">
        <v>0.1</v>
      </c>
    </row>
    <row r="153" spans="1:24" x14ac:dyDescent="0.25">
      <c r="A153" s="9" t="s">
        <v>50</v>
      </c>
      <c r="B153" s="1">
        <f>B136</f>
        <v>2</v>
      </c>
      <c r="C153" s="1">
        <f>A140</f>
        <v>99.533238095238048</v>
      </c>
      <c r="D153" s="1">
        <f>C153/B153</f>
        <v>49.766619047619024</v>
      </c>
      <c r="E153" s="1">
        <f>D153/D154</f>
        <v>181.50382077109194</v>
      </c>
      <c r="F153" s="1">
        <f>_xlfn.F.INV(1-B137,B153,B154)</f>
        <v>6.944271909999153</v>
      </c>
      <c r="P153" s="11"/>
      <c r="U153" s="2">
        <f>1.6 * 106</f>
        <v>169.60000000000002</v>
      </c>
      <c r="W153" s="2" cm="1">
        <f t="array" ref="W153">MMULT(_xlfn.ANCHORARRAY(U151),X145:X146)</f>
        <v>205.60000000000022</v>
      </c>
    </row>
    <row r="154" spans="1:24" x14ac:dyDescent="0.25">
      <c r="A154" s="9" t="s">
        <v>51</v>
      </c>
      <c r="B154" s="1">
        <f>B135-B136</f>
        <v>4</v>
      </c>
      <c r="C154" s="1">
        <f>A143</f>
        <v>1.0967619047619594</v>
      </c>
      <c r="D154" s="1">
        <f>C154/B154</f>
        <v>0.27419047619048986</v>
      </c>
      <c r="E154" s="23"/>
      <c r="F154" s="23"/>
      <c r="P154" s="11"/>
      <c r="W154" s="2">
        <f>W153/2</f>
        <v>102.80000000000011</v>
      </c>
    </row>
    <row r="155" spans="1:24" x14ac:dyDescent="0.25">
      <c r="A155" s="9" t="s">
        <v>52</v>
      </c>
      <c r="B155" s="1">
        <f>B135</f>
        <v>6</v>
      </c>
      <c r="C155" s="1">
        <f>A148</f>
        <v>100.63</v>
      </c>
      <c r="D155" s="23"/>
      <c r="E155" s="23"/>
      <c r="F155" s="23"/>
      <c r="P155" s="11"/>
      <c r="S155" s="2" cm="1">
        <f t="array" ref="S155">MMULT(R143:V143,Q145:Q149)</f>
        <v>206</v>
      </c>
      <c r="X155" s="2">
        <f>W154/W156</f>
        <v>771.00000000042803</v>
      </c>
    </row>
    <row r="156" spans="1:24" x14ac:dyDescent="0.25">
      <c r="A156" s="12"/>
      <c r="P156" s="11"/>
      <c r="S156" s="2">
        <f>S155-W153</f>
        <v>0.39999999999977831</v>
      </c>
      <c r="W156" s="2">
        <f>S156/3</f>
        <v>0.13333333333325945</v>
      </c>
    </row>
    <row r="157" spans="1:24" x14ac:dyDescent="0.25">
      <c r="A157" s="12"/>
      <c r="P157" s="11"/>
    </row>
    <row r="158" spans="1:24" x14ac:dyDescent="0.25">
      <c r="A158" s="17" t="s">
        <v>64</v>
      </c>
      <c r="P158" s="11"/>
      <c r="Q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</row>
    <row r="159" spans="1:24" x14ac:dyDescent="0.25">
      <c r="A159" s="12" t="str">
        <f>IF(E153&lt; F153, "F.hit &lt; F.tab", "F.hit &gt; F.tab")</f>
        <v>F.hit &gt; F.tab</v>
      </c>
      <c r="P159" s="11"/>
      <c r="Q159" s="2">
        <v>1</v>
      </c>
    </row>
    <row r="160" spans="1:24" x14ac:dyDescent="0.25">
      <c r="A160" s="28" t="str">
        <f>IF(A159="F.hit &lt; F.tab","Tak Tolak H0","Tolak H0")</f>
        <v>Tolak H0</v>
      </c>
      <c r="P160" s="11"/>
      <c r="Q160" s="2">
        <v>1</v>
      </c>
      <c r="S160" s="2" cm="1">
        <f t="array" ref="S160">MMULT(R143:V143,Q158:Q162)</f>
        <v>30</v>
      </c>
      <c r="U160" s="2">
        <v>5</v>
      </c>
    </row>
    <row r="161" spans="1:23" x14ac:dyDescent="0.25">
      <c r="A161" s="12"/>
      <c r="P161" s="11"/>
      <c r="Q161" s="2">
        <v>1</v>
      </c>
      <c r="S161" s="2">
        <f>S160^2</f>
        <v>900</v>
      </c>
      <c r="U161" s="2" cm="1">
        <f t="array" ref="U161">MINVERSE(U160)</f>
        <v>0.2</v>
      </c>
    </row>
    <row r="162" spans="1:23" x14ac:dyDescent="0.25">
      <c r="A162" s="12"/>
      <c r="P162" s="11"/>
      <c r="Q162" s="2">
        <v>1</v>
      </c>
      <c r="U162" s="2">
        <f>U161*S161</f>
        <v>180</v>
      </c>
      <c r="W162" s="2">
        <v>205.6</v>
      </c>
    </row>
    <row r="163" spans="1:23" x14ac:dyDescent="0.25">
      <c r="A163" s="12"/>
      <c r="P163" s="11"/>
      <c r="W163" s="2">
        <f>W162-U162</f>
        <v>25.599999999999994</v>
      </c>
    </row>
    <row r="164" spans="1:23" x14ac:dyDescent="0.25">
      <c r="A164" s="12"/>
      <c r="P164" s="11"/>
    </row>
    <row r="165" spans="1:23" x14ac:dyDescent="0.25">
      <c r="A165" s="12"/>
      <c r="P165" s="11"/>
    </row>
    <row r="166" spans="1:23" x14ac:dyDescent="0.25">
      <c r="A166" s="12"/>
      <c r="P166" s="11"/>
    </row>
    <row r="167" spans="1:23" x14ac:dyDescent="0.25">
      <c r="A167" s="12"/>
      <c r="P167" s="11"/>
    </row>
    <row r="168" spans="1:23" x14ac:dyDescent="0.25">
      <c r="A168" s="12"/>
      <c r="P168" s="11"/>
    </row>
    <row r="169" spans="1:23" x14ac:dyDescent="0.25">
      <c r="A169" s="12"/>
      <c r="P169" s="11"/>
    </row>
    <row r="170" spans="1:23" x14ac:dyDescent="0.25">
      <c r="A170" s="12"/>
      <c r="P170" s="11"/>
    </row>
    <row r="171" spans="1:23" x14ac:dyDescent="0.25">
      <c r="A171" s="12"/>
      <c r="P171" s="11"/>
    </row>
    <row r="172" spans="1:23" x14ac:dyDescent="0.25">
      <c r="A172" s="12"/>
      <c r="P172" s="11"/>
    </row>
    <row r="173" spans="1:23" x14ac:dyDescent="0.25">
      <c r="A173" s="12"/>
      <c r="P173" s="11"/>
    </row>
    <row r="174" spans="1:23" x14ac:dyDescent="0.25">
      <c r="A174" s="12"/>
      <c r="F174" s="10" t="s">
        <v>69</v>
      </c>
      <c r="G174" s="1">
        <v>1</v>
      </c>
      <c r="P174" s="11"/>
    </row>
    <row r="175" spans="1:23" x14ac:dyDescent="0.25">
      <c r="A175" s="12"/>
      <c r="P175" s="11"/>
    </row>
    <row r="176" spans="1:23" x14ac:dyDescent="0.25">
      <c r="A176" s="12"/>
      <c r="P176" s="11"/>
    </row>
    <row r="177" spans="1:18" x14ac:dyDescent="0.25">
      <c r="A177" s="12"/>
      <c r="P177" s="11"/>
    </row>
    <row r="178" spans="1:18" x14ac:dyDescent="0.25">
      <c r="A178" s="12"/>
      <c r="P178" s="11"/>
    </row>
    <row r="179" spans="1:18" x14ac:dyDescent="0.25">
      <c r="A179" s="12"/>
      <c r="P179" s="11"/>
    </row>
    <row r="180" spans="1:18" x14ac:dyDescent="0.25">
      <c r="A180" s="12"/>
      <c r="P180" s="11"/>
    </row>
    <row r="181" spans="1:18" x14ac:dyDescent="0.25">
      <c r="A181" s="12"/>
      <c r="P181" s="11"/>
    </row>
    <row r="182" spans="1:18" x14ac:dyDescent="0.25">
      <c r="A182" s="12"/>
      <c r="P182" s="11"/>
    </row>
    <row r="183" spans="1:18" x14ac:dyDescent="0.25">
      <c r="A183" s="17" t="s">
        <v>70</v>
      </c>
      <c r="C183" s="2" t="s">
        <v>71</v>
      </c>
      <c r="E183" s="2" t="s">
        <v>47</v>
      </c>
      <c r="G183" s="2" t="s">
        <v>74</v>
      </c>
      <c r="P183" s="11"/>
    </row>
    <row r="184" spans="1:18" x14ac:dyDescent="0.25">
      <c r="A184" s="9" cm="1">
        <f t="array" ref="A184">MMULT(MMULT(G184,E192),G187)</f>
        <v>92.041666666666657</v>
      </c>
      <c r="C184" s="1" cm="1">
        <f t="array" ref="C184:C189">D128:D133</f>
        <v>1</v>
      </c>
      <c r="E184" s="1" cm="1">
        <f t="array" ref="E184:E189">G128:G133</f>
        <v>1.9</v>
      </c>
      <c r="G184" s="1" cm="1">
        <f t="array" ref="G184">MMULT(TRANSPOSE(_xlfn.ANCHORARRAY(E184)),_xlfn.ANCHORARRAY(C184))</f>
        <v>23.5</v>
      </c>
      <c r="P184" s="11"/>
    </row>
    <row r="185" spans="1:18" x14ac:dyDescent="0.25">
      <c r="A185" s="17" t="s">
        <v>76</v>
      </c>
      <c r="C185" s="1">
        <v>1</v>
      </c>
      <c r="E185" s="1">
        <v>2.7</v>
      </c>
      <c r="P185" s="11"/>
    </row>
    <row r="186" spans="1:18" x14ac:dyDescent="0.25">
      <c r="A186" s="12">
        <f>SUM(_xlfn.ANCHORARRAY(E184))^2/B135</f>
        <v>92.041666666666671</v>
      </c>
      <c r="C186" s="1">
        <v>1</v>
      </c>
      <c r="E186" s="1">
        <v>4.2</v>
      </c>
      <c r="G186" s="2" t="s">
        <v>75</v>
      </c>
      <c r="P186" s="11"/>
    </row>
    <row r="187" spans="1:18" x14ac:dyDescent="0.25">
      <c r="A187" s="12"/>
      <c r="C187" s="1">
        <v>1</v>
      </c>
      <c r="E187" s="1">
        <v>4.8</v>
      </c>
      <c r="G187" s="1" cm="1">
        <f t="array" ref="G187">MMULT(TRANSPOSE(_xlfn.ANCHORARRAY(C184)),_xlfn.ANCHORARRAY(E184))</f>
        <v>23.5</v>
      </c>
      <c r="P187" s="11"/>
    </row>
    <row r="188" spans="1:18" x14ac:dyDescent="0.25">
      <c r="A188" s="12"/>
      <c r="C188" s="1">
        <v>1</v>
      </c>
      <c r="E188" s="1">
        <v>4.8</v>
      </c>
      <c r="P188" s="11"/>
    </row>
    <row r="189" spans="1:18" x14ac:dyDescent="0.25">
      <c r="A189" s="12"/>
      <c r="C189" s="1">
        <v>1</v>
      </c>
      <c r="E189" s="1">
        <v>5.0999999999999996</v>
      </c>
      <c r="P189" s="11"/>
    </row>
    <row r="190" spans="1:18" x14ac:dyDescent="0.25">
      <c r="A190" s="12"/>
      <c r="P190" s="11"/>
    </row>
    <row r="191" spans="1:18" x14ac:dyDescent="0.25">
      <c r="A191" s="12"/>
      <c r="C191" s="2" t="s">
        <v>72</v>
      </c>
      <c r="E191" s="2" t="s">
        <v>73</v>
      </c>
      <c r="P191" s="11"/>
      <c r="R191" s="2">
        <f>0.4/3</f>
        <v>0.13333333333333333</v>
      </c>
    </row>
    <row r="192" spans="1:18" x14ac:dyDescent="0.25">
      <c r="A192" s="12"/>
      <c r="C192" s="1" cm="1">
        <f t="array" ref="C192">MMULT(TRANSPOSE(_xlfn.ANCHORARRAY(C184)),_xlfn.ANCHORARRAY(C184))</f>
        <v>6</v>
      </c>
      <c r="E192" s="24" cm="1">
        <f t="array" ref="E192">MINVERSE(C192)</f>
        <v>0.16666666666666666</v>
      </c>
      <c r="P192" s="11"/>
      <c r="R192" s="2">
        <f>25.6/R191</f>
        <v>192</v>
      </c>
    </row>
    <row r="193" spans="1:18" x14ac:dyDescent="0.25">
      <c r="A193" s="12"/>
      <c r="P193" s="11"/>
    </row>
    <row r="194" spans="1:18" x14ac:dyDescent="0.25">
      <c r="A194" s="12"/>
      <c r="P194" s="11"/>
    </row>
    <row r="195" spans="1:18" x14ac:dyDescent="0.25">
      <c r="A195" s="12"/>
      <c r="P195" s="11"/>
    </row>
    <row r="196" spans="1:18" x14ac:dyDescent="0.25">
      <c r="A196" s="58" t="s">
        <v>48</v>
      </c>
      <c r="B196" s="59"/>
      <c r="C196" s="59"/>
      <c r="D196" s="59"/>
      <c r="E196" s="59"/>
      <c r="F196" s="59"/>
      <c r="P196" s="11"/>
    </row>
    <row r="197" spans="1:18" x14ac:dyDescent="0.25">
      <c r="A197" s="9" t="s">
        <v>49</v>
      </c>
      <c r="B197" s="1" t="s">
        <v>53</v>
      </c>
      <c r="C197" s="1" t="s">
        <v>54</v>
      </c>
      <c r="D197" s="1" t="s">
        <v>55</v>
      </c>
      <c r="E197" s="1" t="s">
        <v>56</v>
      </c>
      <c r="F197" s="1" t="s">
        <v>77</v>
      </c>
      <c r="P197" s="11"/>
    </row>
    <row r="198" spans="1:18" x14ac:dyDescent="0.25">
      <c r="A198" s="9" t="s">
        <v>66</v>
      </c>
      <c r="B198" s="1">
        <f>B136</f>
        <v>2</v>
      </c>
      <c r="C198" s="1">
        <f>A140</f>
        <v>99.533238095238048</v>
      </c>
      <c r="D198" s="23"/>
      <c r="E198" s="23"/>
      <c r="F198" s="23"/>
      <c r="P198" s="11"/>
    </row>
    <row r="199" spans="1:18" x14ac:dyDescent="0.25">
      <c r="A199" s="12" t="s">
        <v>67</v>
      </c>
      <c r="B199" s="1">
        <f>B198-G174</f>
        <v>1</v>
      </c>
      <c r="C199" s="1">
        <f>A184</f>
        <v>92.041666666666657</v>
      </c>
      <c r="D199" s="23"/>
      <c r="E199" s="23"/>
      <c r="F199" s="23"/>
      <c r="P199" s="11"/>
      <c r="R199" s="2">
        <f>90/5</f>
        <v>18</v>
      </c>
    </row>
    <row r="200" spans="1:18" x14ac:dyDescent="0.25">
      <c r="A200" s="12" t="s">
        <v>68</v>
      </c>
      <c r="B200" s="1">
        <f>G174</f>
        <v>1</v>
      </c>
      <c r="C200" s="1">
        <f>C198-C199</f>
        <v>7.4915714285713904</v>
      </c>
      <c r="D200" s="1">
        <f>C200/B200</f>
        <v>7.4915714285713904</v>
      </c>
      <c r="E200" s="1">
        <f>D200/D201</f>
        <v>27.322507815212401</v>
      </c>
      <c r="F200" s="1">
        <f>_xlfn.F.INV(1-B137,B200,B201)</f>
        <v>7.7086474221767833</v>
      </c>
      <c r="P200" s="11"/>
    </row>
    <row r="201" spans="1:18" x14ac:dyDescent="0.25">
      <c r="A201" s="9" t="s">
        <v>51</v>
      </c>
      <c r="B201" s="1">
        <f>B135-B136</f>
        <v>4</v>
      </c>
      <c r="C201" s="1">
        <f>C202-C198</f>
        <v>1.0967619047619479</v>
      </c>
      <c r="D201" s="1">
        <f>C201/B201</f>
        <v>0.27419047619048698</v>
      </c>
      <c r="E201" s="23"/>
      <c r="F201" s="23"/>
      <c r="P201" s="11"/>
      <c r="R201" s="2">
        <f>_xlfn.F.INV(1-0.05,1,3)</f>
        <v>10.127964486013925</v>
      </c>
    </row>
    <row r="202" spans="1:18" x14ac:dyDescent="0.25">
      <c r="A202" s="9" t="s">
        <v>52</v>
      </c>
      <c r="B202" s="1">
        <f>B135</f>
        <v>6</v>
      </c>
      <c r="C202" s="1">
        <f>C155</f>
        <v>100.63</v>
      </c>
      <c r="D202" s="23"/>
      <c r="E202" s="23"/>
      <c r="F202" s="23"/>
      <c r="P202" s="11"/>
    </row>
    <row r="203" spans="1:18" x14ac:dyDescent="0.25">
      <c r="A203" s="12"/>
      <c r="P203" s="11"/>
    </row>
    <row r="204" spans="1:18" x14ac:dyDescent="0.25">
      <c r="A204" s="17" t="s">
        <v>64</v>
      </c>
      <c r="P204" s="11"/>
    </row>
    <row r="205" spans="1:18" x14ac:dyDescent="0.25">
      <c r="A205" s="12" t="str">
        <f>IF(E200&lt; F200, "F.hit &lt; F.tab", "F.hit &gt; F.tab")</f>
        <v>F.hit &gt; F.tab</v>
      </c>
      <c r="P205" s="11"/>
    </row>
    <row r="206" spans="1:18" x14ac:dyDescent="0.25">
      <c r="A206" s="28" t="str">
        <f>IF(A205="F.hit &lt; F.tab","Tak Tolak H0","Tolak H0")</f>
        <v>Tolak H0</v>
      </c>
      <c r="P206" s="11"/>
    </row>
    <row r="207" spans="1:18" ht="15.75" thickBot="1" x14ac:dyDescent="0.3">
      <c r="A207" s="1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20"/>
    </row>
  </sheetData>
  <mergeCells count="14">
    <mergeCell ref="A94:C94"/>
    <mergeCell ref="A99:C99"/>
    <mergeCell ref="D127:E127"/>
    <mergeCell ref="A8:B8"/>
    <mergeCell ref="A15:B15"/>
    <mergeCell ref="A19:B19"/>
    <mergeCell ref="A24:B24"/>
    <mergeCell ref="E84:G84"/>
    <mergeCell ref="A196:F196"/>
    <mergeCell ref="D135:E135"/>
    <mergeCell ref="D139:E139"/>
    <mergeCell ref="D143:I143"/>
    <mergeCell ref="K143:P143"/>
    <mergeCell ref="A151:F151"/>
  </mergeCells>
  <pageMargins left="0.7" right="0.7" top="0.75" bottom="0.75" header="0.3" footer="0.3"/>
  <ignoredErrors>
    <ignoredError sqref="H96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4-7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Zen Rofiqy</cp:lastModifiedBy>
  <dcterms:created xsi:type="dcterms:W3CDTF">2015-06-05T18:17:20Z</dcterms:created>
  <dcterms:modified xsi:type="dcterms:W3CDTF">2023-10-04T05:30:13Z</dcterms:modified>
</cp:coreProperties>
</file>