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5" yWindow="3045" windowWidth="9270" windowHeight="7875" activeTab="2"/>
  </bookViews>
  <sheets>
    <sheet name="1" sheetId="3" r:id="rId1"/>
    <sheet name="2" sheetId="1" r:id="rId2"/>
    <sheet name="3" sheetId="2" r:id="rId3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3" l="1" a="1"/>
  <c r="C9" i="3" s="1"/>
  <c r="C8" i="3" a="1"/>
  <c r="C8" i="3" s="1"/>
  <c r="C6" i="3"/>
  <c r="B116" i="2"/>
  <c r="B112" i="2"/>
  <c r="B114" i="2" s="1"/>
  <c r="B107" i="2"/>
  <c r="B105" i="2"/>
  <c r="B103" i="2"/>
  <c r="J70" i="2"/>
  <c r="K75" i="2" s="1" a="1"/>
  <c r="G70" i="2"/>
  <c r="N69" i="2"/>
  <c r="K69" i="2"/>
  <c r="J69" i="2"/>
  <c r="F69" i="2"/>
  <c r="K72" i="2" s="1" a="1"/>
  <c r="C69" i="2"/>
  <c r="B41" i="2"/>
  <c r="B40" i="2"/>
  <c r="M69" i="2" s="1"/>
  <c r="B38" i="2"/>
  <c r="I70" i="2" s="1"/>
  <c r="B37" i="2"/>
  <c r="I69" i="2" s="1"/>
  <c r="H75" i="2" s="1" a="1"/>
  <c r="B35" i="2"/>
  <c r="F70" i="2" s="1"/>
  <c r="B34" i="2"/>
  <c r="E69" i="2" s="1"/>
  <c r="D15" i="2"/>
  <c r="B44" i="2" s="1"/>
  <c r="C15" i="2"/>
  <c r="B43" i="2" s="1"/>
  <c r="I76" i="2" l="1"/>
  <c r="H75" i="2"/>
  <c r="H76" i="2"/>
  <c r="I75" i="2"/>
  <c r="K73" i="2"/>
  <c r="L73" i="2"/>
  <c r="L72" i="2"/>
  <c r="K72" i="2"/>
  <c r="L76" i="2"/>
  <c r="K76" i="2"/>
  <c r="K75" i="2"/>
  <c r="L75" i="2"/>
  <c r="H53" i="2"/>
  <c r="H52" i="2"/>
  <c r="H57" i="2" s="1" a="1"/>
  <c r="E52" i="2"/>
  <c r="B72" i="2" a="1"/>
  <c r="H69" i="2"/>
  <c r="E75" i="2" s="1" a="1"/>
  <c r="D70" i="2"/>
  <c r="L70" i="2"/>
  <c r="G69" i="2"/>
  <c r="B75" i="2" s="1" a="1"/>
  <c r="C70" i="2"/>
  <c r="K70" i="2"/>
  <c r="B78" i="2" s="1" a="1"/>
  <c r="B52" i="2"/>
  <c r="B57" i="2" s="1" a="1"/>
  <c r="E70" i="2"/>
  <c r="H72" i="2" s="1" a="1"/>
  <c r="M70" i="2"/>
  <c r="H78" i="2" s="1" a="1"/>
  <c r="N70" i="2"/>
  <c r="K78" i="2" s="1" a="1"/>
  <c r="B53" i="2"/>
  <c r="D69" i="2"/>
  <c r="E72" i="2" s="1" a="1"/>
  <c r="L69" i="2"/>
  <c r="H70" i="2"/>
  <c r="E53" i="2"/>
  <c r="H72" i="2" l="1"/>
  <c r="I73" i="2"/>
  <c r="I72" i="2"/>
  <c r="H73" i="2"/>
  <c r="H78" i="2"/>
  <c r="I79" i="2"/>
  <c r="I78" i="2"/>
  <c r="H79" i="2"/>
  <c r="C78" i="2"/>
  <c r="B78" i="2"/>
  <c r="B79" i="2"/>
  <c r="C79" i="2"/>
  <c r="E75" i="2"/>
  <c r="F75" i="2"/>
  <c r="E76" i="2"/>
  <c r="F76" i="2"/>
  <c r="C72" i="2"/>
  <c r="B73" i="2"/>
  <c r="B72" i="2"/>
  <c r="C73" i="2"/>
  <c r="I58" i="2"/>
  <c r="H58" i="2"/>
  <c r="I57" i="2"/>
  <c r="H57" i="2"/>
  <c r="E78" i="2" a="1"/>
  <c r="B58" i="2"/>
  <c r="C58" i="2"/>
  <c r="C57" i="2"/>
  <c r="B57" i="2"/>
  <c r="E57" i="2" a="1"/>
  <c r="F73" i="2"/>
  <c r="E73" i="2"/>
  <c r="F72" i="2"/>
  <c r="E72" i="2"/>
  <c r="B76" i="2"/>
  <c r="C76" i="2"/>
  <c r="C75" i="2"/>
  <c r="B75" i="2"/>
  <c r="K79" i="2"/>
  <c r="L78" i="2"/>
  <c r="K78" i="2"/>
  <c r="L79" i="2"/>
  <c r="B81" i="2" l="1"/>
  <c r="B82" i="2"/>
  <c r="F78" i="2"/>
  <c r="C81" i="2" s="1"/>
  <c r="F79" i="2"/>
  <c r="E79" i="2"/>
  <c r="E78" i="2"/>
  <c r="C61" i="2"/>
  <c r="B61" i="2"/>
  <c r="E57" i="2"/>
  <c r="B60" i="2" s="1"/>
  <c r="F57" i="2"/>
  <c r="C60" i="2" s="1"/>
  <c r="E58" i="2"/>
  <c r="F58" i="2"/>
  <c r="C82" i="2"/>
  <c r="B84" i="2" l="1" a="1"/>
  <c r="F60" i="2"/>
  <c r="F81" i="2"/>
  <c r="C84" i="2" l="1"/>
  <c r="B84" i="2"/>
  <c r="F84" i="2" s="1"/>
  <c r="B85" i="2"/>
  <c r="C85" i="2"/>
  <c r="M58" i="1" l="1"/>
  <c r="M57" i="1"/>
  <c r="M54" i="1"/>
  <c r="M53" i="1"/>
  <c r="M50" i="1"/>
  <c r="M49" i="1"/>
  <c r="M46" i="1"/>
  <c r="H58" i="1"/>
  <c r="H57" i="1"/>
  <c r="H54" i="1"/>
  <c r="H53" i="1"/>
  <c r="H50" i="1"/>
  <c r="H49" i="1"/>
  <c r="H33" i="1"/>
  <c r="H32" i="1"/>
  <c r="M22" i="1"/>
  <c r="M20" i="1" a="1"/>
  <c r="M20" i="1" s="1"/>
  <c r="M18" i="1" a="1"/>
  <c r="M18" i="1" s="1"/>
  <c r="H23" i="1" a="1"/>
  <c r="H23" i="1" s="1"/>
  <c r="H19" i="1" a="1"/>
  <c r="H19" i="1" s="1"/>
  <c r="O20" i="1" l="1"/>
  <c r="N20" i="1"/>
  <c r="O18" i="1"/>
  <c r="N18" i="1"/>
  <c r="H25" i="1"/>
  <c r="H24" i="1"/>
  <c r="I19" i="1"/>
  <c r="I21" i="1"/>
  <c r="H20" i="1"/>
  <c r="H21" i="1"/>
  <c r="J19" i="1"/>
  <c r="J20" i="1"/>
  <c r="J21" i="1"/>
  <c r="I20" i="1"/>
  <c r="L5" i="1"/>
  <c r="M4" i="1"/>
  <c r="M3" i="1"/>
  <c r="K5" i="1"/>
  <c r="K4" i="1"/>
  <c r="L3" i="1"/>
  <c r="M5" i="1"/>
  <c r="L4" i="1"/>
  <c r="K3" i="1"/>
  <c r="H3" i="1" a="1"/>
  <c r="H3" i="1" s="1"/>
  <c r="C12" i="1"/>
  <c r="D12" i="1"/>
  <c r="B12" i="1"/>
  <c r="H5" i="1" l="1"/>
  <c r="H4" i="1"/>
</calcChain>
</file>

<file path=xl/sharedStrings.xml><?xml version="1.0" encoding="utf-8"?>
<sst xmlns="http://schemas.openxmlformats.org/spreadsheetml/2006/main" count="147" uniqueCount="109">
  <si>
    <t>No.</t>
  </si>
  <si>
    <t>Kalsium (X1)</t>
  </si>
  <si>
    <t>Vitamin A (X2)</t>
  </si>
  <si>
    <t>Protein (X3)</t>
  </si>
  <si>
    <t>a.</t>
  </si>
  <si>
    <t>Vektor rataan &amp; matriks covariance</t>
  </si>
  <si>
    <t>Xbar</t>
  </si>
  <si>
    <t>b.</t>
  </si>
  <si>
    <t>Uji hipotesis</t>
  </si>
  <si>
    <t>H0</t>
  </si>
  <si>
    <t>miu =</t>
  </si>
  <si>
    <t>H1</t>
  </si>
  <si>
    <t>miu !=</t>
  </si>
  <si>
    <t>S</t>
  </si>
  <si>
    <t>n</t>
  </si>
  <si>
    <t>S-1</t>
  </si>
  <si>
    <t>(Xbar - miu)</t>
  </si>
  <si>
    <t>n(Xbar-miu)'</t>
  </si>
  <si>
    <t>n(Xbar-miu)'*S-1</t>
  </si>
  <si>
    <t>T^2</t>
  </si>
  <si>
    <t>p</t>
  </si>
  <si>
    <t>F</t>
  </si>
  <si>
    <t>c^2</t>
  </si>
  <si>
    <t>c</t>
  </si>
  <si>
    <t>Karena T^2 &lt; c^2 maka terima H0. Cukup bukti untuk menyatakan bahwa miu' = (6,50,100)</t>
  </si>
  <si>
    <t>SK simultan 5%</t>
  </si>
  <si>
    <t>Kalsium</t>
  </si>
  <si>
    <t>Batas bawah</t>
  </si>
  <si>
    <t>Batas atas</t>
  </si>
  <si>
    <t>Vitamin</t>
  </si>
  <si>
    <t>Protein</t>
  </si>
  <si>
    <t>SK bonferoni 5%</t>
  </si>
  <si>
    <t>t</t>
  </si>
  <si>
    <t>Perlakuan</t>
  </si>
  <si>
    <t>Ulangan</t>
  </si>
  <si>
    <t>Y1</t>
  </si>
  <si>
    <t>Y2</t>
  </si>
  <si>
    <t>g</t>
  </si>
  <si>
    <t>Dol-Mix (1kg)</t>
  </si>
  <si>
    <t>sigmani</t>
  </si>
  <si>
    <t>alpha</t>
  </si>
  <si>
    <t>Dol-Mix (2kg)</t>
  </si>
  <si>
    <t>Tanpa Pestisida</t>
  </si>
  <si>
    <t>Total</t>
  </si>
  <si>
    <t>Model Linear:</t>
  </si>
  <si>
    <t>vektorYij = vektormiu + vektortaui + vektoreij</t>
  </si>
  <si>
    <t>i = 1, 2, 3</t>
  </si>
  <si>
    <t>j = 1, 2, ... , ni</t>
  </si>
  <si>
    <t>n1</t>
  </si>
  <si>
    <t>n2</t>
  </si>
  <si>
    <t>n3</t>
  </si>
  <si>
    <t>Keterangan Model:</t>
  </si>
  <si>
    <t>vektorYij =</t>
  </si>
  <si>
    <t>vektormiu =</t>
  </si>
  <si>
    <t>vektor rataan umum</t>
  </si>
  <si>
    <t>vektortaui =</t>
  </si>
  <si>
    <t>vektoreij =</t>
  </si>
  <si>
    <t>Vektor Rataan</t>
  </si>
  <si>
    <t>X1bar</t>
  </si>
  <si>
    <t>X2bar</t>
  </si>
  <si>
    <t>X3bar</t>
  </si>
  <si>
    <t>Matriks Jumlah Kuadrat</t>
  </si>
  <si>
    <t>B = JKP</t>
  </si>
  <si>
    <t>Xbar1-Xbar</t>
  </si>
  <si>
    <t>Xbar2-Xbar</t>
  </si>
  <si>
    <t>Xbar3-Xbar</t>
  </si>
  <si>
    <t>+</t>
  </si>
  <si>
    <t>det(B)</t>
  </si>
  <si>
    <t>W = JKG</t>
  </si>
  <si>
    <t>Xlj-Xbarl</t>
  </si>
  <si>
    <t>det(W)</t>
  </si>
  <si>
    <t>T = JKT</t>
  </si>
  <si>
    <t>det(T)</t>
  </si>
  <si>
    <t>Prosedur Pengujian</t>
  </si>
  <si>
    <t>Hipotesis</t>
  </si>
  <si>
    <t>H0:</t>
  </si>
  <si>
    <t>vektortau1 = vektortau2 = vektortau3 = vektor0</t>
  </si>
  <si>
    <t>(varietas tidak berpengaruh terhadap produksi dan bobot jagung)</t>
  </si>
  <si>
    <t>H1:</t>
  </si>
  <si>
    <t>Minimai ada 1 i di mana vektortaui != vektor0</t>
  </si>
  <si>
    <t>(minimal ada 1 varietas yang berpengaruh terhadap produksi dan bobot jagung)</t>
  </si>
  <si>
    <t>Tabel Manova</t>
  </si>
  <si>
    <t>SK</t>
  </si>
  <si>
    <t>db</t>
  </si>
  <si>
    <t>Matriks JK dan JHK</t>
  </si>
  <si>
    <t>B</t>
  </si>
  <si>
    <t>W</t>
  </si>
  <si>
    <t>T</t>
  </si>
  <si>
    <t>Wilks Lambda</t>
  </si>
  <si>
    <t>Lambda</t>
  </si>
  <si>
    <t>det(W)/det(T)</t>
  </si>
  <si>
    <t>Fhit</t>
  </si>
  <si>
    <t>(sigmani - p - 2)/p * (1 - akar(lmbda))/akar(lambda)</t>
  </si>
  <si>
    <t>Ftabel</t>
  </si>
  <si>
    <t>F(alpha,2p,2(sigmani-p-2))</t>
  </si>
  <si>
    <t>Fhit &gt; Ftabel</t>
  </si>
  <si>
    <t>Keputusan: Tak tolak H0</t>
  </si>
  <si>
    <t>miu'</t>
  </si>
  <si>
    <t>sigma</t>
  </si>
  <si>
    <t>rho23</t>
  </si>
  <si>
    <t>E(Z)</t>
  </si>
  <si>
    <t>z'</t>
  </si>
  <si>
    <t>V(Z)</t>
  </si>
  <si>
    <t>vektor pengaruh perlakuan ke-i</t>
  </si>
  <si>
    <t>vektor pengaruh komponen acak pada perlakuan ke-i dan ulangan ke-j</t>
  </si>
  <si>
    <t>vektor respon yang berisi produksi dan bobot gabah pada perlakuan ke-i dan blok ke-j</t>
  </si>
  <si>
    <t>Tidak cukup bukti untuk menyatakan bahwa metode pemberian pestisida dari setiap</t>
  </si>
  <si>
    <t>kelompok memberikan pengaruh berbeda pada penilaian terhadap produksi dan bobot</t>
  </si>
  <si>
    <t>gabah pada taraf nyata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</si>
</sst>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0" fontId="2" fillId="0" borderId="0" xfId="0" applyFont="1" applyFill="1"/>
    <xf numFmtId="0" fontId="0" fillId="0" borderId="0" xfId="0" applyFill="1"/>
    <xf numFmtId="2" fontId="0" fillId="0" borderId="5" xfId="0" applyNumberFormat="1" applyFill="1" applyBorder="1"/>
    <xf numFmtId="0" fontId="0" fillId="0" borderId="5" xfId="0" applyFill="1" applyBorder="1"/>
    <xf numFmtId="0" fontId="0" fillId="0" borderId="0" xfId="0" applyFill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5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0</xdr:row>
      <xdr:rowOff>66675</xdr:rowOff>
    </xdr:from>
    <xdr:to>
      <xdr:col>12</xdr:col>
      <xdr:colOff>514716</xdr:colOff>
      <xdr:row>19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66675"/>
          <a:ext cx="4934316" cy="3686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13</xdr:row>
      <xdr:rowOff>104775</xdr:rowOff>
    </xdr:from>
    <xdr:to>
      <xdr:col>9</xdr:col>
      <xdr:colOff>543481</xdr:colOff>
      <xdr:row>15</xdr:row>
      <xdr:rowOff>142933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91124B3-B628-4ACE-8A45-86769ACC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2990850"/>
          <a:ext cx="3982006" cy="419158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25</xdr:row>
      <xdr:rowOff>152400</xdr:rowOff>
    </xdr:from>
    <xdr:to>
      <xdr:col>10</xdr:col>
      <xdr:colOff>504825</xdr:colOff>
      <xdr:row>28</xdr:row>
      <xdr:rowOff>74480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2668C25-6928-4547-B5DA-A25AC1BD4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5324475"/>
          <a:ext cx="2390775" cy="493580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41</xdr:row>
      <xdr:rowOff>57150</xdr:rowOff>
    </xdr:from>
    <xdr:to>
      <xdr:col>10</xdr:col>
      <xdr:colOff>210209</xdr:colOff>
      <xdr:row>44</xdr:row>
      <xdr:rowOff>85809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0341578-78FB-41A6-8FDC-FD9B5E67E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1850" y="8277225"/>
          <a:ext cx="4725059" cy="600159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41</xdr:row>
      <xdr:rowOff>76200</xdr:rowOff>
    </xdr:from>
    <xdr:to>
      <xdr:col>13</xdr:col>
      <xdr:colOff>409838</xdr:colOff>
      <xdr:row>44</xdr:row>
      <xdr:rowOff>38174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E4448BF0-D5FF-487A-9F11-E77840208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67750" y="8296275"/>
          <a:ext cx="1886213" cy="533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46</xdr:row>
      <xdr:rowOff>85725</xdr:rowOff>
    </xdr:from>
    <xdr:to>
      <xdr:col>3</xdr:col>
      <xdr:colOff>209816</xdr:colOff>
      <xdr:row>49</xdr:row>
      <xdr:rowOff>114384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5AFFE7D-46C8-458F-96DF-5A816F95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8972550"/>
          <a:ext cx="1581416" cy="600159"/>
        </a:xfrm>
        <a:prstGeom prst="rect">
          <a:avLst/>
        </a:prstGeom>
      </xdr:spPr>
    </xdr:pic>
    <xdr:clientData/>
  </xdr:twoCellAnchor>
  <xdr:twoCellAnchor>
    <xdr:from>
      <xdr:col>0</xdr:col>
      <xdr:colOff>723900</xdr:colOff>
      <xdr:row>62</xdr:row>
      <xdr:rowOff>85725</xdr:rowOff>
    </xdr:from>
    <xdr:to>
      <xdr:col>4</xdr:col>
      <xdr:colOff>161925</xdr:colOff>
      <xdr:row>65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2020550"/>
          <a:ext cx="2095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O14" sqref="O14"/>
    </sheetView>
  </sheetViews>
  <sheetFormatPr defaultRowHeight="15" x14ac:dyDescent="0.25"/>
  <sheetData>
    <row r="1" spans="1:5" x14ac:dyDescent="0.25">
      <c r="A1" t="s">
        <v>97</v>
      </c>
      <c r="B1">
        <v>6</v>
      </c>
      <c r="C1">
        <v>18</v>
      </c>
      <c r="D1">
        <v>3</v>
      </c>
    </row>
    <row r="2" spans="1:5" x14ac:dyDescent="0.25">
      <c r="A2" t="s">
        <v>98</v>
      </c>
      <c r="B2">
        <v>2</v>
      </c>
      <c r="C2">
        <v>4</v>
      </c>
      <c r="D2">
        <v>12</v>
      </c>
    </row>
    <row r="3" spans="1:5" x14ac:dyDescent="0.25">
      <c r="B3">
        <v>4</v>
      </c>
      <c r="C3">
        <v>5</v>
      </c>
      <c r="D3">
        <v>8</v>
      </c>
    </row>
    <row r="4" spans="1:5" x14ac:dyDescent="0.25">
      <c r="B4">
        <v>12</v>
      </c>
      <c r="C4">
        <v>8</v>
      </c>
      <c r="D4">
        <v>0.5</v>
      </c>
    </row>
    <row r="6" spans="1:5" x14ac:dyDescent="0.25">
      <c r="A6" t="s">
        <v>4</v>
      </c>
      <c r="B6" t="s">
        <v>99</v>
      </c>
      <c r="C6">
        <f>C4/SQRT(C3*D4)</f>
        <v>5.0596442562694071</v>
      </c>
    </row>
    <row r="7" spans="1:5" x14ac:dyDescent="0.25">
      <c r="A7" t="s">
        <v>7</v>
      </c>
      <c r="B7" t="s">
        <v>101</v>
      </c>
      <c r="C7">
        <v>1</v>
      </c>
      <c r="D7">
        <v>2</v>
      </c>
      <c r="E7">
        <v>-4</v>
      </c>
    </row>
    <row r="8" spans="1:5" x14ac:dyDescent="0.25">
      <c r="B8" t="s">
        <v>100</v>
      </c>
      <c r="C8">
        <f t="array" ref="C8">MMULT(C7:E7,TRANSPOSE(B1:D1))</f>
        <v>30</v>
      </c>
    </row>
    <row r="9" spans="1:5" x14ac:dyDescent="0.25">
      <c r="B9" t="s">
        <v>102</v>
      </c>
      <c r="C9">
        <f t="array" ref="C9">MMULT(MMULT(C7:E7,B2:D4),TRANSPOSE(C7:E7))</f>
        <v>-178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L9" sqref="L9"/>
    </sheetView>
  </sheetViews>
  <sheetFormatPr defaultRowHeight="15" x14ac:dyDescent="0.25"/>
  <cols>
    <col min="7" max="7" width="32.42578125" bestFit="1" customWidth="1"/>
    <col min="8" max="8" width="12.7109375" bestFit="1" customWidth="1"/>
    <col min="12" max="12" width="15.5703125" bestFit="1" customWidth="1"/>
  </cols>
  <sheetData>
    <row r="1" spans="1:13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13" ht="16.5" thickBot="1" x14ac:dyDescent="0.3">
      <c r="A2" s="3">
        <v>1</v>
      </c>
      <c r="B2" s="4">
        <v>3.4</v>
      </c>
      <c r="C2" s="4">
        <v>21</v>
      </c>
      <c r="D2" s="4">
        <v>130</v>
      </c>
      <c r="F2" t="s">
        <v>4</v>
      </c>
      <c r="G2" t="s">
        <v>5</v>
      </c>
    </row>
    <row r="3" spans="1:13" ht="16.5" thickBot="1" x14ac:dyDescent="0.3">
      <c r="A3" s="3">
        <v>2</v>
      </c>
      <c r="B3" s="4">
        <v>2.5</v>
      </c>
      <c r="C3" s="4">
        <v>45</v>
      </c>
      <c r="D3" s="4">
        <v>67</v>
      </c>
      <c r="H3">
        <f t="array" ref="H3:H5">TRANSPOSE(B12:D12)</f>
        <v>3.87</v>
      </c>
      <c r="K3">
        <f>_xlfn.VAR.S(B2:B11)</f>
        <v>10.053444444444441</v>
      </c>
      <c r="L3">
        <f>_xlfn.COVARIANCE.S(B2:B11,C2:C11)</f>
        <v>53.04</v>
      </c>
      <c r="M3">
        <f>K5</f>
        <v>-94.034444444444432</v>
      </c>
    </row>
    <row r="4" spans="1:13" ht="16.5" thickBot="1" x14ac:dyDescent="0.3">
      <c r="A4" s="3">
        <v>3</v>
      </c>
      <c r="B4" s="4">
        <v>1.6</v>
      </c>
      <c r="C4" s="4">
        <v>67</v>
      </c>
      <c r="D4" s="4">
        <v>280</v>
      </c>
      <c r="G4" t="s">
        <v>6</v>
      </c>
      <c r="H4">
        <v>61.2</v>
      </c>
      <c r="J4" t="s">
        <v>13</v>
      </c>
      <c r="K4">
        <f>L3</f>
        <v>53.04</v>
      </c>
      <c r="L4">
        <f>_xlfn.VAR.S(C2:C11)</f>
        <v>904.62222222222204</v>
      </c>
      <c r="M4">
        <f>_xlfn.COVARIANCE.S(C2:C11,D2:D11)</f>
        <v>-843.17777777777792</v>
      </c>
    </row>
    <row r="5" spans="1:13" ht="16.5" thickBot="1" x14ac:dyDescent="0.3">
      <c r="A5" s="3">
        <v>4</v>
      </c>
      <c r="B5" s="4">
        <v>0.3</v>
      </c>
      <c r="C5" s="4">
        <v>35</v>
      </c>
      <c r="D5" s="4">
        <v>36</v>
      </c>
      <c r="H5">
        <v>90.3</v>
      </c>
      <c r="K5">
        <f>_xlfn.COVARIANCE.S(B2:B11,D2:D11)</f>
        <v>-94.034444444444432</v>
      </c>
      <c r="L5">
        <f>M4</f>
        <v>-843.17777777777792</v>
      </c>
      <c r="M5">
        <f>_xlfn.VAR.S(D2:D11)</f>
        <v>6490.0111111111119</v>
      </c>
    </row>
    <row r="6" spans="1:13" ht="16.5" thickBot="1" x14ac:dyDescent="0.3">
      <c r="A6" s="3">
        <v>5</v>
      </c>
      <c r="B6" s="4">
        <v>2.7</v>
      </c>
      <c r="C6" s="4">
        <v>28</v>
      </c>
      <c r="D6" s="4">
        <v>160</v>
      </c>
    </row>
    <row r="7" spans="1:13" ht="16.5" thickBot="1" x14ac:dyDescent="0.3">
      <c r="A7" s="3">
        <v>6</v>
      </c>
      <c r="B7" s="4">
        <v>8.6</v>
      </c>
      <c r="C7" s="4">
        <v>100</v>
      </c>
      <c r="D7" s="4">
        <v>35</v>
      </c>
      <c r="F7" t="s">
        <v>7</v>
      </c>
      <c r="G7" t="s">
        <v>8</v>
      </c>
    </row>
    <row r="8" spans="1:13" ht="16.5" thickBot="1" x14ac:dyDescent="0.3">
      <c r="A8" s="3">
        <v>7</v>
      </c>
      <c r="B8" s="4">
        <v>10.3</v>
      </c>
      <c r="C8" s="4">
        <v>96</v>
      </c>
      <c r="D8" s="4">
        <v>24</v>
      </c>
      <c r="G8" s="8" t="s">
        <v>9</v>
      </c>
      <c r="I8">
        <v>6</v>
      </c>
    </row>
    <row r="9" spans="1:13" ht="16.5" thickBot="1" x14ac:dyDescent="0.3">
      <c r="A9" s="3">
        <v>8</v>
      </c>
      <c r="B9" s="4">
        <v>4.2</v>
      </c>
      <c r="C9" s="4">
        <v>46</v>
      </c>
      <c r="D9" s="4">
        <v>67</v>
      </c>
      <c r="G9" s="8"/>
      <c r="H9" t="s">
        <v>10</v>
      </c>
      <c r="I9">
        <v>50</v>
      </c>
    </row>
    <row r="10" spans="1:13" ht="16.5" thickBot="1" x14ac:dyDescent="0.3">
      <c r="A10" s="3">
        <v>9</v>
      </c>
      <c r="B10" s="4">
        <v>3.5</v>
      </c>
      <c r="C10" s="4">
        <v>78</v>
      </c>
      <c r="D10" s="4">
        <v>80</v>
      </c>
      <c r="G10" s="8"/>
      <c r="I10">
        <v>100</v>
      </c>
    </row>
    <row r="11" spans="1:13" ht="16.5" thickBot="1" x14ac:dyDescent="0.3">
      <c r="A11" s="3">
        <v>10</v>
      </c>
      <c r="B11" s="4">
        <v>1.6</v>
      </c>
      <c r="C11" s="4">
        <v>96</v>
      </c>
      <c r="D11" s="4">
        <v>24</v>
      </c>
      <c r="G11" s="9" t="s">
        <v>11</v>
      </c>
      <c r="I11">
        <v>6</v>
      </c>
    </row>
    <row r="12" spans="1:13" x14ac:dyDescent="0.25">
      <c r="B12">
        <f>AVERAGE(B2:B11)</f>
        <v>3.87</v>
      </c>
      <c r="C12">
        <f t="shared" ref="C12:D12" si="0">AVERAGE(C2:C11)</f>
        <v>61.2</v>
      </c>
      <c r="D12">
        <f t="shared" si="0"/>
        <v>90.3</v>
      </c>
      <c r="G12" s="9"/>
      <c r="H12" t="s">
        <v>12</v>
      </c>
      <c r="I12">
        <v>50</v>
      </c>
    </row>
    <row r="13" spans="1:13" x14ac:dyDescent="0.25">
      <c r="G13" s="9"/>
      <c r="I13">
        <v>100</v>
      </c>
    </row>
    <row r="18" spans="7:15" x14ac:dyDescent="0.25">
      <c r="G18" t="s">
        <v>14</v>
      </c>
      <c r="H18">
        <v>10</v>
      </c>
      <c r="L18" t="s">
        <v>17</v>
      </c>
      <c r="M18">
        <f t="array" ref="M18:O18">H18*TRANSPOSE(H23:H25)</f>
        <v>-21.299999999999997</v>
      </c>
      <c r="N18">
        <v>112.00000000000003</v>
      </c>
      <c r="O18">
        <v>-97.000000000000028</v>
      </c>
    </row>
    <row r="19" spans="7:15" x14ac:dyDescent="0.25">
      <c r="H19">
        <f t="array" ref="H19:J21">MINVERSE(K3:M5)</f>
        <v>0.15163201058196271</v>
      </c>
      <c r="I19">
        <v>-7.7855214858992758E-3</v>
      </c>
      <c r="J19">
        <v>1.18552234164512E-3</v>
      </c>
    </row>
    <row r="20" spans="7:15" x14ac:dyDescent="0.25">
      <c r="G20" t="s">
        <v>15</v>
      </c>
      <c r="H20">
        <v>-7.7855214858992793E-3</v>
      </c>
      <c r="I20">
        <v>1.6574859496039235E-3</v>
      </c>
      <c r="J20">
        <v>1.0253420535888355E-4</v>
      </c>
      <c r="L20" t="s">
        <v>18</v>
      </c>
      <c r="M20">
        <f t="array" ref="M20:O20">MMULT(M18:O18,H19:J21)</f>
        <v>-4.2167358989561015</v>
      </c>
      <c r="N20">
        <v>0.34152421608548234</v>
      </c>
      <c r="O20">
        <v>-3.1672178141438662E-2</v>
      </c>
    </row>
    <row r="21" spans="7:15" x14ac:dyDescent="0.25">
      <c r="H21">
        <v>1.1855223416451187E-3</v>
      </c>
      <c r="I21">
        <v>1.0253420535888348E-4</v>
      </c>
      <c r="J21">
        <v>1.8458127076899548E-4</v>
      </c>
    </row>
    <row r="22" spans="7:15" x14ac:dyDescent="0.25">
      <c r="L22" t="s">
        <v>19</v>
      </c>
      <c r="M22">
        <f>MMULT(M20:O20,H23:H25)</f>
        <v>13.113938812905854</v>
      </c>
    </row>
    <row r="23" spans="7:15" x14ac:dyDescent="0.25">
      <c r="H23">
        <f t="array" ref="H23:H25">H3:H5-I8:I10</f>
        <v>-2.13</v>
      </c>
    </row>
    <row r="24" spans="7:15" x14ac:dyDescent="0.25">
      <c r="G24" t="s">
        <v>16</v>
      </c>
      <c r="H24">
        <v>11.200000000000003</v>
      </c>
    </row>
    <row r="25" spans="7:15" x14ac:dyDescent="0.25">
      <c r="H25">
        <v>-9.7000000000000028</v>
      </c>
    </row>
    <row r="31" spans="7:15" x14ac:dyDescent="0.25">
      <c r="G31" t="s">
        <v>20</v>
      </c>
      <c r="H31">
        <v>3</v>
      </c>
    </row>
    <row r="32" spans="7:15" x14ac:dyDescent="0.25">
      <c r="G32" t="s">
        <v>21</v>
      </c>
      <c r="H32">
        <f>_xlfn.F.INV.RT(0.05,3,7)</f>
        <v>4.3468313999078179</v>
      </c>
    </row>
    <row r="33" spans="6:16" x14ac:dyDescent="0.25">
      <c r="G33" t="s">
        <v>22</v>
      </c>
      <c r="H33">
        <f>((9*3)/(7))*H32</f>
        <v>16.766349685358726</v>
      </c>
    </row>
    <row r="35" spans="6:16" x14ac:dyDescent="0.25">
      <c r="G35" s="8" t="s">
        <v>24</v>
      </c>
      <c r="H35" s="8"/>
      <c r="I35" s="8"/>
      <c r="J35" s="8"/>
      <c r="K35" s="8"/>
    </row>
    <row r="36" spans="6:16" x14ac:dyDescent="0.25">
      <c r="G36" s="8"/>
      <c r="H36" s="8"/>
      <c r="I36" s="8"/>
      <c r="J36" s="8"/>
      <c r="K36" s="8"/>
    </row>
    <row r="37" spans="6:16" x14ac:dyDescent="0.25">
      <c r="G37" s="8"/>
      <c r="H37" s="8"/>
      <c r="I37" s="8"/>
      <c r="J37" s="8"/>
      <c r="K37" s="8"/>
    </row>
    <row r="38" spans="6:16" x14ac:dyDescent="0.25">
      <c r="G38" s="8"/>
      <c r="H38" s="8"/>
      <c r="I38" s="8"/>
      <c r="J38" s="8"/>
      <c r="K38" s="8"/>
    </row>
    <row r="41" spans="6:16" x14ac:dyDescent="0.25">
      <c r="F41" t="s">
        <v>23</v>
      </c>
      <c r="G41" t="s">
        <v>25</v>
      </c>
      <c r="L41" t="s">
        <v>31</v>
      </c>
    </row>
    <row r="42" spans="6:16" x14ac:dyDescent="0.25">
      <c r="G42" s="5"/>
      <c r="H42" s="5"/>
      <c r="I42" s="5"/>
      <c r="J42" s="5"/>
      <c r="K42" s="5"/>
    </row>
    <row r="46" spans="6:16" x14ac:dyDescent="0.25">
      <c r="L46" t="s">
        <v>32</v>
      </c>
      <c r="M46">
        <f>ABS(_xlfn.T.INV(0.05/6,9))</f>
        <v>2.9333240883739884</v>
      </c>
    </row>
    <row r="47" spans="6:16" x14ac:dyDescent="0.25">
      <c r="G47" s="7" t="s">
        <v>26</v>
      </c>
      <c r="H47" s="7"/>
      <c r="I47" s="7"/>
      <c r="J47" s="7"/>
      <c r="K47" s="7"/>
      <c r="L47" s="7"/>
      <c r="M47" s="7"/>
      <c r="N47" s="7"/>
      <c r="O47" s="7"/>
      <c r="P47" s="7"/>
    </row>
    <row r="49" spans="7:16" x14ac:dyDescent="0.25">
      <c r="G49" t="s">
        <v>27</v>
      </c>
      <c r="H49">
        <f>H3 - SQRT((3*9*H32)/7) *SQRT(K3/10)</f>
        <v>-0.23560062716629204</v>
      </c>
      <c r="L49" t="s">
        <v>27</v>
      </c>
      <c r="M49">
        <f>H$3-M$46*SQRT(K$3/10)</f>
        <v>0.92884786301744571</v>
      </c>
    </row>
    <row r="50" spans="7:16" x14ac:dyDescent="0.25">
      <c r="G50" t="s">
        <v>28</v>
      </c>
      <c r="H50">
        <f>H3 + SQRT((3*9*H32)/7) *SQRT(K3/10)</f>
        <v>7.9756006271662923</v>
      </c>
      <c r="L50" t="s">
        <v>28</v>
      </c>
      <c r="M50">
        <f>H$3+M$46*SQRT(K$3/10)</f>
        <v>6.8111521369825549</v>
      </c>
    </row>
    <row r="52" spans="7:16" x14ac:dyDescent="0.25">
      <c r="G52" s="7" t="s">
        <v>29</v>
      </c>
      <c r="H52" s="7"/>
      <c r="I52" s="7"/>
      <c r="J52" s="7"/>
      <c r="K52" s="7"/>
      <c r="L52" s="7"/>
      <c r="M52" s="7"/>
      <c r="N52" s="7"/>
      <c r="O52" s="7"/>
      <c r="P52" s="7"/>
    </row>
    <row r="53" spans="7:16" x14ac:dyDescent="0.25">
      <c r="G53" t="s">
        <v>27</v>
      </c>
      <c r="H53">
        <f>H$4 - SQRT((3*9*H$32)/7) *SQRT($L$4/10)</f>
        <v>22.254894388480523</v>
      </c>
      <c r="L53" t="s">
        <v>27</v>
      </c>
      <c r="M53">
        <f>H$4-M$46*SQRT(L$4/10)</f>
        <v>33.300676369637458</v>
      </c>
    </row>
    <row r="54" spans="7:16" x14ac:dyDescent="0.25">
      <c r="G54" t="s">
        <v>28</v>
      </c>
      <c r="H54">
        <f>H$4 + SQRT((3*9*H$32)/7) *SQRT($L$4/10)</f>
        <v>100.14510561151948</v>
      </c>
      <c r="L54" t="s">
        <v>28</v>
      </c>
      <c r="M54">
        <f>H$4+M$46*SQRT(L$4/10)</f>
        <v>89.099323630362548</v>
      </c>
    </row>
    <row r="56" spans="7:16" x14ac:dyDescent="0.25">
      <c r="G56" s="7" t="s">
        <v>30</v>
      </c>
      <c r="H56" s="7"/>
      <c r="I56" s="7"/>
      <c r="J56" s="7"/>
      <c r="K56" s="7"/>
      <c r="L56" s="7"/>
      <c r="M56" s="7"/>
      <c r="N56" s="7"/>
      <c r="O56" s="7"/>
      <c r="P56" s="7"/>
    </row>
    <row r="57" spans="7:16" x14ac:dyDescent="0.25">
      <c r="G57" t="s">
        <v>27</v>
      </c>
      <c r="H57">
        <f>H$5 - SQRT((3*9*H$32)/7) *SQRT($M$5/10)</f>
        <v>-14.013851309762515</v>
      </c>
      <c r="L57" t="s">
        <v>27</v>
      </c>
      <c r="M57">
        <f>H$5-M$46*SQRT(M$5/10)</f>
        <v>15.572101561338286</v>
      </c>
    </row>
    <row r="58" spans="7:16" x14ac:dyDescent="0.25">
      <c r="G58" t="s">
        <v>28</v>
      </c>
      <c r="H58">
        <f>H$5 + SQRT((3*9*H$32)/7) *SQRT($M$5/10)</f>
        <v>194.61385130976251</v>
      </c>
      <c r="L58" t="s">
        <v>28</v>
      </c>
      <c r="M58">
        <f>H$5+M$46*SQRT(M$5/10)</f>
        <v>165.02789843866171</v>
      </c>
    </row>
  </sheetData>
  <mergeCells count="6">
    <mergeCell ref="G47:P47"/>
    <mergeCell ref="G52:P52"/>
    <mergeCell ref="G56:P56"/>
    <mergeCell ref="G8:G10"/>
    <mergeCell ref="G11:G13"/>
    <mergeCell ref="G35:K3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A106" workbookViewId="0">
      <selection activeCell="D118" sqref="D118"/>
    </sheetView>
  </sheetViews>
  <sheetFormatPr defaultRowHeight="15" x14ac:dyDescent="0.25"/>
  <cols>
    <col min="1" max="1" width="11.5703125" customWidth="1"/>
    <col min="2" max="2" width="10" customWidth="1"/>
    <col min="11" max="11" width="9.5703125" customWidth="1"/>
  </cols>
  <sheetData>
    <row r="1" spans="1:22" x14ac:dyDescent="0.25"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.75" customHeight="1" x14ac:dyDescent="0.25">
      <c r="A2" s="11" t="s">
        <v>33</v>
      </c>
      <c r="B2" s="11" t="s">
        <v>34</v>
      </c>
      <c r="C2" s="11" t="s">
        <v>35</v>
      </c>
      <c r="D2" s="11" t="s">
        <v>36</v>
      </c>
      <c r="E2" s="12"/>
      <c r="F2" t="s">
        <v>37</v>
      </c>
      <c r="G2" s="6">
        <v>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x14ac:dyDescent="0.25">
      <c r="A3" s="13" t="s">
        <v>38</v>
      </c>
      <c r="B3" s="11">
        <v>1</v>
      </c>
      <c r="C3" s="14">
        <v>31.3</v>
      </c>
      <c r="D3" s="14">
        <v>41</v>
      </c>
      <c r="E3" s="15"/>
      <c r="F3" t="s">
        <v>39</v>
      </c>
      <c r="G3" s="6">
        <v>12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x14ac:dyDescent="0.25">
      <c r="A4" s="13"/>
      <c r="B4" s="11">
        <v>2</v>
      </c>
      <c r="C4" s="14">
        <v>33.4</v>
      </c>
      <c r="D4" s="14">
        <v>43.3</v>
      </c>
      <c r="E4" s="15"/>
      <c r="F4" t="s">
        <v>20</v>
      </c>
      <c r="G4" s="12">
        <v>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x14ac:dyDescent="0.25">
      <c r="A5" s="13"/>
      <c r="B5" s="11">
        <v>3</v>
      </c>
      <c r="C5" s="14">
        <v>29.2</v>
      </c>
      <c r="D5" s="14">
        <v>35.299999999999997</v>
      </c>
      <c r="E5" s="15"/>
      <c r="F5" t="s">
        <v>40</v>
      </c>
      <c r="G5" s="12">
        <v>0.05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x14ac:dyDescent="0.25">
      <c r="A6" s="13"/>
      <c r="B6" s="11">
        <v>4</v>
      </c>
      <c r="C6" s="14">
        <v>32.200000000000003</v>
      </c>
      <c r="D6" s="14">
        <v>37.4</v>
      </c>
      <c r="E6" s="15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x14ac:dyDescent="0.25">
      <c r="A7" s="13" t="s">
        <v>41</v>
      </c>
      <c r="B7" s="11">
        <v>1</v>
      </c>
      <c r="C7" s="14">
        <v>38.299999999999997</v>
      </c>
      <c r="D7" s="14">
        <v>37.200000000000003</v>
      </c>
      <c r="E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x14ac:dyDescent="0.25">
      <c r="A8" s="13"/>
      <c r="B8" s="11">
        <v>2</v>
      </c>
      <c r="C8" s="14">
        <v>37.5</v>
      </c>
      <c r="D8" s="14">
        <v>40.1</v>
      </c>
      <c r="E8" s="1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x14ac:dyDescent="0.25">
      <c r="A9" s="13"/>
      <c r="B9" s="11">
        <v>3</v>
      </c>
      <c r="C9" s="14">
        <v>37.4</v>
      </c>
      <c r="D9" s="14">
        <v>45.7</v>
      </c>
      <c r="E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x14ac:dyDescent="0.25">
      <c r="A10" s="13"/>
      <c r="B10" s="11">
        <v>4</v>
      </c>
      <c r="C10" s="14">
        <v>35.799999999999997</v>
      </c>
      <c r="D10" s="14">
        <v>39.5</v>
      </c>
      <c r="E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x14ac:dyDescent="0.25">
      <c r="A11" s="13" t="s">
        <v>42</v>
      </c>
      <c r="B11" s="11">
        <v>1</v>
      </c>
      <c r="C11" s="14">
        <v>30.2</v>
      </c>
      <c r="D11" s="14">
        <v>39.4</v>
      </c>
      <c r="E11" s="1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x14ac:dyDescent="0.25">
      <c r="A12" s="13"/>
      <c r="B12" s="11">
        <v>2</v>
      </c>
      <c r="C12" s="14">
        <v>28.3</v>
      </c>
      <c r="D12" s="14">
        <v>41.9</v>
      </c>
      <c r="E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x14ac:dyDescent="0.25">
      <c r="A13" s="13"/>
      <c r="B13" s="11">
        <v>3</v>
      </c>
      <c r="C13" s="14">
        <v>29.5</v>
      </c>
      <c r="D13" s="14">
        <v>39.4</v>
      </c>
      <c r="E13" s="15"/>
    </row>
    <row r="14" spans="1:22" ht="15.75" x14ac:dyDescent="0.25">
      <c r="A14" s="13"/>
      <c r="B14" s="11">
        <v>4</v>
      </c>
      <c r="C14" s="14">
        <v>31.4</v>
      </c>
      <c r="D14" s="14">
        <v>44.1</v>
      </c>
      <c r="E14" s="15"/>
    </row>
    <row r="15" spans="1:22" x14ac:dyDescent="0.25">
      <c r="A15" s="16" t="s">
        <v>43</v>
      </c>
      <c r="B15" s="16"/>
      <c r="C15" s="11">
        <f>SUM(C3:C14)</f>
        <v>394.5</v>
      </c>
      <c r="D15" s="11">
        <f>SUM(D3:D14)</f>
        <v>484.29999999999995</v>
      </c>
      <c r="E15" s="17"/>
    </row>
    <row r="17" spans="1:4" x14ac:dyDescent="0.25">
      <c r="A17" s="18" t="s">
        <v>44</v>
      </c>
      <c r="B17" s="19"/>
      <c r="C17" s="19"/>
      <c r="D17" s="19"/>
    </row>
    <row r="18" spans="1:4" x14ac:dyDescent="0.25">
      <c r="A18" t="s">
        <v>45</v>
      </c>
    </row>
    <row r="19" spans="1:4" x14ac:dyDescent="0.25">
      <c r="A19" t="s">
        <v>46</v>
      </c>
    </row>
    <row r="20" spans="1:4" x14ac:dyDescent="0.25">
      <c r="A20" t="s">
        <v>47</v>
      </c>
    </row>
    <row r="22" spans="1:4" x14ac:dyDescent="0.25">
      <c r="A22" t="s">
        <v>37</v>
      </c>
      <c r="B22">
        <v>3</v>
      </c>
    </row>
    <row r="23" spans="1:4" x14ac:dyDescent="0.25">
      <c r="A23" t="s">
        <v>48</v>
      </c>
      <c r="B23">
        <v>4</v>
      </c>
    </row>
    <row r="24" spans="1:4" x14ac:dyDescent="0.25">
      <c r="A24" t="s">
        <v>49</v>
      </c>
      <c r="B24">
        <v>4</v>
      </c>
    </row>
    <row r="25" spans="1:4" x14ac:dyDescent="0.25">
      <c r="A25" t="s">
        <v>50</v>
      </c>
      <c r="B25">
        <v>4</v>
      </c>
    </row>
    <row r="27" spans="1:4" x14ac:dyDescent="0.25">
      <c r="A27" s="20" t="s">
        <v>51</v>
      </c>
    </row>
    <row r="28" spans="1:4" x14ac:dyDescent="0.25">
      <c r="A28" t="s">
        <v>52</v>
      </c>
      <c r="B28" t="s">
        <v>105</v>
      </c>
    </row>
    <row r="29" spans="1:4" x14ac:dyDescent="0.25">
      <c r="A29" t="s">
        <v>53</v>
      </c>
      <c r="B29" t="s">
        <v>54</v>
      </c>
    </row>
    <row r="30" spans="1:4" x14ac:dyDescent="0.25">
      <c r="A30" t="s">
        <v>55</v>
      </c>
      <c r="B30" t="s">
        <v>103</v>
      </c>
    </row>
    <row r="31" spans="1:4" x14ac:dyDescent="0.25">
      <c r="A31" t="s">
        <v>56</v>
      </c>
      <c r="B31" t="s">
        <v>104</v>
      </c>
    </row>
    <row r="33" spans="1:4" x14ac:dyDescent="0.25">
      <c r="A33" s="18" t="s">
        <v>57</v>
      </c>
      <c r="B33" s="19"/>
      <c r="C33" s="19"/>
      <c r="D33" s="19"/>
    </row>
    <row r="34" spans="1:4" x14ac:dyDescent="0.25">
      <c r="A34" t="s">
        <v>58</v>
      </c>
      <c r="B34">
        <f>AVERAGE(C3:C6)</f>
        <v>31.525000000000002</v>
      </c>
    </row>
    <row r="35" spans="1:4" x14ac:dyDescent="0.25">
      <c r="B35">
        <f>AVERAGE(D3:D6)</f>
        <v>39.25</v>
      </c>
    </row>
    <row r="37" spans="1:4" x14ac:dyDescent="0.25">
      <c r="A37" t="s">
        <v>59</v>
      </c>
      <c r="B37" s="21">
        <f>AVERAGE(C7:C10)</f>
        <v>37.25</v>
      </c>
    </row>
    <row r="38" spans="1:4" x14ac:dyDescent="0.25">
      <c r="B38" s="21">
        <f>AVERAGE(D7:D10)</f>
        <v>40.625</v>
      </c>
    </row>
    <row r="40" spans="1:4" x14ac:dyDescent="0.25">
      <c r="A40" t="s">
        <v>60</v>
      </c>
      <c r="B40" s="21">
        <f>AVERAGE(C11:C14)</f>
        <v>29.85</v>
      </c>
    </row>
    <row r="41" spans="1:4" x14ac:dyDescent="0.25">
      <c r="B41" s="21">
        <f>AVERAGE(D11:D14)</f>
        <v>41.199999999999996</v>
      </c>
    </row>
    <row r="43" spans="1:4" x14ac:dyDescent="0.25">
      <c r="A43" t="s">
        <v>6</v>
      </c>
      <c r="B43" s="21">
        <f>C15/G3</f>
        <v>32.875</v>
      </c>
    </row>
    <row r="44" spans="1:4" x14ac:dyDescent="0.25">
      <c r="B44" s="21">
        <f>D15/G3</f>
        <v>40.358333333333327</v>
      </c>
    </row>
    <row r="46" spans="1:4" x14ac:dyDescent="0.25">
      <c r="A46" s="18" t="s">
        <v>61</v>
      </c>
      <c r="B46" s="19"/>
      <c r="C46" s="19"/>
      <c r="D46" s="19"/>
    </row>
    <row r="47" spans="1:4" x14ac:dyDescent="0.25">
      <c r="A47" s="22"/>
      <c r="B47" s="23"/>
      <c r="C47" s="23"/>
      <c r="D47" s="23"/>
    </row>
    <row r="48" spans="1:4" x14ac:dyDescent="0.25">
      <c r="A48" s="20" t="s">
        <v>62</v>
      </c>
      <c r="B48" s="23"/>
      <c r="C48" s="23"/>
      <c r="D48" s="23"/>
    </row>
    <row r="49" spans="1:9" x14ac:dyDescent="0.25">
      <c r="A49" s="22"/>
      <c r="B49" s="23"/>
      <c r="C49" s="23"/>
      <c r="D49" s="23"/>
    </row>
    <row r="50" spans="1:9" x14ac:dyDescent="0.25">
      <c r="A50" s="22"/>
      <c r="B50" s="23"/>
      <c r="C50" s="23"/>
      <c r="D50" s="23"/>
    </row>
    <row r="51" spans="1:9" x14ac:dyDescent="0.25">
      <c r="A51" s="22"/>
      <c r="B51" s="23" t="s">
        <v>63</v>
      </c>
      <c r="C51" s="23"/>
      <c r="E51" s="23" t="s">
        <v>64</v>
      </c>
      <c r="H51" s="23" t="s">
        <v>65</v>
      </c>
    </row>
    <row r="52" spans="1:9" x14ac:dyDescent="0.25">
      <c r="A52" s="22"/>
      <c r="B52" s="24">
        <f>B34-B43</f>
        <v>-1.3499999999999979</v>
      </c>
      <c r="C52" s="23"/>
      <c r="E52" s="24">
        <f>B37-B43</f>
        <v>4.375</v>
      </c>
      <c r="H52" s="24">
        <f>B40-B43</f>
        <v>-3.0249999999999986</v>
      </c>
    </row>
    <row r="53" spans="1:9" x14ac:dyDescent="0.25">
      <c r="A53" s="22"/>
      <c r="B53" s="24">
        <f>B35-B44</f>
        <v>-1.1083333333333272</v>
      </c>
      <c r="C53" s="23"/>
      <c r="E53" s="24">
        <f>B38-B44</f>
        <v>0.26666666666667282</v>
      </c>
      <c r="H53" s="24">
        <f>B41-B44</f>
        <v>0.84166666666666856</v>
      </c>
    </row>
    <row r="54" spans="1:9" x14ac:dyDescent="0.25">
      <c r="A54" s="22"/>
      <c r="B54" s="23"/>
      <c r="C54" s="23"/>
      <c r="E54" s="23"/>
    </row>
    <row r="55" spans="1:9" x14ac:dyDescent="0.25">
      <c r="A55" s="22"/>
      <c r="B55" s="23" t="s">
        <v>48</v>
      </c>
      <c r="C55" s="23">
        <v>4</v>
      </c>
      <c r="E55" s="23" t="s">
        <v>49</v>
      </c>
      <c r="F55">
        <v>4</v>
      </c>
      <c r="H55" t="s">
        <v>50</v>
      </c>
      <c r="I55">
        <v>4</v>
      </c>
    </row>
    <row r="56" spans="1:9" x14ac:dyDescent="0.25">
      <c r="A56" s="22"/>
      <c r="B56" s="23"/>
      <c r="C56" s="23"/>
      <c r="D56" s="23"/>
    </row>
    <row r="57" spans="1:9" x14ac:dyDescent="0.25">
      <c r="A57" s="22"/>
      <c r="B57" s="25">
        <f t="array" ref="B57:C58">C55*MMULT(B52:B53,TRANSPOSE(B52:B53))</f>
        <v>7.2899999999999769</v>
      </c>
      <c r="C57" s="25">
        <v>5.9849999999999577</v>
      </c>
      <c r="D57" s="26" t="s">
        <v>66</v>
      </c>
      <c r="E57" s="27">
        <f t="array" ref="E57:F58">F55*MMULT(E52:E53,TRANSPOSE(E52:E53))</f>
        <v>76.5625</v>
      </c>
      <c r="F57" s="27">
        <v>4.6666666666667744</v>
      </c>
      <c r="G57" s="26" t="s">
        <v>66</v>
      </c>
      <c r="H57" s="27">
        <f t="array" ref="H57:I58">I55*MMULT(H52:H53,TRANSPOSE(H52:H53))</f>
        <v>36.602499999999964</v>
      </c>
      <c r="I57" s="27">
        <v>-10.184166666666686</v>
      </c>
    </row>
    <row r="58" spans="1:9" x14ac:dyDescent="0.25">
      <c r="A58" s="22"/>
      <c r="B58" s="25">
        <v>5.9849999999999577</v>
      </c>
      <c r="C58" s="25">
        <v>4.9136111111110568</v>
      </c>
      <c r="D58" s="23"/>
      <c r="E58" s="27">
        <v>4.6666666666667744</v>
      </c>
      <c r="F58" s="27">
        <v>0.2844444444444576</v>
      </c>
      <c r="H58" s="27">
        <v>-10.184166666666686</v>
      </c>
      <c r="I58" s="27">
        <v>2.8336111111111237</v>
      </c>
    </row>
    <row r="59" spans="1:9" x14ac:dyDescent="0.25">
      <c r="A59" s="22"/>
      <c r="B59" s="23"/>
      <c r="C59" s="23"/>
      <c r="D59" s="23"/>
    </row>
    <row r="60" spans="1:9" x14ac:dyDescent="0.25">
      <c r="B60" s="27">
        <f>B57+E57+H57</f>
        <v>120.45499999999994</v>
      </c>
      <c r="C60" s="27">
        <f>C57+F57+I57</f>
        <v>0.46750000000004555</v>
      </c>
      <c r="E60" t="s">
        <v>67</v>
      </c>
      <c r="F60">
        <f>MDETERM(B60:C61)</f>
        <v>967.23585208332941</v>
      </c>
    </row>
    <row r="61" spans="1:9" x14ac:dyDescent="0.25">
      <c r="A61" s="20"/>
      <c r="B61" s="27">
        <f>B58+E58+H58</f>
        <v>0.46750000000004555</v>
      </c>
      <c r="C61" s="27">
        <f>C58+F58+I58</f>
        <v>8.0316666666666379</v>
      </c>
    </row>
    <row r="62" spans="1:9" x14ac:dyDescent="0.25">
      <c r="A62" s="20"/>
      <c r="B62" s="17"/>
      <c r="C62" s="17"/>
    </row>
    <row r="63" spans="1:9" x14ac:dyDescent="0.25">
      <c r="A63" s="20" t="s">
        <v>68</v>
      </c>
      <c r="B63" s="17"/>
      <c r="C63" s="17"/>
    </row>
    <row r="64" spans="1:9" x14ac:dyDescent="0.25">
      <c r="B64" s="17"/>
      <c r="C64" s="17"/>
    </row>
    <row r="65" spans="1:14" x14ac:dyDescent="0.25">
      <c r="A65" s="20"/>
      <c r="B65" s="17"/>
      <c r="C65" s="17"/>
    </row>
    <row r="66" spans="1:14" x14ac:dyDescent="0.25">
      <c r="A66" s="20"/>
      <c r="B66" s="17"/>
      <c r="C66" s="28">
        <v>1</v>
      </c>
      <c r="D66" s="29"/>
      <c r="E66" s="29"/>
      <c r="F66" s="30"/>
      <c r="G66" s="28">
        <v>2</v>
      </c>
      <c r="H66" s="29"/>
      <c r="I66" s="29"/>
      <c r="J66" s="30"/>
      <c r="K66" s="28">
        <v>3</v>
      </c>
      <c r="L66" s="29"/>
      <c r="M66" s="29"/>
      <c r="N66" s="30"/>
    </row>
    <row r="67" spans="1:14" ht="16.5" thickBot="1" x14ac:dyDescent="0.3">
      <c r="A67" s="20"/>
      <c r="B67" t="s">
        <v>35</v>
      </c>
      <c r="C67" s="31">
        <v>31.3</v>
      </c>
      <c r="D67" s="31">
        <v>33.4</v>
      </c>
      <c r="E67" s="31">
        <v>29.2</v>
      </c>
      <c r="F67" s="31">
        <v>32.200000000000003</v>
      </c>
      <c r="G67" s="31">
        <v>38.299999999999997</v>
      </c>
      <c r="H67" s="31">
        <v>37.5</v>
      </c>
      <c r="I67" s="31">
        <v>37.4</v>
      </c>
      <c r="J67" s="31">
        <v>35.799999999999997</v>
      </c>
      <c r="K67" s="31">
        <v>30.2</v>
      </c>
      <c r="L67" s="31">
        <v>28.3</v>
      </c>
      <c r="M67" s="31">
        <v>29.5</v>
      </c>
      <c r="N67" s="31">
        <v>31.4</v>
      </c>
    </row>
    <row r="68" spans="1:14" ht="16.5" thickBot="1" x14ac:dyDescent="0.3">
      <c r="A68" s="20"/>
      <c r="B68" t="s">
        <v>36</v>
      </c>
      <c r="C68" s="31">
        <v>41</v>
      </c>
      <c r="D68" s="31">
        <v>43.3</v>
      </c>
      <c r="E68" s="31">
        <v>35.299999999999997</v>
      </c>
      <c r="F68" s="31">
        <v>37.4</v>
      </c>
      <c r="G68" s="31">
        <v>37.200000000000003</v>
      </c>
      <c r="H68" s="31">
        <v>40.1</v>
      </c>
      <c r="I68" s="31">
        <v>45.7</v>
      </c>
      <c r="J68" s="31">
        <v>39.5</v>
      </c>
      <c r="K68" s="31">
        <v>39.4</v>
      </c>
      <c r="L68" s="31">
        <v>41.9</v>
      </c>
      <c r="M68" s="31">
        <v>39.4</v>
      </c>
      <c r="N68" s="31">
        <v>44.1</v>
      </c>
    </row>
    <row r="69" spans="1:14" x14ac:dyDescent="0.25">
      <c r="A69" s="20"/>
      <c r="B69" s="32" t="s">
        <v>69</v>
      </c>
      <c r="C69" s="33">
        <f>C67-$B$34</f>
        <v>-0.22500000000000142</v>
      </c>
      <c r="D69" s="33">
        <f t="shared" ref="D69:F69" si="0">D67-$B$34</f>
        <v>1.8749999999999964</v>
      </c>
      <c r="E69" s="33">
        <f t="shared" si="0"/>
        <v>-2.3250000000000028</v>
      </c>
      <c r="F69" s="33">
        <f t="shared" si="0"/>
        <v>0.67500000000000071</v>
      </c>
      <c r="G69" s="34">
        <f>G67-$B$37</f>
        <v>1.0499999999999972</v>
      </c>
      <c r="H69" s="34">
        <f t="shared" ref="H69:J69" si="1">H67-$B$37</f>
        <v>0.25</v>
      </c>
      <c r="I69" s="34">
        <f t="shared" si="1"/>
        <v>0.14999999999999858</v>
      </c>
      <c r="J69" s="34">
        <f t="shared" si="1"/>
        <v>-1.4500000000000028</v>
      </c>
      <c r="K69" s="34">
        <f>K67-$B$40</f>
        <v>0.34999999999999787</v>
      </c>
      <c r="L69" s="34">
        <f t="shared" ref="L69:N69" si="2">L67-$B$40</f>
        <v>-1.5500000000000007</v>
      </c>
      <c r="M69" s="34">
        <f t="shared" si="2"/>
        <v>-0.35000000000000142</v>
      </c>
      <c r="N69" s="34">
        <f t="shared" si="2"/>
        <v>1.5499999999999972</v>
      </c>
    </row>
    <row r="70" spans="1:14" x14ac:dyDescent="0.25">
      <c r="A70" s="20"/>
      <c r="B70" s="32"/>
      <c r="C70" s="33">
        <f>C68-$B$35</f>
        <v>1.75</v>
      </c>
      <c r="D70" s="33">
        <f t="shared" ref="D70:F70" si="3">D68-$B$35</f>
        <v>4.0499999999999972</v>
      </c>
      <c r="E70" s="33">
        <f t="shared" si="3"/>
        <v>-3.9500000000000028</v>
      </c>
      <c r="F70" s="33">
        <f t="shared" si="3"/>
        <v>-1.8500000000000014</v>
      </c>
      <c r="G70" s="34">
        <f>G68-$B$38</f>
        <v>-3.4249999999999972</v>
      </c>
      <c r="H70" s="34">
        <f t="shared" ref="H70:J70" si="4">H68-$B$38</f>
        <v>-0.52499999999999858</v>
      </c>
      <c r="I70" s="34">
        <f t="shared" si="4"/>
        <v>5.0750000000000028</v>
      </c>
      <c r="J70" s="34">
        <f t="shared" si="4"/>
        <v>-1.125</v>
      </c>
      <c r="K70" s="34">
        <f>K68-$B$41</f>
        <v>-1.7999999999999972</v>
      </c>
      <c r="L70" s="34">
        <f t="shared" ref="L70:N70" si="5">L68-$B$41</f>
        <v>0.70000000000000284</v>
      </c>
      <c r="M70" s="34">
        <f t="shared" si="5"/>
        <v>-1.7999999999999972</v>
      </c>
      <c r="N70" s="34">
        <f t="shared" si="5"/>
        <v>2.9000000000000057</v>
      </c>
    </row>
    <row r="71" spans="1:14" x14ac:dyDescent="0.25">
      <c r="A71" s="20"/>
      <c r="B71" s="17"/>
      <c r="C71" s="17"/>
    </row>
    <row r="72" spans="1:14" x14ac:dyDescent="0.25">
      <c r="A72" s="20"/>
      <c r="B72" s="27">
        <f t="array" ref="B72:C73">MMULT(C69:C70,TRANSPOSE(C69:C70))</f>
        <v>5.0625000000000642E-2</v>
      </c>
      <c r="C72" s="27">
        <v>-0.39375000000000249</v>
      </c>
      <c r="D72" s="6" t="s">
        <v>66</v>
      </c>
      <c r="E72" s="27">
        <f t="array" ref="E72:F73">MMULT(D69:D70,TRANSPOSE(D69:D70))</f>
        <v>3.5156249999999867</v>
      </c>
      <c r="F72" s="27">
        <v>7.5937499999999805</v>
      </c>
      <c r="G72" s="6" t="s">
        <v>66</v>
      </c>
      <c r="H72" s="35">
        <f t="array" ref="H72:I73">MMULT(E69:E70,TRANSPOSE(E69:E70))</f>
        <v>5.405625000000013</v>
      </c>
      <c r="I72" s="35">
        <v>9.1837500000000176</v>
      </c>
      <c r="J72" s="6" t="s">
        <v>66</v>
      </c>
      <c r="K72" s="35">
        <f t="array" ref="K72:L73">MMULT(F69:F70,TRANSPOSE(F69:F70))</f>
        <v>0.45562500000000095</v>
      </c>
      <c r="L72" s="35">
        <v>-1.2487500000000022</v>
      </c>
      <c r="M72" s="6" t="s">
        <v>66</v>
      </c>
    </row>
    <row r="73" spans="1:14" x14ac:dyDescent="0.25">
      <c r="A73" s="20"/>
      <c r="B73" s="27">
        <v>-0.39375000000000249</v>
      </c>
      <c r="C73" s="27">
        <v>3.0625</v>
      </c>
      <c r="E73" s="27">
        <v>7.5937499999999805</v>
      </c>
      <c r="F73" s="27">
        <v>16.402499999999979</v>
      </c>
      <c r="H73" s="35">
        <v>9.1837500000000176</v>
      </c>
      <c r="I73" s="35">
        <v>15.602500000000022</v>
      </c>
      <c r="K73" s="35">
        <v>-1.2487500000000022</v>
      </c>
      <c r="L73" s="35">
        <v>3.4225000000000052</v>
      </c>
    </row>
    <row r="74" spans="1:14" x14ac:dyDescent="0.25">
      <c r="A74" s="20"/>
      <c r="B74" s="17"/>
      <c r="C74" s="17"/>
    </row>
    <row r="75" spans="1:14" x14ac:dyDescent="0.25">
      <c r="A75" s="20"/>
      <c r="B75" s="27">
        <f t="array" ref="B75:C76">MMULT(G69:G70,TRANSPOSE(G69:G70))</f>
        <v>1.102499999999994</v>
      </c>
      <c r="C75" s="27">
        <v>-3.5962499999999871</v>
      </c>
      <c r="D75" s="6" t="s">
        <v>66</v>
      </c>
      <c r="E75" s="27">
        <f t="array" ref="E75:F76">MMULT(H69:H70,TRANSPOSE(H69:H70))</f>
        <v>6.25E-2</v>
      </c>
      <c r="F75" s="27">
        <v>-0.13124999999999964</v>
      </c>
      <c r="G75" s="6" t="s">
        <v>66</v>
      </c>
      <c r="H75" s="27">
        <f t="array" ref="H75:I76">MMULT(I69:I70,TRANSPOSE(I69:I70))</f>
        <v>2.2499999999999572E-2</v>
      </c>
      <c r="I75" s="27">
        <v>0.76124999999999321</v>
      </c>
      <c r="J75" s="36" t="s">
        <v>66</v>
      </c>
      <c r="K75" s="35">
        <f t="array" ref="K75:L76">MMULT(J69:J70,TRANSPOSE(J69:J70))</f>
        <v>2.102500000000008</v>
      </c>
      <c r="L75" s="35">
        <v>1.6312500000000032</v>
      </c>
      <c r="M75" s="6" t="s">
        <v>66</v>
      </c>
    </row>
    <row r="76" spans="1:14" x14ac:dyDescent="0.25">
      <c r="A76" s="20"/>
      <c r="B76" s="27">
        <v>-3.5962499999999871</v>
      </c>
      <c r="C76" s="27">
        <v>11.73062499999998</v>
      </c>
      <c r="E76" s="27">
        <v>-0.13124999999999964</v>
      </c>
      <c r="F76" s="27">
        <v>0.27562499999999851</v>
      </c>
      <c r="H76" s="27">
        <v>0.76124999999999321</v>
      </c>
      <c r="I76" s="27">
        <v>25.75562500000003</v>
      </c>
      <c r="K76" s="35">
        <v>1.6312500000000032</v>
      </c>
      <c r="L76" s="35">
        <v>1.265625</v>
      </c>
    </row>
    <row r="77" spans="1:14" x14ac:dyDescent="0.25">
      <c r="A77" s="20"/>
      <c r="B77" s="17"/>
      <c r="C77" s="17"/>
      <c r="E77" s="17"/>
      <c r="F77" s="17"/>
      <c r="H77" s="17"/>
      <c r="I77" s="17"/>
    </row>
    <row r="78" spans="1:14" x14ac:dyDescent="0.25">
      <c r="A78" s="20"/>
      <c r="B78" s="27">
        <f t="array" ref="B78:C79">MMULT(K69:K70,TRANSPOSE(K69:K70))</f>
        <v>0.12249999999999851</v>
      </c>
      <c r="C78" s="27">
        <v>-0.62999999999999512</v>
      </c>
      <c r="D78" s="6" t="s">
        <v>66</v>
      </c>
      <c r="E78" s="27">
        <f t="array" ref="E78:F79">MMULT(L69:L70,TRANSPOSE(L69:L70))</f>
        <v>2.4025000000000021</v>
      </c>
      <c r="F78" s="27">
        <v>-1.0850000000000048</v>
      </c>
      <c r="G78" s="6" t="s">
        <v>66</v>
      </c>
      <c r="H78" s="35">
        <f t="array" ref="H78:I79">MMULT(M69:M70,TRANSPOSE(M69:M70))</f>
        <v>0.122500000000001</v>
      </c>
      <c r="I78" s="35">
        <v>0.63000000000000156</v>
      </c>
      <c r="J78" s="6" t="s">
        <v>66</v>
      </c>
      <c r="K78" s="35">
        <f t="array" ref="K78:L79">MMULT(N69:N70,TRANSPOSE(N69:N70))</f>
        <v>2.402499999999991</v>
      </c>
      <c r="L78" s="35">
        <v>4.495000000000001</v>
      </c>
      <c r="M78" s="6"/>
    </row>
    <row r="79" spans="1:14" x14ac:dyDescent="0.25">
      <c r="A79" s="20"/>
      <c r="B79" s="27">
        <v>-0.62999999999999512</v>
      </c>
      <c r="C79" s="27">
        <v>3.2399999999999896</v>
      </c>
      <c r="E79" s="27">
        <v>-1.0850000000000048</v>
      </c>
      <c r="F79" s="27">
        <v>0.49000000000000399</v>
      </c>
      <c r="H79" s="35">
        <v>0.63000000000000156</v>
      </c>
      <c r="I79" s="35">
        <v>3.2399999999999896</v>
      </c>
      <c r="K79" s="35">
        <v>4.495000000000001</v>
      </c>
      <c r="L79" s="35">
        <v>8.4100000000000321</v>
      </c>
    </row>
    <row r="80" spans="1:14" x14ac:dyDescent="0.25">
      <c r="A80" s="20"/>
    </row>
    <row r="81" spans="1:7" x14ac:dyDescent="0.25">
      <c r="B81" s="35">
        <f>B72+E72+H72+K72+B75+E75+H75+K75+B78+E78+H78+K78</f>
        <v>17.767499999999995</v>
      </c>
      <c r="C81" s="35">
        <f>C72+F72+I72+L72+C75+F75+I75+L75+C78+F78+I78+L78</f>
        <v>17.210000000000004</v>
      </c>
      <c r="E81" t="s">
        <v>70</v>
      </c>
      <c r="F81">
        <f>MDETERM(B81:C82)</f>
        <v>1354.3722312499999</v>
      </c>
    </row>
    <row r="82" spans="1:7" x14ac:dyDescent="0.25">
      <c r="A82" s="20"/>
      <c r="B82" s="35">
        <f>B73+E73+H73+K73+B76+E76+H76+K76+B79+E79+H79+K79</f>
        <v>17.210000000000004</v>
      </c>
      <c r="C82" s="35">
        <f>C73+F73+I73+L73+C76+F76+I76+L76+C79+F79+I79+L79</f>
        <v>92.897500000000036</v>
      </c>
    </row>
    <row r="83" spans="1:7" x14ac:dyDescent="0.25">
      <c r="A83" s="20"/>
    </row>
    <row r="84" spans="1:7" x14ac:dyDescent="0.25">
      <c r="A84" s="20" t="s">
        <v>71</v>
      </c>
      <c r="B84" s="27">
        <f t="array" ref="B84:C85">B60:C61+B81:C82</f>
        <v>138.22249999999994</v>
      </c>
      <c r="C84" s="27">
        <v>17.677500000000052</v>
      </c>
      <c r="E84" t="s">
        <v>72</v>
      </c>
      <c r="F84">
        <f>MDETERM(B84:C85)</f>
        <v>13638.187733333327</v>
      </c>
    </row>
    <row r="85" spans="1:7" x14ac:dyDescent="0.25">
      <c r="A85" s="20"/>
      <c r="B85" s="27">
        <v>17.677500000000052</v>
      </c>
      <c r="C85" s="27">
        <v>100.92916666666667</v>
      </c>
    </row>
    <row r="86" spans="1:7" x14ac:dyDescent="0.25">
      <c r="A86" s="22"/>
      <c r="B86" s="23"/>
      <c r="C86" s="23"/>
      <c r="D86" s="23"/>
    </row>
    <row r="87" spans="1:7" x14ac:dyDescent="0.25">
      <c r="A87" s="18" t="s">
        <v>73</v>
      </c>
      <c r="B87" s="19"/>
      <c r="C87" s="19"/>
      <c r="D87" s="19"/>
    </row>
    <row r="88" spans="1:7" x14ac:dyDescent="0.25">
      <c r="A88" s="20" t="s">
        <v>74</v>
      </c>
    </row>
    <row r="89" spans="1:7" x14ac:dyDescent="0.25">
      <c r="A89" t="s">
        <v>75</v>
      </c>
      <c r="B89" t="s">
        <v>76</v>
      </c>
      <c r="G89" t="s">
        <v>77</v>
      </c>
    </row>
    <row r="90" spans="1:7" x14ac:dyDescent="0.25">
      <c r="A90" t="s">
        <v>78</v>
      </c>
      <c r="B90" t="s">
        <v>79</v>
      </c>
      <c r="G90" t="s">
        <v>80</v>
      </c>
    </row>
    <row r="92" spans="1:7" x14ac:dyDescent="0.25">
      <c r="A92" s="20" t="s">
        <v>62</v>
      </c>
      <c r="B92" s="27">
        <v>120.45499999999994</v>
      </c>
      <c r="C92" s="27">
        <v>0.46750000000004555</v>
      </c>
      <c r="E92" t="s">
        <v>67</v>
      </c>
      <c r="F92">
        <v>967.23585208332941</v>
      </c>
    </row>
    <row r="93" spans="1:7" x14ac:dyDescent="0.25">
      <c r="A93" s="20"/>
      <c r="B93" s="27">
        <v>0.46750000000004555</v>
      </c>
      <c r="C93" s="27">
        <v>8.0316666666666379</v>
      </c>
    </row>
    <row r="95" spans="1:7" x14ac:dyDescent="0.25">
      <c r="A95" s="20" t="s">
        <v>68</v>
      </c>
      <c r="B95" s="35">
        <v>17.767499999999995</v>
      </c>
      <c r="C95" s="35">
        <v>17.210000000000004</v>
      </c>
      <c r="E95" t="s">
        <v>70</v>
      </c>
      <c r="F95">
        <v>1354.3722312499999</v>
      </c>
    </row>
    <row r="96" spans="1:7" x14ac:dyDescent="0.25">
      <c r="A96" s="20"/>
      <c r="B96" s="35">
        <v>17.210000000000004</v>
      </c>
      <c r="C96" s="35">
        <v>92.897500000000036</v>
      </c>
    </row>
    <row r="97" spans="1:6" x14ac:dyDescent="0.25">
      <c r="A97" s="20"/>
    </row>
    <row r="98" spans="1:6" x14ac:dyDescent="0.25">
      <c r="A98" s="20" t="s">
        <v>71</v>
      </c>
      <c r="B98" s="27">
        <v>138.2225</v>
      </c>
      <c r="C98" s="27">
        <v>17.677500000000052</v>
      </c>
      <c r="E98" t="s">
        <v>72</v>
      </c>
      <c r="F98">
        <v>13638.187733333327</v>
      </c>
    </row>
    <row r="99" spans="1:6" x14ac:dyDescent="0.25">
      <c r="A99" s="20"/>
      <c r="B99" s="27">
        <v>17.677500000000052</v>
      </c>
      <c r="C99" s="27">
        <v>100.92916666666667</v>
      </c>
    </row>
    <row r="101" spans="1:6" x14ac:dyDescent="0.25">
      <c r="A101" s="20" t="s">
        <v>81</v>
      </c>
    </row>
    <row r="102" spans="1:6" x14ac:dyDescent="0.25">
      <c r="A102" s="27" t="s">
        <v>82</v>
      </c>
      <c r="B102" s="27" t="s">
        <v>83</v>
      </c>
      <c r="C102" s="27" t="s">
        <v>84</v>
      </c>
      <c r="D102" s="27"/>
    </row>
    <row r="103" spans="1:6" x14ac:dyDescent="0.25">
      <c r="A103" s="16" t="s">
        <v>85</v>
      </c>
      <c r="B103" s="16">
        <f>B22-1</f>
        <v>2</v>
      </c>
      <c r="C103" s="27">
        <v>120.45499999999994</v>
      </c>
      <c r="D103" s="27">
        <v>0.46750000000004555</v>
      </c>
    </row>
    <row r="104" spans="1:6" x14ac:dyDescent="0.25">
      <c r="A104" s="16"/>
      <c r="B104" s="16"/>
      <c r="C104" s="27">
        <v>0.46750000000004555</v>
      </c>
      <c r="D104" s="27">
        <v>8.0316666666666379</v>
      </c>
    </row>
    <row r="105" spans="1:6" x14ac:dyDescent="0.25">
      <c r="A105" s="16" t="s">
        <v>86</v>
      </c>
      <c r="B105" s="16">
        <f>G3-B22</f>
        <v>9</v>
      </c>
      <c r="C105" s="35">
        <v>17.767499999999995</v>
      </c>
      <c r="D105" s="35">
        <v>17.210000000000004</v>
      </c>
    </row>
    <row r="106" spans="1:6" x14ac:dyDescent="0.25">
      <c r="A106" s="16"/>
      <c r="B106" s="16"/>
      <c r="C106" s="35">
        <v>17.210000000000004</v>
      </c>
      <c r="D106" s="35">
        <v>92.897500000000036</v>
      </c>
    </row>
    <row r="107" spans="1:6" x14ac:dyDescent="0.25">
      <c r="A107" s="16" t="s">
        <v>87</v>
      </c>
      <c r="B107" s="16">
        <f>G3-1</f>
        <v>11</v>
      </c>
      <c r="C107" s="27">
        <v>138.2225</v>
      </c>
      <c r="D107" s="27">
        <v>17.677500000000052</v>
      </c>
    </row>
    <row r="108" spans="1:6" x14ac:dyDescent="0.25">
      <c r="A108" s="16"/>
      <c r="B108" s="16"/>
      <c r="C108" s="27">
        <v>17.677500000000052</v>
      </c>
      <c r="D108" s="27">
        <v>100.92916666666667</v>
      </c>
    </row>
    <row r="110" spans="1:6" x14ac:dyDescent="0.25">
      <c r="A110" s="20" t="s">
        <v>88</v>
      </c>
    </row>
    <row r="111" spans="1:6" x14ac:dyDescent="0.25">
      <c r="A111" s="20" t="s">
        <v>89</v>
      </c>
      <c r="B111" t="s">
        <v>90</v>
      </c>
    </row>
    <row r="112" spans="1:6" x14ac:dyDescent="0.25">
      <c r="A112" s="20"/>
      <c r="B112">
        <f>F95/F98</f>
        <v>9.9307346234848756E-2</v>
      </c>
    </row>
    <row r="113" spans="1:2" x14ac:dyDescent="0.25">
      <c r="A113" s="20" t="s">
        <v>91</v>
      </c>
      <c r="B113" t="s">
        <v>92</v>
      </c>
    </row>
    <row r="114" spans="1:2" x14ac:dyDescent="0.25">
      <c r="A114" s="20"/>
      <c r="B114">
        <f>(12-2-2)*((1-SQRT(B112))/SQRT(B112))/2</f>
        <v>8.6931468073581151</v>
      </c>
    </row>
    <row r="115" spans="1:2" x14ac:dyDescent="0.25">
      <c r="A115" s="20" t="s">
        <v>93</v>
      </c>
      <c r="B115" t="s">
        <v>94</v>
      </c>
    </row>
    <row r="116" spans="1:2" x14ac:dyDescent="0.25">
      <c r="B116">
        <f>_xlfn.F.INV.RT(0.05,2*2,2*(12-2-2))</f>
        <v>3.0069172799243447</v>
      </c>
    </row>
    <row r="118" spans="1:2" x14ac:dyDescent="0.25">
      <c r="A118" t="s">
        <v>95</v>
      </c>
    </row>
    <row r="119" spans="1:2" x14ac:dyDescent="0.25">
      <c r="A119" s="20" t="s">
        <v>96</v>
      </c>
      <c r="B119" s="20"/>
    </row>
    <row r="120" spans="1:2" x14ac:dyDescent="0.25">
      <c r="A120" t="s">
        <v>106</v>
      </c>
    </row>
    <row r="121" spans="1:2" x14ac:dyDescent="0.25">
      <c r="A121" t="s">
        <v>107</v>
      </c>
    </row>
    <row r="122" spans="1:2" x14ac:dyDescent="0.25">
      <c r="A122" t="s">
        <v>108</v>
      </c>
    </row>
  </sheetData>
  <mergeCells count="14">
    <mergeCell ref="A107:A108"/>
    <mergeCell ref="B107:B108"/>
    <mergeCell ref="K66:N66"/>
    <mergeCell ref="B69:B70"/>
    <mergeCell ref="A103:A104"/>
    <mergeCell ref="B103:B104"/>
    <mergeCell ref="A105:A106"/>
    <mergeCell ref="B105:B106"/>
    <mergeCell ref="A3:A6"/>
    <mergeCell ref="A7:A10"/>
    <mergeCell ref="A11:A14"/>
    <mergeCell ref="A15:B15"/>
    <mergeCell ref="C66:F66"/>
    <mergeCell ref="G66:J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2022-03-15T06:40:17Z</dcterms:created>
  <dcterms:modified xsi:type="dcterms:W3CDTF">2022-03-18T15:21:32Z</dcterms:modified>
</cp:coreProperties>
</file>