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 activeTab="4"/>
  </bookViews>
  <sheets>
    <sheet name="1" sheetId="1" r:id="rId1"/>
    <sheet name="2" sheetId="4" r:id="rId2"/>
    <sheet name="3" sheetId="3" r:id="rId3"/>
    <sheet name="4" sheetId="2" r:id="rId4"/>
    <sheet name="5" sheetId="5" r:id="rId5"/>
  </sheets>
  <calcPr calcId="145621"/>
</workbook>
</file>

<file path=xl/calcChain.xml><?xml version="1.0" encoding="utf-8"?>
<calcChain xmlns="http://schemas.openxmlformats.org/spreadsheetml/2006/main">
  <c r="H27" i="5" l="1"/>
  <c r="H40" i="2"/>
  <c r="H21" i="5" a="1"/>
  <c r="H21" i="5" s="1"/>
  <c r="D26" i="5" a="1"/>
  <c r="D26" i="5" s="1"/>
  <c r="A27" i="5"/>
  <c r="B27" i="5"/>
  <c r="B26" i="5"/>
  <c r="A26" i="5"/>
  <c r="D21" i="5"/>
  <c r="A22" i="5"/>
  <c r="A21" i="5"/>
  <c r="B12" i="5" a="1"/>
  <c r="B12" i="5" s="1"/>
  <c r="E21" i="5"/>
  <c r="H38" i="2"/>
  <c r="H34" i="2" a="1"/>
  <c r="H34" i="2" s="1"/>
  <c r="D39" i="2" a="1"/>
  <c r="D39" i="2" s="1"/>
  <c r="A40" i="2"/>
  <c r="B40" i="2"/>
  <c r="B39" i="2"/>
  <c r="A39" i="2"/>
  <c r="E34" i="2"/>
  <c r="D34" i="2"/>
  <c r="A35" i="2"/>
  <c r="A34" i="2"/>
  <c r="B30" i="2"/>
  <c r="A29" i="2"/>
  <c r="K19" i="3"/>
  <c r="S20" i="3"/>
  <c r="S18" i="3"/>
  <c r="S19" i="3"/>
  <c r="K15" i="3" a="1"/>
  <c r="K15" i="3" s="1"/>
  <c r="K13" i="3" a="1"/>
  <c r="L13" i="3" s="1"/>
  <c r="K13" i="3"/>
  <c r="Q8" i="3" a="1"/>
  <c r="Q8" i="3" s="1"/>
  <c r="Q6" i="3"/>
  <c r="R6" i="3"/>
  <c r="S6" i="3"/>
  <c r="Q7" i="3"/>
  <c r="R7" i="3"/>
  <c r="S7" i="3"/>
  <c r="R5" i="3"/>
  <c r="S5" i="3"/>
  <c r="Q5" i="3"/>
  <c r="N6" i="3"/>
  <c r="G29" i="3"/>
  <c r="F30" i="3"/>
  <c r="D30" i="3"/>
  <c r="I27" i="4"/>
  <c r="I25" i="4"/>
  <c r="B37" i="4" a="1"/>
  <c r="B37" i="4" s="1"/>
  <c r="D32" i="4" a="1"/>
  <c r="D32" i="4" s="1"/>
  <c r="D30" i="4"/>
  <c r="E30" i="4"/>
  <c r="E29" i="4"/>
  <c r="D29" i="4"/>
  <c r="C27" i="4"/>
  <c r="C26" i="4"/>
  <c r="D22" i="4"/>
  <c r="C22" i="4"/>
  <c r="G26" i="3"/>
  <c r="H25" i="3" s="1"/>
  <c r="H29" i="3" s="1"/>
  <c r="F26" i="3"/>
  <c r="H24" i="3" s="1"/>
  <c r="H28" i="3" s="1"/>
  <c r="C26" i="3"/>
  <c r="D25" i="3" s="1"/>
  <c r="D29" i="3" s="1"/>
  <c r="G35" i="3" s="1"/>
  <c r="B26" i="3"/>
  <c r="D24" i="3" s="1"/>
  <c r="D28" i="3" s="1"/>
  <c r="G34" i="3" s="1"/>
  <c r="C25" i="3"/>
  <c r="C29" i="3" s="1"/>
  <c r="F35" i="3" s="1"/>
  <c r="B24" i="3"/>
  <c r="B28" i="3" s="1"/>
  <c r="E34" i="3" s="1"/>
  <c r="H26" i="3"/>
  <c r="H30" i="3" s="1"/>
  <c r="D26" i="3"/>
  <c r="F22" i="3"/>
  <c r="B22" i="3"/>
  <c r="Q3" i="3" s="1"/>
  <c r="J19" i="1"/>
  <c r="C23" i="1"/>
  <c r="C24" i="1"/>
  <c r="G18" i="1"/>
  <c r="F18" i="1"/>
  <c r="F3" i="1"/>
  <c r="B32" i="3"/>
  <c r="G25" i="3"/>
  <c r="F25" i="3"/>
  <c r="F29" i="3" s="1"/>
  <c r="B25" i="3"/>
  <c r="B29" i="3" s="1"/>
  <c r="E35" i="3" s="1"/>
  <c r="G24" i="3"/>
  <c r="G28" i="3" s="1"/>
  <c r="F24" i="3"/>
  <c r="F28" i="3" s="1"/>
  <c r="C24" i="3"/>
  <c r="C28" i="3" s="1"/>
  <c r="F34" i="3" s="1"/>
  <c r="F21" i="3"/>
  <c r="B21" i="3"/>
  <c r="F20" i="3"/>
  <c r="B20" i="3"/>
  <c r="Q1" i="3" s="1"/>
  <c r="E30" i="2"/>
  <c r="D30" i="2"/>
  <c r="A30" i="2"/>
  <c r="E29" i="2"/>
  <c r="D29" i="2"/>
  <c r="B29" i="2"/>
  <c r="E23" i="2"/>
  <c r="D23" i="2"/>
  <c r="C23" i="2"/>
  <c r="B23" i="2"/>
  <c r="J21" i="1"/>
  <c r="P20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B23" i="1" s="1"/>
  <c r="G3" i="1"/>
  <c r="E27" i="5" l="1"/>
  <c r="D27" i="5"/>
  <c r="E26" i="5"/>
  <c r="B13" i="5"/>
  <c r="E40" i="2"/>
  <c r="D40" i="2"/>
  <c r="E39" i="2"/>
  <c r="M13" i="3"/>
  <c r="Q10" i="3"/>
  <c r="Q9" i="3"/>
  <c r="R10" i="3"/>
  <c r="R9" i="3"/>
  <c r="S8" i="3"/>
  <c r="S9" i="3"/>
  <c r="R8" i="3"/>
  <c r="S10" i="3"/>
  <c r="G36" i="3"/>
  <c r="Q4" i="3" a="1"/>
  <c r="Q2" i="3"/>
  <c r="C30" i="3"/>
  <c r="G30" i="3"/>
  <c r="B30" i="3"/>
  <c r="E36" i="3" s="1"/>
  <c r="R4" i="3"/>
  <c r="E33" i="4"/>
  <c r="D33" i="4"/>
  <c r="E32" i="4"/>
  <c r="B26" i="1" a="1"/>
  <c r="B24" i="1"/>
  <c r="F36" i="3" l="1"/>
  <c r="Q4" i="3"/>
  <c r="S4" i="3"/>
  <c r="B26" i="1"/>
  <c r="C27" i="1"/>
  <c r="B27" i="1"/>
  <c r="C26" i="1"/>
  <c r="H25" i="5" l="1"/>
  <c r="J15" i="1" a="1"/>
  <c r="J15" i="1" s="1"/>
</calcChain>
</file>

<file path=xl/sharedStrings.xml><?xml version="1.0" encoding="utf-8"?>
<sst xmlns="http://schemas.openxmlformats.org/spreadsheetml/2006/main" count="198" uniqueCount="135">
  <si>
    <t>Siswa</t>
  </si>
  <si>
    <t>Essay Formal</t>
  </si>
  <si>
    <t>Essay Informal</t>
  </si>
  <si>
    <t>Selisih</t>
  </si>
  <si>
    <t>PENGUJIAN HIPOTESIS BEDA VEKTOR NILAI TENGAH DUA POPULASI KASUS DATA BERPASANGAN</t>
  </si>
  <si>
    <t>Kata</t>
  </si>
  <si>
    <t>Kata Kerja</t>
  </si>
  <si>
    <t>d1</t>
  </si>
  <si>
    <t>d2</t>
  </si>
  <si>
    <t>Populasi 1</t>
  </si>
  <si>
    <t>Peubah 1</t>
  </si>
  <si>
    <t>Banyaknya kata</t>
  </si>
  <si>
    <t>n</t>
  </si>
  <si>
    <t>Populasi 2</t>
  </si>
  <si>
    <t>Peubah 2</t>
  </si>
  <si>
    <t>Banyaknya kata kerja</t>
  </si>
  <si>
    <t>p</t>
  </si>
  <si>
    <t>Prosedur Pengujian</t>
  </si>
  <si>
    <t>Hipotesis Statistik:</t>
  </si>
  <si>
    <t>H0: vektordbar = vektor0</t>
  </si>
  <si>
    <t>(tidak terdapat perbedaan kata dan kata kerja antara essay formal dengan essay informal)</t>
  </si>
  <si>
    <t>H1: vektordbar != vektor0</t>
  </si>
  <si>
    <t>(terdapat perbedaan kata dan kata kerja antara essay formal dengan essay informal)</t>
  </si>
  <si>
    <t>Taraf nyata:</t>
  </si>
  <si>
    <t>Statistik Uji:</t>
  </si>
  <si>
    <t>T^2</t>
  </si>
  <si>
    <t>n*vektordbar'*Sd^-1*vektordbar</t>
  </si>
  <si>
    <t>Kriteria penolakan H0:</t>
  </si>
  <si>
    <t>Tolak H0 jika T^2 &gt; c^2</t>
  </si>
  <si>
    <t>c^2</t>
  </si>
  <si>
    <t>((n-1)*p/(n-p))*F(p,n-p,alpha)</t>
  </si>
  <si>
    <t>F(p,n-p,alpha)</t>
  </si>
  <si>
    <t>Sd</t>
  </si>
  <si>
    <t>Karena T^2 &gt; c^2 maka</t>
  </si>
  <si>
    <t>Keputusan: Tolak H0</t>
  </si>
  <si>
    <t>Kesimpulan:</t>
  </si>
  <si>
    <t>Sd^-1</t>
  </si>
  <si>
    <t>Cukup bukti untuk menyatakan bahwa terdapat perbedaan kata dan kata kerja antara essay formal dengan essay informal</t>
  </si>
  <si>
    <t>pada taraf nyata 5%</t>
  </si>
  <si>
    <t>Jika dilihat dari rata-rata selisih kata antara essay formal dengan essay informal dan rata-rata selisih kata kerja antara essay formal dengan</t>
  </si>
  <si>
    <t>essay informal di mana rata-rata selisih kata antara essay formal dengan essay informal lebih besar maka</t>
  </si>
  <si>
    <t>essay formal lebih baik daripada essay informal</t>
  </si>
  <si>
    <t>NO</t>
  </si>
  <si>
    <t>CAT</t>
  </si>
  <si>
    <t>MANUAL</t>
  </si>
  <si>
    <t>PENGUJIAN HIPOTESIS BEDA VEKTOR NILAI TENGAH DUA POPULASI KASUS DATA SALING BEBAS ASUMSI RAGAM SAMA</t>
  </si>
  <si>
    <t>TWK</t>
  </si>
  <si>
    <t>TIU</t>
  </si>
  <si>
    <t>Mengapa kasus ini dianggap kasus data saling bebas?</t>
  </si>
  <si>
    <t>Alasannya adalah sampel yang diambil dari populasi peserta yang mengikuti seleksi menggunakan CAT</t>
  </si>
  <si>
    <t>berbeda dengan sampel yang diambil dari populasi peserta yang mengikuti seleksi menggunakan sistem manual.</t>
  </si>
  <si>
    <t>Setiap sampel dari masing-masing populasi diamati nilai TWK dan TIU.</t>
  </si>
  <si>
    <t>Jadi, nilai amatan peubah TWK dan TIU diukur dari objek (peserta) yang berbeda.</t>
  </si>
  <si>
    <t>Sebenarnya, kasus di mana dua nilai untuk peubah tertentu dalam satu obdervasi berasal dari objek yang berbeda</t>
  </si>
  <si>
    <t>dapat dianggap sebagai data berpasangan.</t>
  </si>
  <si>
    <t>Namun, dua objek yang berbeda tersebut harus memiliki latar belakang yang sama.</t>
  </si>
  <si>
    <t>Karena tidak ada informasi menyangkut hal tersebut,</t>
  </si>
  <si>
    <t>maka saya memilih prosedur pengujian hipotesis beda vektor nilai tengah dua populasi kasus data saling bebas.</t>
  </si>
  <si>
    <t>Peserta yang mengikuti seleksi menggunakan CAT</t>
  </si>
  <si>
    <t>Peserta yang mengikuti seleksi menggunakan sistem manual</t>
  </si>
  <si>
    <t>n1 = n2</t>
  </si>
  <si>
    <t>vektorxbar1</t>
  </si>
  <si>
    <t>vektorxbar2</t>
  </si>
  <si>
    <t>Prosedur pengujian</t>
  </si>
  <si>
    <t>Hipotesis statistik:</t>
  </si>
  <si>
    <t>H0: vektormiu1 - vektormiu2 = vektor0</t>
  </si>
  <si>
    <t xml:space="preserve">(rata-rata nilai hasil test untuk TWK dan TIU dari peserta yang mengikuti seleksi menggunakan CAT sama dengan peserta yang mengikuti seleksi menggunakan sistem manual) </t>
  </si>
  <si>
    <t>S1</t>
  </si>
  <si>
    <t>S2</t>
  </si>
  <si>
    <t>H1: vektormiu1 - vektormiu2 != vektor0</t>
  </si>
  <si>
    <t xml:space="preserve">(rata-rata nilai hasil test untuk TWK dan TIU dari peserta yang mengikuti seleksi menggunakan CAT berbeda dengan peserta yang mengikuti seleksi menggunakan sistem manual) </t>
  </si>
  <si>
    <t>Sgab</t>
  </si>
  <si>
    <t>Statistik uji:</t>
  </si>
  <si>
    <t>vektorxbar1 - vektorxbar2</t>
  </si>
  <si>
    <t>((n1+n2-2)*p/(n1+n2-p-1))*F(p,n1+n2-p-1,alpha)</t>
  </si>
  <si>
    <t>F(p,n1+n2-p-1,alpha)</t>
  </si>
  <si>
    <t>Karena T^2 &lt; c^2 maka</t>
  </si>
  <si>
    <t>Keputusan: Tak Tolak H0</t>
  </si>
  <si>
    <t>Tidak cukup bukti untuk menyatakan bahwa rata-rata nilai hasil test untuk TWK dan TIU</t>
  </si>
  <si>
    <t>dari peserta yang mengikuti seleksi menggunakan CAT berbeda dengan peserta yang mengikuti seleksi menggunakan sistem manual</t>
  </si>
  <si>
    <t>Populasi I</t>
  </si>
  <si>
    <t>Populasi II</t>
  </si>
  <si>
    <t>vektorxbar1-vektorxbar2</t>
  </si>
  <si>
    <t>No.</t>
  </si>
  <si>
    <t>TB</t>
  </si>
  <si>
    <t>BB</t>
  </si>
  <si>
    <t>Hipotesis Statistik</t>
  </si>
  <si>
    <t>(vektorxbar1-vektorxbar2)'</t>
  </si>
  <si>
    <t>H0: vektor miu 1 = vektor miu 2</t>
  </si>
  <si>
    <t>((1/n1)+(1/n2))*Sgab</t>
  </si>
  <si>
    <t>H1: vektor miu 1 != vektor miu 2</t>
  </si>
  <si>
    <t>*Sgab</t>
  </si>
  <si>
    <t>[((1/n1)+(1/n2))*Sgab]^-1</t>
  </si>
  <si>
    <t>Asumsi Ragam Sama</t>
  </si>
  <si>
    <t>Statistik Uji</t>
  </si>
  <si>
    <t>(vektorxbar1-vektorxbar2)'*[((1/n1)+(1/n2))*Sgab]^-1</t>
  </si>
  <si>
    <t>(vektorxbar1-vektorxbar2)'*[((1/n1)+(1/n2))*Sgab]^-1*(vektorxbar1-vektorxbar2)</t>
  </si>
  <si>
    <t>Kriteria Penolakan H0</t>
  </si>
  <si>
    <t>(n1+n2-2)*p</t>
  </si>
  <si>
    <t>(n1+n2-p-1)</t>
  </si>
  <si>
    <t>T^2 &gt; c^2</t>
  </si>
  <si>
    <t>maka</t>
  </si>
  <si>
    <t>Tidak cukup bukti untuk menyatakan bahwa</t>
  </si>
  <si>
    <t>(n1-1)*S1</t>
  </si>
  <si>
    <t>(n2-1)*S2</t>
  </si>
  <si>
    <t>9*S1</t>
  </si>
  <si>
    <t>14*S2</t>
  </si>
  <si>
    <t>n1+n2-2</t>
  </si>
  <si>
    <t>((n1-1)*S1+(n2-1)*S2)/(n1+n2-2)</t>
  </si>
  <si>
    <t>Suhu badan</t>
  </si>
  <si>
    <t>Suhu</t>
  </si>
  <si>
    <t>X'a</t>
  </si>
  <si>
    <t>X'b</t>
  </si>
  <si>
    <t>Hipotesis</t>
  </si>
  <si>
    <t>H0:</t>
  </si>
  <si>
    <t>H1:</t>
  </si>
  <si>
    <t>Jawab:</t>
  </si>
  <si>
    <t>Titik Kritis</t>
  </si>
  <si>
    <t>Ftabel</t>
  </si>
  <si>
    <t>C^2</t>
  </si>
  <si>
    <t>d rata2</t>
  </si>
  <si>
    <t>Asumsi ragam yang digunakan adalah asumsi ragam tidak sama sesuai yang diminta di soal</t>
  </si>
  <si>
    <t>Xa</t>
  </si>
  <si>
    <t>Xb</t>
  </si>
  <si>
    <t>na</t>
  </si>
  <si>
    <t>nb</t>
  </si>
  <si>
    <t xml:space="preserve">rata-rata TB, BB, dan suhu badan pop I sama dengan rata-rata TB, </t>
  </si>
  <si>
    <t>BB, dan suhu badan pop 2 pada taraf nyata 5%</t>
  </si>
  <si>
    <t>xbar'</t>
  </si>
  <si>
    <t>(vektorxbar1 - vektorxbar2)'</t>
  </si>
  <si>
    <t xml:space="preserve"> </t>
  </si>
  <si>
    <t>n1=n2</t>
  </si>
  <si>
    <t>Cukup bukti untuk menyatakan bahwa terdapat perbedaan antara kedua metode</t>
  </si>
  <si>
    <t>dalam memproduksi sabun pada taraf nyata 5%</t>
  </si>
  <si>
    <t>chisq^2(alpha,p)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</si>
</sst>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0" xfId="0" applyFill="1"/>
    <xf numFmtId="0" fontId="0" fillId="5" borderId="0" xfId="0" applyFont="1" applyFill="1"/>
    <xf numFmtId="0" fontId="0" fillId="5" borderId="1" xfId="0" applyFont="1" applyFill="1" applyBorder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5" borderId="3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6" borderId="0" xfId="0" applyFont="1" applyFill="1"/>
    <xf numFmtId="0" fontId="0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0" borderId="0" xfId="0" quotePrefix="1"/>
    <xf numFmtId="0" fontId="0" fillId="8" borderId="0" xfId="0" applyFill="1"/>
    <xf numFmtId="0" fontId="0" fillId="2" borderId="0" xfId="0" applyFill="1" applyBorder="1"/>
    <xf numFmtId="0" fontId="0" fillId="3" borderId="0" xfId="0" applyFill="1" applyBorder="1"/>
    <xf numFmtId="0" fontId="0" fillId="8" borderId="1" xfId="0" applyFill="1" applyBorder="1"/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/>
    <xf numFmtId="0" fontId="0" fillId="9" borderId="1" xfId="0" applyFill="1" applyBorder="1"/>
    <xf numFmtId="0" fontId="0" fillId="5" borderId="0" xfId="0" applyFill="1"/>
    <xf numFmtId="0" fontId="0" fillId="3" borderId="0" xfId="0" applyFill="1"/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47625</xdr:rowOff>
    </xdr:from>
    <xdr:to>
      <xdr:col>9</xdr:col>
      <xdr:colOff>29264</xdr:colOff>
      <xdr:row>4</xdr:row>
      <xdr:rowOff>85837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7625"/>
          <a:ext cx="4934639" cy="80021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76200</xdr:colOff>
      <xdr:row>13</xdr:row>
      <xdr:rowOff>19050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286000"/>
          <a:ext cx="523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76200</xdr:colOff>
      <xdr:row>14</xdr:row>
      <xdr:rowOff>19050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476500"/>
          <a:ext cx="523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62599</xdr:colOff>
      <xdr:row>33</xdr:row>
      <xdr:rowOff>154177</xdr:rowOff>
    </xdr:from>
    <xdr:to>
      <xdr:col>5</xdr:col>
      <xdr:colOff>128288</xdr:colOff>
      <xdr:row>36</xdr:row>
      <xdr:rowOff>11638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9" y="6440677"/>
          <a:ext cx="2598218" cy="428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78441</xdr:colOff>
      <xdr:row>21</xdr:row>
      <xdr:rowOff>44824</xdr:rowOff>
    </xdr:from>
    <xdr:to>
      <xdr:col>1</xdr:col>
      <xdr:colOff>335616</xdr:colOff>
      <xdr:row>22</xdr:row>
      <xdr:rowOff>63874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4045324"/>
          <a:ext cx="682999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56029</xdr:colOff>
      <xdr:row>25</xdr:row>
      <xdr:rowOff>33618</xdr:rowOff>
    </xdr:from>
    <xdr:to>
      <xdr:col>1</xdr:col>
      <xdr:colOff>275104</xdr:colOff>
      <xdr:row>26</xdr:row>
      <xdr:rowOff>52668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29" y="4796118"/>
          <a:ext cx="644899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171450</xdr:colOff>
      <xdr:row>23</xdr:row>
      <xdr:rowOff>28575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3238500"/>
          <a:ext cx="2609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100855</xdr:colOff>
      <xdr:row>30</xdr:row>
      <xdr:rowOff>89646</xdr:rowOff>
    </xdr:from>
    <xdr:to>
      <xdr:col>2</xdr:col>
      <xdr:colOff>319930</xdr:colOff>
      <xdr:row>32</xdr:row>
      <xdr:rowOff>175371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5" y="5804646"/>
          <a:ext cx="1093134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145676</xdr:colOff>
      <xdr:row>28</xdr:row>
      <xdr:rowOff>11206</xdr:rowOff>
    </xdr:from>
    <xdr:to>
      <xdr:col>2</xdr:col>
      <xdr:colOff>40341</xdr:colOff>
      <xdr:row>30</xdr:row>
      <xdr:rowOff>30256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6" y="5345206"/>
          <a:ext cx="768724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15</xdr:col>
      <xdr:colOff>331856</xdr:colOff>
      <xdr:row>30</xdr:row>
      <xdr:rowOff>57211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42765" y="5334000"/>
          <a:ext cx="5172797" cy="4382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36</xdr:row>
      <xdr:rowOff>28575</xdr:rowOff>
    </xdr:from>
    <xdr:to>
      <xdr:col>1</xdr:col>
      <xdr:colOff>228600</xdr:colOff>
      <xdr:row>38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6886575"/>
          <a:ext cx="4572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485775</xdr:colOff>
      <xdr:row>35</xdr:row>
      <xdr:rowOff>171450</xdr:rowOff>
    </xdr:from>
    <xdr:to>
      <xdr:col>4</xdr:col>
      <xdr:colOff>409575</xdr:colOff>
      <xdr:row>38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6838950"/>
          <a:ext cx="7334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228600</xdr:colOff>
      <xdr:row>31</xdr:row>
      <xdr:rowOff>0</xdr:rowOff>
    </xdr:from>
    <xdr:to>
      <xdr:col>11</xdr:col>
      <xdr:colOff>19050</xdr:colOff>
      <xdr:row>32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5905500"/>
          <a:ext cx="2228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8</xdr:col>
      <xdr:colOff>134054</xdr:colOff>
      <xdr:row>8</xdr:row>
      <xdr:rowOff>95469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7625"/>
          <a:ext cx="5039429" cy="1571844"/>
        </a:xfrm>
        <a:prstGeom prst="rect">
          <a:avLst/>
        </a:prstGeom>
      </xdr:spPr>
    </xdr:pic>
    <xdr:clientData/>
  </xdr:twoCellAnchor>
  <xdr:twoCellAnchor>
    <xdr:from>
      <xdr:col>0</xdr:col>
      <xdr:colOff>476251</xdr:colOff>
      <xdr:row>23</xdr:row>
      <xdr:rowOff>28575</xdr:rowOff>
    </xdr:from>
    <xdr:to>
      <xdr:col>1</xdr:col>
      <xdr:colOff>342901</xdr:colOff>
      <xdr:row>25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4410075"/>
          <a:ext cx="4762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371475</xdr:colOff>
      <xdr:row>22</xdr:row>
      <xdr:rowOff>171450</xdr:rowOff>
    </xdr:from>
    <xdr:to>
      <xdr:col>4</xdr:col>
      <xdr:colOff>409575</xdr:colOff>
      <xdr:row>25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4362450"/>
          <a:ext cx="647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228600</xdr:colOff>
      <xdr:row>18</xdr:row>
      <xdr:rowOff>0</xdr:rowOff>
    </xdr:from>
    <xdr:to>
      <xdr:col>11</xdr:col>
      <xdr:colOff>19050</xdr:colOff>
      <xdr:row>19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5905500"/>
          <a:ext cx="2228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Normal="100" workbookViewId="0">
      <selection activeCell="P20" sqref="P20"/>
    </sheetView>
  </sheetViews>
  <sheetFormatPr defaultRowHeight="15" x14ac:dyDescent="0.25"/>
  <cols>
    <col min="1" max="2" width="7.5703125" customWidth="1"/>
    <col min="3" max="3" width="9.5703125" customWidth="1"/>
    <col min="5" max="5" width="9.7109375" customWidth="1"/>
    <col min="7" max="7" width="10.140625" customWidth="1"/>
    <col min="9" max="9" width="10.7109375" customWidth="1"/>
    <col min="17" max="17" width="5.5703125" customWidth="1"/>
    <col min="18" max="18" width="4.42578125" customWidth="1"/>
    <col min="19" max="19" width="9.140625" customWidth="1"/>
  </cols>
  <sheetData>
    <row r="1" spans="1:18" x14ac:dyDescent="0.25">
      <c r="A1" s="1" t="s">
        <v>0</v>
      </c>
      <c r="B1" s="1" t="s">
        <v>1</v>
      </c>
      <c r="C1" s="1"/>
      <c r="D1" s="1" t="s">
        <v>2</v>
      </c>
      <c r="E1" s="1"/>
      <c r="F1" s="2" t="s">
        <v>3</v>
      </c>
      <c r="G1" s="2"/>
      <c r="I1" s="3" t="s">
        <v>4</v>
      </c>
    </row>
    <row r="2" spans="1:18" x14ac:dyDescent="0.25">
      <c r="A2" s="1"/>
      <c r="B2" s="4" t="s">
        <v>5</v>
      </c>
      <c r="C2" s="4" t="s">
        <v>6</v>
      </c>
      <c r="D2" s="4" t="s">
        <v>5</v>
      </c>
      <c r="E2" s="4" t="s">
        <v>6</v>
      </c>
      <c r="F2" s="5" t="s">
        <v>7</v>
      </c>
      <c r="G2" s="5" t="s">
        <v>8</v>
      </c>
    </row>
    <row r="3" spans="1:18" x14ac:dyDescent="0.25">
      <c r="A3" s="6">
        <v>1</v>
      </c>
      <c r="B3" s="6">
        <v>137</v>
      </c>
      <c r="C3" s="6">
        <v>15</v>
      </c>
      <c r="D3" s="6">
        <v>148</v>
      </c>
      <c r="E3" s="6">
        <v>20</v>
      </c>
      <c r="F3" s="7">
        <f>B3-D3</f>
        <v>-11</v>
      </c>
      <c r="G3" s="7">
        <f>C3-E3</f>
        <v>-5</v>
      </c>
      <c r="I3" t="s">
        <v>9</v>
      </c>
      <c r="J3" t="s">
        <v>1</v>
      </c>
      <c r="M3" t="s">
        <v>10</v>
      </c>
      <c r="N3" t="s">
        <v>11</v>
      </c>
      <c r="Q3" s="13" t="s">
        <v>12</v>
      </c>
      <c r="R3" s="28">
        <v>15</v>
      </c>
    </row>
    <row r="4" spans="1:18" x14ac:dyDescent="0.25">
      <c r="A4" s="6">
        <v>2</v>
      </c>
      <c r="B4" s="6">
        <v>164</v>
      </c>
      <c r="C4" s="6">
        <v>25</v>
      </c>
      <c r="D4" s="6">
        <v>159</v>
      </c>
      <c r="E4" s="6">
        <v>24</v>
      </c>
      <c r="F4" s="7">
        <f t="shared" ref="F4:G17" si="0">B4-D4</f>
        <v>5</v>
      </c>
      <c r="G4" s="7">
        <f t="shared" si="0"/>
        <v>1</v>
      </c>
      <c r="I4" t="s">
        <v>13</v>
      </c>
      <c r="J4" t="s">
        <v>2</v>
      </c>
      <c r="M4" t="s">
        <v>14</v>
      </c>
      <c r="N4" t="s">
        <v>15</v>
      </c>
      <c r="Q4" s="13" t="s">
        <v>16</v>
      </c>
      <c r="R4" s="28">
        <v>2</v>
      </c>
    </row>
    <row r="5" spans="1:18" x14ac:dyDescent="0.25">
      <c r="A5" s="6">
        <v>3</v>
      </c>
      <c r="B5" s="6">
        <v>224</v>
      </c>
      <c r="C5" s="6">
        <v>27</v>
      </c>
      <c r="D5" s="6">
        <v>144</v>
      </c>
      <c r="E5" s="6">
        <v>19</v>
      </c>
      <c r="F5" s="7">
        <f t="shared" si="0"/>
        <v>80</v>
      </c>
      <c r="G5" s="7">
        <f t="shared" si="0"/>
        <v>8</v>
      </c>
    </row>
    <row r="6" spans="1:18" x14ac:dyDescent="0.25">
      <c r="A6" s="6">
        <v>4</v>
      </c>
      <c r="B6" s="6">
        <v>208</v>
      </c>
      <c r="C6" s="6">
        <v>33</v>
      </c>
      <c r="D6" s="6">
        <v>103</v>
      </c>
      <c r="E6" s="6">
        <v>18</v>
      </c>
      <c r="F6" s="7">
        <f t="shared" si="0"/>
        <v>105</v>
      </c>
      <c r="G6" s="7">
        <f t="shared" si="0"/>
        <v>15</v>
      </c>
      <c r="I6" t="s">
        <v>17</v>
      </c>
    </row>
    <row r="7" spans="1:18" x14ac:dyDescent="0.25">
      <c r="A7" s="6">
        <v>5</v>
      </c>
      <c r="B7" s="6">
        <v>178</v>
      </c>
      <c r="C7" s="6">
        <v>24</v>
      </c>
      <c r="D7" s="6">
        <v>121</v>
      </c>
      <c r="E7" s="6">
        <v>17</v>
      </c>
      <c r="F7" s="7">
        <f t="shared" si="0"/>
        <v>57</v>
      </c>
      <c r="G7" s="7">
        <f t="shared" si="0"/>
        <v>7</v>
      </c>
      <c r="I7" t="s">
        <v>18</v>
      </c>
    </row>
    <row r="8" spans="1:18" x14ac:dyDescent="0.25">
      <c r="A8" s="6">
        <v>6</v>
      </c>
      <c r="B8" s="6">
        <v>128</v>
      </c>
      <c r="C8" s="6">
        <v>20</v>
      </c>
      <c r="D8" s="6">
        <v>89</v>
      </c>
      <c r="E8" s="6">
        <v>11</v>
      </c>
      <c r="F8" s="7">
        <f t="shared" si="0"/>
        <v>39</v>
      </c>
      <c r="G8" s="7">
        <f t="shared" si="0"/>
        <v>9</v>
      </c>
      <c r="I8" t="s">
        <v>19</v>
      </c>
      <c r="L8" t="s">
        <v>20</v>
      </c>
    </row>
    <row r="9" spans="1:18" x14ac:dyDescent="0.25">
      <c r="A9" s="6">
        <v>7</v>
      </c>
      <c r="B9" s="6">
        <v>154</v>
      </c>
      <c r="C9" s="6">
        <v>18</v>
      </c>
      <c r="D9" s="6">
        <v>119</v>
      </c>
      <c r="E9" s="6">
        <v>17</v>
      </c>
      <c r="F9" s="7">
        <f t="shared" si="0"/>
        <v>35</v>
      </c>
      <c r="G9" s="7">
        <f t="shared" si="0"/>
        <v>1</v>
      </c>
      <c r="I9" s="3" t="s">
        <v>21</v>
      </c>
      <c r="L9" t="s">
        <v>22</v>
      </c>
    </row>
    <row r="10" spans="1:18" x14ac:dyDescent="0.25">
      <c r="A10" s="6">
        <v>8</v>
      </c>
      <c r="B10" s="6">
        <v>158</v>
      </c>
      <c r="C10" s="6">
        <v>16</v>
      </c>
      <c r="D10" s="6">
        <v>123</v>
      </c>
      <c r="E10" s="6">
        <v>13</v>
      </c>
      <c r="F10" s="7">
        <f t="shared" si="0"/>
        <v>35</v>
      </c>
      <c r="G10" s="7">
        <f t="shared" si="0"/>
        <v>3</v>
      </c>
    </row>
    <row r="11" spans="1:18" x14ac:dyDescent="0.25">
      <c r="A11" s="6">
        <v>9</v>
      </c>
      <c r="B11" s="6">
        <v>102</v>
      </c>
      <c r="C11" s="6">
        <v>21</v>
      </c>
      <c r="D11" s="6">
        <v>76</v>
      </c>
      <c r="E11" s="6">
        <v>16</v>
      </c>
      <c r="F11" s="7">
        <f t="shared" si="0"/>
        <v>26</v>
      </c>
      <c r="G11" s="7">
        <f t="shared" si="0"/>
        <v>5</v>
      </c>
      <c r="I11" t="s">
        <v>23</v>
      </c>
      <c r="J11">
        <v>0.05</v>
      </c>
    </row>
    <row r="12" spans="1:18" x14ac:dyDescent="0.25">
      <c r="A12" s="6">
        <v>10</v>
      </c>
      <c r="B12" s="6">
        <v>214</v>
      </c>
      <c r="C12" s="6">
        <v>25</v>
      </c>
      <c r="D12" s="6">
        <v>217</v>
      </c>
      <c r="E12" s="6">
        <v>29</v>
      </c>
      <c r="F12" s="7">
        <f t="shared" si="0"/>
        <v>-3</v>
      </c>
      <c r="G12" s="7">
        <f t="shared" si="0"/>
        <v>-4</v>
      </c>
    </row>
    <row r="13" spans="1:18" x14ac:dyDescent="0.25">
      <c r="A13" s="6">
        <v>11</v>
      </c>
      <c r="B13" s="6">
        <v>209</v>
      </c>
      <c r="C13" s="6">
        <v>24</v>
      </c>
      <c r="D13" s="6">
        <v>148</v>
      </c>
      <c r="E13" s="6">
        <v>22</v>
      </c>
      <c r="F13" s="7">
        <f t="shared" si="0"/>
        <v>61</v>
      </c>
      <c r="G13" s="7">
        <f t="shared" si="0"/>
        <v>2</v>
      </c>
      <c r="I13" t="s">
        <v>24</v>
      </c>
    </row>
    <row r="14" spans="1:18" x14ac:dyDescent="0.25">
      <c r="A14" s="6">
        <v>12</v>
      </c>
      <c r="B14" s="6">
        <v>151</v>
      </c>
      <c r="C14" s="6">
        <v>16</v>
      </c>
      <c r="D14" s="6">
        <v>151</v>
      </c>
      <c r="E14" s="6">
        <v>21</v>
      </c>
      <c r="F14" s="7">
        <f t="shared" si="0"/>
        <v>0</v>
      </c>
      <c r="G14" s="7">
        <f t="shared" si="0"/>
        <v>-5</v>
      </c>
      <c r="I14" s="13" t="s">
        <v>25</v>
      </c>
      <c r="J14" t="s">
        <v>26</v>
      </c>
    </row>
    <row r="15" spans="1:18" x14ac:dyDescent="0.25">
      <c r="A15" s="6">
        <v>13</v>
      </c>
      <c r="B15" s="6">
        <v>123</v>
      </c>
      <c r="C15" s="6">
        <v>13</v>
      </c>
      <c r="D15" s="6">
        <v>83</v>
      </c>
      <c r="E15" s="6">
        <v>7</v>
      </c>
      <c r="F15" s="7">
        <f t="shared" si="0"/>
        <v>40</v>
      </c>
      <c r="G15" s="7">
        <f t="shared" si="0"/>
        <v>6</v>
      </c>
      <c r="J15" s="28">
        <f t="array" ref="J15">R3*(MMULT(MMULT(TRANSPOSE(B20:B21),B26:C27),B20:B21))</f>
        <v>15.191234319016969</v>
      </c>
    </row>
    <row r="16" spans="1:18" x14ac:dyDescent="0.25">
      <c r="A16" s="6">
        <v>14</v>
      </c>
      <c r="B16" s="6">
        <v>161</v>
      </c>
      <c r="C16" s="6">
        <v>22</v>
      </c>
      <c r="D16" s="6">
        <v>135</v>
      </c>
      <c r="E16" s="6">
        <v>20</v>
      </c>
      <c r="F16" s="7">
        <f t="shared" si="0"/>
        <v>26</v>
      </c>
      <c r="G16" s="7">
        <f t="shared" si="0"/>
        <v>2</v>
      </c>
    </row>
    <row r="17" spans="1:16" x14ac:dyDescent="0.25">
      <c r="A17" s="6">
        <v>15</v>
      </c>
      <c r="B17" s="6">
        <v>175</v>
      </c>
      <c r="C17" s="6">
        <v>23</v>
      </c>
      <c r="D17" s="6">
        <v>178</v>
      </c>
      <c r="E17" s="6">
        <v>15</v>
      </c>
      <c r="F17" s="7">
        <f t="shared" si="0"/>
        <v>-3</v>
      </c>
      <c r="G17" s="7">
        <f t="shared" si="0"/>
        <v>8</v>
      </c>
      <c r="I17" t="s">
        <v>27</v>
      </c>
    </row>
    <row r="18" spans="1:16" x14ac:dyDescent="0.25">
      <c r="F18" s="7">
        <f>AVERAGE(F3:F17)</f>
        <v>32.799999999999997</v>
      </c>
      <c r="G18" s="7">
        <f>AVERAGE(G3:G17)</f>
        <v>3.5333333333333332</v>
      </c>
      <c r="I18" t="s">
        <v>28</v>
      </c>
    </row>
    <row r="19" spans="1:16" x14ac:dyDescent="0.25">
      <c r="I19" s="13" t="s">
        <v>25</v>
      </c>
      <c r="J19">
        <f>J15</f>
        <v>15.191234319016969</v>
      </c>
    </row>
    <row r="20" spans="1:16" x14ac:dyDescent="0.25">
      <c r="A20" s="13" t="s">
        <v>120</v>
      </c>
      <c r="B20" s="31">
        <v>32.799999999999997</v>
      </c>
      <c r="I20" s="13" t="s">
        <v>29</v>
      </c>
      <c r="J20" t="s">
        <v>30</v>
      </c>
      <c r="N20" s="13" t="s">
        <v>31</v>
      </c>
      <c r="P20" s="28">
        <f>_xlfn.F.INV.RT(J11,R4,R3-R4)</f>
        <v>3.8055652529780568</v>
      </c>
    </row>
    <row r="21" spans="1:16" x14ac:dyDescent="0.25">
      <c r="B21" s="31">
        <v>3.5333333333333332</v>
      </c>
      <c r="J21" s="28">
        <f>((R3-1)*R4/(R3-R4))*_xlfn.F.INV.RT(J11,R4,R3-R4)</f>
        <v>8.1966020833373534</v>
      </c>
    </row>
    <row r="23" spans="1:16" x14ac:dyDescent="0.25">
      <c r="A23" s="13" t="s">
        <v>32</v>
      </c>
      <c r="B23" s="31">
        <f>_xlfn.VAR.S(F3:F17)</f>
        <v>1096.0285714285715</v>
      </c>
      <c r="C23" s="31">
        <f>_xlfn.COVARIANCE.S(G3:G17,F3:F17)</f>
        <v>139.90000000000003</v>
      </c>
      <c r="I23" t="s">
        <v>33</v>
      </c>
    </row>
    <row r="24" spans="1:16" x14ac:dyDescent="0.25">
      <c r="B24" s="31">
        <f>_xlfn.COVARIANCE.S(F3:F17,G3:G17)</f>
        <v>139.90000000000003</v>
      </c>
      <c r="C24" s="31">
        <f>_xlfn.VAR.S(G3:G17)</f>
        <v>31.552380952380954</v>
      </c>
      <c r="I24" t="s">
        <v>34</v>
      </c>
      <c r="J24" s="13"/>
    </row>
    <row r="25" spans="1:16" x14ac:dyDescent="0.25">
      <c r="I25" t="s">
        <v>35</v>
      </c>
    </row>
    <row r="26" spans="1:16" x14ac:dyDescent="0.25">
      <c r="A26" s="13" t="s">
        <v>36</v>
      </c>
      <c r="B26" s="31">
        <f t="array" ref="B26:C27">MINVERSE(B23:C24)</f>
        <v>2.1020485138493901E-3</v>
      </c>
      <c r="C26" s="31">
        <v>-9.320266116568254E-3</v>
      </c>
      <c r="I26" t="s">
        <v>37</v>
      </c>
    </row>
    <row r="27" spans="1:16" x14ac:dyDescent="0.25">
      <c r="B27" s="31">
        <v>-9.3202661165682522E-3</v>
      </c>
      <c r="C27" s="31">
        <v>7.3018427141361114E-2</v>
      </c>
      <c r="I27" t="s">
        <v>38</v>
      </c>
    </row>
    <row r="28" spans="1:16" x14ac:dyDescent="0.25">
      <c r="I28" t="s">
        <v>39</v>
      </c>
    </row>
    <row r="29" spans="1:16" x14ac:dyDescent="0.25">
      <c r="I29" t="s">
        <v>40</v>
      </c>
    </row>
    <row r="30" spans="1:16" x14ac:dyDescent="0.25">
      <c r="I30" t="s">
        <v>41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37"/>
  <sheetViews>
    <sheetView zoomScale="85" zoomScaleNormal="85" workbookViewId="0">
      <selection activeCell="G12" sqref="G12"/>
    </sheetView>
  </sheetViews>
  <sheetFormatPr defaultRowHeight="15" x14ac:dyDescent="0.25"/>
  <cols>
    <col min="1" max="1" width="6.42578125" customWidth="1"/>
    <col min="2" max="3" width="6.7109375" customWidth="1"/>
  </cols>
  <sheetData>
    <row r="6" spans="1:6" x14ac:dyDescent="0.25">
      <c r="A6" s="13" t="s">
        <v>111</v>
      </c>
      <c r="B6" s="37">
        <v>9.23</v>
      </c>
      <c r="C6" s="37">
        <v>2.06</v>
      </c>
      <c r="E6" t="s">
        <v>124</v>
      </c>
      <c r="F6">
        <v>10</v>
      </c>
    </row>
    <row r="7" spans="1:6" x14ac:dyDescent="0.25">
      <c r="A7" s="13" t="s">
        <v>112</v>
      </c>
      <c r="B7" s="37">
        <v>10.17</v>
      </c>
      <c r="C7" s="37">
        <v>2.87</v>
      </c>
      <c r="E7" t="s">
        <v>125</v>
      </c>
      <c r="F7">
        <v>10</v>
      </c>
    </row>
    <row r="8" spans="1:6" x14ac:dyDescent="0.25">
      <c r="E8" t="s">
        <v>16</v>
      </c>
      <c r="F8">
        <v>2</v>
      </c>
    </row>
    <row r="9" spans="1:6" x14ac:dyDescent="0.25">
      <c r="A9" s="13" t="s">
        <v>71</v>
      </c>
      <c r="B9" s="37">
        <v>0.25600000000000001</v>
      </c>
      <c r="C9" s="37">
        <v>0.23200000000000001</v>
      </c>
    </row>
    <row r="10" spans="1:6" x14ac:dyDescent="0.25">
      <c r="B10" s="37">
        <v>0.23200000000000001</v>
      </c>
      <c r="C10" s="37">
        <v>0.25900000000000001</v>
      </c>
    </row>
    <row r="12" spans="1:6" x14ac:dyDescent="0.25">
      <c r="A12" t="s">
        <v>113</v>
      </c>
    </row>
    <row r="13" spans="1:6" x14ac:dyDescent="0.25">
      <c r="A13" t="s">
        <v>114</v>
      </c>
    </row>
    <row r="14" spans="1:6" x14ac:dyDescent="0.25">
      <c r="A14" t="s">
        <v>115</v>
      </c>
    </row>
    <row r="16" spans="1:6" x14ac:dyDescent="0.25">
      <c r="A16" t="s">
        <v>116</v>
      </c>
    </row>
    <row r="17" spans="1:9" x14ac:dyDescent="0.25">
      <c r="A17" s="13" t="s">
        <v>122</v>
      </c>
      <c r="B17" s="13" t="s">
        <v>123</v>
      </c>
    </row>
    <row r="18" spans="1:9" x14ac:dyDescent="0.25">
      <c r="A18" s="37">
        <v>9.23</v>
      </c>
      <c r="B18" s="37">
        <v>10.17</v>
      </c>
    </row>
    <row r="19" spans="1:9" x14ac:dyDescent="0.25">
      <c r="A19" s="37">
        <v>2.06</v>
      </c>
      <c r="B19" s="37">
        <v>2.87</v>
      </c>
    </row>
    <row r="21" spans="1:9" x14ac:dyDescent="0.25">
      <c r="A21" s="3" t="s">
        <v>94</v>
      </c>
      <c r="H21" s="3" t="s">
        <v>117</v>
      </c>
    </row>
    <row r="22" spans="1:9" x14ac:dyDescent="0.25">
      <c r="C22" s="39">
        <f>B6-B7</f>
        <v>-0.9399999999999995</v>
      </c>
      <c r="D22" s="39">
        <f>C6-C7</f>
        <v>-0.81</v>
      </c>
    </row>
    <row r="25" spans="1:9" x14ac:dyDescent="0.25">
      <c r="H25" t="s">
        <v>118</v>
      </c>
      <c r="I25" s="39">
        <f>_xlfn.F.INV.RT(0.05,2,17)</f>
        <v>3.5915305684750827</v>
      </c>
    </row>
    <row r="26" spans="1:9" x14ac:dyDescent="0.25">
      <c r="C26" s="39">
        <f>A18-B18</f>
        <v>-0.9399999999999995</v>
      </c>
    </row>
    <row r="27" spans="1:9" x14ac:dyDescent="0.25">
      <c r="C27" s="39">
        <f>A19-B19</f>
        <v>-0.81</v>
      </c>
      <c r="H27" t="s">
        <v>119</v>
      </c>
      <c r="I27" s="39">
        <f>(F6+F7-2)*F8*I25/(F6+F7-F8-1)</f>
        <v>7.6055941450060569</v>
      </c>
    </row>
    <row r="29" spans="1:9" x14ac:dyDescent="0.25">
      <c r="B29" s="36"/>
      <c r="C29" s="36"/>
      <c r="D29" s="39">
        <f>1/5*B9</f>
        <v>5.1200000000000002E-2</v>
      </c>
      <c r="E29" s="39">
        <f>1/5*C9</f>
        <v>4.6400000000000004E-2</v>
      </c>
    </row>
    <row r="30" spans="1:9" x14ac:dyDescent="0.25">
      <c r="B30" s="36"/>
      <c r="C30" s="36"/>
      <c r="D30" s="39">
        <f>1/5*B10</f>
        <v>4.6400000000000004E-2</v>
      </c>
      <c r="E30" s="39">
        <f>1/5*C10</f>
        <v>5.1800000000000006E-2</v>
      </c>
    </row>
    <row r="32" spans="1:9" x14ac:dyDescent="0.25">
      <c r="D32" s="39">
        <f t="array" ref="D32:E33">MINVERSE(D29:E30)</f>
        <v>103.76602564102564</v>
      </c>
      <c r="E32" s="39">
        <v>-92.948717948717928</v>
      </c>
    </row>
    <row r="33" spans="1:5" x14ac:dyDescent="0.25">
      <c r="D33" s="39">
        <v>-92.948717948717928</v>
      </c>
      <c r="E33" s="39">
        <v>102.56410256410254</v>
      </c>
    </row>
    <row r="37" spans="1:5" x14ac:dyDescent="0.25">
      <c r="A37" t="s">
        <v>25</v>
      </c>
      <c r="B37" s="39">
        <f t="array" ref="B37">MMULT(MMULT(C22:D22,D32:E33),C26:C27)</f>
        <v>17.43766025641024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25" workbookViewId="0">
      <selection activeCell="N29" sqref="N29"/>
    </sheetView>
  </sheetViews>
  <sheetFormatPr defaultRowHeight="15" x14ac:dyDescent="0.25"/>
  <cols>
    <col min="1" max="1" width="12.140625" customWidth="1"/>
    <col min="3" max="3" width="12" bestFit="1" customWidth="1"/>
    <col min="4" max="4" width="11.140625" customWidth="1"/>
    <col min="5" max="5" width="12" customWidth="1"/>
    <col min="13" max="13" width="10.7109375" customWidth="1"/>
  </cols>
  <sheetData>
    <row r="1" spans="1:19" x14ac:dyDescent="0.25">
      <c r="A1" s="12" t="s">
        <v>80</v>
      </c>
      <c r="B1" s="34"/>
      <c r="C1" s="34"/>
      <c r="D1" s="35"/>
      <c r="E1" s="32" t="s">
        <v>81</v>
      </c>
      <c r="F1" s="33"/>
      <c r="G1" s="33"/>
      <c r="H1" s="33"/>
      <c r="J1" s="13" t="s">
        <v>17</v>
      </c>
      <c r="K1" s="13"/>
      <c r="L1" s="13"/>
      <c r="M1" s="13"/>
      <c r="N1" s="14" t="s">
        <v>82</v>
      </c>
      <c r="O1" s="14"/>
      <c r="P1" s="14"/>
      <c r="Q1" s="15">
        <f>B20-F20</f>
        <v>-21.233333333333348</v>
      </c>
      <c r="R1" s="16"/>
    </row>
    <row r="2" spans="1:19" x14ac:dyDescent="0.25">
      <c r="A2" s="17" t="s">
        <v>83</v>
      </c>
      <c r="B2" s="17" t="s">
        <v>84</v>
      </c>
      <c r="C2" s="18" t="s">
        <v>85</v>
      </c>
      <c r="D2" s="18" t="s">
        <v>109</v>
      </c>
      <c r="E2" s="19" t="s">
        <v>83</v>
      </c>
      <c r="F2" s="19" t="s">
        <v>84</v>
      </c>
      <c r="G2" s="19" t="s">
        <v>85</v>
      </c>
      <c r="H2" s="19" t="s">
        <v>110</v>
      </c>
      <c r="N2" s="14"/>
      <c r="O2" s="14"/>
      <c r="P2" s="14"/>
      <c r="Q2" s="20">
        <f>B21-F21</f>
        <v>-27</v>
      </c>
      <c r="R2" s="16"/>
    </row>
    <row r="3" spans="1:19" x14ac:dyDescent="0.25">
      <c r="A3" s="17">
        <v>1</v>
      </c>
      <c r="B3" s="17">
        <v>155</v>
      </c>
      <c r="C3" s="18">
        <v>57</v>
      </c>
      <c r="D3" s="18">
        <v>36</v>
      </c>
      <c r="E3" s="19">
        <v>1</v>
      </c>
      <c r="F3" s="19">
        <v>171</v>
      </c>
      <c r="G3" s="19">
        <v>80</v>
      </c>
      <c r="H3" s="19">
        <v>36.4</v>
      </c>
      <c r="J3" s="13" t="s">
        <v>86</v>
      </c>
      <c r="K3" s="13"/>
      <c r="L3" s="13"/>
      <c r="M3" s="13"/>
      <c r="Q3" s="20">
        <f>B22-F22</f>
        <v>-8.6666666666658898E-2</v>
      </c>
    </row>
    <row r="4" spans="1:19" x14ac:dyDescent="0.25">
      <c r="A4" s="17">
        <v>2</v>
      </c>
      <c r="B4" s="17">
        <v>145</v>
      </c>
      <c r="C4" s="18">
        <v>40</v>
      </c>
      <c r="D4" s="18">
        <v>36.5</v>
      </c>
      <c r="E4" s="19">
        <v>2</v>
      </c>
      <c r="F4" s="19">
        <v>174</v>
      </c>
      <c r="G4" s="19">
        <v>81</v>
      </c>
      <c r="H4" s="19">
        <v>36.9</v>
      </c>
      <c r="J4" t="s">
        <v>88</v>
      </c>
      <c r="N4" s="21" t="s">
        <v>87</v>
      </c>
      <c r="O4" s="21"/>
      <c r="P4" s="21"/>
      <c r="Q4" s="22">
        <f t="array" ref="Q4:S4">TRANSPOSE(Q1:Q3)</f>
        <v>-21.233333333333348</v>
      </c>
      <c r="R4" s="22">
        <v>-27</v>
      </c>
      <c r="S4" s="17">
        <v>-8.6666666666658898E-2</v>
      </c>
    </row>
    <row r="5" spans="1:19" x14ac:dyDescent="0.25">
      <c r="A5" s="17">
        <v>3</v>
      </c>
      <c r="B5" s="17">
        <v>147</v>
      </c>
      <c r="C5" s="18">
        <v>40</v>
      </c>
      <c r="D5" s="18">
        <v>36.299999999999997</v>
      </c>
      <c r="E5" s="19">
        <v>3</v>
      </c>
      <c r="F5" s="19">
        <v>173</v>
      </c>
      <c r="G5" s="19">
        <v>81</v>
      </c>
      <c r="H5" s="19">
        <v>37</v>
      </c>
      <c r="J5" t="s">
        <v>90</v>
      </c>
      <c r="N5" s="23" t="s">
        <v>89</v>
      </c>
      <c r="O5" s="23"/>
      <c r="P5" s="23"/>
      <c r="Q5" s="24">
        <f>$N$6*E34</f>
        <v>5.4799516908212569</v>
      </c>
      <c r="R5" s="24">
        <f t="shared" ref="R5:S5" si="0">$N$6*F34</f>
        <v>4.6173913043478274</v>
      </c>
      <c r="S5" s="24">
        <f t="shared" si="0"/>
        <v>4.4975845410628469E-2</v>
      </c>
    </row>
    <row r="6" spans="1:19" x14ac:dyDescent="0.25">
      <c r="A6" s="17">
        <v>4</v>
      </c>
      <c r="B6" s="17">
        <v>150</v>
      </c>
      <c r="C6" s="18">
        <v>44</v>
      </c>
      <c r="D6" s="18">
        <v>37</v>
      </c>
      <c r="E6" s="19">
        <v>4</v>
      </c>
      <c r="F6" s="19">
        <v>169</v>
      </c>
      <c r="G6" s="19">
        <v>75</v>
      </c>
      <c r="H6" s="19">
        <v>37.299999999999997</v>
      </c>
      <c r="N6" s="23">
        <f>(1/10)+(1/15)</f>
        <v>0.16666666666666669</v>
      </c>
      <c r="O6" s="23" t="s">
        <v>91</v>
      </c>
      <c r="P6" s="23"/>
      <c r="Q6" s="24">
        <f t="shared" ref="Q6:Q7" si="1">$N$6*E35</f>
        <v>4.6173913043478274</v>
      </c>
      <c r="R6" s="24">
        <f t="shared" ref="R6:R7" si="2">$N$6*F35</f>
        <v>6.536231884057961</v>
      </c>
      <c r="S6" s="24">
        <f t="shared" ref="S6:S7" si="3">$N$6*G35</f>
        <v>7.4347826086957183E-2</v>
      </c>
    </row>
    <row r="7" spans="1:19" x14ac:dyDescent="0.25">
      <c r="A7" s="17">
        <v>5</v>
      </c>
      <c r="B7" s="17">
        <v>148</v>
      </c>
      <c r="C7" s="18">
        <v>50</v>
      </c>
      <c r="D7" s="18">
        <v>36.9</v>
      </c>
      <c r="E7" s="19">
        <v>5</v>
      </c>
      <c r="F7" s="19">
        <v>168</v>
      </c>
      <c r="G7" s="19">
        <v>76</v>
      </c>
      <c r="H7" s="19">
        <v>36.6</v>
      </c>
      <c r="J7" s="13" t="s">
        <v>93</v>
      </c>
      <c r="K7" s="13"/>
      <c r="L7" s="13"/>
      <c r="M7" s="13"/>
      <c r="Q7" s="24">
        <f t="shared" si="1"/>
        <v>4.4975845410628469E-2</v>
      </c>
      <c r="R7" s="24">
        <f t="shared" si="2"/>
        <v>7.4347826086957183E-2</v>
      </c>
      <c r="S7" s="24">
        <f t="shared" si="3"/>
        <v>2.6966183574879204E-2</v>
      </c>
    </row>
    <row r="8" spans="1:19" x14ac:dyDescent="0.25">
      <c r="A8" s="17">
        <v>6</v>
      </c>
      <c r="B8" s="17">
        <v>140</v>
      </c>
      <c r="C8" s="18">
        <v>49</v>
      </c>
      <c r="D8" s="18">
        <v>36.700000000000003</v>
      </c>
      <c r="E8" s="19">
        <v>6</v>
      </c>
      <c r="F8" s="19">
        <v>165</v>
      </c>
      <c r="G8" s="19">
        <v>74</v>
      </c>
      <c r="H8" s="19">
        <v>36.799999999999997</v>
      </c>
      <c r="N8" s="25" t="s">
        <v>92</v>
      </c>
      <c r="O8" s="25"/>
      <c r="P8" s="25"/>
      <c r="Q8" s="26">
        <f t="array" ref="Q8:S10">MINVERSE(Q5:S7)</f>
        <v>0.4512823896155318</v>
      </c>
      <c r="R8" s="26">
        <v>-0.32028237312177488</v>
      </c>
      <c r="S8" s="26">
        <v>0.13036665622062302</v>
      </c>
    </row>
    <row r="9" spans="1:19" x14ac:dyDescent="0.25">
      <c r="A9" s="17">
        <v>7</v>
      </c>
      <c r="B9" s="17">
        <v>151</v>
      </c>
      <c r="C9" s="18">
        <v>52</v>
      </c>
      <c r="D9" s="18">
        <v>37.1</v>
      </c>
      <c r="E9" s="19">
        <v>7</v>
      </c>
      <c r="F9" s="19">
        <v>175</v>
      </c>
      <c r="G9" s="19">
        <v>85</v>
      </c>
      <c r="H9" s="19">
        <v>36.200000000000003</v>
      </c>
      <c r="N9" s="25"/>
      <c r="O9" s="25"/>
      <c r="P9" s="25"/>
      <c r="Q9" s="26">
        <v>-0.32028237312177493</v>
      </c>
      <c r="R9" s="26">
        <v>0.38525626521610001</v>
      </c>
      <c r="S9" s="26">
        <v>-0.52799445143534229</v>
      </c>
    </row>
    <row r="10" spans="1:19" x14ac:dyDescent="0.25">
      <c r="A10" s="17">
        <v>8</v>
      </c>
      <c r="B10" s="17">
        <v>160</v>
      </c>
      <c r="C10" s="18">
        <v>60</v>
      </c>
      <c r="D10" s="18">
        <v>37.200000000000003</v>
      </c>
      <c r="E10" s="19">
        <v>8</v>
      </c>
      <c r="F10" s="19">
        <v>180</v>
      </c>
      <c r="G10" s="19">
        <v>84</v>
      </c>
      <c r="H10" s="19">
        <v>37</v>
      </c>
      <c r="Q10" s="26">
        <v>0.13036665622062293</v>
      </c>
      <c r="R10" s="26">
        <v>-0.52799445143534229</v>
      </c>
      <c r="S10" s="26">
        <v>38.3217701609058</v>
      </c>
    </row>
    <row r="11" spans="1:19" x14ac:dyDescent="0.25">
      <c r="A11" s="17">
        <v>9</v>
      </c>
      <c r="B11" s="17">
        <v>162</v>
      </c>
      <c r="C11" s="18">
        <v>61</v>
      </c>
      <c r="D11" s="18">
        <v>36.1</v>
      </c>
      <c r="E11" s="19">
        <v>9</v>
      </c>
      <c r="F11" s="19">
        <v>181</v>
      </c>
      <c r="G11" s="19">
        <v>83</v>
      </c>
      <c r="H11" s="19">
        <v>37.1</v>
      </c>
      <c r="J11" s="13" t="s">
        <v>94</v>
      </c>
      <c r="K11" s="13"/>
      <c r="L11" s="13"/>
      <c r="M11" s="13"/>
    </row>
    <row r="12" spans="1:19" x14ac:dyDescent="0.25">
      <c r="A12" s="17">
        <v>10</v>
      </c>
      <c r="B12" s="17">
        <v>153</v>
      </c>
      <c r="C12" s="18">
        <v>55</v>
      </c>
      <c r="D12" s="18">
        <v>36.799999999999997</v>
      </c>
      <c r="E12" s="19">
        <v>10</v>
      </c>
      <c r="F12" s="19">
        <v>179</v>
      </c>
      <c r="G12" s="19">
        <v>85</v>
      </c>
      <c r="H12" s="19">
        <v>37.4</v>
      </c>
      <c r="K12" t="s">
        <v>95</v>
      </c>
    </row>
    <row r="13" spans="1:19" x14ac:dyDescent="0.25">
      <c r="E13" s="19">
        <v>11</v>
      </c>
      <c r="F13" s="19">
        <v>169</v>
      </c>
      <c r="G13" s="19">
        <v>75</v>
      </c>
      <c r="H13" s="19">
        <v>36.700000000000003</v>
      </c>
      <c r="K13">
        <f t="array" ref="K13:M13">MMULT(Q4:S4,Q8:S10)</f>
        <v>-0.94590377542099402</v>
      </c>
      <c r="L13" s="27">
        <v>-3.5554972524246158</v>
      </c>
      <c r="M13">
        <v>8.1665114410581374</v>
      </c>
    </row>
    <row r="14" spans="1:19" x14ac:dyDescent="0.25">
      <c r="E14" s="19">
        <v>12</v>
      </c>
      <c r="F14" s="19">
        <v>168</v>
      </c>
      <c r="G14" s="19">
        <v>74</v>
      </c>
      <c r="H14" s="19">
        <v>36.5</v>
      </c>
      <c r="J14" s="28" t="s">
        <v>25</v>
      </c>
      <c r="K14" s="28" t="s">
        <v>96</v>
      </c>
      <c r="L14" s="28"/>
      <c r="M14" s="28"/>
      <c r="N14" s="28"/>
      <c r="O14" s="28"/>
      <c r="P14" s="28"/>
      <c r="Q14" s="28"/>
      <c r="R14" s="28"/>
    </row>
    <row r="15" spans="1:19" x14ac:dyDescent="0.25">
      <c r="E15" s="19">
        <v>13</v>
      </c>
      <c r="F15" s="19">
        <v>167</v>
      </c>
      <c r="G15" s="19">
        <v>71</v>
      </c>
      <c r="H15" s="19">
        <v>36.799999999999997</v>
      </c>
      <c r="K15" s="28">
        <f t="array" ref="K15">MMULT(K13:M13,Q1:Q3)</f>
        <v>115.37535165534544</v>
      </c>
    </row>
    <row r="16" spans="1:19" x14ac:dyDescent="0.25">
      <c r="E16" s="19">
        <v>14</v>
      </c>
      <c r="F16" s="19">
        <v>170</v>
      </c>
      <c r="G16" s="19">
        <v>70</v>
      </c>
      <c r="H16" s="19">
        <v>36</v>
      </c>
      <c r="J16" s="13" t="s">
        <v>97</v>
      </c>
      <c r="K16" s="13"/>
      <c r="L16" s="13"/>
      <c r="M16" s="13"/>
    </row>
    <row r="17" spans="1:19" x14ac:dyDescent="0.25">
      <c r="E17" s="19">
        <v>15</v>
      </c>
      <c r="F17" s="19">
        <v>176</v>
      </c>
      <c r="G17" s="19">
        <v>73</v>
      </c>
      <c r="H17" s="19">
        <v>36.5</v>
      </c>
      <c r="J17" s="13" t="s">
        <v>28</v>
      </c>
      <c r="K17" s="13"/>
      <c r="L17" s="13"/>
      <c r="M17" s="13"/>
    </row>
    <row r="18" spans="1:19" x14ac:dyDescent="0.25">
      <c r="J18" s="28" t="s">
        <v>29</v>
      </c>
      <c r="K18" s="28" t="s">
        <v>74</v>
      </c>
      <c r="L18" s="28"/>
      <c r="M18" s="28"/>
      <c r="N18" s="28"/>
      <c r="O18" s="28"/>
      <c r="Q18" t="s">
        <v>98</v>
      </c>
      <c r="S18">
        <f>(10+15-2)*3</f>
        <v>69</v>
      </c>
    </row>
    <row r="19" spans="1:19" x14ac:dyDescent="0.25">
      <c r="K19" s="28">
        <f>(S18/S19)*S20</f>
        <v>10.095248669589742</v>
      </c>
      <c r="Q19" t="s">
        <v>99</v>
      </c>
      <c r="S19">
        <f>10+15-3-1</f>
        <v>21</v>
      </c>
    </row>
    <row r="20" spans="1:19" x14ac:dyDescent="0.25">
      <c r="A20" s="29" t="s">
        <v>61</v>
      </c>
      <c r="B20" s="17">
        <f>AVERAGE(B3:B12)</f>
        <v>151.1</v>
      </c>
      <c r="E20" s="30" t="s">
        <v>62</v>
      </c>
      <c r="F20" s="19">
        <f>AVERAGE(F3:F17)</f>
        <v>172.33333333333334</v>
      </c>
      <c r="Q20" t="s">
        <v>75</v>
      </c>
      <c r="S20">
        <f>_xlfn.F.INV.RT(0.05,3,S19)</f>
        <v>3.0724669863968779</v>
      </c>
    </row>
    <row r="21" spans="1:19" x14ac:dyDescent="0.25">
      <c r="A21" s="29"/>
      <c r="B21" s="17">
        <f>AVERAGE(C3:C12)</f>
        <v>50.8</v>
      </c>
      <c r="E21" s="30"/>
      <c r="F21" s="19">
        <f>AVERAGE(G3:G17)</f>
        <v>77.8</v>
      </c>
    </row>
    <row r="22" spans="1:19" x14ac:dyDescent="0.25">
      <c r="A22" s="29"/>
      <c r="B22" s="17">
        <f>AVERAGE(D3:D12)</f>
        <v>36.660000000000011</v>
      </c>
      <c r="E22" s="30"/>
      <c r="F22" s="19">
        <f>AVERAGE(H3:H17)</f>
        <v>36.74666666666667</v>
      </c>
    </row>
    <row r="23" spans="1:19" x14ac:dyDescent="0.25">
      <c r="J23" s="13" t="s">
        <v>100</v>
      </c>
      <c r="K23" s="13" t="s">
        <v>101</v>
      </c>
      <c r="L23" s="13" t="s">
        <v>34</v>
      </c>
      <c r="M23" s="13"/>
    </row>
    <row r="24" spans="1:19" x14ac:dyDescent="0.25">
      <c r="A24" s="29" t="s">
        <v>67</v>
      </c>
      <c r="B24" s="17">
        <f>_xlfn.VAR.S(B3:B12)</f>
        <v>44.988888888888887</v>
      </c>
      <c r="C24" s="17">
        <f>_xlfn.COVARIANCE.S(B3:B12,C3:C12)</f>
        <v>40.577777777777783</v>
      </c>
      <c r="D24" s="17">
        <f>B26</f>
        <v>-0.30666666666666453</v>
      </c>
      <c r="E24" s="30" t="s">
        <v>68</v>
      </c>
      <c r="F24" s="19">
        <f>VAR(F3:F17)</f>
        <v>25.095238095238102</v>
      </c>
      <c r="G24" s="19">
        <f>_xlfn.COVARIANCE.S(F3:F17,G3:G17)</f>
        <v>19.428571428571423</v>
      </c>
      <c r="H24" s="19">
        <f>F26</f>
        <v>0.64047619047619342</v>
      </c>
      <c r="J24" s="13"/>
      <c r="K24" s="13"/>
      <c r="L24" s="13" t="s">
        <v>35</v>
      </c>
      <c r="M24" s="13"/>
    </row>
    <row r="25" spans="1:19" x14ac:dyDescent="0.25">
      <c r="A25" s="29"/>
      <c r="B25" s="17">
        <f>_xlfn.COVARIANCE.S(C3:C12,B3:B12)</f>
        <v>40.577777777777783</v>
      </c>
      <c r="C25" s="17">
        <f>_xlfn.VAR.S(C3:C12)</f>
        <v>58.844444444444285</v>
      </c>
      <c r="D25" s="17">
        <f>C26</f>
        <v>-7.5555555555549325E-2</v>
      </c>
      <c r="E25" s="30"/>
      <c r="F25" s="19">
        <f>_xlfn.COVARIANCE.S(G3:G17,F3:F17)</f>
        <v>19.428571428571423</v>
      </c>
      <c r="G25" s="19">
        <f>VAR(G3:G17)</f>
        <v>26.599999999999998</v>
      </c>
      <c r="H25" s="19">
        <f>G26</f>
        <v>0.78142857142857391</v>
      </c>
      <c r="L25" s="13" t="s">
        <v>102</v>
      </c>
      <c r="M25" s="13"/>
      <c r="N25" s="13"/>
      <c r="O25" s="13"/>
      <c r="P25" s="13"/>
      <c r="Q25" s="13"/>
    </row>
    <row r="26" spans="1:19" x14ac:dyDescent="0.25">
      <c r="A26" s="29"/>
      <c r="B26" s="17">
        <f>_xlfn.COVARIANCE.S(B3:B12,D3:D12)</f>
        <v>-0.30666666666666453</v>
      </c>
      <c r="C26" s="17">
        <f>_xlfn.COVARIANCE.S(C3:C12,D3:D12)</f>
        <v>-7.5555555555549325E-2</v>
      </c>
      <c r="D26" s="17">
        <f>_xlfn.VAR.S(D3:D12)</f>
        <v>0.17600000000000041</v>
      </c>
      <c r="E26" s="30"/>
      <c r="F26" s="19">
        <f>_xlfn.COVARIANCE.S(F3:F17,H3:H17)</f>
        <v>0.64047619047619342</v>
      </c>
      <c r="G26" s="19">
        <f>_xlfn.COVARIANCE.S(G3:G17,H3:H17)</f>
        <v>0.78142857142857391</v>
      </c>
      <c r="H26" s="19">
        <f>_xlfn.VAR.S(H3:H17)</f>
        <v>0.15266666666666612</v>
      </c>
      <c r="L26" s="13" t="s">
        <v>126</v>
      </c>
      <c r="M26" s="13"/>
      <c r="N26" s="13"/>
      <c r="O26" s="13"/>
      <c r="P26" s="13"/>
      <c r="Q26" s="13"/>
    </row>
    <row r="27" spans="1:19" x14ac:dyDescent="0.25">
      <c r="L27" s="13" t="s">
        <v>127</v>
      </c>
      <c r="M27" s="13"/>
      <c r="N27" s="13"/>
      <c r="O27" s="13"/>
      <c r="P27" s="13"/>
      <c r="Q27" s="13"/>
    </row>
    <row r="28" spans="1:19" x14ac:dyDescent="0.25">
      <c r="A28" s="29" t="s">
        <v>103</v>
      </c>
      <c r="B28" s="17">
        <f>9*B24</f>
        <v>404.9</v>
      </c>
      <c r="C28" s="17">
        <f t="shared" ref="C28:D28" si="4">9*C24</f>
        <v>365.20000000000005</v>
      </c>
      <c r="D28" s="17">
        <f t="shared" si="4"/>
        <v>-2.7599999999999807</v>
      </c>
      <c r="E28" s="30" t="s">
        <v>104</v>
      </c>
      <c r="F28" s="19">
        <f>14*F24</f>
        <v>351.33333333333343</v>
      </c>
      <c r="G28" s="19">
        <f t="shared" ref="G28:H28" si="5">14*G24</f>
        <v>271.99999999999994</v>
      </c>
      <c r="H28" s="19">
        <f t="shared" si="5"/>
        <v>8.9666666666667076</v>
      </c>
    </row>
    <row r="29" spans="1:19" x14ac:dyDescent="0.25">
      <c r="A29" s="29" t="s">
        <v>105</v>
      </c>
      <c r="B29" s="17">
        <f t="shared" ref="B29:D29" si="6">9*B25</f>
        <v>365.20000000000005</v>
      </c>
      <c r="C29" s="17">
        <f t="shared" si="6"/>
        <v>529.59999999999854</v>
      </c>
      <c r="D29" s="17">
        <f t="shared" si="6"/>
        <v>-0.67999999999994398</v>
      </c>
      <c r="E29" s="30" t="s">
        <v>106</v>
      </c>
      <c r="F29" s="19">
        <f t="shared" ref="F29:H29" si="7">14*F25</f>
        <v>271.99999999999994</v>
      </c>
      <c r="G29" s="19">
        <f t="shared" si="7"/>
        <v>372.4</v>
      </c>
      <c r="H29" s="19">
        <f t="shared" si="7"/>
        <v>10.940000000000035</v>
      </c>
    </row>
    <row r="30" spans="1:19" x14ac:dyDescent="0.25">
      <c r="A30" s="29"/>
      <c r="B30" s="17">
        <f t="shared" ref="B30:D30" si="8">9*B26</f>
        <v>-2.7599999999999807</v>
      </c>
      <c r="C30" s="17">
        <f t="shared" si="8"/>
        <v>-0.67999999999994398</v>
      </c>
      <c r="D30" s="17">
        <f t="shared" si="8"/>
        <v>1.5840000000000036</v>
      </c>
      <c r="E30" s="30"/>
      <c r="F30" s="19">
        <f t="shared" ref="F30:H30" si="9">14*F26</f>
        <v>8.9666666666667076</v>
      </c>
      <c r="G30" s="19">
        <f t="shared" si="9"/>
        <v>10.940000000000035</v>
      </c>
      <c r="H30" s="19">
        <f t="shared" si="9"/>
        <v>2.1373333333333258</v>
      </c>
    </row>
    <row r="32" spans="1:19" x14ac:dyDescent="0.25">
      <c r="A32" s="28" t="s">
        <v>107</v>
      </c>
      <c r="B32" s="28">
        <f>10+15-2</f>
        <v>23</v>
      </c>
    </row>
    <row r="34" spans="1:7" x14ac:dyDescent="0.25">
      <c r="A34" s="28" t="s">
        <v>71</v>
      </c>
      <c r="B34" s="28" t="s">
        <v>108</v>
      </c>
      <c r="C34" s="28"/>
      <c r="D34" s="28"/>
      <c r="E34" s="31">
        <f>(B28+F28)/$B$32</f>
        <v>32.879710144927536</v>
      </c>
      <c r="F34" s="31">
        <f t="shared" ref="F34:G34" si="10">(C28+G28)/$B$32</f>
        <v>27.704347826086959</v>
      </c>
      <c r="G34" s="31">
        <f t="shared" si="10"/>
        <v>0.26985507246377077</v>
      </c>
    </row>
    <row r="35" spans="1:7" x14ac:dyDescent="0.25">
      <c r="A35" s="28"/>
      <c r="B35" s="28"/>
      <c r="C35" s="28"/>
      <c r="D35" s="28"/>
      <c r="E35" s="31">
        <f t="shared" ref="E35:E36" si="11">(B29+F29)/$B$32</f>
        <v>27.704347826086959</v>
      </c>
      <c r="F35" s="31">
        <f t="shared" ref="F35:F36" si="12">(C29+G29)/$B$32</f>
        <v>39.217391304347764</v>
      </c>
      <c r="G35" s="31">
        <f t="shared" ref="G35:G36" si="13">(D29+H29)/$B$32</f>
        <v>0.44608695652174307</v>
      </c>
    </row>
    <row r="36" spans="1:7" x14ac:dyDescent="0.25">
      <c r="E36" s="31">
        <f t="shared" si="11"/>
        <v>0.26985507246377077</v>
      </c>
      <c r="F36" s="31">
        <f t="shared" si="12"/>
        <v>0.44608695652174307</v>
      </c>
      <c r="G36" s="31">
        <f t="shared" si="13"/>
        <v>0.1617971014492752</v>
      </c>
    </row>
  </sheetData>
  <mergeCells count="2">
    <mergeCell ref="E1:H1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F22" workbookViewId="0">
      <selection activeCell="G39" sqref="G39"/>
    </sheetView>
  </sheetViews>
  <sheetFormatPr defaultRowHeight="15" x14ac:dyDescent="0.25"/>
  <cols>
    <col min="1" max="1" width="11.85546875" customWidth="1"/>
    <col min="2" max="2" width="10.85546875" customWidth="1"/>
    <col min="3" max="3" width="10.7109375" customWidth="1"/>
    <col min="4" max="4" width="12.140625" customWidth="1"/>
    <col min="5" max="5" width="10.7109375" customWidth="1"/>
    <col min="7" max="7" width="10.85546875" customWidth="1"/>
  </cols>
  <sheetData>
    <row r="1" spans="1:8" x14ac:dyDescent="0.25">
      <c r="A1" s="8" t="s">
        <v>42</v>
      </c>
      <c r="B1" s="8" t="s">
        <v>43</v>
      </c>
      <c r="C1" s="8"/>
      <c r="D1" s="8" t="s">
        <v>44</v>
      </c>
      <c r="E1" s="8"/>
      <c r="G1" t="s">
        <v>45</v>
      </c>
    </row>
    <row r="2" spans="1:8" x14ac:dyDescent="0.25">
      <c r="A2" s="8"/>
      <c r="B2" s="9" t="s">
        <v>46</v>
      </c>
      <c r="C2" s="9" t="s">
        <v>47</v>
      </c>
      <c r="D2" s="9" t="s">
        <v>46</v>
      </c>
      <c r="E2" s="9" t="s">
        <v>47</v>
      </c>
      <c r="G2" s="10"/>
    </row>
    <row r="3" spans="1:8" x14ac:dyDescent="0.25">
      <c r="A3" s="9">
        <v>1</v>
      </c>
      <c r="B3" s="9">
        <v>54</v>
      </c>
      <c r="C3" s="9">
        <v>77</v>
      </c>
      <c r="D3" s="9">
        <v>58</v>
      </c>
      <c r="E3" s="9">
        <v>84</v>
      </c>
      <c r="G3" t="s">
        <v>48</v>
      </c>
    </row>
    <row r="4" spans="1:8" x14ac:dyDescent="0.25">
      <c r="A4" s="9">
        <v>2</v>
      </c>
      <c r="B4" s="9">
        <v>76</v>
      </c>
      <c r="C4" s="9">
        <v>58</v>
      </c>
      <c r="D4" s="9">
        <v>49</v>
      </c>
      <c r="E4" s="9">
        <v>60</v>
      </c>
      <c r="G4" t="s">
        <v>49</v>
      </c>
    </row>
    <row r="5" spans="1:8" x14ac:dyDescent="0.25">
      <c r="A5" s="9">
        <v>3</v>
      </c>
      <c r="B5" s="9">
        <v>55</v>
      </c>
      <c r="C5" s="9">
        <v>58</v>
      </c>
      <c r="D5" s="9">
        <v>83</v>
      </c>
      <c r="E5" s="9">
        <v>69</v>
      </c>
      <c r="G5" t="s">
        <v>50</v>
      </c>
    </row>
    <row r="6" spans="1:8" x14ac:dyDescent="0.25">
      <c r="A6" s="9">
        <v>4</v>
      </c>
      <c r="B6" s="9">
        <v>79</v>
      </c>
      <c r="C6" s="9">
        <v>63</v>
      </c>
      <c r="D6" s="9">
        <v>55</v>
      </c>
      <c r="E6" s="9">
        <v>60</v>
      </c>
      <c r="G6" t="s">
        <v>51</v>
      </c>
    </row>
    <row r="7" spans="1:8" x14ac:dyDescent="0.25">
      <c r="A7" s="9">
        <v>5</v>
      </c>
      <c r="B7" s="9">
        <v>84</v>
      </c>
      <c r="C7" s="9">
        <v>37</v>
      </c>
      <c r="D7" s="9">
        <v>85</v>
      </c>
      <c r="E7" s="9">
        <v>89</v>
      </c>
      <c r="G7" t="s">
        <v>52</v>
      </c>
    </row>
    <row r="8" spans="1:8" x14ac:dyDescent="0.25">
      <c r="A8" s="9">
        <v>6</v>
      </c>
      <c r="B8" s="9">
        <v>60</v>
      </c>
      <c r="C8" s="9">
        <v>45</v>
      </c>
      <c r="D8" s="9">
        <v>90</v>
      </c>
      <c r="E8" s="9">
        <v>68</v>
      </c>
      <c r="G8" t="s">
        <v>53</v>
      </c>
    </row>
    <row r="9" spans="1:8" x14ac:dyDescent="0.25">
      <c r="A9" s="9">
        <v>7</v>
      </c>
      <c r="B9" s="9">
        <v>73</v>
      </c>
      <c r="C9" s="9">
        <v>60</v>
      </c>
      <c r="D9" s="9">
        <v>42</v>
      </c>
      <c r="E9" s="9">
        <v>36</v>
      </c>
      <c r="G9" t="s">
        <v>54</v>
      </c>
    </row>
    <row r="10" spans="1:8" x14ac:dyDescent="0.25">
      <c r="A10" s="9">
        <v>8</v>
      </c>
      <c r="B10" s="9">
        <v>81</v>
      </c>
      <c r="C10" s="9">
        <v>56</v>
      </c>
      <c r="D10" s="9">
        <v>85</v>
      </c>
      <c r="E10" s="9">
        <v>57</v>
      </c>
      <c r="G10" t="s">
        <v>55</v>
      </c>
    </row>
    <row r="11" spans="1:8" x14ac:dyDescent="0.25">
      <c r="A11" s="9">
        <v>9</v>
      </c>
      <c r="B11" s="9">
        <v>65</v>
      </c>
      <c r="C11" s="9">
        <v>80</v>
      </c>
      <c r="D11" s="9">
        <v>80</v>
      </c>
      <c r="E11" s="9">
        <v>46</v>
      </c>
      <c r="G11" t="s">
        <v>56</v>
      </c>
    </row>
    <row r="12" spans="1:8" x14ac:dyDescent="0.25">
      <c r="A12" s="9">
        <v>10</v>
      </c>
      <c r="B12" s="9">
        <v>54</v>
      </c>
      <c r="C12" s="9">
        <v>42</v>
      </c>
      <c r="D12" s="9">
        <v>89</v>
      </c>
      <c r="E12" s="9">
        <v>51</v>
      </c>
      <c r="G12" t="s">
        <v>57</v>
      </c>
    </row>
    <row r="13" spans="1:8" x14ac:dyDescent="0.25">
      <c r="A13" s="9">
        <v>11</v>
      </c>
      <c r="B13" s="9">
        <v>67</v>
      </c>
      <c r="C13" s="9">
        <v>42</v>
      </c>
      <c r="D13" s="9">
        <v>40</v>
      </c>
      <c r="E13" s="9">
        <v>65</v>
      </c>
      <c r="G13" t="s">
        <v>121</v>
      </c>
    </row>
    <row r="14" spans="1:8" x14ac:dyDescent="0.25">
      <c r="A14" s="9">
        <v>12</v>
      </c>
      <c r="B14" s="9">
        <v>51</v>
      </c>
      <c r="C14" s="9">
        <v>64</v>
      </c>
      <c r="D14" s="9">
        <v>71</v>
      </c>
      <c r="E14" s="9">
        <v>64</v>
      </c>
    </row>
    <row r="15" spans="1:8" x14ac:dyDescent="0.25">
      <c r="A15" s="9">
        <v>13</v>
      </c>
      <c r="B15" s="9">
        <v>56</v>
      </c>
      <c r="C15" s="9">
        <v>62</v>
      </c>
      <c r="D15" s="9">
        <v>81</v>
      </c>
      <c r="E15" s="9">
        <v>82</v>
      </c>
      <c r="G15" t="s">
        <v>9</v>
      </c>
      <c r="H15" t="s">
        <v>58</v>
      </c>
    </row>
    <row r="16" spans="1:8" x14ac:dyDescent="0.25">
      <c r="A16" s="9">
        <v>14</v>
      </c>
      <c r="B16" s="9">
        <v>50</v>
      </c>
      <c r="C16" s="9">
        <v>41</v>
      </c>
      <c r="D16" s="9">
        <v>40</v>
      </c>
      <c r="E16" s="9">
        <v>50</v>
      </c>
      <c r="G16" t="s">
        <v>13</v>
      </c>
      <c r="H16" t="s">
        <v>59</v>
      </c>
    </row>
    <row r="17" spans="1:11" x14ac:dyDescent="0.25">
      <c r="A17" s="9">
        <v>15</v>
      </c>
      <c r="B17" s="9">
        <v>58</v>
      </c>
      <c r="C17" s="9">
        <v>43</v>
      </c>
      <c r="D17" s="9">
        <v>80</v>
      </c>
      <c r="E17" s="9">
        <v>77</v>
      </c>
    </row>
    <row r="18" spans="1:11" x14ac:dyDescent="0.25">
      <c r="A18" s="9">
        <v>16</v>
      </c>
      <c r="B18" s="9">
        <v>82</v>
      </c>
      <c r="C18" s="9">
        <v>46</v>
      </c>
      <c r="D18" s="9">
        <v>75</v>
      </c>
      <c r="E18" s="9">
        <v>35</v>
      </c>
      <c r="G18" t="s">
        <v>10</v>
      </c>
      <c r="H18" t="s">
        <v>46</v>
      </c>
    </row>
    <row r="19" spans="1:11" x14ac:dyDescent="0.25">
      <c r="A19" s="9">
        <v>17</v>
      </c>
      <c r="B19" s="9">
        <v>61</v>
      </c>
      <c r="C19" s="9">
        <v>48</v>
      </c>
      <c r="D19" s="9">
        <v>41</v>
      </c>
      <c r="E19" s="9">
        <v>55</v>
      </c>
      <c r="G19" t="s">
        <v>14</v>
      </c>
      <c r="H19" t="s">
        <v>47</v>
      </c>
    </row>
    <row r="20" spans="1:11" x14ac:dyDescent="0.25">
      <c r="A20" s="9">
        <v>18</v>
      </c>
      <c r="B20" s="9">
        <v>60</v>
      </c>
      <c r="C20" s="9">
        <v>43</v>
      </c>
      <c r="D20" s="9">
        <v>54</v>
      </c>
      <c r="E20" s="9">
        <v>61</v>
      </c>
    </row>
    <row r="21" spans="1:11" x14ac:dyDescent="0.25">
      <c r="A21" s="9">
        <v>19</v>
      </c>
      <c r="B21" s="9">
        <v>45</v>
      </c>
      <c r="C21" s="9">
        <v>56</v>
      </c>
      <c r="D21" s="9">
        <v>48</v>
      </c>
      <c r="E21" s="9">
        <v>50</v>
      </c>
      <c r="G21" t="s">
        <v>60</v>
      </c>
      <c r="H21" s="10">
        <v>20</v>
      </c>
    </row>
    <row r="22" spans="1:11" x14ac:dyDescent="0.25">
      <c r="A22" s="9">
        <v>20</v>
      </c>
      <c r="B22" s="9">
        <v>80</v>
      </c>
      <c r="C22" s="9">
        <v>38</v>
      </c>
      <c r="D22" s="9">
        <v>69</v>
      </c>
      <c r="E22" s="9">
        <v>43</v>
      </c>
      <c r="G22" t="s">
        <v>16</v>
      </c>
      <c r="H22" s="10">
        <v>2</v>
      </c>
    </row>
    <row r="23" spans="1:11" x14ac:dyDescent="0.25">
      <c r="A23" t="s">
        <v>128</v>
      </c>
      <c r="B23" s="38">
        <f>AVERAGE(B3:B22)</f>
        <v>64.55</v>
      </c>
      <c r="C23" s="38">
        <f t="shared" ref="C23:E23" si="0">AVERAGE(C3:C22)</f>
        <v>52.95</v>
      </c>
      <c r="D23" s="38">
        <f t="shared" si="0"/>
        <v>65.75</v>
      </c>
      <c r="E23" s="38">
        <f t="shared" si="0"/>
        <v>60.1</v>
      </c>
    </row>
    <row r="25" spans="1:11" x14ac:dyDescent="0.25">
      <c r="A25" t="s">
        <v>61</v>
      </c>
      <c r="B25" s="38">
        <v>64.55</v>
      </c>
      <c r="D25" t="s">
        <v>62</v>
      </c>
      <c r="E25" s="38">
        <v>65.75</v>
      </c>
      <c r="G25" t="s">
        <v>63</v>
      </c>
    </row>
    <row r="26" spans="1:11" x14ac:dyDescent="0.25">
      <c r="B26" s="38">
        <v>52.95</v>
      </c>
      <c r="E26" s="38">
        <v>60.1</v>
      </c>
      <c r="G26" t="s">
        <v>64</v>
      </c>
    </row>
    <row r="27" spans="1:11" x14ac:dyDescent="0.25">
      <c r="G27" t="s">
        <v>65</v>
      </c>
      <c r="K27" t="s">
        <v>66</v>
      </c>
    </row>
    <row r="28" spans="1:11" x14ac:dyDescent="0.25">
      <c r="A28" s="11" t="s">
        <v>67</v>
      </c>
      <c r="B28" s="11"/>
      <c r="D28" s="11" t="s">
        <v>68</v>
      </c>
      <c r="E28" s="11"/>
      <c r="G28" s="3" t="s">
        <v>69</v>
      </c>
      <c r="H28" s="3"/>
      <c r="K28" t="s">
        <v>70</v>
      </c>
    </row>
    <row r="29" spans="1:11" x14ac:dyDescent="0.25">
      <c r="A29" s="38">
        <f>_xlfn.VAR.S(B3:B22)</f>
        <v>151.10263157894721</v>
      </c>
      <c r="B29" s="38">
        <f>_xlfn.COVARIANCE.S(B3:B22,C3:C22)</f>
        <v>-26.286842105263158</v>
      </c>
      <c r="D29" s="38">
        <f>_xlfn.VAR.S(D3:D22)</f>
        <v>333.7763157894737</v>
      </c>
      <c r="E29" s="38">
        <f>_xlfn.COVARIANCE.S(E3:E22,D3:D22)</f>
        <v>81.868421052631589</v>
      </c>
    </row>
    <row r="30" spans="1:11" x14ac:dyDescent="0.25">
      <c r="A30" s="38">
        <f>_xlfn.COVARIANCE.S(C3:C22,B3:B22)</f>
        <v>-26.286842105263158</v>
      </c>
      <c r="B30" s="38">
        <f>_xlfn.VAR.S(C3:C22)</f>
        <v>154.15526315789458</v>
      </c>
      <c r="D30" s="38">
        <f>_xlfn.COVARIANCE.S(D3:D22,E3:E22)</f>
        <v>81.868421052631589</v>
      </c>
      <c r="E30" s="38">
        <f>_xlfn.VAR.S(E3:E22)</f>
        <v>230.41052631578964</v>
      </c>
      <c r="G30" t="s">
        <v>23</v>
      </c>
      <c r="H30">
        <v>0.05</v>
      </c>
    </row>
    <row r="32" spans="1:11" x14ac:dyDescent="0.25">
      <c r="G32" t="s">
        <v>72</v>
      </c>
      <c r="H32" s="40" t="s">
        <v>130</v>
      </c>
    </row>
    <row r="33" spans="1:14" x14ac:dyDescent="0.25">
      <c r="A33" t="s">
        <v>73</v>
      </c>
      <c r="D33" t="s">
        <v>129</v>
      </c>
      <c r="G33" t="s">
        <v>25</v>
      </c>
    </row>
    <row r="34" spans="1:14" x14ac:dyDescent="0.25">
      <c r="A34" s="38">
        <f>B25-E25</f>
        <v>-1.2000000000000028</v>
      </c>
      <c r="D34" s="38">
        <f>B23-D23</f>
        <v>-1.2000000000000028</v>
      </c>
      <c r="E34" s="38">
        <f>C23-E23</f>
        <v>-7.1499999999999986</v>
      </c>
      <c r="H34" s="38">
        <f t="array" ref="H34">MMULT(MMULT(D34:E34,D39:E40),A34:A35)</f>
        <v>2.6598770383175263</v>
      </c>
    </row>
    <row r="35" spans="1:14" x14ac:dyDescent="0.25">
      <c r="A35" s="38">
        <f>B26-E26</f>
        <v>-7.1499999999999986</v>
      </c>
    </row>
    <row r="36" spans="1:14" x14ac:dyDescent="0.25">
      <c r="G36" t="s">
        <v>27</v>
      </c>
    </row>
    <row r="37" spans="1:14" x14ac:dyDescent="0.25">
      <c r="G37" t="s">
        <v>28</v>
      </c>
    </row>
    <row r="38" spans="1:14" x14ac:dyDescent="0.25">
      <c r="G38" t="s">
        <v>25</v>
      </c>
      <c r="H38" s="38">
        <f>H34</f>
        <v>2.6598770383175263</v>
      </c>
    </row>
    <row r="39" spans="1:14" x14ac:dyDescent="0.25">
      <c r="A39" s="38">
        <f>(A29/20)+(D29/20)</f>
        <v>24.243947368421047</v>
      </c>
      <c r="B39" s="38">
        <f>(B29/20)+(E29/20)</f>
        <v>2.7790789473684212</v>
      </c>
      <c r="D39" s="38">
        <f t="array" ref="D39:E40">MINVERSE(A39:B40)</f>
        <v>4.1942288623775442E-2</v>
      </c>
      <c r="E39" s="38">
        <v>-6.0619501010898214E-3</v>
      </c>
      <c r="G39" t="s">
        <v>134</v>
      </c>
      <c r="N39" s="36"/>
    </row>
    <row r="40" spans="1:14" x14ac:dyDescent="0.25">
      <c r="A40" s="38">
        <f>(A30/20)+(D30/20)</f>
        <v>2.7790789473684212</v>
      </c>
      <c r="B40" s="38">
        <f>(B30/20)+(E30/20)</f>
        <v>19.22828947368421</v>
      </c>
      <c r="D40" s="38">
        <v>-6.0619501010898214E-3</v>
      </c>
      <c r="E40" s="38">
        <v>5.2882844274712543E-2</v>
      </c>
      <c r="H40" s="38">
        <f>_xlfn.CHISQ.INV.RT(0.05,2)</f>
        <v>5.9914645471079817</v>
      </c>
      <c r="N40" s="36"/>
    </row>
    <row r="42" spans="1:14" x14ac:dyDescent="0.25">
      <c r="G42" t="s">
        <v>76</v>
      </c>
    </row>
    <row r="43" spans="1:14" x14ac:dyDescent="0.25">
      <c r="G43" t="s">
        <v>77</v>
      </c>
      <c r="H43" s="38"/>
    </row>
    <row r="44" spans="1:14" x14ac:dyDescent="0.25">
      <c r="G44" t="s">
        <v>35</v>
      </c>
    </row>
    <row r="45" spans="1:14" x14ac:dyDescent="0.25">
      <c r="G45" t="s">
        <v>78</v>
      </c>
    </row>
    <row r="46" spans="1:14" x14ac:dyDescent="0.25">
      <c r="G46" t="s">
        <v>79</v>
      </c>
    </row>
    <row r="47" spans="1:14" x14ac:dyDescent="0.25">
      <c r="G47" t="s">
        <v>38</v>
      </c>
    </row>
  </sheetData>
  <mergeCells count="5">
    <mergeCell ref="A1:A2"/>
    <mergeCell ref="B1:C1"/>
    <mergeCell ref="D1:E1"/>
    <mergeCell ref="A28:B28"/>
    <mergeCell ref="D28:E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33"/>
  <sheetViews>
    <sheetView tabSelected="1" workbookViewId="0">
      <selection activeCell="J29" sqref="J29"/>
    </sheetView>
  </sheetViews>
  <sheetFormatPr defaultRowHeight="15" x14ac:dyDescent="0.25"/>
  <cols>
    <col min="7" max="7" width="11" customWidth="1"/>
  </cols>
  <sheetData>
    <row r="10" spans="1:11" x14ac:dyDescent="0.25">
      <c r="A10" t="s">
        <v>128</v>
      </c>
      <c r="B10" s="38">
        <v>8.3000000000000007</v>
      </c>
      <c r="C10" s="38">
        <v>4</v>
      </c>
      <c r="D10" s="38">
        <v>10</v>
      </c>
      <c r="E10" s="38">
        <v>3.9</v>
      </c>
    </row>
    <row r="12" spans="1:11" x14ac:dyDescent="0.25">
      <c r="A12" t="s">
        <v>61</v>
      </c>
      <c r="B12" s="38">
        <f t="array" ref="B12:B13">TRANSPOSE(B10:C10)</f>
        <v>8.3000000000000007</v>
      </c>
      <c r="D12" t="s">
        <v>62</v>
      </c>
      <c r="E12" s="38">
        <v>10</v>
      </c>
      <c r="G12" t="s">
        <v>63</v>
      </c>
    </row>
    <row r="13" spans="1:11" x14ac:dyDescent="0.25">
      <c r="B13" s="38">
        <v>4</v>
      </c>
      <c r="E13" s="38">
        <v>3.9</v>
      </c>
      <c r="G13" t="s">
        <v>64</v>
      </c>
    </row>
    <row r="14" spans="1:11" x14ac:dyDescent="0.25">
      <c r="G14" t="s">
        <v>65</v>
      </c>
      <c r="K14" t="s">
        <v>66</v>
      </c>
    </row>
    <row r="15" spans="1:11" x14ac:dyDescent="0.25">
      <c r="A15" s="11" t="s">
        <v>67</v>
      </c>
      <c r="B15" s="11"/>
      <c r="D15" s="11" t="s">
        <v>68</v>
      </c>
      <c r="E15" s="11"/>
      <c r="G15" s="3" t="s">
        <v>69</v>
      </c>
      <c r="H15" s="3"/>
      <c r="K15" t="s">
        <v>70</v>
      </c>
    </row>
    <row r="16" spans="1:11" x14ac:dyDescent="0.25">
      <c r="A16" s="38">
        <v>3</v>
      </c>
      <c r="B16" s="38">
        <v>1</v>
      </c>
      <c r="D16" s="38">
        <v>2</v>
      </c>
      <c r="E16" s="38">
        <v>1</v>
      </c>
    </row>
    <row r="17" spans="1:14" x14ac:dyDescent="0.25">
      <c r="A17" s="38">
        <v>1</v>
      </c>
      <c r="B17" s="38">
        <v>6</v>
      </c>
      <c r="D17" s="38">
        <v>1</v>
      </c>
      <c r="E17" s="38">
        <v>4</v>
      </c>
      <c r="G17" t="s">
        <v>23</v>
      </c>
      <c r="H17">
        <v>0.05</v>
      </c>
      <c r="J17" t="s">
        <v>131</v>
      </c>
      <c r="K17">
        <v>50</v>
      </c>
    </row>
    <row r="18" spans="1:14" x14ac:dyDescent="0.25">
      <c r="J18" t="s">
        <v>16</v>
      </c>
      <c r="K18">
        <v>2</v>
      </c>
    </row>
    <row r="19" spans="1:14" x14ac:dyDescent="0.25">
      <c r="G19" t="s">
        <v>72</v>
      </c>
      <c r="H19" s="40" t="s">
        <v>130</v>
      </c>
    </row>
    <row r="20" spans="1:14" x14ac:dyDescent="0.25">
      <c r="A20" t="s">
        <v>73</v>
      </c>
      <c r="D20" t="s">
        <v>129</v>
      </c>
      <c r="G20" t="s">
        <v>25</v>
      </c>
    </row>
    <row r="21" spans="1:14" x14ac:dyDescent="0.25">
      <c r="A21" s="38">
        <f>B12-E12</f>
        <v>-1.6999999999999993</v>
      </c>
      <c r="D21" s="38">
        <f>B10-D10</f>
        <v>-1.6999999999999993</v>
      </c>
      <c r="E21" s="38">
        <f>C10-E10</f>
        <v>0.10000000000000009</v>
      </c>
      <c r="H21" s="38">
        <f t="array" ref="H21">MMULT(MMULT(D21:E21,D26:E27),A21:A22)</f>
        <v>32.206521739130409</v>
      </c>
    </row>
    <row r="22" spans="1:14" x14ac:dyDescent="0.25">
      <c r="A22" s="38">
        <f>B13-E13</f>
        <v>0.10000000000000009</v>
      </c>
    </row>
    <row r="23" spans="1:14" x14ac:dyDescent="0.25">
      <c r="G23" t="s">
        <v>27</v>
      </c>
    </row>
    <row r="24" spans="1:14" x14ac:dyDescent="0.25">
      <c r="G24" t="s">
        <v>28</v>
      </c>
    </row>
    <row r="25" spans="1:14" x14ac:dyDescent="0.25">
      <c r="G25" t="s">
        <v>25</v>
      </c>
      <c r="H25" s="38">
        <f>H21</f>
        <v>32.206521739130409</v>
      </c>
    </row>
    <row r="26" spans="1:14" x14ac:dyDescent="0.25">
      <c r="A26" s="38">
        <f>(A16/50)+(D16/50)</f>
        <v>0.1</v>
      </c>
      <c r="B26" s="38">
        <f>(B16/50)+(E16/50)</f>
        <v>0.04</v>
      </c>
      <c r="D26" s="38">
        <f t="array" ref="D26:E27">MINVERSE(A26:B27)</f>
        <v>10.869565217391303</v>
      </c>
      <c r="E26" s="38">
        <v>-2.1739130434782608</v>
      </c>
      <c r="G26" t="s">
        <v>134</v>
      </c>
      <c r="N26" s="36"/>
    </row>
    <row r="27" spans="1:14" x14ac:dyDescent="0.25">
      <c r="A27" s="38">
        <f>(A17/50)+(D17/50)</f>
        <v>0.04</v>
      </c>
      <c r="B27" s="38">
        <f>(B17/50)+(E17/50)</f>
        <v>0.2</v>
      </c>
      <c r="D27" s="38">
        <v>-2.1739130434782608</v>
      </c>
      <c r="E27" s="38">
        <v>5.4347826086956523</v>
      </c>
      <c r="H27" s="38">
        <f>_xlfn.CHISQ.INV.RT(0.05,2)</f>
        <v>5.9914645471079817</v>
      </c>
      <c r="N27" s="36"/>
    </row>
    <row r="29" spans="1:14" x14ac:dyDescent="0.25">
      <c r="G29" t="s">
        <v>33</v>
      </c>
    </row>
    <row r="30" spans="1:14" x14ac:dyDescent="0.25">
      <c r="G30" t="s">
        <v>34</v>
      </c>
      <c r="H30" s="38"/>
    </row>
    <row r="31" spans="1:14" x14ac:dyDescent="0.25">
      <c r="G31" t="s">
        <v>35</v>
      </c>
    </row>
    <row r="32" spans="1:14" x14ac:dyDescent="0.25">
      <c r="G32" t="s">
        <v>132</v>
      </c>
    </row>
    <row r="33" spans="7:7" x14ac:dyDescent="0.25">
      <c r="G33" t="s">
        <v>133</v>
      </c>
    </row>
  </sheetData>
  <mergeCells count="2">
    <mergeCell ref="A15:B15"/>
    <mergeCell ref="D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2022-02-21T18:30:53Z</dcterms:created>
  <dcterms:modified xsi:type="dcterms:W3CDTF">2022-02-21T20:36:06Z</dcterms:modified>
</cp:coreProperties>
</file>