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tsol 1" sheetId="5" r:id="rId1"/>
    <sheet name="Data dan Plot" sheetId="1" r:id="rId2"/>
    <sheet name="Uji Kesejajaran" sheetId="2" r:id="rId3"/>
    <sheet name="Uji Keberhimpitan" sheetId="3" r:id="rId4"/>
    <sheet name="Uji Kesamaan" sheetId="4" r:id="rId5"/>
  </sheets>
  <externalReferences>
    <externalReference r:id="rId6"/>
  </externalReferences>
  <calcPr calcId="145621"/>
</workbook>
</file>

<file path=xl/calcChain.xml><?xml version="1.0" encoding="utf-8"?>
<calcChain xmlns="http://schemas.openxmlformats.org/spreadsheetml/2006/main">
  <c r="E91" i="5" l="1"/>
  <c r="C92" i="5" s="1" a="1"/>
  <c r="C92" i="5" s="1"/>
  <c r="D91" i="5"/>
  <c r="C91" i="5"/>
  <c r="F85" i="5"/>
  <c r="P82" i="5"/>
  <c r="O82" i="5"/>
  <c r="N82" i="5"/>
  <c r="H87" i="5" s="1"/>
  <c r="M82" i="5"/>
  <c r="H75" i="5"/>
  <c r="J74" i="5"/>
  <c r="I74" i="5"/>
  <c r="H74" i="5"/>
  <c r="I75" i="5" s="1"/>
  <c r="B70" i="5"/>
  <c r="B69" i="5"/>
  <c r="F84" i="5" s="1"/>
  <c r="B68" i="5"/>
  <c r="F83" i="5" s="1"/>
  <c r="Z60" i="5"/>
  <c r="Z59" i="5"/>
  <c r="Y59" i="5"/>
  <c r="X59" i="5"/>
  <c r="W59" i="5"/>
  <c r="V59" i="5"/>
  <c r="Z58" i="5"/>
  <c r="Y58" i="5"/>
  <c r="X58" i="5"/>
  <c r="W58" i="5"/>
  <c r="V58" i="5"/>
  <c r="Y57" i="5"/>
  <c r="X57" i="5"/>
  <c r="W57" i="5"/>
  <c r="V57" i="5"/>
  <c r="N57" i="5"/>
  <c r="G82" i="5" s="1"/>
  <c r="K59" i="5"/>
  <c r="S59" i="5" s="1"/>
  <c r="K57" i="5" a="1"/>
  <c r="K60" i="5" s="1"/>
  <c r="S60" i="5" s="1"/>
  <c r="M33" i="5"/>
  <c r="L33" i="5"/>
  <c r="H38" i="5" s="1"/>
  <c r="J33" i="5"/>
  <c r="H33" i="5"/>
  <c r="M32" i="5"/>
  <c r="L32" i="5"/>
  <c r="J32" i="5"/>
  <c r="H32" i="5"/>
  <c r="H37" i="5" s="1"/>
  <c r="M31" i="5"/>
  <c r="L31" i="5"/>
  <c r="H36" i="5" s="1"/>
  <c r="J31" i="5"/>
  <c r="H31" i="5"/>
  <c r="M30" i="5"/>
  <c r="L30" i="5"/>
  <c r="J30" i="5"/>
  <c r="H30" i="5"/>
  <c r="H35" i="5" s="1"/>
  <c r="L29" i="5"/>
  <c r="O33" i="5" s="1"/>
  <c r="H29" i="5"/>
  <c r="K33" i="5" s="1"/>
  <c r="K38" i="5" s="1"/>
  <c r="O21" i="5"/>
  <c r="N21" i="5"/>
  <c r="M21" i="5"/>
  <c r="L21" i="5"/>
  <c r="K21" i="5"/>
  <c r="J21" i="5"/>
  <c r="I21" i="5"/>
  <c r="H21" i="5"/>
  <c r="N20" i="5"/>
  <c r="M20" i="5"/>
  <c r="L20" i="5"/>
  <c r="J20" i="5"/>
  <c r="I20" i="5"/>
  <c r="H20" i="5"/>
  <c r="M19" i="5"/>
  <c r="L19" i="5"/>
  <c r="I19" i="5"/>
  <c r="H19" i="5"/>
  <c r="L18" i="5"/>
  <c r="H18" i="5"/>
  <c r="K11" i="5"/>
  <c r="J11" i="5"/>
  <c r="I11" i="5"/>
  <c r="H11" i="5"/>
  <c r="K4" i="5"/>
  <c r="J4" i="5"/>
  <c r="I4" i="5"/>
  <c r="H4" i="5"/>
  <c r="B67" i="5" s="1"/>
  <c r="J37" i="5" l="1"/>
  <c r="F82" i="5"/>
  <c r="F87" i="5" s="1"/>
  <c r="Z57" i="5"/>
  <c r="V62" i="5" s="1" a="1"/>
  <c r="G57" i="5" a="1"/>
  <c r="J36" i="5"/>
  <c r="J38" i="5"/>
  <c r="M57" i="5"/>
  <c r="U57" i="5" s="1"/>
  <c r="L60" i="5"/>
  <c r="T60" i="5" s="1"/>
  <c r="I30" i="5"/>
  <c r="I35" i="5" s="1"/>
  <c r="I31" i="5"/>
  <c r="I36" i="5" s="1"/>
  <c r="I32" i="5"/>
  <c r="I37" i="5" s="1"/>
  <c r="I33" i="5"/>
  <c r="I38" i="5" s="1"/>
  <c r="K58" i="5"/>
  <c r="S58" i="5" s="1"/>
  <c r="M60" i="5"/>
  <c r="U60" i="5" s="1"/>
  <c r="L58" i="5"/>
  <c r="T58" i="5" s="1"/>
  <c r="K30" i="5"/>
  <c r="K35" i="5" s="1"/>
  <c r="K31" i="5"/>
  <c r="K36" i="5" s="1"/>
  <c r="K32" i="5"/>
  <c r="M58" i="5"/>
  <c r="U58" i="5" s="1"/>
  <c r="L59" i="5"/>
  <c r="T59" i="5" s="1"/>
  <c r="N30" i="5"/>
  <c r="J35" i="5" s="1"/>
  <c r="N31" i="5"/>
  <c r="N32" i="5"/>
  <c r="N33" i="5"/>
  <c r="K57" i="5"/>
  <c r="S57" i="5" s="1"/>
  <c r="M59" i="5"/>
  <c r="U59" i="5" s="1"/>
  <c r="O30" i="5"/>
  <c r="O31" i="5"/>
  <c r="O32" i="5"/>
  <c r="L57" i="5"/>
  <c r="T57" i="5" s="1"/>
  <c r="V64" i="5" l="1"/>
  <c r="V62" i="5"/>
  <c r="V63" i="5"/>
  <c r="K37" i="5"/>
  <c r="O57" i="5" s="1" a="1"/>
  <c r="J57" i="5"/>
  <c r="I57" i="5"/>
  <c r="H57" i="5"/>
  <c r="G57" i="5"/>
  <c r="R59" i="5" l="1"/>
  <c r="R57" i="5"/>
  <c r="Q59" i="5"/>
  <c r="Q57" i="5"/>
  <c r="P59" i="5"/>
  <c r="P57" i="5"/>
  <c r="R58" i="5"/>
  <c r="Q58" i="5"/>
  <c r="P58" i="5"/>
  <c r="O58" i="5"/>
  <c r="O59" i="5"/>
  <c r="O57" i="5"/>
  <c r="K62" i="5" a="1"/>
  <c r="H82" i="5" a="1"/>
  <c r="K82" i="5" l="1"/>
  <c r="I82" i="5"/>
  <c r="J82" i="5"/>
  <c r="H82" i="5"/>
  <c r="M62" i="5"/>
  <c r="L62" i="5"/>
  <c r="K62" i="5"/>
  <c r="O62" i="5" a="1"/>
  <c r="O64" i="5" l="1"/>
  <c r="Q63" i="5"/>
  <c r="P63" i="5"/>
  <c r="Q62" i="5"/>
  <c r="O63" i="5"/>
  <c r="P62" i="5"/>
  <c r="Q64" i="5"/>
  <c r="O62" i="5"/>
  <c r="P64" i="5"/>
  <c r="G87" i="5"/>
  <c r="G88" i="5" s="1"/>
  <c r="G89" i="5" s="1"/>
  <c r="B94" i="5" s="1"/>
  <c r="O66" i="5" l="1" a="1"/>
  <c r="Q68" i="5" l="1"/>
  <c r="O66" i="5"/>
  <c r="O70" i="5" s="1" a="1"/>
  <c r="P68" i="5"/>
  <c r="O68" i="5"/>
  <c r="P67" i="5"/>
  <c r="Q67" i="5"/>
  <c r="O67" i="5"/>
  <c r="Q66" i="5"/>
  <c r="P66" i="5"/>
  <c r="Q70" i="5" l="1"/>
  <c r="P70" i="5"/>
  <c r="O70" i="5"/>
  <c r="O72" i="5" s="1"/>
  <c r="G77" i="5" s="1"/>
  <c r="H16" i="4" l="1"/>
  <c r="H10" i="4" a="1"/>
  <c r="H10" i="4" s="1"/>
  <c r="B38" i="4" a="1"/>
  <c r="B38" i="4" s="1"/>
  <c r="B35" i="4" a="1"/>
  <c r="B35" i="4" s="1"/>
  <c r="B24" i="4"/>
  <c r="B25" i="4"/>
  <c r="B23" i="4"/>
  <c r="K15" i="3"/>
  <c r="H15" i="3"/>
  <c r="H10" i="3" a="1"/>
  <c r="H10" i="3" s="1"/>
  <c r="C38" i="3" a="1"/>
  <c r="C38" i="3" s="1"/>
  <c r="C36" i="3" a="1"/>
  <c r="C36" i="3" s="1"/>
  <c r="H25" i="2"/>
  <c r="H20" i="2" a="1"/>
  <c r="H20" i="2" s="1"/>
  <c r="C38" i="2" a="1"/>
  <c r="C38" i="2" s="1"/>
  <c r="C35" i="2" a="1"/>
  <c r="C35" i="2" s="1"/>
  <c r="B2" i="2"/>
  <c r="D9" i="2"/>
  <c r="D8" i="2"/>
  <c r="D7" i="2"/>
  <c r="D6" i="2"/>
  <c r="C9" i="2"/>
  <c r="C8" i="2"/>
  <c r="C7" i="2"/>
  <c r="C6" i="2"/>
  <c r="B9" i="2"/>
  <c r="B8" i="2"/>
  <c r="B7" i="2"/>
  <c r="B6" i="2"/>
  <c r="D5" i="2"/>
  <c r="D4" i="2"/>
  <c r="D3" i="2"/>
  <c r="D2" i="2"/>
  <c r="C5" i="2"/>
  <c r="C4" i="2"/>
  <c r="C3" i="2"/>
  <c r="C2" i="2"/>
  <c r="B5" i="2"/>
  <c r="B4" i="2"/>
  <c r="B3" i="2"/>
  <c r="B12" i="2"/>
  <c r="C12" i="2"/>
  <c r="D12" i="2"/>
  <c r="B13" i="2"/>
  <c r="E19" i="2" s="1"/>
  <c r="A24" i="2" s="1"/>
  <c r="C13" i="2"/>
  <c r="E20" i="2" s="1"/>
  <c r="A25" i="2" s="1"/>
  <c r="D13" i="2"/>
  <c r="E21" i="2" s="1"/>
  <c r="A26" i="2" s="1"/>
  <c r="C39" i="4" l="1"/>
  <c r="B39" i="4"/>
  <c r="C38" i="4"/>
  <c r="B36" i="4"/>
  <c r="C35" i="4"/>
  <c r="C36" i="4"/>
  <c r="C39" i="2"/>
  <c r="D38" i="2"/>
  <c r="D39" i="2"/>
  <c r="D36" i="2"/>
  <c r="C36" i="2"/>
  <c r="D35" i="2"/>
  <c r="D28" i="2"/>
  <c r="D30" i="2"/>
  <c r="C28" i="2"/>
  <c r="D29" i="2"/>
  <c r="C30" i="2" s="1"/>
  <c r="C29" i="2"/>
  <c r="B28" i="2"/>
</calcChain>
</file>

<file path=xl/sharedStrings.xml><?xml version="1.0" encoding="utf-8"?>
<sst xmlns="http://schemas.openxmlformats.org/spreadsheetml/2006/main" count="234" uniqueCount="82">
  <si>
    <t>Merk</t>
  </si>
  <si>
    <t>W0</t>
  </si>
  <si>
    <t>W3</t>
  </si>
  <si>
    <t>W7</t>
  </si>
  <si>
    <t>Richfood</t>
  </si>
  <si>
    <t>Sealed</t>
  </si>
  <si>
    <t>Kelompok</t>
  </si>
  <si>
    <t>Waktu</t>
  </si>
  <si>
    <t>vektorxbar1</t>
  </si>
  <si>
    <t>vektorxbar2</t>
  </si>
  <si>
    <t>vektorxbar1-vektorxbar2</t>
  </si>
  <si>
    <t>S2</t>
  </si>
  <si>
    <t>n1</t>
  </si>
  <si>
    <t>n2</t>
  </si>
  <si>
    <t>p</t>
  </si>
  <si>
    <t>S</t>
  </si>
  <si>
    <t>Prosedur Pengujian</t>
  </si>
  <si>
    <t>T^2</t>
  </si>
  <si>
    <t>Hipotesis Statistik</t>
  </si>
  <si>
    <t>H0:</t>
  </si>
  <si>
    <t>H1:</t>
  </si>
  <si>
    <t>C(vektormiu1-vektormiu2)=0</t>
  </si>
  <si>
    <t>C(vektormiu1-vektormiu2)!=0</t>
  </si>
  <si>
    <t>Alpha</t>
  </si>
  <si>
    <t>Statistik Uji</t>
  </si>
  <si>
    <t>(vektorxbar1-vektorxbar2)'C'((1/n1+1/n2)CSC')-1C(vektorxbar1-vektorxbar2)</t>
  </si>
  <si>
    <t>C</t>
  </si>
  <si>
    <t>((1/n1)+(1/n2))CSC'</t>
  </si>
  <si>
    <t>(((1/n1)+(1/n2))CSC')-1</t>
  </si>
  <si>
    <t>c^2</t>
  </si>
  <si>
    <t>((n1+n2-2)(p-1)/(n1+n2-p))*F(alpha,p-1,n1+n2-p)</t>
  </si>
  <si>
    <t>Kriteria Penolakan H0</t>
  </si>
  <si>
    <t>Tolak H0 jika T^2 &gt; c^2</t>
  </si>
  <si>
    <t>Karena T^2 &lt; c^2 maka keputusannya adalah Tak Tolak H0</t>
  </si>
  <si>
    <t>Kesimpulannya adalah profile kedua kelompok tersebut sejajar, artinya tidak ada perbedaan pengaruh perlakuan</t>
  </si>
  <si>
    <t>vektor1'(vektormiu1-vektormiu2)=0</t>
  </si>
  <si>
    <t>vektor1'(vektormiu1-vektormiu2)!=0</t>
  </si>
  <si>
    <t>vektor1</t>
  </si>
  <si>
    <t>((1/n1)+(1/n2))vektor1'Svektor1</t>
  </si>
  <si>
    <t>(((1/n1)+(1/n2))vektor1'Svektor1)-1</t>
  </si>
  <si>
    <t>vektor1'(vektorxbar1-vektorxbar2)((1/n1+1/n2)vektor1'Svektor1)-1vektor1'(vektorxbar1-vektorxbar2)</t>
  </si>
  <si>
    <t>t(alpha/2,n1+n2-p)^2</t>
  </si>
  <si>
    <t>F(alpha,p-1,n1+n2-p)</t>
  </si>
  <si>
    <t>Karena T^2 &lt; c^2 maka</t>
  </si>
  <si>
    <t>Keputusan:</t>
  </si>
  <si>
    <t>Kesimpulan:</t>
  </si>
  <si>
    <t>Tak Tolak H0</t>
  </si>
  <si>
    <t>Jadi, profile kedua kelompok selain sejajar juga berhimpit</t>
  </si>
  <si>
    <t>Nilai tengah respon untuk masing-masing perlakuan tiap kelompok akan sama</t>
  </si>
  <si>
    <t>vektorxbar</t>
  </si>
  <si>
    <t>CSC'</t>
  </si>
  <si>
    <t>(CSC')-1</t>
  </si>
  <si>
    <t>C(vektormiu1+vektormiu2)=0</t>
  </si>
  <si>
    <t>C(vektormiu1+vektormiu2)!=0</t>
  </si>
  <si>
    <t>Fhit</t>
  </si>
  <si>
    <t>(n1+n2)vektorxbar'C'(CSC')-1Cvektorxbar</t>
  </si>
  <si>
    <t>Tolak H0 jika Fhit &gt; c^2</t>
  </si>
  <si>
    <t>Karena Fhit &gt; Ftabel maka</t>
  </si>
  <si>
    <t>Tolak H0</t>
  </si>
  <si>
    <t>Profile kedua merk tersebut tidak sama atau tidak sejajar dengan sumbu x</t>
  </si>
  <si>
    <t>Rataan respon di semua perlakuan untuk setiap kelompok tidak sama</t>
  </si>
  <si>
    <t>Informasi</t>
  </si>
  <si>
    <t>Similaritas</t>
  </si>
  <si>
    <t>Aritmetik</t>
  </si>
  <si>
    <t>Gambar</t>
  </si>
  <si>
    <t>Tidak pikun</t>
  </si>
  <si>
    <t>Vektor rataan Tp</t>
  </si>
  <si>
    <t>Vektor rataan P</t>
  </si>
  <si>
    <t>S1</t>
  </si>
  <si>
    <t>Spooled</t>
  </si>
  <si>
    <t>Pikun</t>
  </si>
  <si>
    <t>Uji Sejajar</t>
  </si>
  <si>
    <t>Hipotesis</t>
  </si>
  <si>
    <t>Stat Uji</t>
  </si>
  <si>
    <t>Selisih Vektor rataan</t>
  </si>
  <si>
    <t>Titik Kritis</t>
  </si>
  <si>
    <t>db1</t>
  </si>
  <si>
    <t>db2</t>
  </si>
  <si>
    <t>C2</t>
  </si>
  <si>
    <t>F</t>
  </si>
  <si>
    <t>Kesimpulan</t>
  </si>
  <si>
    <t>Uji Berhimpit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</si>
</sst>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3" borderId="0" xfId="0" applyFont="1" applyFill="1" applyBorder="1"/>
    <xf numFmtId="0" fontId="2" fillId="3" borderId="0" xfId="0" applyFont="1" applyFill="1" applyBorder="1"/>
    <xf numFmtId="0" fontId="2" fillId="2" borderId="10" xfId="0" applyFont="1" applyFill="1" applyBorder="1"/>
    <xf numFmtId="0" fontId="2" fillId="3" borderId="10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4" xfId="0" applyFont="1" applyFill="1" applyBorder="1"/>
    <xf numFmtId="0" fontId="2" fillId="2" borderId="13" xfId="0" applyFont="1" applyFill="1" applyBorder="1"/>
    <xf numFmtId="0" fontId="2" fillId="3" borderId="6" xfId="0" applyFont="1" applyFill="1" applyBorder="1"/>
    <xf numFmtId="0" fontId="2" fillId="2" borderId="14" xfId="0" applyFont="1" applyFill="1" applyBorder="1"/>
    <xf numFmtId="0" fontId="2" fillId="3" borderId="9" xfId="0" applyFont="1" applyFill="1" applyBorder="1"/>
    <xf numFmtId="0" fontId="2" fillId="2" borderId="15" xfId="0" applyFont="1" applyFill="1" applyBorder="1"/>
    <xf numFmtId="0" fontId="2" fillId="3" borderId="8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12" xfId="0" applyFont="1" applyFill="1" applyBorder="1"/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PLOT PROFILE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Tidak Pikun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[1]Sheet2!$H$4:$H$7</c:f>
              <c:numCache>
                <c:formatCode>General</c:formatCode>
                <c:ptCount val="4"/>
                <c:pt idx="0">
                  <c:v>12.567567567567568</c:v>
                </c:pt>
                <c:pt idx="1">
                  <c:v>9.486486486486486</c:v>
                </c:pt>
                <c:pt idx="2">
                  <c:v>11.513513513513514</c:v>
                </c:pt>
                <c:pt idx="3">
                  <c:v>7.9729729729729728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47A-4622-94F9-025F35CC0DB1}"/>
            </c:ext>
          </c:extLst>
        </c:ser>
        <c:ser>
          <c:idx val="1"/>
          <c:order val="1"/>
          <c:tx>
            <c:v>Pikun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[1]Sheet2!$H$11:$H$14</c:f>
              <c:numCache>
                <c:formatCode>General</c:formatCode>
                <c:ptCount val="4"/>
                <c:pt idx="0">
                  <c:v>8.75</c:v>
                </c:pt>
                <c:pt idx="1">
                  <c:v>5.333333333333333</c:v>
                </c:pt>
                <c:pt idx="2">
                  <c:v>8.5</c:v>
                </c:pt>
                <c:pt idx="3">
                  <c:v>4.75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47A-4622-94F9-025F35CC0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96640"/>
        <c:axId val="198013440"/>
      </c:lineChart>
      <c:catAx>
        <c:axId val="3729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3440"/>
        <c:crosses val="autoZero"/>
        <c:auto val="1"/>
        <c:lblAlgn val="ctr"/>
        <c:lblOffset val="100"/>
        <c:noMultiLvlLbl val="0"/>
      </c:catAx>
      <c:valAx>
        <c:axId val="19801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9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Plot Rataan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'Uji Kesejajaran'!$A$12</c:f>
              <c:strCache>
                <c:ptCount val="1"/>
                <c:pt idx="0">
                  <c:v>Richfood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'Uji Kesejajaran'!$B$11:$D$11</c:f>
              <c:strCache>
                <c:ptCount val="3"/>
                <c:pt idx="0">
                  <c:v>W0</c:v>
                </c:pt>
                <c:pt idx="1">
                  <c:v>W3</c:v>
                </c:pt>
                <c:pt idx="2">
                  <c:v>W7</c:v>
                </c:pt>
              </c:strCache>
            </c:strRef>
          </c:cat>
          <c:val>
            <c:numRef>
              <c:f>'Uji Kesejajaran'!$B$12:$D$12</c:f>
              <c:numCache>
                <c:formatCode>General</c:formatCode>
                <c:ptCount val="3"/>
                <c:pt idx="0">
                  <c:v>50.800000000000004</c:v>
                </c:pt>
                <c:pt idx="1">
                  <c:v>48.649999999999991</c:v>
                </c:pt>
                <c:pt idx="2">
                  <c:v>44.875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'Uji Kesejajaran'!$A$13</c:f>
              <c:strCache>
                <c:ptCount val="1"/>
                <c:pt idx="0">
                  <c:v>Sealed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'Uji Kesejajaran'!$B$11:$D$11</c:f>
              <c:strCache>
                <c:ptCount val="3"/>
                <c:pt idx="0">
                  <c:v>W0</c:v>
                </c:pt>
                <c:pt idx="1">
                  <c:v>W3</c:v>
                </c:pt>
                <c:pt idx="2">
                  <c:v>W7</c:v>
                </c:pt>
              </c:strCache>
            </c:strRef>
          </c:cat>
          <c:val>
            <c:numRef>
              <c:f>'Uji Kesejajaran'!$B$13:$D$13</c:f>
              <c:numCache>
                <c:formatCode>General</c:formatCode>
                <c:ptCount val="3"/>
                <c:pt idx="0">
                  <c:v>50.5</c:v>
                </c:pt>
                <c:pt idx="1">
                  <c:v>47.9</c:v>
                </c:pt>
                <c:pt idx="2">
                  <c:v>44.599999999999994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972224"/>
        <c:axId val="162123712"/>
      </c:lineChart>
      <c:catAx>
        <c:axId val="16197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Peubah</a:t>
                </a:r>
              </a:p>
            </c:rich>
          </c:tx>
          <c:layout>
            <c:manualLayout>
              <c:xMode val="edge"/>
              <c:yMode val="edge"/>
              <c:x val="0.46594313210848642"/>
              <c:y val="0.7912955672207641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3712"/>
        <c:crosses val="autoZero"/>
        <c:auto val="1"/>
        <c:lblAlgn val="ctr"/>
        <c:lblOffset val="100"/>
        <c:noMultiLvlLbl val="0"/>
      </c:catAx>
      <c:valAx>
        <c:axId val="16212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Rataan Respon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56</xdr:row>
      <xdr:rowOff>12700</xdr:rowOff>
    </xdr:from>
    <xdr:ext cx="1042914" cy="2806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="" id="{0BF382FA-0656-4E71-BEE6-7CAAB4A99501}"/>
                </a:ext>
              </a:extLst>
            </xdr:cNvPr>
            <xdr:cNvSpPr txBox="1"/>
          </xdr:nvSpPr>
          <xdr:spPr>
            <a:xfrm>
              <a:off x="133350" y="11661775"/>
              <a:ext cx="1042914" cy="280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100" b="0" i="1">
                                      <a:latin typeface="Cambria Math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𝜇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11</m:t>
                                  </m:r>
                                </m:sub>
                              </m:sSub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𝜇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12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𝜇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12</m:t>
                                  </m:r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𝜇</m:t>
                                  </m:r>
                                </m:e>
                                <m: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13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en-ID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:a14="http://schemas.microsoft.com/office/drawing/2010/main" xmlns="" id="{0BF382FA-0656-4E71-BEE6-7CAAB4A99501}"/>
                </a:ext>
              </a:extLst>
            </xdr:cNvPr>
            <xdr:cNvSpPr txBox="1"/>
          </xdr:nvSpPr>
          <xdr:spPr>
            <a:xfrm>
              <a:off x="133350" y="11661775"/>
              <a:ext cx="1042914" cy="2806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𝐻</a:t>
              </a:r>
              <a:r>
                <a:rPr lang="en-ID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0=</a:t>
              </a:r>
              <a:r>
                <a:rPr lang="en-US" sz="1100" b="0" i="0">
                  <a:latin typeface="Cambria Math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1100" b="0" i="0">
                  <a:latin typeface="Cambria Math"/>
                  <a:ea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11−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12−𝜇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</a:t>
              </a:r>
              <a:endParaRPr lang="en-ID" sz="1100"/>
            </a:p>
          </xdr:txBody>
        </xdr:sp>
      </mc:Fallback>
    </mc:AlternateContent>
    <xdr:clientData/>
  </xdr:oneCellAnchor>
  <xdr:twoCellAnchor>
    <xdr:from>
      <xdr:col>11</xdr:col>
      <xdr:colOff>139700</xdr:colOff>
      <xdr:row>2</xdr:row>
      <xdr:rowOff>44450</xdr:rowOff>
    </xdr:from>
    <xdr:to>
      <xdr:col>18</xdr:col>
      <xdr:colOff>444500</xdr:colOff>
      <xdr:row>15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152FF99-8F76-4CAC-82F7-56118B457E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0</xdr:row>
      <xdr:rowOff>71437</xdr:rowOff>
    </xdr:from>
    <xdr:to>
      <xdr:col>11</xdr:col>
      <xdr:colOff>552450</xdr:colOff>
      <xdr:row>14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sisten%20APG\APG\Responsi%207%20AP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l Baterai"/>
      <sheetName val="Profil Katak"/>
      <sheetName val="Profil Mahasiswa"/>
      <sheetName val="Sheet2"/>
    </sheetNames>
    <sheetDataSet>
      <sheetData sheetId="0" refreshError="1"/>
      <sheetData sheetId="1" refreshError="1"/>
      <sheetData sheetId="2" refreshError="1"/>
      <sheetData sheetId="3">
        <row r="4">
          <cell r="H4">
            <v>12.567567567567568</v>
          </cell>
        </row>
        <row r="5">
          <cell r="H5">
            <v>9.486486486486486</v>
          </cell>
        </row>
        <row r="6">
          <cell r="H6">
            <v>11.513513513513514</v>
          </cell>
        </row>
        <row r="7">
          <cell r="H7">
            <v>7.9729729729729728</v>
          </cell>
        </row>
        <row r="11">
          <cell r="H11">
            <v>8.75</v>
          </cell>
        </row>
        <row r="12">
          <cell r="H12">
            <v>5.333333333333333</v>
          </cell>
        </row>
        <row r="13">
          <cell r="H13">
            <v>8.5</v>
          </cell>
        </row>
        <row r="14">
          <cell r="H14">
            <v>4.75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4"/>
  <sheetViews>
    <sheetView tabSelected="1" workbookViewId="0">
      <selection activeCell="S20" sqref="S20"/>
    </sheetView>
  </sheetViews>
  <sheetFormatPr defaultColWidth="8.7109375" defaultRowHeight="16.5" x14ac:dyDescent="0.3"/>
  <cols>
    <col min="1" max="1" width="1.140625" style="4" customWidth="1"/>
    <col min="2" max="2" width="8.85546875" style="4" bestFit="1" customWidth="1"/>
    <col min="3" max="3" width="10.85546875" style="4" bestFit="1" customWidth="1"/>
    <col min="4" max="4" width="10.140625" style="4" bestFit="1" customWidth="1"/>
    <col min="5" max="5" width="8.7109375" style="4"/>
    <col min="6" max="6" width="11.85546875" style="4" bestFit="1" customWidth="1"/>
    <col min="7" max="9" width="9.7109375" style="4" bestFit="1" customWidth="1"/>
    <col min="10" max="13" width="8.7109375" style="4"/>
    <col min="14" max="14" width="8.7109375" style="4" customWidth="1"/>
    <col min="15" max="16384" width="8.7109375" style="4"/>
  </cols>
  <sheetData>
    <row r="1" spans="2:14" ht="8.4499999999999993" customHeight="1" x14ac:dyDescent="0.3"/>
    <row r="2" spans="2:14" x14ac:dyDescent="0.3">
      <c r="B2" s="5" t="s">
        <v>61</v>
      </c>
      <c r="C2" s="5" t="s">
        <v>62</v>
      </c>
      <c r="D2" s="5" t="s">
        <v>63</v>
      </c>
      <c r="E2" s="5" t="s">
        <v>64</v>
      </c>
      <c r="F2" s="5" t="s">
        <v>6</v>
      </c>
    </row>
    <row r="3" spans="2:14" x14ac:dyDescent="0.3">
      <c r="B3" s="6">
        <v>7</v>
      </c>
      <c r="C3" s="6">
        <v>5</v>
      </c>
      <c r="D3" s="6">
        <v>9</v>
      </c>
      <c r="E3" s="6">
        <v>8</v>
      </c>
      <c r="F3" s="6" t="s">
        <v>65</v>
      </c>
      <c r="H3" s="5" t="s">
        <v>66</v>
      </c>
      <c r="I3" s="5"/>
    </row>
    <row r="4" spans="2:14" x14ac:dyDescent="0.3">
      <c r="B4" s="6">
        <v>8</v>
      </c>
      <c r="C4" s="6">
        <v>8</v>
      </c>
      <c r="D4" s="6">
        <v>5</v>
      </c>
      <c r="E4" s="6">
        <v>6</v>
      </c>
      <c r="F4" s="6" t="s">
        <v>65</v>
      </c>
      <c r="H4" s="4">
        <f>AVERAGEIF($F$3:$F$51,"Tidak pikun",B3:B51)</f>
        <v>12.567567567567568</v>
      </c>
      <c r="I4" s="4">
        <f>AVERAGEIF($F$3:$F$51,"Tidak pikun",C3:C51)</f>
        <v>9.486486486486486</v>
      </c>
      <c r="J4" s="4">
        <f t="shared" ref="J4:K4" si="0">AVERAGEIF($F$3:$F$51,"Tidak pikun",D3:D51)</f>
        <v>11.513513513513514</v>
      </c>
      <c r="K4" s="4">
        <f t="shared" si="0"/>
        <v>7.9729729729729728</v>
      </c>
      <c r="M4" s="4" t="s">
        <v>12</v>
      </c>
      <c r="N4" s="4">
        <v>37</v>
      </c>
    </row>
    <row r="5" spans="2:14" x14ac:dyDescent="0.3">
      <c r="B5" s="6">
        <v>16</v>
      </c>
      <c r="C5" s="6">
        <v>18</v>
      </c>
      <c r="D5" s="6">
        <v>11</v>
      </c>
      <c r="E5" s="6">
        <v>9</v>
      </c>
      <c r="F5" s="6" t="s">
        <v>65</v>
      </c>
      <c r="H5" s="4">
        <v>9.486486486486486</v>
      </c>
      <c r="M5" s="4" t="s">
        <v>13</v>
      </c>
      <c r="N5" s="4">
        <v>12</v>
      </c>
    </row>
    <row r="6" spans="2:14" x14ac:dyDescent="0.3">
      <c r="B6" s="6">
        <v>8</v>
      </c>
      <c r="C6" s="6">
        <v>3</v>
      </c>
      <c r="D6" s="6">
        <v>7</v>
      </c>
      <c r="E6" s="6">
        <v>9</v>
      </c>
      <c r="F6" s="6" t="s">
        <v>65</v>
      </c>
      <c r="H6" s="4">
        <v>11.513513513513514</v>
      </c>
      <c r="M6" s="4" t="s">
        <v>14</v>
      </c>
      <c r="N6" s="4">
        <v>4</v>
      </c>
    </row>
    <row r="7" spans="2:14" x14ac:dyDescent="0.3">
      <c r="B7" s="6">
        <v>6</v>
      </c>
      <c r="C7" s="6">
        <v>3</v>
      </c>
      <c r="D7" s="6">
        <v>13</v>
      </c>
      <c r="E7" s="6">
        <v>9</v>
      </c>
      <c r="F7" s="6" t="s">
        <v>65</v>
      </c>
      <c r="H7" s="4">
        <v>7.9729729729729728</v>
      </c>
    </row>
    <row r="8" spans="2:14" x14ac:dyDescent="0.3">
      <c r="B8" s="6">
        <v>11</v>
      </c>
      <c r="C8" s="6">
        <v>8</v>
      </c>
      <c r="D8" s="6">
        <v>10</v>
      </c>
      <c r="E8" s="6">
        <v>10</v>
      </c>
      <c r="F8" s="6" t="s">
        <v>65</v>
      </c>
    </row>
    <row r="9" spans="2:14" x14ac:dyDescent="0.3">
      <c r="B9" s="6">
        <v>12</v>
      </c>
      <c r="C9" s="6">
        <v>7</v>
      </c>
      <c r="D9" s="6">
        <v>9</v>
      </c>
      <c r="E9" s="6">
        <v>8</v>
      </c>
      <c r="F9" s="6" t="s">
        <v>65</v>
      </c>
    </row>
    <row r="10" spans="2:14" x14ac:dyDescent="0.3">
      <c r="B10" s="6">
        <v>8</v>
      </c>
      <c r="C10" s="6">
        <v>11</v>
      </c>
      <c r="D10" s="6">
        <v>9</v>
      </c>
      <c r="E10" s="6">
        <v>3</v>
      </c>
      <c r="F10" s="6" t="s">
        <v>65</v>
      </c>
      <c r="H10" s="5" t="s">
        <v>67</v>
      </c>
      <c r="I10" s="5"/>
    </row>
    <row r="11" spans="2:14" x14ac:dyDescent="0.3">
      <c r="B11" s="6">
        <v>14</v>
      </c>
      <c r="C11" s="6">
        <v>12</v>
      </c>
      <c r="D11" s="6">
        <v>11</v>
      </c>
      <c r="E11" s="6">
        <v>4</v>
      </c>
      <c r="F11" s="6" t="s">
        <v>65</v>
      </c>
      <c r="H11" s="4">
        <f>AVERAGEIF($F$3:$F$51,"Pikun",B3:B51)</f>
        <v>8.75</v>
      </c>
      <c r="I11" s="4">
        <f t="shared" ref="I11:K11" si="1">AVERAGEIF($F$3:$F$51,"Pikun",C3:C51)</f>
        <v>5.333333333333333</v>
      </c>
      <c r="J11" s="4">
        <f t="shared" si="1"/>
        <v>8.5</v>
      </c>
      <c r="K11" s="4">
        <f t="shared" si="1"/>
        <v>4.75</v>
      </c>
    </row>
    <row r="12" spans="2:14" x14ac:dyDescent="0.3">
      <c r="B12" s="6">
        <v>13</v>
      </c>
      <c r="C12" s="6">
        <v>13</v>
      </c>
      <c r="D12" s="6">
        <v>13</v>
      </c>
      <c r="E12" s="6">
        <v>6</v>
      </c>
      <c r="F12" s="6" t="s">
        <v>65</v>
      </c>
      <c r="H12" s="4">
        <v>5.333333333333333</v>
      </c>
    </row>
    <row r="13" spans="2:14" x14ac:dyDescent="0.3">
      <c r="B13" s="6">
        <v>13</v>
      </c>
      <c r="C13" s="6">
        <v>9</v>
      </c>
      <c r="D13" s="6">
        <v>9</v>
      </c>
      <c r="E13" s="6">
        <v>9</v>
      </c>
      <c r="F13" s="6" t="s">
        <v>65</v>
      </c>
      <c r="H13" s="4">
        <v>8.5</v>
      </c>
    </row>
    <row r="14" spans="2:14" x14ac:dyDescent="0.3">
      <c r="B14" s="6">
        <v>13</v>
      </c>
      <c r="C14" s="6">
        <v>10</v>
      </c>
      <c r="D14" s="6">
        <v>15</v>
      </c>
      <c r="E14" s="6">
        <v>7</v>
      </c>
      <c r="F14" s="6" t="s">
        <v>65</v>
      </c>
      <c r="H14" s="4">
        <v>4.75</v>
      </c>
    </row>
    <row r="15" spans="2:14" x14ac:dyDescent="0.3">
      <c r="B15" s="6">
        <v>14</v>
      </c>
      <c r="C15" s="6">
        <v>11</v>
      </c>
      <c r="D15" s="6">
        <v>12</v>
      </c>
      <c r="E15" s="6">
        <v>8</v>
      </c>
      <c r="F15" s="6" t="s">
        <v>65</v>
      </c>
    </row>
    <row r="16" spans="2:14" x14ac:dyDescent="0.3">
      <c r="B16" s="6">
        <v>15</v>
      </c>
      <c r="C16" s="6">
        <v>11</v>
      </c>
      <c r="D16" s="6">
        <v>11</v>
      </c>
      <c r="E16" s="6">
        <v>10</v>
      </c>
      <c r="F16" s="6" t="s">
        <v>65</v>
      </c>
    </row>
    <row r="17" spans="2:15" x14ac:dyDescent="0.3">
      <c r="B17" s="6">
        <v>13</v>
      </c>
      <c r="C17" s="6">
        <v>10</v>
      </c>
      <c r="D17" s="6">
        <v>16</v>
      </c>
      <c r="E17" s="6">
        <v>9</v>
      </c>
      <c r="F17" s="6" t="s">
        <v>65</v>
      </c>
      <c r="H17" s="4" t="s">
        <v>68</v>
      </c>
      <c r="L17" s="4" t="s">
        <v>11</v>
      </c>
    </row>
    <row r="18" spans="2:15" x14ac:dyDescent="0.3">
      <c r="B18" s="6">
        <v>10</v>
      </c>
      <c r="C18" s="6">
        <v>5</v>
      </c>
      <c r="D18" s="6">
        <v>8</v>
      </c>
      <c r="E18" s="6">
        <v>6</v>
      </c>
      <c r="F18" s="6" t="s">
        <v>65</v>
      </c>
      <c r="H18" s="4">
        <f>_xlfn.VAR.S(B3:B39)</f>
        <v>11.474474474474468</v>
      </c>
      <c r="L18" s="4">
        <f>_xlfn.VAR.S(B40:B51)</f>
        <v>10.568181818181818</v>
      </c>
    </row>
    <row r="19" spans="2:15" x14ac:dyDescent="0.3">
      <c r="B19" s="6">
        <v>10</v>
      </c>
      <c r="C19" s="6">
        <v>3</v>
      </c>
      <c r="D19" s="6">
        <v>7</v>
      </c>
      <c r="E19" s="6">
        <v>7</v>
      </c>
      <c r="F19" s="6" t="s">
        <v>65</v>
      </c>
      <c r="H19" s="4">
        <f>_xlfn.COVARIANCE.S(B3:B39,C3:C39)</f>
        <v>8.5495495495495479</v>
      </c>
      <c r="I19" s="4">
        <f>_xlfn.VAR.S(C3:C39)</f>
        <v>11.423423423423426</v>
      </c>
      <c r="L19" s="4">
        <f>_xlfn.COVARIANCE.S(B40:B51,C40:C51)</f>
        <v>10.454545454545455</v>
      </c>
      <c r="M19" s="4">
        <f>_xlfn.VAR.S(C40:C51)</f>
        <v>18.242424242424246</v>
      </c>
    </row>
    <row r="20" spans="2:15" x14ac:dyDescent="0.3">
      <c r="B20" s="6">
        <v>17</v>
      </c>
      <c r="C20" s="6">
        <v>13</v>
      </c>
      <c r="D20" s="6">
        <v>13</v>
      </c>
      <c r="E20" s="6">
        <v>7</v>
      </c>
      <c r="F20" s="6" t="s">
        <v>65</v>
      </c>
      <c r="H20" s="4">
        <f>_xlfn.COVARIANCE.S(B3:B39,D3:D39)</f>
        <v>6.394894894894894</v>
      </c>
      <c r="I20" s="4">
        <f>_xlfn.COVARIANCE.S(D3:D39,C3:C39)</f>
        <v>5.4932432432432439</v>
      </c>
      <c r="J20" s="4">
        <f>_xlfn.VAR.S(D3:D39)</f>
        <v>11.312312312312315</v>
      </c>
      <c r="L20" s="4">
        <f>_xlfn.COVARIANCE.S(B40:B51,D40:D51)</f>
        <v>9.6818181818181817</v>
      </c>
      <c r="M20" s="4">
        <f>_xlfn.COVARIANCE.S(C40:C51,D40:D51)</f>
        <v>12.090909090909092</v>
      </c>
      <c r="N20" s="4">
        <f>_xlfn.VAR.S(D40:D51)</f>
        <v>13.181818181818182</v>
      </c>
    </row>
    <row r="21" spans="2:15" x14ac:dyDescent="0.3">
      <c r="B21" s="6">
        <v>10</v>
      </c>
      <c r="C21" s="6">
        <v>6</v>
      </c>
      <c r="D21" s="6">
        <v>10</v>
      </c>
      <c r="E21" s="6">
        <v>7</v>
      </c>
      <c r="F21" s="6" t="s">
        <v>65</v>
      </c>
      <c r="H21" s="4">
        <f>_xlfn.COVARIANCE.S(B3:B39,E3:E39)</f>
        <v>2.0713213213213213</v>
      </c>
      <c r="I21" s="4">
        <f>_xlfn.COVARIANCE.S(E3:E39,C3:C39)</f>
        <v>0.29129129129129139</v>
      </c>
      <c r="J21" s="4">
        <f>_xlfn.COVARIANCE.S(D3:D39,E3:E39)</f>
        <v>1.8198198198198203</v>
      </c>
      <c r="K21" s="4">
        <f>_xlfn.VAR.P(E3:E39)</f>
        <v>3.5938641344046749</v>
      </c>
      <c r="L21" s="4">
        <f>_xlfn.COVARIANCE.S(B40:B51,E40:E51)</f>
        <v>7.6590909090909092</v>
      </c>
      <c r="M21" s="4">
        <f>_xlfn.COVARIANCE.S(C40:C51,E40:E51)</f>
        <v>8.9090909090909083</v>
      </c>
      <c r="N21" s="4">
        <f>_xlfn.COVARIANCE.S(D40:D51,E40:E51)</f>
        <v>5.3181818181818183</v>
      </c>
      <c r="O21" s="4">
        <f>_xlfn.VAR.S(E40:E51)</f>
        <v>12.75</v>
      </c>
    </row>
    <row r="22" spans="2:15" x14ac:dyDescent="0.3">
      <c r="B22" s="6">
        <v>10</v>
      </c>
      <c r="C22" s="6">
        <v>10</v>
      </c>
      <c r="D22" s="6">
        <v>15</v>
      </c>
      <c r="E22" s="6">
        <v>8</v>
      </c>
      <c r="F22" s="6" t="s">
        <v>65</v>
      </c>
      <c r="H22" s="7" t="s">
        <v>68</v>
      </c>
      <c r="I22" s="7"/>
      <c r="J22" s="7"/>
      <c r="K22" s="7"/>
      <c r="L22" s="7" t="s">
        <v>11</v>
      </c>
      <c r="M22" s="7"/>
      <c r="N22" s="7"/>
      <c r="O22" s="7"/>
    </row>
    <row r="23" spans="2:15" x14ac:dyDescent="0.3">
      <c r="B23" s="6">
        <v>14</v>
      </c>
      <c r="C23" s="6">
        <v>7</v>
      </c>
      <c r="D23" s="6">
        <v>11</v>
      </c>
      <c r="E23" s="6">
        <v>5</v>
      </c>
      <c r="F23" s="6" t="s">
        <v>65</v>
      </c>
      <c r="H23" s="6">
        <v>11.474474474474468</v>
      </c>
      <c r="I23" s="6">
        <v>8.5495495495495479</v>
      </c>
      <c r="J23" s="6">
        <v>6.394894894894894</v>
      </c>
      <c r="K23" s="6">
        <v>2.0713213213213213</v>
      </c>
      <c r="L23" s="6">
        <v>10.568181818181818</v>
      </c>
      <c r="M23" s="6">
        <v>10.454545454545455</v>
      </c>
      <c r="N23" s="6">
        <v>9.6818181818181817</v>
      </c>
      <c r="O23" s="6">
        <v>7.6590909090909092</v>
      </c>
    </row>
    <row r="24" spans="2:15" x14ac:dyDescent="0.3">
      <c r="B24" s="6">
        <v>16</v>
      </c>
      <c r="C24" s="6">
        <v>11</v>
      </c>
      <c r="D24" s="6">
        <v>12</v>
      </c>
      <c r="E24" s="6">
        <v>11</v>
      </c>
      <c r="F24" s="6" t="s">
        <v>65</v>
      </c>
      <c r="H24" s="6">
        <v>8.5495495495495479</v>
      </c>
      <c r="I24" s="6">
        <v>11.423423423423426</v>
      </c>
      <c r="J24" s="6">
        <v>5.4932432432432439</v>
      </c>
      <c r="K24" s="6">
        <v>0.29129129129129139</v>
      </c>
      <c r="L24" s="6">
        <v>10.454545454545455</v>
      </c>
      <c r="M24" s="6">
        <v>18.242424242424246</v>
      </c>
      <c r="N24" s="6">
        <v>12.090909090909092</v>
      </c>
      <c r="O24" s="6">
        <v>8.9090909090909083</v>
      </c>
    </row>
    <row r="25" spans="2:15" x14ac:dyDescent="0.3">
      <c r="B25" s="6">
        <v>10</v>
      </c>
      <c r="C25" s="6">
        <v>7</v>
      </c>
      <c r="D25" s="6">
        <v>14</v>
      </c>
      <c r="E25" s="6">
        <v>6</v>
      </c>
      <c r="F25" s="6" t="s">
        <v>65</v>
      </c>
      <c r="H25" s="6">
        <v>6.394894894894894</v>
      </c>
      <c r="I25" s="6">
        <v>5.4932432432432439</v>
      </c>
      <c r="J25" s="6">
        <v>11.312312312312315</v>
      </c>
      <c r="K25" s="6">
        <v>1.8198198198198203</v>
      </c>
      <c r="L25" s="6">
        <v>9.6818181818181817</v>
      </c>
      <c r="M25" s="6">
        <v>12.090909090909092</v>
      </c>
      <c r="N25" s="6">
        <v>13.181818181818182</v>
      </c>
      <c r="O25" s="6">
        <v>5.3181818181818183</v>
      </c>
    </row>
    <row r="26" spans="2:15" x14ac:dyDescent="0.3">
      <c r="B26" s="6">
        <v>10</v>
      </c>
      <c r="C26" s="6">
        <v>10</v>
      </c>
      <c r="D26" s="6">
        <v>9</v>
      </c>
      <c r="E26" s="6">
        <v>6</v>
      </c>
      <c r="F26" s="6" t="s">
        <v>65</v>
      </c>
      <c r="H26" s="6">
        <v>2.0713213213213213</v>
      </c>
      <c r="I26" s="6">
        <v>0.29129129129129139</v>
      </c>
      <c r="J26" s="6">
        <v>1.8198198198198203</v>
      </c>
      <c r="K26" s="6">
        <v>3.5938641344046749</v>
      </c>
      <c r="L26" s="6">
        <v>7.6590909090909092</v>
      </c>
      <c r="M26" s="6">
        <v>8.9090909090909083</v>
      </c>
      <c r="N26" s="6">
        <v>5.3181818181818183</v>
      </c>
      <c r="O26" s="6">
        <v>12.75</v>
      </c>
    </row>
    <row r="27" spans="2:15" x14ac:dyDescent="0.3">
      <c r="B27" s="6">
        <v>10</v>
      </c>
      <c r="C27" s="6">
        <v>7</v>
      </c>
      <c r="D27" s="6">
        <v>10</v>
      </c>
      <c r="E27" s="6">
        <v>10</v>
      </c>
      <c r="F27" s="6" t="s">
        <v>65</v>
      </c>
    </row>
    <row r="28" spans="2:15" x14ac:dyDescent="0.3">
      <c r="B28" s="6">
        <v>7</v>
      </c>
      <c r="C28" s="6">
        <v>6</v>
      </c>
      <c r="D28" s="6">
        <v>5</v>
      </c>
      <c r="E28" s="6">
        <v>9</v>
      </c>
      <c r="F28" s="6" t="s">
        <v>65</v>
      </c>
      <c r="H28" s="4" t="s">
        <v>69</v>
      </c>
    </row>
    <row r="29" spans="2:15" x14ac:dyDescent="0.3">
      <c r="B29" s="6">
        <v>15</v>
      </c>
      <c r="C29" s="6">
        <v>12</v>
      </c>
      <c r="D29" s="6">
        <v>10</v>
      </c>
      <c r="E29" s="6">
        <v>6</v>
      </c>
      <c r="F29" s="6" t="s">
        <v>65</v>
      </c>
      <c r="H29" s="5">
        <f>(N4-1)/(N4+N5-2)</f>
        <v>0.76595744680851063</v>
      </c>
      <c r="L29" s="5">
        <f>(N5-1)/(N4+N5-2)</f>
        <v>0.23404255319148937</v>
      </c>
    </row>
    <row r="30" spans="2:15" x14ac:dyDescent="0.3">
      <c r="B30" s="6">
        <v>17</v>
      </c>
      <c r="C30" s="6">
        <v>15</v>
      </c>
      <c r="D30" s="6">
        <v>15</v>
      </c>
      <c r="E30" s="6">
        <v>8</v>
      </c>
      <c r="F30" s="6" t="s">
        <v>65</v>
      </c>
      <c r="H30" s="8">
        <f>H23*$H$29</f>
        <v>8.7889591719378899</v>
      </c>
      <c r="I30" s="9">
        <f t="shared" ref="I30:K30" si="2">I23*$H$29</f>
        <v>6.5485911443358242</v>
      </c>
      <c r="J30" s="9">
        <f t="shared" si="2"/>
        <v>4.8982173663024717</v>
      </c>
      <c r="K30" s="10">
        <f t="shared" si="2"/>
        <v>1.58654399079931</v>
      </c>
      <c r="L30" s="9">
        <f>$L$29*L23</f>
        <v>2.4734042553191489</v>
      </c>
      <c r="M30" s="9">
        <f t="shared" ref="M30:O30" si="3">$L$29*M23</f>
        <v>2.4468085106382982</v>
      </c>
      <c r="N30" s="9">
        <f t="shared" si="3"/>
        <v>2.2659574468085109</v>
      </c>
      <c r="O30" s="10">
        <f t="shared" si="3"/>
        <v>1.7925531914893618</v>
      </c>
    </row>
    <row r="31" spans="2:15" x14ac:dyDescent="0.3">
      <c r="B31" s="6">
        <v>16</v>
      </c>
      <c r="C31" s="6">
        <v>13</v>
      </c>
      <c r="D31" s="6">
        <v>16</v>
      </c>
      <c r="E31" s="6">
        <v>9</v>
      </c>
      <c r="F31" s="6" t="s">
        <v>65</v>
      </c>
      <c r="H31" s="11">
        <f t="shared" ref="H31:K33" si="4">H24*$H$29</f>
        <v>6.5485911443358242</v>
      </c>
      <c r="I31" s="12">
        <f t="shared" si="4"/>
        <v>8.7498562392179426</v>
      </c>
      <c r="J31" s="12">
        <f t="shared" si="4"/>
        <v>4.2075905692926971</v>
      </c>
      <c r="K31" s="13">
        <f t="shared" si="4"/>
        <v>0.22311673375503169</v>
      </c>
      <c r="L31" s="12">
        <f t="shared" ref="L31:O33" si="5">$L$29*L24</f>
        <v>2.4468085106382982</v>
      </c>
      <c r="M31" s="12">
        <f t="shared" si="5"/>
        <v>4.2695035460992914</v>
      </c>
      <c r="N31" s="12">
        <f t="shared" si="5"/>
        <v>2.8297872340425534</v>
      </c>
      <c r="O31" s="13">
        <f t="shared" si="5"/>
        <v>2.0851063829787231</v>
      </c>
    </row>
    <row r="32" spans="2:15" x14ac:dyDescent="0.3">
      <c r="B32" s="6">
        <v>13</v>
      </c>
      <c r="C32" s="6">
        <v>10</v>
      </c>
      <c r="D32" s="6">
        <v>17</v>
      </c>
      <c r="E32" s="6">
        <v>8</v>
      </c>
      <c r="F32" s="6" t="s">
        <v>65</v>
      </c>
      <c r="H32" s="11">
        <f t="shared" si="4"/>
        <v>4.8982173663024717</v>
      </c>
      <c r="I32" s="12">
        <f t="shared" si="4"/>
        <v>4.2075905692926971</v>
      </c>
      <c r="J32" s="12">
        <f t="shared" si="4"/>
        <v>8.6647498562392204</v>
      </c>
      <c r="K32" s="13">
        <f t="shared" si="4"/>
        <v>1.3939045428407135</v>
      </c>
      <c r="L32" s="12">
        <f t="shared" si="5"/>
        <v>2.2659574468085109</v>
      </c>
      <c r="M32" s="12">
        <f t="shared" si="5"/>
        <v>2.8297872340425534</v>
      </c>
      <c r="N32" s="12">
        <f t="shared" si="5"/>
        <v>3.0851063829787235</v>
      </c>
      <c r="O32" s="13">
        <f t="shared" si="5"/>
        <v>1.2446808510638299</v>
      </c>
    </row>
    <row r="33" spans="2:15" x14ac:dyDescent="0.3">
      <c r="B33" s="6">
        <v>13</v>
      </c>
      <c r="C33" s="6">
        <v>10</v>
      </c>
      <c r="D33" s="6">
        <v>17</v>
      </c>
      <c r="E33" s="6">
        <v>10</v>
      </c>
      <c r="F33" s="6" t="s">
        <v>65</v>
      </c>
      <c r="H33" s="14">
        <f t="shared" si="4"/>
        <v>1.58654399079931</v>
      </c>
      <c r="I33" s="15">
        <f t="shared" si="4"/>
        <v>0.22311673375503169</v>
      </c>
      <c r="J33" s="15">
        <f t="shared" si="4"/>
        <v>1.3939045428407135</v>
      </c>
      <c r="K33" s="16">
        <f t="shared" si="4"/>
        <v>2.7527469965652829</v>
      </c>
      <c r="L33" s="15">
        <f t="shared" si="5"/>
        <v>1.7925531914893618</v>
      </c>
      <c r="M33" s="15">
        <f t="shared" si="5"/>
        <v>2.0851063829787231</v>
      </c>
      <c r="N33" s="15">
        <f t="shared" si="5"/>
        <v>1.2446808510638299</v>
      </c>
      <c r="O33" s="16">
        <f t="shared" si="5"/>
        <v>2.9840425531914896</v>
      </c>
    </row>
    <row r="34" spans="2:15" x14ac:dyDescent="0.3">
      <c r="B34" s="6">
        <v>19</v>
      </c>
      <c r="C34" s="6">
        <v>12</v>
      </c>
      <c r="D34" s="6">
        <v>16</v>
      </c>
      <c r="E34" s="6">
        <v>10</v>
      </c>
      <c r="F34" s="6" t="s">
        <v>65</v>
      </c>
      <c r="H34" s="17" t="s">
        <v>69</v>
      </c>
      <c r="I34" s="18"/>
      <c r="J34" s="18"/>
      <c r="K34" s="19"/>
    </row>
    <row r="35" spans="2:15" x14ac:dyDescent="0.3">
      <c r="B35" s="6">
        <v>19</v>
      </c>
      <c r="C35" s="6">
        <v>12</v>
      </c>
      <c r="D35" s="6">
        <v>17</v>
      </c>
      <c r="E35" s="6">
        <v>11</v>
      </c>
      <c r="F35" s="6" t="s">
        <v>65</v>
      </c>
      <c r="H35" s="6">
        <f>H30+L30</f>
        <v>11.262363427257039</v>
      </c>
      <c r="I35" s="6">
        <f t="shared" ref="I35:K38" si="6">I30+M30</f>
        <v>8.995399654974122</v>
      </c>
      <c r="J35" s="6">
        <f t="shared" si="6"/>
        <v>7.1641748131109821</v>
      </c>
      <c r="K35" s="6">
        <f t="shared" si="6"/>
        <v>3.379097182288672</v>
      </c>
    </row>
    <row r="36" spans="2:15" x14ac:dyDescent="0.3">
      <c r="B36" s="6">
        <v>13</v>
      </c>
      <c r="C36" s="6">
        <v>10</v>
      </c>
      <c r="D36" s="6">
        <v>7</v>
      </c>
      <c r="E36" s="6">
        <v>8</v>
      </c>
      <c r="F36" s="6" t="s">
        <v>65</v>
      </c>
      <c r="H36" s="6">
        <f t="shared" ref="H36:H38" si="7">H31+L31</f>
        <v>8.995399654974122</v>
      </c>
      <c r="I36" s="6">
        <f t="shared" si="6"/>
        <v>13.019359785317235</v>
      </c>
      <c r="J36" s="6">
        <f t="shared" si="6"/>
        <v>7.0373778033352501</v>
      </c>
      <c r="K36" s="6">
        <f t="shared" si="6"/>
        <v>2.3082231167337546</v>
      </c>
    </row>
    <row r="37" spans="2:15" x14ac:dyDescent="0.3">
      <c r="B37" s="6">
        <v>15</v>
      </c>
      <c r="C37" s="6">
        <v>11</v>
      </c>
      <c r="D37" s="6">
        <v>12</v>
      </c>
      <c r="E37" s="6">
        <v>8</v>
      </c>
      <c r="F37" s="6" t="s">
        <v>65</v>
      </c>
      <c r="H37" s="6">
        <f t="shared" si="7"/>
        <v>7.1641748131109821</v>
      </c>
      <c r="I37" s="6">
        <f t="shared" si="6"/>
        <v>7.0373778033352501</v>
      </c>
      <c r="J37" s="6">
        <f t="shared" si="6"/>
        <v>11.749856239217944</v>
      </c>
      <c r="K37" s="6">
        <f t="shared" si="6"/>
        <v>2.6385853939045436</v>
      </c>
    </row>
    <row r="38" spans="2:15" x14ac:dyDescent="0.3">
      <c r="B38" s="6">
        <v>16</v>
      </c>
      <c r="C38" s="6">
        <v>9</v>
      </c>
      <c r="D38" s="6">
        <v>11</v>
      </c>
      <c r="E38" s="6">
        <v>11</v>
      </c>
      <c r="F38" s="6" t="s">
        <v>65</v>
      </c>
      <c r="H38" s="6">
        <f t="shared" si="7"/>
        <v>3.379097182288672</v>
      </c>
      <c r="I38" s="6">
        <f t="shared" si="6"/>
        <v>2.3082231167337546</v>
      </c>
      <c r="J38" s="6">
        <f t="shared" si="6"/>
        <v>2.6385853939045436</v>
      </c>
      <c r="K38" s="6">
        <f t="shared" si="6"/>
        <v>5.7367895497567725</v>
      </c>
    </row>
    <row r="39" spans="2:15" x14ac:dyDescent="0.3">
      <c r="B39" s="6">
        <v>14</v>
      </c>
      <c r="C39" s="6">
        <v>13</v>
      </c>
      <c r="D39" s="6">
        <v>14</v>
      </c>
      <c r="E39" s="6">
        <v>9</v>
      </c>
      <c r="F39" s="6" t="s">
        <v>65</v>
      </c>
    </row>
    <row r="40" spans="2:15" x14ac:dyDescent="0.3">
      <c r="B40" s="6">
        <v>9</v>
      </c>
      <c r="C40" s="6">
        <v>5</v>
      </c>
      <c r="D40" s="6">
        <v>10</v>
      </c>
      <c r="E40" s="6">
        <v>8</v>
      </c>
      <c r="F40" s="6" t="s">
        <v>70</v>
      </c>
    </row>
    <row r="41" spans="2:15" x14ac:dyDescent="0.3">
      <c r="B41" s="6">
        <v>10</v>
      </c>
      <c r="C41" s="6">
        <v>0</v>
      </c>
      <c r="D41" s="6">
        <v>6</v>
      </c>
      <c r="E41" s="6">
        <v>2</v>
      </c>
      <c r="F41" s="6" t="s">
        <v>70</v>
      </c>
    </row>
    <row r="42" spans="2:15" x14ac:dyDescent="0.3">
      <c r="B42" s="6">
        <v>8</v>
      </c>
      <c r="C42" s="6">
        <v>9</v>
      </c>
      <c r="D42" s="6">
        <v>11</v>
      </c>
      <c r="E42" s="6">
        <v>1</v>
      </c>
      <c r="F42" s="6" t="s">
        <v>70</v>
      </c>
    </row>
    <row r="43" spans="2:15" x14ac:dyDescent="0.3">
      <c r="B43" s="6">
        <v>13</v>
      </c>
      <c r="C43" s="6">
        <v>7</v>
      </c>
      <c r="D43" s="6">
        <v>14</v>
      </c>
      <c r="E43" s="6">
        <v>9</v>
      </c>
      <c r="F43" s="6" t="s">
        <v>70</v>
      </c>
    </row>
    <row r="44" spans="2:15" x14ac:dyDescent="0.3">
      <c r="B44" s="6">
        <v>4</v>
      </c>
      <c r="C44" s="6">
        <v>0</v>
      </c>
      <c r="D44" s="6">
        <v>4</v>
      </c>
      <c r="E44" s="6">
        <v>0</v>
      </c>
      <c r="F44" s="6" t="s">
        <v>70</v>
      </c>
    </row>
    <row r="45" spans="2:15" x14ac:dyDescent="0.3">
      <c r="B45" s="6">
        <v>4</v>
      </c>
      <c r="C45" s="6">
        <v>0</v>
      </c>
      <c r="D45" s="6">
        <v>6</v>
      </c>
      <c r="E45" s="6">
        <v>0</v>
      </c>
      <c r="F45" s="6" t="s">
        <v>70</v>
      </c>
    </row>
    <row r="46" spans="2:15" x14ac:dyDescent="0.3">
      <c r="B46" s="6">
        <v>11</v>
      </c>
      <c r="C46" s="6">
        <v>9</v>
      </c>
      <c r="D46" s="6">
        <v>9</v>
      </c>
      <c r="E46" s="6">
        <v>8</v>
      </c>
      <c r="F46" s="6" t="s">
        <v>70</v>
      </c>
    </row>
    <row r="47" spans="2:15" x14ac:dyDescent="0.3">
      <c r="B47" s="6">
        <v>5</v>
      </c>
      <c r="C47" s="6">
        <v>3</v>
      </c>
      <c r="D47" s="6">
        <v>3</v>
      </c>
      <c r="E47" s="6">
        <v>6</v>
      </c>
      <c r="F47" s="6" t="s">
        <v>70</v>
      </c>
    </row>
    <row r="48" spans="2:15" x14ac:dyDescent="0.3">
      <c r="B48" s="6">
        <v>9</v>
      </c>
      <c r="C48" s="6">
        <v>7</v>
      </c>
      <c r="D48" s="6">
        <v>8</v>
      </c>
      <c r="E48" s="6">
        <v>6</v>
      </c>
      <c r="F48" s="6" t="s">
        <v>70</v>
      </c>
    </row>
    <row r="49" spans="2:26" x14ac:dyDescent="0.3">
      <c r="B49" s="6">
        <v>7</v>
      </c>
      <c r="C49" s="6">
        <v>2</v>
      </c>
      <c r="D49" s="6">
        <v>6</v>
      </c>
      <c r="E49" s="6">
        <v>4</v>
      </c>
      <c r="F49" s="6" t="s">
        <v>70</v>
      </c>
    </row>
    <row r="50" spans="2:26" x14ac:dyDescent="0.3">
      <c r="B50" s="6">
        <v>12</v>
      </c>
      <c r="C50" s="6">
        <v>10</v>
      </c>
      <c r="D50" s="6">
        <v>14</v>
      </c>
      <c r="E50" s="6">
        <v>3</v>
      </c>
      <c r="F50" s="6" t="s">
        <v>70</v>
      </c>
    </row>
    <row r="51" spans="2:26" x14ac:dyDescent="0.3">
      <c r="B51" s="6">
        <v>13</v>
      </c>
      <c r="C51" s="6">
        <v>12</v>
      </c>
      <c r="D51" s="6">
        <v>11</v>
      </c>
      <c r="E51" s="6">
        <v>10</v>
      </c>
      <c r="F51" s="6" t="s">
        <v>70</v>
      </c>
    </row>
    <row r="54" spans="2:26" s="5" customFormat="1" ht="18" x14ac:dyDescent="0.35">
      <c r="B54" s="20" t="s">
        <v>71</v>
      </c>
      <c r="C54" s="21"/>
      <c r="D54" s="21"/>
      <c r="E54" s="21"/>
      <c r="F54" s="21"/>
      <c r="S54" s="21"/>
      <c r="T54" s="21"/>
    </row>
    <row r="56" spans="2:26" x14ac:dyDescent="0.3">
      <c r="B56" s="4" t="s">
        <v>72</v>
      </c>
      <c r="G56" s="4" t="s">
        <v>73</v>
      </c>
    </row>
    <row r="57" spans="2:26" x14ac:dyDescent="0.3">
      <c r="G57" s="6">
        <f t="array" ref="G57:J57">TRANSPOSE(B67:B70)</f>
        <v>3.8175675675675684</v>
      </c>
      <c r="H57" s="6">
        <v>4.1531531531531529</v>
      </c>
      <c r="I57" s="6">
        <v>3.013513513513514</v>
      </c>
      <c r="J57" s="22">
        <v>3.2229729729729728</v>
      </c>
      <c r="K57" s="8">
        <f t="array" ref="K57:M60">TRANSPOSE(B62:E64)</f>
        <v>1</v>
      </c>
      <c r="L57" s="9">
        <v>0</v>
      </c>
      <c r="M57" s="10">
        <v>0</v>
      </c>
      <c r="N57" s="23">
        <f>(1/N4)+(1/N5)</f>
        <v>0.11036036036036036</v>
      </c>
      <c r="O57" s="24">
        <f t="array" ref="O57:R59">MMULT(B62:E64,H35:K38)</f>
        <v>2.2669637722829172</v>
      </c>
      <c r="P57" s="25">
        <v>-4.023960130343113</v>
      </c>
      <c r="Q57" s="25">
        <v>0.12679700977573205</v>
      </c>
      <c r="R57" s="25">
        <v>1.0708740655549174</v>
      </c>
      <c r="S57" s="24">
        <f>K57</f>
        <v>1</v>
      </c>
      <c r="T57" s="25">
        <f t="shared" ref="T57:U60" si="8">L57</f>
        <v>0</v>
      </c>
      <c r="U57" s="29">
        <f t="shared" si="8"/>
        <v>0</v>
      </c>
      <c r="V57" s="8">
        <f>B62</f>
        <v>1</v>
      </c>
      <c r="W57" s="9">
        <f t="shared" ref="W57:Y59" si="9">C62</f>
        <v>-1</v>
      </c>
      <c r="X57" s="9">
        <f t="shared" si="9"/>
        <v>0</v>
      </c>
      <c r="Y57" s="9">
        <f t="shared" si="9"/>
        <v>0</v>
      </c>
      <c r="Z57" s="30">
        <f>B67</f>
        <v>3.8175675675675684</v>
      </c>
    </row>
    <row r="58" spans="2:26" x14ac:dyDescent="0.3">
      <c r="K58" s="11">
        <v>-1</v>
      </c>
      <c r="L58" s="12">
        <v>1</v>
      </c>
      <c r="M58" s="13">
        <v>0</v>
      </c>
      <c r="O58" s="26">
        <v>1.8312248418631398</v>
      </c>
      <c r="P58" s="21">
        <v>5.9819819819819848</v>
      </c>
      <c r="Q58" s="21">
        <v>-4.7124784358826943</v>
      </c>
      <c r="R58" s="21">
        <v>-0.33036227717078903</v>
      </c>
      <c r="S58" s="26">
        <f t="shared" ref="S58:S60" si="10">K58</f>
        <v>-1</v>
      </c>
      <c r="T58" s="21">
        <f t="shared" si="8"/>
        <v>1</v>
      </c>
      <c r="U58" s="31">
        <f t="shared" si="8"/>
        <v>0</v>
      </c>
      <c r="V58" s="11">
        <f t="shared" ref="V58:V59" si="11">B63</f>
        <v>0</v>
      </c>
      <c r="W58" s="12">
        <f t="shared" si="9"/>
        <v>1</v>
      </c>
      <c r="X58" s="12">
        <f t="shared" si="9"/>
        <v>-1</v>
      </c>
      <c r="Y58" s="12">
        <f t="shared" si="9"/>
        <v>0</v>
      </c>
      <c r="Z58" s="32">
        <f t="shared" ref="Z58:Z60" si="12">B68</f>
        <v>4.1531531531531529</v>
      </c>
    </row>
    <row r="59" spans="2:26" x14ac:dyDescent="0.3">
      <c r="K59" s="11">
        <v>0</v>
      </c>
      <c r="L59" s="12">
        <v>-1</v>
      </c>
      <c r="M59" s="13">
        <v>1</v>
      </c>
      <c r="O59" s="27">
        <v>3.7850776308223102</v>
      </c>
      <c r="P59" s="28">
        <v>4.7291546866014951</v>
      </c>
      <c r="Q59" s="28">
        <v>9.1112708453134008</v>
      </c>
      <c r="R59" s="28">
        <v>-3.0982041558522289</v>
      </c>
      <c r="S59" s="26">
        <f t="shared" si="10"/>
        <v>0</v>
      </c>
      <c r="T59" s="21">
        <f t="shared" si="8"/>
        <v>-1</v>
      </c>
      <c r="U59" s="31">
        <f t="shared" si="8"/>
        <v>1</v>
      </c>
      <c r="V59" s="14">
        <f t="shared" si="11"/>
        <v>0</v>
      </c>
      <c r="W59" s="15">
        <f t="shared" si="9"/>
        <v>0</v>
      </c>
      <c r="X59" s="15">
        <f t="shared" si="9"/>
        <v>1</v>
      </c>
      <c r="Y59" s="15">
        <f t="shared" si="9"/>
        <v>-1</v>
      </c>
      <c r="Z59" s="32">
        <f t="shared" si="12"/>
        <v>3.013513513513514</v>
      </c>
    </row>
    <row r="60" spans="2:26" x14ac:dyDescent="0.3">
      <c r="K60" s="14">
        <v>0</v>
      </c>
      <c r="L60" s="15">
        <v>0</v>
      </c>
      <c r="M60" s="16">
        <v>-1</v>
      </c>
      <c r="S60" s="27">
        <f t="shared" si="10"/>
        <v>0</v>
      </c>
      <c r="T60" s="28">
        <f t="shared" si="8"/>
        <v>0</v>
      </c>
      <c r="U60" s="33">
        <f t="shared" si="8"/>
        <v>-1</v>
      </c>
      <c r="Z60" s="34">
        <f t="shared" si="12"/>
        <v>3.2229729729729728</v>
      </c>
    </row>
    <row r="61" spans="2:26" x14ac:dyDescent="0.3">
      <c r="B61" s="35" t="s">
        <v>26</v>
      </c>
      <c r="C61" s="35"/>
      <c r="D61" s="35"/>
      <c r="E61" s="35"/>
    </row>
    <row r="62" spans="2:26" x14ac:dyDescent="0.3">
      <c r="B62" s="6">
        <v>1</v>
      </c>
      <c r="C62" s="6">
        <v>-1</v>
      </c>
      <c r="D62" s="6">
        <v>0</v>
      </c>
      <c r="E62" s="6">
        <v>0</v>
      </c>
      <c r="K62" s="22">
        <f t="array" ref="K62:M62">MMULT(G57:J57,K57:M60)</f>
        <v>-0.33558558558558449</v>
      </c>
      <c r="L62" s="36">
        <v>1.1396396396396389</v>
      </c>
      <c r="M62" s="37">
        <v>-0.20945945945945876</v>
      </c>
      <c r="O62" s="24">
        <f t="array" ref="O62:Q64">N57*MMULT(O57:R59,S57:U60)</f>
        <v>0.69426862889341323</v>
      </c>
      <c r="P62" s="25">
        <v>-0.45807905375185448</v>
      </c>
      <c r="Q62" s="29">
        <v>-0.10418868408373892</v>
      </c>
      <c r="V62" s="30">
        <f t="array" ref="V62:V64">MMULT(V57:Y59,Z57:Z60)</f>
        <v>-0.33558558558558449</v>
      </c>
    </row>
    <row r="63" spans="2:26" x14ac:dyDescent="0.3">
      <c r="B63" s="6">
        <v>0</v>
      </c>
      <c r="C63" s="6">
        <v>1</v>
      </c>
      <c r="D63" s="6">
        <v>-1</v>
      </c>
      <c r="E63" s="6">
        <v>0</v>
      </c>
      <c r="O63" s="26">
        <v>-0.45807905375185448</v>
      </c>
      <c r="P63" s="21">
        <v>1.180244505575156</v>
      </c>
      <c r="Q63" s="31">
        <v>-0.483611918416404</v>
      </c>
      <c r="V63" s="32">
        <v>1.1396396396396389</v>
      </c>
    </row>
    <row r="64" spans="2:26" x14ac:dyDescent="0.3">
      <c r="B64" s="6">
        <v>0</v>
      </c>
      <c r="C64" s="6">
        <v>0</v>
      </c>
      <c r="D64" s="6">
        <v>1</v>
      </c>
      <c r="E64" s="6">
        <v>-1</v>
      </c>
      <c r="O64" s="27">
        <v>-0.10418868408373887</v>
      </c>
      <c r="P64" s="28">
        <v>-0.483611918416404</v>
      </c>
      <c r="Q64" s="33">
        <v>1.34744206093945</v>
      </c>
      <c r="V64" s="34">
        <v>-0.20945945945945876</v>
      </c>
    </row>
    <row r="66" spans="2:20" ht="21.6" customHeight="1" x14ac:dyDescent="0.3">
      <c r="B66" s="38" t="s">
        <v>74</v>
      </c>
      <c r="O66" s="8">
        <f t="array" ref="O66:Q68">MINVERSE(O62:Q64)</f>
        <v>2.2606779102666796</v>
      </c>
      <c r="P66" s="9">
        <v>1.1126835539107878</v>
      </c>
      <c r="Q66" s="10">
        <v>0.57415758876166312</v>
      </c>
    </row>
    <row r="67" spans="2:20" x14ac:dyDescent="0.3">
      <c r="B67" s="6">
        <f>H4-H11</f>
        <v>3.8175675675675684</v>
      </c>
      <c r="O67" s="11">
        <v>1.1126835539107878</v>
      </c>
      <c r="P67" s="12">
        <v>1.5410253483419294</v>
      </c>
      <c r="Q67" s="13">
        <v>0.63912748851190093</v>
      </c>
    </row>
    <row r="68" spans="2:20" x14ac:dyDescent="0.3">
      <c r="B68" s="6">
        <f t="shared" ref="B68:B69" si="13">H5-H12</f>
        <v>4.1531531531531529</v>
      </c>
      <c r="O68" s="14">
        <v>0.57415758876166312</v>
      </c>
      <c r="P68" s="15">
        <v>0.63912748851190104</v>
      </c>
      <c r="Q68" s="16">
        <v>1.0159326579929164</v>
      </c>
    </row>
    <row r="69" spans="2:20" x14ac:dyDescent="0.3">
      <c r="B69" s="6">
        <f t="shared" si="13"/>
        <v>3.013513513513514</v>
      </c>
    </row>
    <row r="70" spans="2:20" x14ac:dyDescent="0.3">
      <c r="B70" s="6">
        <f>H7-H14</f>
        <v>3.2229729729729728</v>
      </c>
      <c r="O70" s="22">
        <f t="array" ref="O70:Q70">MMULT(K62:M62,O66:Q68)</f>
        <v>0.38914462588803955</v>
      </c>
      <c r="P70" s="36">
        <v>1.2489417123799604</v>
      </c>
      <c r="Q70" s="37">
        <v>0.32289930465809275</v>
      </c>
    </row>
    <row r="72" spans="2:20" x14ac:dyDescent="0.3">
      <c r="N72" s="39" t="s">
        <v>73</v>
      </c>
      <c r="O72" s="6">
        <f>MMULT(O70:Q70,V62:V64)</f>
        <v>1.2251178420579716</v>
      </c>
    </row>
    <row r="73" spans="2:20" x14ac:dyDescent="0.3">
      <c r="G73" s="5" t="s">
        <v>75</v>
      </c>
      <c r="H73" s="5"/>
      <c r="I73" s="4" t="s">
        <v>76</v>
      </c>
      <c r="J73" s="4" t="s">
        <v>77</v>
      </c>
    </row>
    <row r="74" spans="2:20" x14ac:dyDescent="0.3">
      <c r="G74" s="4" t="s">
        <v>78</v>
      </c>
      <c r="H74" s="4">
        <f>(N4+N5-2)*(N6-1)/(N4+N5-N6)</f>
        <v>3.1333333333333333</v>
      </c>
      <c r="I74" s="4">
        <f>N6-1</f>
        <v>3</v>
      </c>
      <c r="J74" s="4">
        <f>N4+N5-N6</f>
        <v>45</v>
      </c>
    </row>
    <row r="75" spans="2:20" x14ac:dyDescent="0.3">
      <c r="G75" s="4" t="s">
        <v>79</v>
      </c>
      <c r="H75" s="4">
        <f>FINV(0.05,I74,J74)</f>
        <v>2.8115435063326726</v>
      </c>
      <c r="I75" s="4">
        <f>H74*H75</f>
        <v>8.80950298650904</v>
      </c>
    </row>
    <row r="76" spans="2:20" x14ac:dyDescent="0.3">
      <c r="G76" s="5" t="s">
        <v>80</v>
      </c>
      <c r="H76" s="5"/>
    </row>
    <row r="77" spans="2:20" x14ac:dyDescent="0.3">
      <c r="G77" s="4" t="str">
        <f>IF(O72&gt;H75,"Tolak H0","Tak Tolak H0")</f>
        <v>Tak Tolak H0</v>
      </c>
    </row>
    <row r="79" spans="2:20" s="5" customFormat="1" ht="18" x14ac:dyDescent="0.35">
      <c r="B79" s="20" t="s">
        <v>81</v>
      </c>
      <c r="C79" s="21"/>
      <c r="D79" s="21"/>
      <c r="E79" s="21"/>
      <c r="F79" s="21"/>
      <c r="S79" s="21"/>
      <c r="T79" s="21"/>
    </row>
    <row r="81" spans="2:21" x14ac:dyDescent="0.3">
      <c r="B81" s="4" t="s">
        <v>73</v>
      </c>
    </row>
    <row r="82" spans="2:21" x14ac:dyDescent="0.3">
      <c r="B82" s="6">
        <v>1</v>
      </c>
      <c r="C82" s="6">
        <v>1</v>
      </c>
      <c r="D82" s="6">
        <v>1</v>
      </c>
      <c r="E82" s="22">
        <v>1</v>
      </c>
      <c r="F82" s="30">
        <f>B67</f>
        <v>3.8175675675675684</v>
      </c>
      <c r="G82" s="39">
        <f>N57</f>
        <v>0.11036036036036036</v>
      </c>
      <c r="H82" s="23">
        <f t="array" ref="H82:K82">MMULT(B82:E82,H35:K38)</f>
        <v>30.801035077630814</v>
      </c>
      <c r="I82" s="40">
        <v>31.36036036036036</v>
      </c>
      <c r="J82" s="40">
        <v>28.589994249568718</v>
      </c>
      <c r="K82" s="41">
        <v>14.062695242683741</v>
      </c>
      <c r="L82" s="42">
        <v>1</v>
      </c>
      <c r="M82" s="22">
        <f>B82</f>
        <v>1</v>
      </c>
      <c r="N82" s="36">
        <f t="shared" ref="N82:P82" si="14">C82</f>
        <v>1</v>
      </c>
      <c r="O82" s="36">
        <f t="shared" si="14"/>
        <v>1</v>
      </c>
      <c r="P82" s="36">
        <f t="shared" si="14"/>
        <v>1</v>
      </c>
      <c r="Q82" s="30">
        <v>3.8175675675675684</v>
      </c>
      <c r="R82" s="12"/>
      <c r="S82" s="12"/>
      <c r="T82" s="12"/>
      <c r="U82" s="12"/>
    </row>
    <row r="83" spans="2:21" x14ac:dyDescent="0.3">
      <c r="F83" s="32">
        <f t="shared" ref="F83:F85" si="15">B68</f>
        <v>4.1531531531531529</v>
      </c>
      <c r="G83" s="12"/>
      <c r="H83" s="12"/>
      <c r="I83" s="12"/>
      <c r="J83" s="12"/>
      <c r="K83" s="12"/>
      <c r="L83" s="43">
        <v>1</v>
      </c>
      <c r="O83" s="12"/>
      <c r="P83" s="12"/>
      <c r="Q83" s="32">
        <v>4.1531531531531529</v>
      </c>
      <c r="R83" s="12"/>
      <c r="S83" s="12"/>
      <c r="T83" s="12"/>
      <c r="U83" s="12"/>
    </row>
    <row r="84" spans="2:21" x14ac:dyDescent="0.3">
      <c r="F84" s="32">
        <f t="shared" si="15"/>
        <v>3.013513513513514</v>
      </c>
      <c r="G84" s="12"/>
      <c r="H84" s="12"/>
      <c r="I84" s="12"/>
      <c r="J84" s="12"/>
      <c r="K84" s="12"/>
      <c r="L84" s="43">
        <v>1</v>
      </c>
      <c r="O84" s="12"/>
      <c r="P84" s="12"/>
      <c r="Q84" s="32">
        <v>3.013513513513514</v>
      </c>
      <c r="R84" s="12"/>
      <c r="S84" s="12"/>
      <c r="T84" s="12"/>
      <c r="U84" s="12"/>
    </row>
    <row r="85" spans="2:21" x14ac:dyDescent="0.3">
      <c r="F85" s="34">
        <f t="shared" si="15"/>
        <v>3.2229729729729728</v>
      </c>
      <c r="G85" s="12"/>
      <c r="H85" s="12"/>
      <c r="L85" s="44">
        <v>1</v>
      </c>
      <c r="O85" s="12"/>
      <c r="P85" s="12"/>
      <c r="Q85" s="34">
        <v>3.2229729729729728</v>
      </c>
      <c r="R85" s="12"/>
      <c r="S85" s="12"/>
      <c r="T85" s="12"/>
      <c r="U85" s="12"/>
    </row>
    <row r="87" spans="2:21" x14ac:dyDescent="0.3">
      <c r="F87" s="4">
        <f>MMULT(B82:E82,F82:F85)</f>
        <v>14.207207207207208</v>
      </c>
      <c r="G87" s="39">
        <f>G82*MMULT(H82:K82,L82:L85)</f>
        <v>11.567320183743103</v>
      </c>
      <c r="H87" s="4">
        <f>MMULT(M82:P82,Q82:Q85)</f>
        <v>14.207207207207208</v>
      </c>
    </row>
    <row r="88" spans="2:21" x14ac:dyDescent="0.3">
      <c r="G88" s="4">
        <f>1/G87</f>
        <v>8.645044695878791E-2</v>
      </c>
    </row>
    <row r="89" spans="2:21" x14ac:dyDescent="0.3">
      <c r="F89" s="5" t="s">
        <v>73</v>
      </c>
      <c r="G89" s="4">
        <f>F87*G88*H87</f>
        <v>17.449567697814423</v>
      </c>
    </row>
    <row r="90" spans="2:21" x14ac:dyDescent="0.3">
      <c r="B90" s="5" t="s">
        <v>75</v>
      </c>
      <c r="C90" s="5"/>
      <c r="D90" s="4" t="s">
        <v>76</v>
      </c>
      <c r="E90" s="4" t="s">
        <v>77</v>
      </c>
    </row>
    <row r="91" spans="2:21" x14ac:dyDescent="0.3">
      <c r="B91" s="4" t="s">
        <v>78</v>
      </c>
      <c r="C91" s="4">
        <f>(N4+N5-2)*(N6-1)/(N4+N5-N6)</f>
        <v>3.1333333333333333</v>
      </c>
      <c r="D91" s="4">
        <f>N6-1</f>
        <v>3</v>
      </c>
      <c r="E91" s="4">
        <f>N4+N5-N6</f>
        <v>45</v>
      </c>
    </row>
    <row r="92" spans="2:21" x14ac:dyDescent="0.3">
      <c r="B92" s="4" t="s">
        <v>79</v>
      </c>
      <c r="C92" s="4">
        <f t="array" ref="C92">FINV(0.05,D91,E91)</f>
        <v>2.8115435063326726</v>
      </c>
    </row>
    <row r="93" spans="2:21" x14ac:dyDescent="0.3">
      <c r="B93" s="5" t="s">
        <v>80</v>
      </c>
      <c r="C93" s="5"/>
    </row>
    <row r="94" spans="2:21" x14ac:dyDescent="0.3">
      <c r="B94" s="4" t="str">
        <f>IF(G89&gt;C92,"Tolak H0","Tak Tolak H0")</f>
        <v>Tolak H0</v>
      </c>
    </row>
  </sheetData>
  <mergeCells count="4">
    <mergeCell ref="H22:K22"/>
    <mergeCell ref="L22:O22"/>
    <mergeCell ref="H34:K34"/>
    <mergeCell ref="B61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L18" sqref="L18"/>
    </sheetView>
  </sheetViews>
  <sheetFormatPr defaultRowHeight="15" x14ac:dyDescent="0.25"/>
  <cols>
    <col min="1" max="1" width="12.5703125" customWidth="1"/>
    <col min="4" max="4" width="12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52.6</v>
      </c>
      <c r="C2" s="1">
        <v>49.4</v>
      </c>
      <c r="D2" s="1">
        <v>42.7</v>
      </c>
    </row>
    <row r="3" spans="1:4" x14ac:dyDescent="0.25">
      <c r="A3" s="1" t="s">
        <v>5</v>
      </c>
      <c r="B3" s="1">
        <v>56</v>
      </c>
      <c r="C3" s="1">
        <v>48.8</v>
      </c>
      <c r="D3" s="1">
        <v>49.2</v>
      </c>
    </row>
    <row r="4" spans="1:4" x14ac:dyDescent="0.25">
      <c r="A4" s="1" t="s">
        <v>4</v>
      </c>
      <c r="B4" s="1">
        <v>54.2</v>
      </c>
      <c r="C4" s="1">
        <v>49.2</v>
      </c>
      <c r="D4" s="1">
        <v>48.8</v>
      </c>
    </row>
    <row r="5" spans="1:4" x14ac:dyDescent="0.25">
      <c r="A5" s="1" t="s">
        <v>5</v>
      </c>
      <c r="B5" s="1">
        <v>48</v>
      </c>
      <c r="C5" s="1">
        <v>50.3</v>
      </c>
      <c r="D5" s="1">
        <v>44</v>
      </c>
    </row>
    <row r="6" spans="1:4" x14ac:dyDescent="0.25">
      <c r="A6" s="1" t="s">
        <v>4</v>
      </c>
      <c r="B6" s="1">
        <v>49.8</v>
      </c>
      <c r="C6" s="1">
        <v>42.8</v>
      </c>
      <c r="D6" s="1">
        <v>40.4</v>
      </c>
    </row>
    <row r="7" spans="1:4" x14ac:dyDescent="0.25">
      <c r="A7" s="1" t="s">
        <v>5</v>
      </c>
      <c r="B7" s="1">
        <v>49.6</v>
      </c>
      <c r="C7" s="1">
        <v>44</v>
      </c>
      <c r="D7" s="1">
        <v>42</v>
      </c>
    </row>
    <row r="8" spans="1:4" x14ac:dyDescent="0.25">
      <c r="A8" s="1" t="s">
        <v>4</v>
      </c>
      <c r="B8" s="1">
        <v>46.6</v>
      </c>
      <c r="C8" s="1">
        <v>53.2</v>
      </c>
      <c r="D8" s="1">
        <v>47.6</v>
      </c>
    </row>
    <row r="9" spans="1:4" x14ac:dyDescent="0.25">
      <c r="A9" s="1" t="s">
        <v>5</v>
      </c>
      <c r="B9" s="1">
        <v>48.4</v>
      </c>
      <c r="C9" s="1">
        <v>48.5</v>
      </c>
      <c r="D9" s="1">
        <v>43.2</v>
      </c>
    </row>
    <row r="33" spans="1:1" x14ac:dyDescent="0.25">
      <c r="A33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I17" sqref="I17"/>
    </sheetView>
  </sheetViews>
  <sheetFormatPr defaultRowHeight="15" x14ac:dyDescent="0.25"/>
  <cols>
    <col min="1" max="1" width="11" customWidth="1"/>
    <col min="2" max="2" width="10.85546875" customWidth="1"/>
    <col min="4" max="4" width="11.7109375" customWidth="1"/>
  </cols>
  <sheetData>
    <row r="1" spans="1:10" x14ac:dyDescent="0.25">
      <c r="B1" t="s">
        <v>1</v>
      </c>
      <c r="C1" t="s">
        <v>2</v>
      </c>
      <c r="D1" t="s">
        <v>3</v>
      </c>
      <c r="G1" s="2" t="s">
        <v>0</v>
      </c>
      <c r="H1" s="2" t="s">
        <v>1</v>
      </c>
      <c r="I1" s="2" t="s">
        <v>2</v>
      </c>
      <c r="J1" s="2" t="s">
        <v>3</v>
      </c>
    </row>
    <row r="2" spans="1:10" x14ac:dyDescent="0.25">
      <c r="A2" s="3" t="s">
        <v>4</v>
      </c>
      <c r="B2">
        <f>H2</f>
        <v>52.6</v>
      </c>
      <c r="C2">
        <f>I2</f>
        <v>49.4</v>
      </c>
      <c r="D2">
        <f>J2</f>
        <v>42.7</v>
      </c>
      <c r="G2" s="1" t="s">
        <v>4</v>
      </c>
      <c r="H2" s="1">
        <v>52.6</v>
      </c>
      <c r="I2" s="1">
        <v>49.4</v>
      </c>
      <c r="J2" s="1">
        <v>42.7</v>
      </c>
    </row>
    <row r="3" spans="1:10" x14ac:dyDescent="0.25">
      <c r="A3" s="3"/>
      <c r="B3">
        <f>H4</f>
        <v>54.2</v>
      </c>
      <c r="C3">
        <f>I4</f>
        <v>49.2</v>
      </c>
      <c r="D3">
        <f>J4</f>
        <v>48.8</v>
      </c>
      <c r="G3" s="1" t="s">
        <v>5</v>
      </c>
      <c r="H3" s="1">
        <v>56</v>
      </c>
      <c r="I3" s="1">
        <v>48.8</v>
      </c>
      <c r="J3" s="1">
        <v>49.2</v>
      </c>
    </row>
    <row r="4" spans="1:10" x14ac:dyDescent="0.25">
      <c r="A4" s="3"/>
      <c r="B4">
        <f>H6</f>
        <v>49.8</v>
      </c>
      <c r="C4">
        <f>I6</f>
        <v>42.8</v>
      </c>
      <c r="D4">
        <f>J6</f>
        <v>40.4</v>
      </c>
      <c r="G4" s="1" t="s">
        <v>4</v>
      </c>
      <c r="H4" s="1">
        <v>54.2</v>
      </c>
      <c r="I4" s="1">
        <v>49.2</v>
      </c>
      <c r="J4" s="1">
        <v>48.8</v>
      </c>
    </row>
    <row r="5" spans="1:10" x14ac:dyDescent="0.25">
      <c r="A5" s="3"/>
      <c r="B5">
        <f>H8</f>
        <v>46.6</v>
      </c>
      <c r="C5">
        <f>I8</f>
        <v>53.2</v>
      </c>
      <c r="D5">
        <f>J8</f>
        <v>47.6</v>
      </c>
      <c r="G5" s="1" t="s">
        <v>5</v>
      </c>
      <c r="H5" s="1">
        <v>48</v>
      </c>
      <c r="I5" s="1">
        <v>50.3</v>
      </c>
      <c r="J5" s="1">
        <v>44</v>
      </c>
    </row>
    <row r="6" spans="1:10" x14ac:dyDescent="0.25">
      <c r="A6" s="3" t="s">
        <v>5</v>
      </c>
      <c r="B6">
        <f>H3</f>
        <v>56</v>
      </c>
      <c r="C6">
        <f>I3</f>
        <v>48.8</v>
      </c>
      <c r="D6">
        <f>J3</f>
        <v>49.2</v>
      </c>
      <c r="G6" s="1" t="s">
        <v>4</v>
      </c>
      <c r="H6" s="1">
        <v>49.8</v>
      </c>
      <c r="I6" s="1">
        <v>42.8</v>
      </c>
      <c r="J6" s="1">
        <v>40.4</v>
      </c>
    </row>
    <row r="7" spans="1:10" x14ac:dyDescent="0.25">
      <c r="A7" s="3"/>
      <c r="B7">
        <f>H5</f>
        <v>48</v>
      </c>
      <c r="C7">
        <f>I5</f>
        <v>50.3</v>
      </c>
      <c r="D7">
        <f>J5</f>
        <v>44</v>
      </c>
      <c r="G7" s="1" t="s">
        <v>5</v>
      </c>
      <c r="H7" s="1">
        <v>49.6</v>
      </c>
      <c r="I7" s="1">
        <v>44</v>
      </c>
      <c r="J7" s="1">
        <v>42</v>
      </c>
    </row>
    <row r="8" spans="1:10" x14ac:dyDescent="0.25">
      <c r="A8" s="3"/>
      <c r="B8">
        <f>H7</f>
        <v>49.6</v>
      </c>
      <c r="C8">
        <f>I7</f>
        <v>44</v>
      </c>
      <c r="D8">
        <f>J7</f>
        <v>42</v>
      </c>
      <c r="G8" s="1" t="s">
        <v>4</v>
      </c>
      <c r="H8" s="1">
        <v>46.6</v>
      </c>
      <c r="I8" s="1">
        <v>53.2</v>
      </c>
      <c r="J8" s="1">
        <v>47.6</v>
      </c>
    </row>
    <row r="9" spans="1:10" x14ac:dyDescent="0.25">
      <c r="A9" s="3"/>
      <c r="B9">
        <f>H9</f>
        <v>48.4</v>
      </c>
      <c r="C9">
        <f>I9</f>
        <v>48.5</v>
      </c>
      <c r="D9">
        <f>J9</f>
        <v>43.2</v>
      </c>
      <c r="G9" s="1" t="s">
        <v>5</v>
      </c>
      <c r="H9" s="1">
        <v>48.4</v>
      </c>
      <c r="I9" s="1">
        <v>48.5</v>
      </c>
      <c r="J9" s="1">
        <v>43.2</v>
      </c>
    </row>
    <row r="10" spans="1:10" x14ac:dyDescent="0.25">
      <c r="A10" s="3" t="s">
        <v>6</v>
      </c>
      <c r="B10" s="3" t="s">
        <v>7</v>
      </c>
      <c r="C10" s="3"/>
      <c r="D10" s="3"/>
    </row>
    <row r="11" spans="1:10" x14ac:dyDescent="0.25">
      <c r="A11" s="3"/>
      <c r="B11" t="s">
        <v>1</v>
      </c>
      <c r="C11" t="s">
        <v>2</v>
      </c>
      <c r="D11" t="s">
        <v>3</v>
      </c>
      <c r="G11" t="s">
        <v>16</v>
      </c>
    </row>
    <row r="12" spans="1:10" x14ac:dyDescent="0.25">
      <c r="A12" t="s">
        <v>4</v>
      </c>
      <c r="B12">
        <f>AVERAGE('Data dan Plot'!B2,'Data dan Plot'!B4,'Data dan Plot'!B6,'Data dan Plot'!B8)</f>
        <v>50.800000000000004</v>
      </c>
      <c r="C12">
        <f>AVERAGE('Data dan Plot'!C2,'Data dan Plot'!C4,'Data dan Plot'!C6,'Data dan Plot'!C8)</f>
        <v>48.649999999999991</v>
      </c>
      <c r="D12">
        <f>AVERAGE('Data dan Plot'!D2,'Data dan Plot'!D4,'Data dan Plot'!D6,'Data dan Plot'!D8)</f>
        <v>44.875</v>
      </c>
      <c r="G12" t="s">
        <v>18</v>
      </c>
    </row>
    <row r="13" spans="1:10" x14ac:dyDescent="0.25">
      <c r="A13" t="s">
        <v>5</v>
      </c>
      <c r="B13">
        <f>AVERAGE('Data dan Plot'!B3,'Data dan Plot'!B5,'Data dan Plot'!B7,'Data dan Plot'!B9)</f>
        <v>50.5</v>
      </c>
      <c r="C13">
        <f>AVERAGE('Data dan Plot'!C3,'Data dan Plot'!C5,'Data dan Plot'!C7,'Data dan Plot'!C9)</f>
        <v>47.9</v>
      </c>
      <c r="D13">
        <f>AVERAGE('Data dan Plot'!D3,'Data dan Plot'!D5,'Data dan Plot'!D7,'Data dan Plot'!D9)</f>
        <v>44.599999999999994</v>
      </c>
      <c r="G13" t="s">
        <v>19</v>
      </c>
      <c r="H13" t="s">
        <v>21</v>
      </c>
    </row>
    <row r="14" spans="1:10" x14ac:dyDescent="0.25">
      <c r="G14" t="s">
        <v>20</v>
      </c>
      <c r="H14" t="s">
        <v>22</v>
      </c>
    </row>
    <row r="15" spans="1:10" x14ac:dyDescent="0.25">
      <c r="A15" t="s">
        <v>12</v>
      </c>
      <c r="B15">
        <v>12</v>
      </c>
    </row>
    <row r="16" spans="1:10" x14ac:dyDescent="0.25">
      <c r="A16" t="s">
        <v>13</v>
      </c>
      <c r="B16">
        <v>12</v>
      </c>
      <c r="G16" t="s">
        <v>23</v>
      </c>
      <c r="H16">
        <v>0.05</v>
      </c>
    </row>
    <row r="17" spans="1:8" x14ac:dyDescent="0.25">
      <c r="A17" t="s">
        <v>14</v>
      </c>
      <c r="B17">
        <v>3</v>
      </c>
    </row>
    <row r="18" spans="1:8" x14ac:dyDescent="0.25">
      <c r="G18" t="s">
        <v>24</v>
      </c>
    </row>
    <row r="19" spans="1:8" x14ac:dyDescent="0.25">
      <c r="A19" t="s">
        <v>8</v>
      </c>
      <c r="B19">
        <v>50.800000000000004</v>
      </c>
      <c r="D19" t="s">
        <v>9</v>
      </c>
      <c r="E19">
        <f>B13</f>
        <v>50.5</v>
      </c>
      <c r="G19" t="s">
        <v>17</v>
      </c>
      <c r="H19" t="s">
        <v>25</v>
      </c>
    </row>
    <row r="20" spans="1:8" x14ac:dyDescent="0.25">
      <c r="B20">
        <v>48.649999999999991</v>
      </c>
      <c r="E20">
        <f>C13</f>
        <v>47.9</v>
      </c>
      <c r="H20">
        <f t="array" ref="H20">MMULT(MMULT(MMULT(MMULT(TRANSPOSE(A24:A26),TRANSPOSE(B32:D33)),C38:D39),B32:D33),A24:A26)</f>
        <v>5.9514211327901106E-2</v>
      </c>
    </row>
    <row r="21" spans="1:8" x14ac:dyDescent="0.25">
      <c r="B21">
        <v>44.875</v>
      </c>
      <c r="E21">
        <f>D13</f>
        <v>44.599999999999994</v>
      </c>
    </row>
    <row r="22" spans="1:8" x14ac:dyDescent="0.25">
      <c r="G22" t="s">
        <v>31</v>
      </c>
    </row>
    <row r="23" spans="1:8" x14ac:dyDescent="0.25">
      <c r="A23" t="s">
        <v>10</v>
      </c>
      <c r="G23" t="s">
        <v>32</v>
      </c>
    </row>
    <row r="24" spans="1:8" x14ac:dyDescent="0.25">
      <c r="A24">
        <f>B19-E19</f>
        <v>0.30000000000000426</v>
      </c>
      <c r="G24" t="s">
        <v>29</v>
      </c>
      <c r="H24" t="s">
        <v>30</v>
      </c>
    </row>
    <row r="25" spans="1:8" x14ac:dyDescent="0.25">
      <c r="A25">
        <f>B20-E20</f>
        <v>0.74999999999999289</v>
      </c>
      <c r="H25">
        <f>((B15+B16-2)*(B17-1)/(B15+B16-B17))*FINV(H16,B17-1,B15+B16-B17)</f>
        <v>7.2637716622793507</v>
      </c>
    </row>
    <row r="26" spans="1:8" x14ac:dyDescent="0.25">
      <c r="A26">
        <f>B21-E21</f>
        <v>0.27500000000000568</v>
      </c>
      <c r="G26" t="s">
        <v>33</v>
      </c>
    </row>
    <row r="27" spans="1:8" x14ac:dyDescent="0.25">
      <c r="G27" t="s">
        <v>34</v>
      </c>
    </row>
    <row r="28" spans="1:8" x14ac:dyDescent="0.25">
      <c r="A28" t="s">
        <v>15</v>
      </c>
      <c r="B28">
        <f>_xlfn.VAR.S(B2:B9)</f>
        <v>10.762857142857145</v>
      </c>
      <c r="C28">
        <f>_xlfn.COVARIANCE.S(B2:B9,C2:C9)</f>
        <v>-1.1985714285714271</v>
      </c>
      <c r="D28">
        <f>_xlfn.COVARIANCE.S(B2:B9,D2:D9)</f>
        <v>4.9578571428571454</v>
      </c>
    </row>
    <row r="29" spans="1:8" x14ac:dyDescent="0.25">
      <c r="B29">
        <v>-1.1985714285714271</v>
      </c>
      <c r="C29">
        <f>_xlfn.VAR.S(C2:C9)</f>
        <v>11.293571428571434</v>
      </c>
      <c r="D29">
        <f>_xlfn.COVARIANCE.S(B2:B9,C2:C9)</f>
        <v>-1.1985714285714271</v>
      </c>
    </row>
    <row r="30" spans="1:8" x14ac:dyDescent="0.25">
      <c r="B30">
        <v>4.9578571428571454</v>
      </c>
      <c r="C30">
        <f>D29</f>
        <v>-1.1985714285714271</v>
      </c>
      <c r="D30">
        <f>_xlfn.VAR.S(D2:D9)</f>
        <v>11.139821428571429</v>
      </c>
    </row>
    <row r="32" spans="1:8" x14ac:dyDescent="0.25">
      <c r="A32" t="s">
        <v>26</v>
      </c>
      <c r="B32">
        <v>-1</v>
      </c>
      <c r="C32">
        <v>1</v>
      </c>
      <c r="D32">
        <v>0</v>
      </c>
    </row>
    <row r="33" spans="1:4" x14ac:dyDescent="0.25">
      <c r="B33">
        <v>0</v>
      </c>
      <c r="C33">
        <v>-1</v>
      </c>
      <c r="D33">
        <v>1</v>
      </c>
    </row>
    <row r="35" spans="1:4" x14ac:dyDescent="0.25">
      <c r="A35" t="s">
        <v>27</v>
      </c>
      <c r="C35">
        <f t="array" ref="C35:D36">((1/B15)+(1/B16))*MMULT(MMULT(B32:D33,B28:D30),TRANSPOSE(B32:D33))</f>
        <v>4.0755952380952385</v>
      </c>
      <c r="D35">
        <v>-3.1080952380952387</v>
      </c>
    </row>
    <row r="36" spans="1:4" x14ac:dyDescent="0.25">
      <c r="C36">
        <v>-3.1080952380952387</v>
      </c>
      <c r="D36">
        <v>4.1384226190476188</v>
      </c>
    </row>
    <row r="38" spans="1:4" x14ac:dyDescent="0.25">
      <c r="A38" t="s">
        <v>28</v>
      </c>
      <c r="C38">
        <f t="array" ref="C38:D39">MINVERSE(C35:D36)</f>
        <v>0.57428005853869968</v>
      </c>
      <c r="D38">
        <v>0.43130373081325196</v>
      </c>
    </row>
    <row r="39" spans="1:4" x14ac:dyDescent="0.25">
      <c r="C39">
        <v>0.43130373081325202</v>
      </c>
      <c r="D39">
        <v>0.56556163721432817</v>
      </c>
    </row>
  </sheetData>
  <mergeCells count="4">
    <mergeCell ref="A10:A11"/>
    <mergeCell ref="B10:D10"/>
    <mergeCell ref="A2:A5"/>
    <mergeCell ref="A6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G22" sqref="G22"/>
    </sheetView>
  </sheetViews>
  <sheetFormatPr defaultRowHeight="15" x14ac:dyDescent="0.25"/>
  <cols>
    <col min="1" max="1" width="11.85546875" customWidth="1"/>
    <col min="2" max="2" width="21.28515625" customWidth="1"/>
    <col min="4" max="4" width="11.28515625" customWidth="1"/>
  </cols>
  <sheetData>
    <row r="1" spans="1:11" x14ac:dyDescent="0.25">
      <c r="B1" t="s">
        <v>1</v>
      </c>
      <c r="C1" t="s">
        <v>2</v>
      </c>
      <c r="D1" t="s">
        <v>3</v>
      </c>
      <c r="G1" t="s">
        <v>16</v>
      </c>
    </row>
    <row r="2" spans="1:11" x14ac:dyDescent="0.25">
      <c r="A2" t="s">
        <v>4</v>
      </c>
      <c r="B2">
        <v>52.6</v>
      </c>
      <c r="C2">
        <v>49.4</v>
      </c>
      <c r="D2">
        <v>42.7</v>
      </c>
      <c r="G2" t="s">
        <v>18</v>
      </c>
    </row>
    <row r="3" spans="1:11" x14ac:dyDescent="0.25">
      <c r="B3">
        <v>54.2</v>
      </c>
      <c r="C3">
        <v>49.2</v>
      </c>
      <c r="D3">
        <v>48.8</v>
      </c>
      <c r="G3" t="s">
        <v>19</v>
      </c>
      <c r="H3" t="s">
        <v>35</v>
      </c>
    </row>
    <row r="4" spans="1:11" x14ac:dyDescent="0.25">
      <c r="B4">
        <v>49.8</v>
      </c>
      <c r="C4">
        <v>42.8</v>
      </c>
      <c r="D4">
        <v>40.4</v>
      </c>
      <c r="G4" t="s">
        <v>20</v>
      </c>
      <c r="H4" t="s">
        <v>36</v>
      </c>
    </row>
    <row r="5" spans="1:11" x14ac:dyDescent="0.25">
      <c r="B5">
        <v>46.6</v>
      </c>
      <c r="C5">
        <v>53.2</v>
      </c>
      <c r="D5">
        <v>47.6</v>
      </c>
    </row>
    <row r="6" spans="1:11" x14ac:dyDescent="0.25">
      <c r="A6" t="s">
        <v>5</v>
      </c>
      <c r="B6">
        <v>56</v>
      </c>
      <c r="C6">
        <v>48.8</v>
      </c>
      <c r="D6">
        <v>49.2</v>
      </c>
      <c r="G6" t="s">
        <v>23</v>
      </c>
      <c r="H6">
        <v>0.05</v>
      </c>
    </row>
    <row r="7" spans="1:11" x14ac:dyDescent="0.25">
      <c r="B7">
        <v>48</v>
      </c>
      <c r="C7">
        <v>50.3</v>
      </c>
      <c r="D7">
        <v>44</v>
      </c>
    </row>
    <row r="8" spans="1:11" x14ac:dyDescent="0.25">
      <c r="B8">
        <v>49.6</v>
      </c>
      <c r="C8">
        <v>44</v>
      </c>
      <c r="D8">
        <v>42</v>
      </c>
      <c r="G8" t="s">
        <v>24</v>
      </c>
    </row>
    <row r="9" spans="1:11" x14ac:dyDescent="0.25">
      <c r="B9">
        <v>48.4</v>
      </c>
      <c r="C9">
        <v>48.5</v>
      </c>
      <c r="D9">
        <v>43.2</v>
      </c>
      <c r="G9" t="s">
        <v>17</v>
      </c>
      <c r="H9" t="s">
        <v>40</v>
      </c>
    </row>
    <row r="10" spans="1:11" x14ac:dyDescent="0.25">
      <c r="A10" s="3" t="s">
        <v>6</v>
      </c>
      <c r="B10" s="3" t="s">
        <v>7</v>
      </c>
      <c r="C10" s="3"/>
      <c r="D10" s="3"/>
      <c r="H10">
        <f t="array" ref="H10">MMULT(MMULT(MMULT(MMULT(TRANSPOSE(B32:B34),A24:A26),C38),TRANSPOSE(B32:B34)),A24:A26)</f>
        <v>0.2749057456694281</v>
      </c>
    </row>
    <row r="11" spans="1:11" x14ac:dyDescent="0.25">
      <c r="A11" s="3"/>
      <c r="B11" t="s">
        <v>1</v>
      </c>
      <c r="C11" t="s">
        <v>2</v>
      </c>
      <c r="D11" t="s">
        <v>3</v>
      </c>
    </row>
    <row r="12" spans="1:11" x14ac:dyDescent="0.25">
      <c r="A12" t="s">
        <v>4</v>
      </c>
      <c r="B12">
        <v>50.800000000000004</v>
      </c>
      <c r="C12">
        <v>48.649999999999991</v>
      </c>
      <c r="D12">
        <v>44.875</v>
      </c>
      <c r="G12" t="s">
        <v>31</v>
      </c>
    </row>
    <row r="13" spans="1:11" x14ac:dyDescent="0.25">
      <c r="A13" t="s">
        <v>5</v>
      </c>
      <c r="B13">
        <v>50.5</v>
      </c>
      <c r="C13">
        <v>47.9</v>
      </c>
      <c r="D13">
        <v>44.599999999999994</v>
      </c>
      <c r="G13" t="s">
        <v>32</v>
      </c>
    </row>
    <row r="14" spans="1:11" x14ac:dyDescent="0.25">
      <c r="G14" t="s">
        <v>29</v>
      </c>
      <c r="H14" t="s">
        <v>41</v>
      </c>
      <c r="K14" t="s">
        <v>42</v>
      </c>
    </row>
    <row r="15" spans="1:11" x14ac:dyDescent="0.25">
      <c r="A15" t="s">
        <v>12</v>
      </c>
      <c r="B15">
        <v>12</v>
      </c>
      <c r="H15">
        <f>(_xlfn.T.INV(1-(H6/2),B15+B16-B17))^2</f>
        <v>4.3247937431830428</v>
      </c>
      <c r="K15">
        <f>FINV(H6,B17-1,B15+B16-B17)</f>
        <v>3.4668001115424172</v>
      </c>
    </row>
    <row r="16" spans="1:11" x14ac:dyDescent="0.25">
      <c r="A16" t="s">
        <v>13</v>
      </c>
      <c r="B16">
        <v>12</v>
      </c>
    </row>
    <row r="17" spans="1:9" x14ac:dyDescent="0.25">
      <c r="A17" t="s">
        <v>14</v>
      </c>
      <c r="B17">
        <v>3</v>
      </c>
      <c r="G17" t="s">
        <v>43</v>
      </c>
    </row>
    <row r="18" spans="1:9" x14ac:dyDescent="0.25">
      <c r="G18" t="s">
        <v>44</v>
      </c>
      <c r="I18" t="s">
        <v>46</v>
      </c>
    </row>
    <row r="19" spans="1:9" x14ac:dyDescent="0.25">
      <c r="A19" t="s">
        <v>8</v>
      </c>
      <c r="B19">
        <v>50.800000000000004</v>
      </c>
      <c r="D19" t="s">
        <v>9</v>
      </c>
      <c r="E19">
        <v>50.5</v>
      </c>
      <c r="G19" t="s">
        <v>45</v>
      </c>
    </row>
    <row r="20" spans="1:9" x14ac:dyDescent="0.25">
      <c r="B20">
        <v>48.649999999999991</v>
      </c>
      <c r="E20">
        <v>47.9</v>
      </c>
      <c r="G20" t="s">
        <v>47</v>
      </c>
    </row>
    <row r="21" spans="1:9" x14ac:dyDescent="0.25">
      <c r="B21">
        <v>44.875</v>
      </c>
      <c r="E21">
        <v>44.599999999999994</v>
      </c>
      <c r="G21" t="s">
        <v>48</v>
      </c>
    </row>
    <row r="23" spans="1:9" x14ac:dyDescent="0.25">
      <c r="A23" t="s">
        <v>10</v>
      </c>
    </row>
    <row r="24" spans="1:9" x14ac:dyDescent="0.25">
      <c r="A24">
        <v>0.30000000000000426</v>
      </c>
    </row>
    <row r="25" spans="1:9" x14ac:dyDescent="0.25">
      <c r="A25">
        <v>0.74999999999999289</v>
      </c>
    </row>
    <row r="26" spans="1:9" x14ac:dyDescent="0.25">
      <c r="A26">
        <v>0.27500000000000568</v>
      </c>
    </row>
    <row r="28" spans="1:9" x14ac:dyDescent="0.25">
      <c r="A28" t="s">
        <v>15</v>
      </c>
      <c r="B28">
        <v>10.762857142857145</v>
      </c>
      <c r="C28">
        <v>-1.1985714285714271</v>
      </c>
      <c r="D28">
        <v>4.9578571428571454</v>
      </c>
    </row>
    <row r="29" spans="1:9" x14ac:dyDescent="0.25">
      <c r="B29">
        <v>-1.1985714285714271</v>
      </c>
      <c r="C29">
        <v>11.293571428571434</v>
      </c>
      <c r="D29">
        <v>-1.1985714285714271</v>
      </c>
    </row>
    <row r="30" spans="1:9" x14ac:dyDescent="0.25">
      <c r="B30">
        <v>4.9578571428571454</v>
      </c>
      <c r="C30">
        <v>-1.1985714285714271</v>
      </c>
      <c r="D30">
        <v>11.139821428571429</v>
      </c>
    </row>
    <row r="32" spans="1:9" x14ac:dyDescent="0.25">
      <c r="A32" t="s">
        <v>37</v>
      </c>
      <c r="B32">
        <v>1</v>
      </c>
    </row>
    <row r="33" spans="1:3" x14ac:dyDescent="0.25">
      <c r="B33">
        <v>1</v>
      </c>
    </row>
    <row r="34" spans="1:3" x14ac:dyDescent="0.25">
      <c r="B34">
        <v>1</v>
      </c>
    </row>
    <row r="36" spans="1:3" x14ac:dyDescent="0.25">
      <c r="A36" t="s">
        <v>38</v>
      </c>
      <c r="C36">
        <f t="array" ref="C36">((1/B15)+(1/B16))*MMULT(MMULT(TRANSPOSE(B32:B34),B28:D30),B32:B34)</f>
        <v>6.3862797619047651</v>
      </c>
    </row>
    <row r="38" spans="1:3" x14ac:dyDescent="0.25">
      <c r="A38" t="s">
        <v>39</v>
      </c>
      <c r="C38">
        <f t="array" ref="C38">MINVERSE(C36)</f>
        <v>0.15658568639056003</v>
      </c>
    </row>
  </sheetData>
  <mergeCells count="2">
    <mergeCell ref="A10:A11"/>
    <mergeCell ref="B10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E11" sqref="E11"/>
    </sheetView>
  </sheetViews>
  <sheetFormatPr defaultRowHeight="15" x14ac:dyDescent="0.25"/>
  <cols>
    <col min="1" max="1" width="11.5703125" customWidth="1"/>
    <col min="4" max="4" width="11.140625" customWidth="1"/>
  </cols>
  <sheetData>
    <row r="1" spans="1:8" x14ac:dyDescent="0.25">
      <c r="B1" t="s">
        <v>1</v>
      </c>
      <c r="C1" t="s">
        <v>2</v>
      </c>
      <c r="D1" t="s">
        <v>3</v>
      </c>
      <c r="G1" t="s">
        <v>16</v>
      </c>
    </row>
    <row r="2" spans="1:8" x14ac:dyDescent="0.25">
      <c r="A2" t="s">
        <v>4</v>
      </c>
      <c r="B2">
        <v>52.6</v>
      </c>
      <c r="C2">
        <v>49.4</v>
      </c>
      <c r="D2">
        <v>42.7</v>
      </c>
      <c r="G2" t="s">
        <v>18</v>
      </c>
    </row>
    <row r="3" spans="1:8" x14ac:dyDescent="0.25">
      <c r="B3">
        <v>54.2</v>
      </c>
      <c r="C3">
        <v>49.2</v>
      </c>
      <c r="D3">
        <v>48.8</v>
      </c>
      <c r="G3" t="s">
        <v>19</v>
      </c>
      <c r="H3" t="s">
        <v>52</v>
      </c>
    </row>
    <row r="4" spans="1:8" x14ac:dyDescent="0.25">
      <c r="B4">
        <v>49.8</v>
      </c>
      <c r="C4">
        <v>42.8</v>
      </c>
      <c r="D4">
        <v>40.4</v>
      </c>
      <c r="G4" t="s">
        <v>20</v>
      </c>
      <c r="H4" t="s">
        <v>53</v>
      </c>
    </row>
    <row r="5" spans="1:8" x14ac:dyDescent="0.25">
      <c r="B5">
        <v>46.6</v>
      </c>
      <c r="C5">
        <v>53.2</v>
      </c>
      <c r="D5">
        <v>47.6</v>
      </c>
    </row>
    <row r="6" spans="1:8" x14ac:dyDescent="0.25">
      <c r="A6" t="s">
        <v>5</v>
      </c>
      <c r="B6">
        <v>56</v>
      </c>
      <c r="C6">
        <v>48.8</v>
      </c>
      <c r="D6">
        <v>49.2</v>
      </c>
      <c r="G6" t="s">
        <v>23</v>
      </c>
      <c r="H6">
        <v>0.05</v>
      </c>
    </row>
    <row r="7" spans="1:8" x14ac:dyDescent="0.25">
      <c r="B7">
        <v>48</v>
      </c>
      <c r="C7">
        <v>50.3</v>
      </c>
      <c r="D7">
        <v>44</v>
      </c>
    </row>
    <row r="8" spans="1:8" x14ac:dyDescent="0.25">
      <c r="B8">
        <v>49.6</v>
      </c>
      <c r="C8">
        <v>44</v>
      </c>
      <c r="D8">
        <v>42</v>
      </c>
      <c r="G8" t="s">
        <v>24</v>
      </c>
    </row>
    <row r="9" spans="1:8" x14ac:dyDescent="0.25">
      <c r="B9">
        <v>48.4</v>
      </c>
      <c r="C9">
        <v>48.5</v>
      </c>
      <c r="D9">
        <v>43.2</v>
      </c>
      <c r="G9" t="s">
        <v>54</v>
      </c>
      <c r="H9" t="s">
        <v>55</v>
      </c>
    </row>
    <row r="10" spans="1:8" x14ac:dyDescent="0.25">
      <c r="A10" s="3" t="s">
        <v>6</v>
      </c>
      <c r="B10" s="3" t="s">
        <v>7</v>
      </c>
      <c r="C10" s="3"/>
      <c r="D10" s="3"/>
      <c r="H10">
        <f t="array" ref="H10">(B15+B16)*MMULT(MMULT(MMULT(MMULT(TRANSPOSE(B23:B25),TRANSPOSE(B32:D33)),B38:C39),B32:D33),B23:B25)</f>
        <v>70.255737054851721</v>
      </c>
    </row>
    <row r="11" spans="1:8" x14ac:dyDescent="0.25">
      <c r="A11" s="3"/>
      <c r="B11" t="s">
        <v>1</v>
      </c>
      <c r="C11" t="s">
        <v>2</v>
      </c>
      <c r="D11" t="s">
        <v>3</v>
      </c>
    </row>
    <row r="12" spans="1:8" x14ac:dyDescent="0.25">
      <c r="A12" t="s">
        <v>4</v>
      </c>
      <c r="B12">
        <v>50.800000000000004</v>
      </c>
      <c r="C12">
        <v>48.649999999999991</v>
      </c>
      <c r="D12">
        <v>44.875</v>
      </c>
      <c r="G12" t="s">
        <v>31</v>
      </c>
    </row>
    <row r="13" spans="1:8" x14ac:dyDescent="0.25">
      <c r="A13" t="s">
        <v>5</v>
      </c>
      <c r="B13">
        <v>50.5</v>
      </c>
      <c r="C13">
        <v>47.9</v>
      </c>
      <c r="D13">
        <v>44.599999999999994</v>
      </c>
      <c r="G13" t="s">
        <v>56</v>
      </c>
    </row>
    <row r="15" spans="1:8" x14ac:dyDescent="0.25">
      <c r="A15" t="s">
        <v>12</v>
      </c>
      <c r="B15">
        <v>12</v>
      </c>
      <c r="G15" t="s">
        <v>29</v>
      </c>
      <c r="H15" t="s">
        <v>42</v>
      </c>
    </row>
    <row r="16" spans="1:8" x14ac:dyDescent="0.25">
      <c r="A16" t="s">
        <v>13</v>
      </c>
      <c r="B16">
        <v>12</v>
      </c>
      <c r="H16">
        <f>FINV(H6,B17-1,B15+B16-B17)</f>
        <v>3.4668001115424172</v>
      </c>
    </row>
    <row r="17" spans="1:9" x14ac:dyDescent="0.25">
      <c r="A17" t="s">
        <v>14</v>
      </c>
      <c r="B17">
        <v>3</v>
      </c>
    </row>
    <row r="18" spans="1:9" x14ac:dyDescent="0.25">
      <c r="G18" t="s">
        <v>57</v>
      </c>
    </row>
    <row r="19" spans="1:9" x14ac:dyDescent="0.25">
      <c r="A19" t="s">
        <v>8</v>
      </c>
      <c r="B19">
        <v>50.800000000000004</v>
      </c>
      <c r="D19" t="s">
        <v>9</v>
      </c>
      <c r="E19">
        <v>50.5</v>
      </c>
      <c r="G19" t="s">
        <v>44</v>
      </c>
      <c r="I19" t="s">
        <v>58</v>
      </c>
    </row>
    <row r="20" spans="1:9" x14ac:dyDescent="0.25">
      <c r="B20">
        <v>48.649999999999991</v>
      </c>
      <c r="E20">
        <v>47.9</v>
      </c>
      <c r="G20" t="s">
        <v>45</v>
      </c>
    </row>
    <row r="21" spans="1:9" x14ac:dyDescent="0.25">
      <c r="B21">
        <v>44.875</v>
      </c>
      <c r="E21">
        <v>44.599999999999994</v>
      </c>
      <c r="G21" t="s">
        <v>59</v>
      </c>
    </row>
    <row r="22" spans="1:9" x14ac:dyDescent="0.25">
      <c r="G22" t="s">
        <v>60</v>
      </c>
    </row>
    <row r="23" spans="1:9" x14ac:dyDescent="0.25">
      <c r="A23" t="s">
        <v>49</v>
      </c>
      <c r="B23">
        <f>(($B$15/($B$15+$B$16))*B19)+(($B$16/($B$15+$B$16))*E19)</f>
        <v>50.650000000000006</v>
      </c>
    </row>
    <row r="24" spans="1:9" x14ac:dyDescent="0.25">
      <c r="B24">
        <f t="shared" ref="B24:B25" si="0">(($B$15/($B$15+$B$16))*B20)+(($B$16/($B$15+$B$16))*E20)</f>
        <v>48.274999999999991</v>
      </c>
    </row>
    <row r="25" spans="1:9" x14ac:dyDescent="0.25">
      <c r="B25">
        <f t="shared" si="0"/>
        <v>44.737499999999997</v>
      </c>
    </row>
    <row r="28" spans="1:9" x14ac:dyDescent="0.25">
      <c r="A28" t="s">
        <v>15</v>
      </c>
      <c r="B28">
        <v>10.762857142857145</v>
      </c>
      <c r="C28">
        <v>-1.1985714285714271</v>
      </c>
      <c r="D28">
        <v>4.9578571428571454</v>
      </c>
    </row>
    <row r="29" spans="1:9" x14ac:dyDescent="0.25">
      <c r="B29">
        <v>-1.1985714285714271</v>
      </c>
      <c r="C29">
        <v>11.293571428571434</v>
      </c>
      <c r="D29">
        <v>-1.1985714285714271</v>
      </c>
    </row>
    <row r="30" spans="1:9" x14ac:dyDescent="0.25">
      <c r="B30">
        <v>4.9578571428571454</v>
      </c>
      <c r="C30">
        <v>-1.1985714285714271</v>
      </c>
      <c r="D30">
        <v>11.139821428571429</v>
      </c>
    </row>
    <row r="32" spans="1:9" x14ac:dyDescent="0.25">
      <c r="A32" t="s">
        <v>26</v>
      </c>
      <c r="B32">
        <v>-1</v>
      </c>
      <c r="C32">
        <v>1</v>
      </c>
      <c r="D32">
        <v>0</v>
      </c>
    </row>
    <row r="33" spans="1:4" x14ac:dyDescent="0.25">
      <c r="B33">
        <v>0</v>
      </c>
      <c r="C33">
        <v>-1</v>
      </c>
      <c r="D33">
        <v>1</v>
      </c>
    </row>
    <row r="35" spans="1:4" x14ac:dyDescent="0.25">
      <c r="A35" t="s">
        <v>50</v>
      </c>
      <c r="B35">
        <f t="array" ref="B35:C36">MMULT(MMULT(B32:D33,B28:D30),TRANSPOSE(B32:D33))</f>
        <v>24.453571428571433</v>
      </c>
      <c r="C35">
        <v>-18.648571428571433</v>
      </c>
    </row>
    <row r="36" spans="1:4" x14ac:dyDescent="0.25">
      <c r="B36">
        <v>-18.648571428571433</v>
      </c>
      <c r="C36">
        <v>24.830535714285716</v>
      </c>
    </row>
    <row r="38" spans="1:4" x14ac:dyDescent="0.25">
      <c r="A38" t="s">
        <v>51</v>
      </c>
      <c r="B38">
        <f t="array" ref="B38:C39">MINVERSE(B35:C36)</f>
        <v>9.5713343089783243E-2</v>
      </c>
      <c r="C38">
        <v>7.1883955135541966E-2</v>
      </c>
    </row>
    <row r="39" spans="1:4" x14ac:dyDescent="0.25">
      <c r="B39">
        <v>7.1883955135541966E-2</v>
      </c>
      <c r="C39">
        <v>9.4260272869054668E-2</v>
      </c>
    </row>
  </sheetData>
  <mergeCells count="2">
    <mergeCell ref="B10:D10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Latsol 1</vt:lpstr>
      <vt:lpstr>Data dan Plot</vt:lpstr>
      <vt:lpstr>Uji Kesejajaran</vt:lpstr>
      <vt:lpstr>Uji Keberhimpitan</vt:lpstr>
      <vt:lpstr>Uji Kesamaan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2022-03-17T20:57:11Z</dcterms:modified>
</cp:coreProperties>
</file>