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BISMILLAH\APG\"/>
    </mc:Choice>
  </mc:AlternateContent>
  <xr:revisionPtr revIDLastSave="0" documentId="13_ncr:1_{9E35D0E3-988F-462F-B7BC-09535017A557}" xr6:coauthVersionLast="45" xr6:coauthVersionMax="45" xr10:uidLastSave="{00000000-0000-0000-0000-000000000000}"/>
  <bookViews>
    <workbookView xWindow="312" yWindow="1044" windowWidth="14664" windowHeight="8964" activeTab="2" xr2:uid="{925044FE-B2CF-44B2-8A62-0296BEAC4349}"/>
  </bookViews>
  <sheets>
    <sheet name="1" sheetId="1" r:id="rId1"/>
    <sheet name="2" sheetId="2" r:id="rId2"/>
    <sheet name="no.1" sheetId="3" r:id="rId3"/>
    <sheet name="no.2" sheetId="4" r:id="rId4"/>
    <sheet name="no.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" i="4" l="1"/>
  <c r="E32" i="4"/>
  <c r="G28" i="4"/>
  <c r="E28" i="4"/>
  <c r="G24" i="4"/>
  <c r="E24" i="4"/>
  <c r="F34" i="4"/>
  <c r="F30" i="4"/>
  <c r="F26" i="4"/>
  <c r="I25" i="4"/>
  <c r="I24" i="4"/>
  <c r="I23" i="4"/>
  <c r="C30" i="4"/>
  <c r="A30" i="4"/>
  <c r="C31" i="4"/>
  <c r="C27" i="4"/>
  <c r="A27" i="4"/>
  <c r="C28" i="4"/>
  <c r="C24" i="4"/>
  <c r="A24" i="4"/>
  <c r="C25" i="4"/>
  <c r="G14" i="4"/>
  <c r="G15" i="4" s="1"/>
  <c r="I12" i="4"/>
  <c r="G12" i="4"/>
  <c r="G10" i="4"/>
  <c r="G9" i="4" a="1"/>
  <c r="G9" i="4" s="1"/>
  <c r="C5" i="3"/>
  <c r="B5" i="3"/>
  <c r="B18" i="4" a="1"/>
  <c r="B19" i="4" s="1"/>
  <c r="I9" i="4" l="1"/>
  <c r="H9" i="4"/>
  <c r="B20" i="4"/>
  <c r="D18" i="4"/>
  <c r="C18" i="4"/>
  <c r="B18" i="4"/>
  <c r="D19" i="4"/>
  <c r="D20" i="4"/>
  <c r="C19" i="4"/>
  <c r="C20" i="4"/>
  <c r="H5" i="4" l="1"/>
  <c r="H6" i="4"/>
  <c r="H4" i="4"/>
  <c r="C16" i="4"/>
  <c r="B16" i="4"/>
  <c r="B15" i="4"/>
  <c r="D15" i="4"/>
  <c r="D14" i="4"/>
  <c r="C14" i="4"/>
  <c r="D16" i="4"/>
  <c r="C15" i="4"/>
  <c r="B14" i="4"/>
  <c r="C12" i="4"/>
  <c r="D12" i="4"/>
  <c r="B12" i="4"/>
  <c r="B12" i="3"/>
  <c r="B13" i="3" a="1"/>
  <c r="D13" i="3" s="1"/>
  <c r="B11" i="3"/>
  <c r="C13" i="3" l="1"/>
  <c r="B13" i="3"/>
  <c r="B29" i="2"/>
  <c r="E28" i="2"/>
  <c r="B27" i="2"/>
  <c r="E24" i="2"/>
  <c r="E23" i="2"/>
  <c r="B25" i="2"/>
  <c r="B23" i="2"/>
  <c r="B19" i="2"/>
  <c r="F16" i="2"/>
  <c r="B17" i="2"/>
  <c r="C17" i="2"/>
  <c r="C16" i="2"/>
  <c r="B16" i="2"/>
  <c r="F14" i="2"/>
  <c r="B15" i="2"/>
  <c r="C15" i="2"/>
  <c r="C14" i="2"/>
  <c r="B14" i="2"/>
  <c r="F12" i="2"/>
  <c r="F10" i="2"/>
  <c r="F8" i="2"/>
  <c r="F6" i="2"/>
  <c r="F5" i="2"/>
  <c r="F4" i="2"/>
  <c r="F3" i="2"/>
  <c r="B22" i="1"/>
  <c r="C21" i="1"/>
  <c r="B19" i="1"/>
  <c r="F19" i="1"/>
  <c r="F18" i="1"/>
  <c r="F16" i="1"/>
  <c r="G15" i="1"/>
  <c r="G16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F15" i="1"/>
  <c r="B18" i="1"/>
  <c r="C15" i="1"/>
  <c r="C16" i="1"/>
  <c r="B16" i="1"/>
  <c r="B15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<sst xmlns="http://schemas.openxmlformats.org/spreadsheetml/2006/main" count="108" uniqueCount="97">
  <si>
    <t>No</t>
  </si>
  <si>
    <t>Y1</t>
  </si>
  <si>
    <t>Y2</t>
  </si>
  <si>
    <t>Y3</t>
  </si>
  <si>
    <t>Y4</t>
  </si>
  <si>
    <t>Y2+Y3</t>
  </si>
  <si>
    <t>1/2(Y2+Y3)</t>
  </si>
  <si>
    <t>SOAL 1</t>
  </si>
  <si>
    <t>Y1 dengan 1/2(Y2+Y3)</t>
  </si>
  <si>
    <t>S</t>
  </si>
  <si>
    <t>korelasi</t>
  </si>
  <si>
    <t>Y2 dengan 2(Y3+Y4)</t>
  </si>
  <si>
    <t xml:space="preserve">Y3+Y4 </t>
  </si>
  <si>
    <t>2(Y3+Y4)</t>
  </si>
  <si>
    <t>Korelasi</t>
  </si>
  <si>
    <t xml:space="preserve">Matriks korelasi </t>
  </si>
  <si>
    <t>level</t>
  </si>
  <si>
    <t>blok (b)</t>
  </si>
  <si>
    <t xml:space="preserve">banyak lahan per blok </t>
  </si>
  <si>
    <t xml:space="preserve">unit percobaan </t>
  </si>
  <si>
    <t>2x2 = 4</t>
  </si>
  <si>
    <t xml:space="preserve">alpha </t>
  </si>
  <si>
    <t>JK Perlakuan</t>
  </si>
  <si>
    <t>JK Blok</t>
  </si>
  <si>
    <t xml:space="preserve">JK Galat </t>
  </si>
  <si>
    <t>MANOVA</t>
  </si>
  <si>
    <t>SK</t>
  </si>
  <si>
    <t>db</t>
  </si>
  <si>
    <t>JK</t>
  </si>
  <si>
    <t>Perlakuan</t>
  </si>
  <si>
    <t>Blok</t>
  </si>
  <si>
    <t>Galat</t>
  </si>
  <si>
    <t>Total</t>
  </si>
  <si>
    <t xml:space="preserve">det </t>
  </si>
  <si>
    <t>det</t>
  </si>
  <si>
    <t>JK Total</t>
  </si>
  <si>
    <t>G + P</t>
  </si>
  <si>
    <t xml:space="preserve">Statistik uji </t>
  </si>
  <si>
    <t>|G| / |G + P|</t>
  </si>
  <si>
    <t xml:space="preserve">Karena variabel (p) = 2 dan grup (g) = 2, maka : *lihat tabel sebaran </t>
  </si>
  <si>
    <t xml:space="preserve">F tabel </t>
  </si>
  <si>
    <t>db1</t>
  </si>
  <si>
    <t>db2</t>
  </si>
  <si>
    <t>alfa</t>
  </si>
  <si>
    <t>F  p=2 g &gt;= 2</t>
  </si>
  <si>
    <t>F p &gt;= 1 g =2</t>
  </si>
  <si>
    <t>F tabel</t>
  </si>
  <si>
    <t xml:space="preserve">alfa </t>
  </si>
  <si>
    <t>Kesimpulan</t>
  </si>
  <si>
    <t xml:space="preserve">Karena Fhit &lt; Ftabel maka tak tolak H0. Hal ini berarti tidak terdapat perbedaan pengaruh pupuk terhadap bobot biji dan bobot serasak per petak pada taraf nyata 5%. Atau dengan kata lain 2 jenis pupuk memberikan pengaruh yang sama terhadap respon. </t>
  </si>
  <si>
    <t>Sigma</t>
  </si>
  <si>
    <t>a. korelasi 23</t>
  </si>
  <si>
    <t>b. sebaran Z</t>
  </si>
  <si>
    <t>y1</t>
  </si>
  <si>
    <t>y2</t>
  </si>
  <si>
    <t>y3</t>
  </si>
  <si>
    <t>z'Y</t>
  </si>
  <si>
    <t>E(zY) = z'E(Y)</t>
  </si>
  <si>
    <t>E(Y)</t>
  </si>
  <si>
    <t>V(zY) = z'V(Y)z</t>
  </si>
  <si>
    <t>z'V(Y)</t>
  </si>
  <si>
    <t xml:space="preserve">No. </t>
  </si>
  <si>
    <t xml:space="preserve">Kalsium (X1) </t>
  </si>
  <si>
    <t xml:space="preserve">Vitamin A (X2) </t>
  </si>
  <si>
    <t>Protein (X3)</t>
  </si>
  <si>
    <t xml:space="preserve">rataan </t>
  </si>
  <si>
    <t>kovarian</t>
  </si>
  <si>
    <t>xbar</t>
  </si>
  <si>
    <t>miu0</t>
  </si>
  <si>
    <t>xbar-miu</t>
  </si>
  <si>
    <t>n</t>
  </si>
  <si>
    <t>S inverse</t>
  </si>
  <si>
    <t>T^2</t>
  </si>
  <si>
    <t>n(xbar-miu)'Sinv</t>
  </si>
  <si>
    <t>(n-1)p</t>
  </si>
  <si>
    <t>p</t>
  </si>
  <si>
    <t>c^2</t>
  </si>
  <si>
    <t>F(3,7,0.05)</t>
  </si>
  <si>
    <t>(n-1)p/(n-p</t>
  </si>
  <si>
    <t>SK Simultan</t>
  </si>
  <si>
    <t>miu 1</t>
  </si>
  <si>
    <t>Tak Tolak H0</t>
  </si>
  <si>
    <t>Cukup bukti untuk menyatakan bahwa minimal ada salah satu dari rataan kalsium, vitamin A, dan protein yang memiliki nilai rata-rata sama dengan 6, 50, dan 100</t>
  </si>
  <si>
    <t>&lt; miu 1 &lt;</t>
  </si>
  <si>
    <t>&lt; miu 2 &lt;</t>
  </si>
  <si>
    <t>&lt; miu 3 &lt;</t>
  </si>
  <si>
    <t>xbar 3</t>
  </si>
  <si>
    <t>SK Bonferoni</t>
  </si>
  <si>
    <t>t(n-1)</t>
  </si>
  <si>
    <t xml:space="preserve">Faktor </t>
  </si>
  <si>
    <t xml:space="preserve">pestisida cair </t>
  </si>
  <si>
    <t>Level</t>
  </si>
  <si>
    <t>alfa/2p</t>
  </si>
  <si>
    <t>miu2</t>
  </si>
  <si>
    <t xml:space="preserve">xbar </t>
  </si>
  <si>
    <t>miu 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</si>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</sst>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30481</xdr:colOff>
      <xdr:row>0</xdr:row>
      <xdr:rowOff>121920</xdr:rowOff>
    </xdr:from>
    <xdr:to>
      <xdr:col>11</xdr:col>
      <xdr:colOff>464821</xdr:colOff>
      <xdr:row>9</xdr:row>
      <xdr:rowOff>143446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98F9CF-62B5-4BBD-8037-31862BB87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3481" y="121920"/>
          <a:ext cx="2872740" cy="1667446"/>
        </a:xfrm>
        <a:prstGeom prst="rect">
          <a:avLst/>
        </a:prstGeom>
      </xdr:spPr>
    </xdr:pic>
    <xdr:clientData/>
  </xdr:twoCellAnchor>
  <xdr:twoCellAnchor editAs="oneCell">
    <xdr:from>
      <xdr:col>2</xdr:col>
      <xdr:colOff>68581</xdr:colOff>
      <xdr:row>17</xdr:row>
      <xdr:rowOff>43279</xdr:rowOff>
    </xdr:from>
    <xdr:to>
      <xdr:col>3</xdr:col>
      <xdr:colOff>129541</xdr:colOff>
      <xdr:row>19</xdr:row>
      <xdr:rowOff>160071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1425F-37CF-43D4-A83D-11A85CE9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581" y="3152239"/>
          <a:ext cx="670560" cy="482552"/>
        </a:xfrm>
        <a:prstGeom prst="rect">
          <a:avLst/>
        </a:prstGeom>
      </xdr:spPr>
    </xdr:pic>
    <xdr:clientData/>
  </xdr:twoCellAnchor>
  <xdr:twoCellAnchor editAs="oneCell">
    <xdr:from>
      <xdr:col>6</xdr:col>
      <xdr:colOff>594360</xdr:colOff>
      <xdr:row>10</xdr:row>
      <xdr:rowOff>106681</xdr:rowOff>
    </xdr:from>
    <xdr:to>
      <xdr:col>13</xdr:col>
      <xdr:colOff>518514</xdr:colOff>
      <xdr:row>21</xdr:row>
      <xdr:rowOff>15241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66200-7727-4957-8ADE-981E0C603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7760" y="1935481"/>
          <a:ext cx="4191354" cy="1920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99059</xdr:colOff>
      <xdr:row>5</xdr:row>
      <xdr:rowOff>53340</xdr:rowOff>
    </xdr:from>
    <xdr:to>
      <xdr:col>3</xdr:col>
      <xdr:colOff>316368</xdr:colOff>
      <xdr:row>6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0946-A56C-4FCB-85AF-3DF500A02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59" y="967740"/>
          <a:ext cx="1573669" cy="259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83820</xdr:colOff>
      <xdr:row>0</xdr:row>
      <xdr:rowOff>0</xdr:rowOff>
    </xdr:from>
    <xdr:to>
      <xdr:col>6</xdr:col>
      <xdr:colOff>449665</xdr:colOff>
      <xdr:row>1</xdr:row>
      <xdr:rowOff>99103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82DEC-E8B1-4C91-9E0D-1C9F6BB85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9960" y="0"/>
          <a:ext cx="975445" cy="495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A4FA-F7A3-4210-90EA-329184C3B467}">
  <dimension ref="A1:J22"/>
  <sheetViews>
    <sheetView workbookViewId="0">
      <selection activeCell="E21" sqref="E21"/>
    </sheetView>
  </sheetViews>
  <sheetFormatPr defaultRowHeight="14.4" x14ac:dyDescent="0.3"/>
  <cols>
    <col min="1" max="1" width="12" customWidth="1"/>
    <col min="2" max="2" width="11.77734375" customWidth="1"/>
    <col min="3" max="3" width="15.21875" customWidth="1"/>
    <col min="4" max="4" width="12.6640625" customWidth="1"/>
    <col min="5" max="5" width="12.33203125" customWidth="1"/>
    <col min="8" max="8" width="12.44140625" customWidth="1"/>
  </cols>
  <sheetData>
    <row r="1" spans="1: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t="s">
        <v>12</v>
      </c>
      <c r="J1" t="s">
        <v>13</v>
      </c>
    </row>
    <row r="2" spans="1:10" ht="15" x14ac:dyDescent="0.3">
      <c r="A2" s="1">
        <v>1</v>
      </c>
      <c r="B2" s="1">
        <v>47.8</v>
      </c>
      <c r="C2" s="1">
        <v>48.8</v>
      </c>
      <c r="D2" s="1">
        <v>49</v>
      </c>
      <c r="E2" s="1">
        <v>49.7</v>
      </c>
      <c r="G2">
        <f>C2+D2</f>
        <v>97.8</v>
      </c>
      <c r="H2">
        <f>0.5*G2</f>
        <v>48.9</v>
      </c>
      <c r="I2">
        <f>D2+E2</f>
        <v>98.7</v>
      </c>
      <c r="J2">
        <f>2*I2</f>
        <v>197.4</v>
      </c>
    </row>
    <row r="3" spans="1:10" ht="15" x14ac:dyDescent="0.3">
      <c r="A3" s="1">
        <v>2</v>
      </c>
      <c r="B3" s="1">
        <v>46.4</v>
      </c>
      <c r="C3" s="1">
        <v>47.3</v>
      </c>
      <c r="D3" s="1">
        <v>47.7</v>
      </c>
      <c r="E3" s="1">
        <v>48.4</v>
      </c>
      <c r="G3">
        <f t="shared" ref="G3:G11" si="0">C3+D3</f>
        <v>95</v>
      </c>
      <c r="H3">
        <f t="shared" ref="H3:H11" si="1">0.5*G3</f>
        <v>47.5</v>
      </c>
      <c r="I3">
        <f t="shared" ref="I3:I11" si="2">D3+E3</f>
        <v>96.1</v>
      </c>
      <c r="J3">
        <f t="shared" ref="J3:J11" si="3">2*I3</f>
        <v>192.2</v>
      </c>
    </row>
    <row r="4" spans="1:10" ht="15" x14ac:dyDescent="0.3">
      <c r="A4" s="1">
        <v>3</v>
      </c>
      <c r="B4" s="1">
        <v>46.3</v>
      </c>
      <c r="C4" s="1">
        <v>46.8</v>
      </c>
      <c r="D4" s="1">
        <v>47.8</v>
      </c>
      <c r="E4" s="1">
        <v>48.5</v>
      </c>
      <c r="G4">
        <f t="shared" si="0"/>
        <v>94.6</v>
      </c>
      <c r="H4">
        <f t="shared" si="1"/>
        <v>47.3</v>
      </c>
      <c r="I4">
        <f t="shared" si="2"/>
        <v>96.3</v>
      </c>
      <c r="J4">
        <f t="shared" si="3"/>
        <v>192.6</v>
      </c>
    </row>
    <row r="5" spans="1:10" ht="15" x14ac:dyDescent="0.3">
      <c r="A5" s="1">
        <v>4</v>
      </c>
      <c r="B5" s="1">
        <v>45.1</v>
      </c>
      <c r="C5" s="1">
        <v>45.3</v>
      </c>
      <c r="D5" s="1">
        <v>46.1</v>
      </c>
      <c r="E5" s="1">
        <v>47.2</v>
      </c>
      <c r="G5">
        <f t="shared" si="0"/>
        <v>91.4</v>
      </c>
      <c r="H5">
        <f t="shared" si="1"/>
        <v>45.7</v>
      </c>
      <c r="I5">
        <f t="shared" si="2"/>
        <v>93.300000000000011</v>
      </c>
      <c r="J5">
        <f t="shared" si="3"/>
        <v>186.60000000000002</v>
      </c>
    </row>
    <row r="6" spans="1:10" ht="15" x14ac:dyDescent="0.3">
      <c r="A6" s="1">
        <v>5</v>
      </c>
      <c r="B6" s="1">
        <v>47.6</v>
      </c>
      <c r="C6" s="1">
        <v>48.5</v>
      </c>
      <c r="D6" s="1">
        <v>48.9</v>
      </c>
      <c r="E6" s="1">
        <v>49.3</v>
      </c>
      <c r="G6">
        <f t="shared" si="0"/>
        <v>97.4</v>
      </c>
      <c r="H6">
        <f t="shared" si="1"/>
        <v>48.7</v>
      </c>
      <c r="I6">
        <f t="shared" si="2"/>
        <v>98.199999999999989</v>
      </c>
      <c r="J6">
        <f t="shared" si="3"/>
        <v>196.39999999999998</v>
      </c>
    </row>
    <row r="7" spans="1:10" ht="15" x14ac:dyDescent="0.3">
      <c r="A7" s="1">
        <v>6</v>
      </c>
      <c r="B7" s="1">
        <v>52.5</v>
      </c>
      <c r="C7" s="1">
        <v>53.2</v>
      </c>
      <c r="D7" s="1">
        <v>53.3</v>
      </c>
      <c r="E7" s="1">
        <v>53.7</v>
      </c>
      <c r="G7">
        <f t="shared" si="0"/>
        <v>106.5</v>
      </c>
      <c r="H7">
        <f t="shared" si="1"/>
        <v>53.25</v>
      </c>
      <c r="I7">
        <f t="shared" si="2"/>
        <v>107</v>
      </c>
      <c r="J7">
        <f t="shared" si="3"/>
        <v>214</v>
      </c>
    </row>
    <row r="8" spans="1:10" ht="15" x14ac:dyDescent="0.3">
      <c r="A8" s="1">
        <v>7</v>
      </c>
      <c r="B8" s="1">
        <v>51.2</v>
      </c>
      <c r="C8" s="1">
        <v>53</v>
      </c>
      <c r="D8" s="1">
        <v>54.3</v>
      </c>
      <c r="E8" s="1">
        <v>54.5</v>
      </c>
      <c r="G8">
        <f t="shared" si="0"/>
        <v>107.3</v>
      </c>
      <c r="H8">
        <f t="shared" si="1"/>
        <v>53.65</v>
      </c>
      <c r="I8">
        <f t="shared" si="2"/>
        <v>108.8</v>
      </c>
      <c r="J8">
        <f t="shared" si="3"/>
        <v>217.6</v>
      </c>
    </row>
    <row r="9" spans="1:10" ht="15" x14ac:dyDescent="0.3">
      <c r="A9" s="1">
        <v>8</v>
      </c>
      <c r="B9" s="1">
        <v>49.8</v>
      </c>
      <c r="C9" s="1">
        <v>50</v>
      </c>
      <c r="D9" s="1">
        <v>50.3</v>
      </c>
      <c r="E9" s="1">
        <v>52.7</v>
      </c>
      <c r="G9">
        <f t="shared" si="0"/>
        <v>100.3</v>
      </c>
      <c r="H9">
        <f t="shared" si="1"/>
        <v>50.15</v>
      </c>
      <c r="I9">
        <f t="shared" si="2"/>
        <v>103</v>
      </c>
      <c r="J9">
        <f t="shared" si="3"/>
        <v>206</v>
      </c>
    </row>
    <row r="10" spans="1:10" ht="15" x14ac:dyDescent="0.3">
      <c r="A10" s="1">
        <v>9</v>
      </c>
      <c r="B10" s="1">
        <v>48.1</v>
      </c>
      <c r="C10" s="1">
        <v>50.8</v>
      </c>
      <c r="D10" s="1">
        <v>52.3</v>
      </c>
      <c r="E10" s="1">
        <v>54.4</v>
      </c>
      <c r="G10">
        <f t="shared" si="0"/>
        <v>103.1</v>
      </c>
      <c r="H10">
        <f t="shared" si="1"/>
        <v>51.55</v>
      </c>
      <c r="I10">
        <f t="shared" si="2"/>
        <v>106.69999999999999</v>
      </c>
      <c r="J10">
        <f t="shared" si="3"/>
        <v>213.39999999999998</v>
      </c>
    </row>
    <row r="11" spans="1:10" ht="15" x14ac:dyDescent="0.3">
      <c r="A11" s="1">
        <v>10</v>
      </c>
      <c r="B11" s="1">
        <v>45</v>
      </c>
      <c r="C11" s="1">
        <v>47</v>
      </c>
      <c r="D11" s="1">
        <v>47.3</v>
      </c>
      <c r="E11" s="1">
        <v>48.3</v>
      </c>
      <c r="G11">
        <f t="shared" si="0"/>
        <v>94.3</v>
      </c>
      <c r="H11">
        <f t="shared" si="1"/>
        <v>47.15</v>
      </c>
      <c r="I11">
        <f t="shared" si="2"/>
        <v>95.6</v>
      </c>
      <c r="J11">
        <f t="shared" si="3"/>
        <v>191.2</v>
      </c>
    </row>
    <row r="13" spans="1:10" x14ac:dyDescent="0.3">
      <c r="A13" t="s">
        <v>7</v>
      </c>
    </row>
    <row r="14" spans="1:10" x14ac:dyDescent="0.3">
      <c r="A14" t="s">
        <v>8</v>
      </c>
      <c r="E14" t="s">
        <v>11</v>
      </c>
    </row>
    <row r="15" spans="1:10" x14ac:dyDescent="0.3">
      <c r="A15" t="s">
        <v>9</v>
      </c>
      <c r="B15">
        <f>_xlfn.VAR.S(B2:B11)</f>
        <v>6.3106666666666689</v>
      </c>
      <c r="C15">
        <f>B16</f>
        <v>6.3285555555555568</v>
      </c>
      <c r="E15" t="s">
        <v>9</v>
      </c>
      <c r="F15">
        <f>_xlfn.VAR.S(C2:C11)</f>
        <v>7.0601111111111177</v>
      </c>
      <c r="G15">
        <f>_xlfn.COVARIANCE.S(C2:C11,J2:J11)</f>
        <v>28.649111111111111</v>
      </c>
    </row>
    <row r="16" spans="1:10" x14ac:dyDescent="0.3">
      <c r="B16">
        <f>_xlfn.COVARIANCE.S(B2:B11,H2:H11)</f>
        <v>6.3285555555555568</v>
      </c>
      <c r="C16">
        <f>_xlfn.VAR.S(H2:H11)</f>
        <v>7.2866944444444401</v>
      </c>
      <c r="F16">
        <f>G15</f>
        <v>28.649111111111111</v>
      </c>
      <c r="G16">
        <f>_xlfn.VAR.S(J2:J11)</f>
        <v>123.12933333333325</v>
      </c>
    </row>
    <row r="18" spans="1:6" x14ac:dyDescent="0.3">
      <c r="A18" t="s">
        <v>10</v>
      </c>
      <c r="B18">
        <f>CORREL(B2:B11,H2:H11)</f>
        <v>0.93325794781034765</v>
      </c>
      <c r="E18" t="s">
        <v>14</v>
      </c>
      <c r="F18">
        <f>CORREL(C2:C11,J2:J11)</f>
        <v>0.97168303382621724</v>
      </c>
    </row>
    <row r="19" spans="1:6" x14ac:dyDescent="0.3">
      <c r="B19">
        <f>B16/(SQRT(B15*C16))</f>
        <v>0.93325794781034799</v>
      </c>
      <c r="F19">
        <f>F16/(SQRT(F15*G16))</f>
        <v>0.97168303382621735</v>
      </c>
    </row>
    <row r="21" spans="1:6" x14ac:dyDescent="0.3">
      <c r="A21" t="s">
        <v>15</v>
      </c>
      <c r="B21">
        <v>1</v>
      </c>
      <c r="C21">
        <f>B19</f>
        <v>0.93325794781034799</v>
      </c>
    </row>
    <row r="22" spans="1:6" x14ac:dyDescent="0.3">
      <c r="B22">
        <f>B19</f>
        <v>0.93325794781034799</v>
      </c>
      <c r="C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5C48-3BDF-47FA-B9F1-FDE612702045}">
  <dimension ref="A1:J29"/>
  <sheetViews>
    <sheetView topLeftCell="A4" workbookViewId="0">
      <selection activeCell="B25" sqref="B25"/>
    </sheetView>
  </sheetViews>
  <sheetFormatPr defaultRowHeight="14.4" x14ac:dyDescent="0.3"/>
  <cols>
    <col min="1" max="1" width="18.88671875" customWidth="1"/>
    <col min="5" max="5" width="9.33203125" customWidth="1"/>
  </cols>
  <sheetData>
    <row r="1" spans="1:7" x14ac:dyDescent="0.3">
      <c r="A1" t="s">
        <v>16</v>
      </c>
      <c r="B1">
        <v>2</v>
      </c>
      <c r="E1" t="s">
        <v>25</v>
      </c>
    </row>
    <row r="2" spans="1:7" x14ac:dyDescent="0.3">
      <c r="A2" t="s">
        <v>17</v>
      </c>
      <c r="B2">
        <v>2</v>
      </c>
      <c r="E2" t="s">
        <v>26</v>
      </c>
      <c r="F2" t="s">
        <v>27</v>
      </c>
      <c r="G2" t="s">
        <v>28</v>
      </c>
    </row>
    <row r="3" spans="1:7" x14ac:dyDescent="0.3">
      <c r="A3" t="s">
        <v>18</v>
      </c>
      <c r="B3">
        <v>2</v>
      </c>
      <c r="E3" t="s">
        <v>29</v>
      </c>
      <c r="F3">
        <f>B2-1</f>
        <v>1</v>
      </c>
    </row>
    <row r="4" spans="1:7" x14ac:dyDescent="0.3">
      <c r="A4" t="s">
        <v>19</v>
      </c>
      <c r="B4" t="s">
        <v>20</v>
      </c>
      <c r="E4" t="s">
        <v>30</v>
      </c>
      <c r="F4">
        <f>2-1</f>
        <v>1</v>
      </c>
    </row>
    <row r="5" spans="1:7" x14ac:dyDescent="0.3">
      <c r="A5" t="s">
        <v>21</v>
      </c>
      <c r="B5">
        <v>0.05</v>
      </c>
      <c r="E5" t="s">
        <v>31</v>
      </c>
      <c r="F5">
        <f>F3*F4</f>
        <v>1</v>
      </c>
    </row>
    <row r="6" spans="1:7" x14ac:dyDescent="0.3">
      <c r="E6" t="s">
        <v>32</v>
      </c>
      <c r="F6">
        <f>2*2-1</f>
        <v>3</v>
      </c>
    </row>
    <row r="8" spans="1:7" x14ac:dyDescent="0.3">
      <c r="A8" t="s">
        <v>22</v>
      </c>
      <c r="B8">
        <v>12</v>
      </c>
      <c r="C8">
        <v>-67</v>
      </c>
      <c r="E8" t="s">
        <v>33</v>
      </c>
      <c r="F8">
        <f>MDETERM(B8:C9)</f>
        <v>-4105</v>
      </c>
    </row>
    <row r="9" spans="1:7" x14ac:dyDescent="0.3">
      <c r="B9">
        <v>-67</v>
      </c>
      <c r="C9">
        <v>32</v>
      </c>
    </row>
    <row r="10" spans="1:7" x14ac:dyDescent="0.3">
      <c r="A10" t="s">
        <v>23</v>
      </c>
      <c r="B10">
        <v>86</v>
      </c>
      <c r="C10">
        <v>56</v>
      </c>
      <c r="E10" t="s">
        <v>34</v>
      </c>
      <c r="F10">
        <f>MDETERM(B10:C11)</f>
        <v>3314</v>
      </c>
    </row>
    <row r="11" spans="1:7" x14ac:dyDescent="0.3">
      <c r="B11">
        <v>56</v>
      </c>
      <c r="C11">
        <v>75</v>
      </c>
    </row>
    <row r="12" spans="1:7" x14ac:dyDescent="0.3">
      <c r="A12" t="s">
        <v>24</v>
      </c>
      <c r="B12">
        <v>13</v>
      </c>
      <c r="C12">
        <v>28</v>
      </c>
      <c r="E12" t="s">
        <v>33</v>
      </c>
      <c r="F12">
        <f>MDETERM(B12:C13)</f>
        <v>139.00000000000003</v>
      </c>
    </row>
    <row r="13" spans="1:7" x14ac:dyDescent="0.3">
      <c r="B13">
        <v>28</v>
      </c>
      <c r="C13">
        <v>71</v>
      </c>
    </row>
    <row r="14" spans="1:7" x14ac:dyDescent="0.3">
      <c r="A14" t="s">
        <v>35</v>
      </c>
      <c r="B14">
        <f>B8+B10+B12</f>
        <v>111</v>
      </c>
      <c r="C14">
        <f>C8+C10+C12</f>
        <v>17</v>
      </c>
      <c r="E14" t="s">
        <v>34</v>
      </c>
      <c r="F14">
        <f>MDETERM(B14:C15)</f>
        <v>19469</v>
      </c>
    </row>
    <row r="15" spans="1:7" x14ac:dyDescent="0.3">
      <c r="B15">
        <f>B9+B11+B13</f>
        <v>17</v>
      </c>
      <c r="C15">
        <f>C9+C11+C13</f>
        <v>178</v>
      </c>
    </row>
    <row r="16" spans="1:7" x14ac:dyDescent="0.3">
      <c r="A16" t="s">
        <v>36</v>
      </c>
      <c r="B16">
        <f>B12+B8</f>
        <v>25</v>
      </c>
      <c r="C16">
        <f>C12+C8</f>
        <v>-39</v>
      </c>
      <c r="E16" t="s">
        <v>33</v>
      </c>
      <c r="F16">
        <f>MDETERM(B16:C17)</f>
        <v>1054.0000000000005</v>
      </c>
    </row>
    <row r="17" spans="1:10" x14ac:dyDescent="0.3">
      <c r="B17">
        <f>B13+B9</f>
        <v>-39</v>
      </c>
      <c r="C17">
        <f>C13+C9</f>
        <v>103</v>
      </c>
    </row>
    <row r="19" spans="1:10" x14ac:dyDescent="0.3">
      <c r="A19" t="s">
        <v>37</v>
      </c>
      <c r="B19">
        <f>F12/F16</f>
        <v>0.13187855787476277</v>
      </c>
    </row>
    <row r="20" spans="1:10" x14ac:dyDescent="0.3">
      <c r="A20" t="s">
        <v>38</v>
      </c>
    </row>
    <row r="22" spans="1:10" x14ac:dyDescent="0.3">
      <c r="A22" t="s">
        <v>39</v>
      </c>
    </row>
    <row r="23" spans="1:10" x14ac:dyDescent="0.3">
      <c r="A23" t="s">
        <v>44</v>
      </c>
      <c r="B23">
        <f>((1-SQRT(B19))/SQRT(B19))*(4-2-1)/(2-1)</f>
        <v>1.7536764176187518</v>
      </c>
      <c r="D23" t="s">
        <v>41</v>
      </c>
      <c r="E23">
        <f>2*(2-1)</f>
        <v>2</v>
      </c>
      <c r="G23" t="s">
        <v>48</v>
      </c>
    </row>
    <row r="24" spans="1:10" ht="14.4" customHeight="1" x14ac:dyDescent="0.3">
      <c r="D24" t="s">
        <v>42</v>
      </c>
      <c r="E24">
        <f>2*(4-2-1)</f>
        <v>2</v>
      </c>
      <c r="G24" s="4" t="s">
        <v>49</v>
      </c>
      <c r="H24" s="4"/>
      <c r="I24" s="4"/>
      <c r="J24" s="4"/>
    </row>
    <row r="25" spans="1:10" x14ac:dyDescent="0.3">
      <c r="A25" t="s">
        <v>40</v>
      </c>
      <c r="B25">
        <f>_xlfn.F.INV.RT(0.05,2,2)</f>
        <v>18.999999999999996</v>
      </c>
      <c r="D25" t="s">
        <v>43</v>
      </c>
      <c r="E25">
        <v>0.05</v>
      </c>
      <c r="G25" s="4"/>
      <c r="H25" s="4"/>
      <c r="I25" s="4"/>
      <c r="J25" s="4"/>
    </row>
    <row r="26" spans="1:10" x14ac:dyDescent="0.3">
      <c r="G26" s="4"/>
      <c r="H26" s="4"/>
      <c r="I26" s="4"/>
      <c r="J26" s="4"/>
    </row>
    <row r="27" spans="1:10" x14ac:dyDescent="0.3">
      <c r="A27" t="s">
        <v>45</v>
      </c>
      <c r="B27">
        <f>((1-B19)/B19)*(4-2-1)/2</f>
        <v>3.2913669064748214</v>
      </c>
      <c r="D27" t="s">
        <v>41</v>
      </c>
      <c r="E27">
        <v>2</v>
      </c>
      <c r="G27" s="4"/>
      <c r="H27" s="4"/>
      <c r="I27" s="4"/>
      <c r="J27" s="4"/>
    </row>
    <row r="28" spans="1:10" x14ac:dyDescent="0.3">
      <c r="D28" t="s">
        <v>42</v>
      </c>
      <c r="E28" s="3">
        <f>4-2-1</f>
        <v>1</v>
      </c>
      <c r="G28" s="4"/>
      <c r="H28" s="4"/>
      <c r="I28" s="4"/>
      <c r="J28" s="4"/>
    </row>
    <row r="29" spans="1:10" x14ac:dyDescent="0.3">
      <c r="A29" t="s">
        <v>46</v>
      </c>
      <c r="B29">
        <f>_xlfn.F.INV.RT(0.05,2,1)</f>
        <v>199.49999999999994</v>
      </c>
      <c r="D29" t="s">
        <v>47</v>
      </c>
      <c r="E29">
        <v>0.05</v>
      </c>
      <c r="G29" s="4"/>
      <c r="H29" s="4"/>
      <c r="I29" s="4"/>
      <c r="J29" s="4"/>
    </row>
  </sheetData>
  <mergeCells count="1">
    <mergeCell ref="G24:J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F57-44EF-4925-B3D7-F0B672F92E22}">
  <dimension ref="A1:G13"/>
  <sheetViews>
    <sheetView tabSelected="1" workbookViewId="0">
      <selection activeCell="A8" sqref="A8"/>
    </sheetView>
  </sheetViews>
  <sheetFormatPr defaultRowHeight="14.4" x14ac:dyDescent="0.3"/>
  <cols>
    <col min="1" max="1" width="12.21875" customWidth="1"/>
    <col min="2" max="2" width="10.88671875" customWidth="1"/>
  </cols>
  <sheetData>
    <row r="1" spans="1:7" x14ac:dyDescent="0.3">
      <c r="A1" t="s">
        <v>50</v>
      </c>
      <c r="B1">
        <v>2</v>
      </c>
      <c r="C1">
        <v>4</v>
      </c>
      <c r="D1">
        <v>12</v>
      </c>
      <c r="F1" t="s">
        <v>58</v>
      </c>
      <c r="G1">
        <v>6</v>
      </c>
    </row>
    <row r="2" spans="1:7" x14ac:dyDescent="0.3">
      <c r="B2">
        <v>4</v>
      </c>
      <c r="C2">
        <v>5</v>
      </c>
      <c r="D2">
        <v>8</v>
      </c>
      <c r="G2">
        <v>18</v>
      </c>
    </row>
    <row r="3" spans="1:7" x14ac:dyDescent="0.3">
      <c r="B3">
        <v>12</v>
      </c>
      <c r="C3">
        <v>8</v>
      </c>
      <c r="D3">
        <v>0.5</v>
      </c>
      <c r="G3">
        <v>3</v>
      </c>
    </row>
    <row r="5" spans="1:7" x14ac:dyDescent="0.3">
      <c r="A5" t="s">
        <v>51</v>
      </c>
      <c r="B5">
        <f>8/(5*0.5)</f>
        <v>3.2</v>
      </c>
      <c r="C5">
        <f>8/(SQRT(C2)*SQRT(D3))</f>
        <v>5.0596442562694071</v>
      </c>
    </row>
    <row r="6" spans="1:7" x14ac:dyDescent="0.3">
      <c r="A6" t="s">
        <v>52</v>
      </c>
    </row>
    <row r="8" spans="1:7" x14ac:dyDescent="0.3">
      <c r="A8" t="s">
        <v>56</v>
      </c>
      <c r="B8">
        <v>1</v>
      </c>
      <c r="C8">
        <v>2</v>
      </c>
      <c r="D8">
        <v>-4</v>
      </c>
      <c r="E8" t="s">
        <v>53</v>
      </c>
      <c r="G8">
        <v>1</v>
      </c>
    </row>
    <row r="9" spans="1:7" x14ac:dyDescent="0.3">
      <c r="E9" t="s">
        <v>54</v>
      </c>
      <c r="G9">
        <v>2</v>
      </c>
    </row>
    <row r="10" spans="1:7" x14ac:dyDescent="0.3">
      <c r="E10" t="s">
        <v>55</v>
      </c>
      <c r="G10">
        <v>-4</v>
      </c>
    </row>
    <row r="11" spans="1:7" x14ac:dyDescent="0.3">
      <c r="A11" t="s">
        <v>57</v>
      </c>
      <c r="B11">
        <f>MMULT(B8:D8,G1:G3)</f>
        <v>30</v>
      </c>
    </row>
    <row r="12" spans="1:7" x14ac:dyDescent="0.3">
      <c r="A12" t="s">
        <v>59</v>
      </c>
      <c r="B12">
        <f>MMULT(B13:D13,G8:G10)</f>
        <v>-178</v>
      </c>
    </row>
    <row r="13" spans="1:7" x14ac:dyDescent="0.3">
      <c r="A13" t="s">
        <v>60</v>
      </c>
      <c r="B13">
        <f t="array" ref="B13:D13">MMULT(B8:D8,B1:D3)</f>
        <v>-38</v>
      </c>
      <c r="C13">
        <v>-18</v>
      </c>
      <c r="D13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D74-EE1E-4E1D-AF2A-38749D53EA0A}">
  <dimension ref="A1:M38"/>
  <sheetViews>
    <sheetView workbookViewId="0">
      <selection activeCell="G33" sqref="G33"/>
    </sheetView>
  </sheetViews>
  <sheetFormatPr defaultRowHeight="14.4" x14ac:dyDescent="0.3"/>
  <cols>
    <col min="2" max="2" width="10.44140625" customWidth="1"/>
    <col min="3" max="3" width="11.21875" customWidth="1"/>
    <col min="4" max="4" width="10.21875" customWidth="1"/>
  </cols>
  <sheetData>
    <row r="1" spans="1:13" ht="31.2" x14ac:dyDescent="0.3">
      <c r="A1" s="5" t="s">
        <v>61</v>
      </c>
      <c r="B1" s="5" t="s">
        <v>62</v>
      </c>
      <c r="C1" s="5" t="s">
        <v>63</v>
      </c>
      <c r="D1" s="5" t="s">
        <v>64</v>
      </c>
    </row>
    <row r="2" spans="1:13" ht="15.6" x14ac:dyDescent="0.3">
      <c r="A2" s="5">
        <v>1</v>
      </c>
      <c r="B2" s="5">
        <v>3.4</v>
      </c>
      <c r="C2" s="5">
        <v>21</v>
      </c>
      <c r="D2" s="5">
        <v>130</v>
      </c>
    </row>
    <row r="3" spans="1:13" ht="15.6" x14ac:dyDescent="0.3">
      <c r="A3" s="5">
        <v>2</v>
      </c>
      <c r="B3" s="5">
        <v>2.5</v>
      </c>
      <c r="C3" s="5">
        <v>45</v>
      </c>
      <c r="D3" s="5">
        <v>67</v>
      </c>
      <c r="F3" t="s">
        <v>67</v>
      </c>
      <c r="G3" t="s">
        <v>68</v>
      </c>
      <c r="H3" t="s">
        <v>69</v>
      </c>
    </row>
    <row r="4" spans="1:13" ht="15.6" x14ac:dyDescent="0.3">
      <c r="A4" s="5">
        <v>3</v>
      </c>
      <c r="B4" s="5">
        <v>1.6</v>
      </c>
      <c r="C4" s="5">
        <v>67</v>
      </c>
      <c r="D4" s="5">
        <v>280</v>
      </c>
      <c r="F4" s="6">
        <v>3.87</v>
      </c>
      <c r="G4" s="6">
        <v>6</v>
      </c>
      <c r="H4">
        <f>F4-G4</f>
        <v>-2.13</v>
      </c>
      <c r="I4">
        <v>-2.13</v>
      </c>
      <c r="J4">
        <v>-21.299999999999997</v>
      </c>
      <c r="K4">
        <v>-21.299999999999997</v>
      </c>
      <c r="L4">
        <v>112.00000000000003</v>
      </c>
      <c r="M4">
        <v>-97.000000000000028</v>
      </c>
    </row>
    <row r="5" spans="1:13" ht="15.6" x14ac:dyDescent="0.3">
      <c r="A5" s="5">
        <v>4</v>
      </c>
      <c r="B5" s="5">
        <v>0.3</v>
      </c>
      <c r="C5" s="5">
        <v>35</v>
      </c>
      <c r="D5" s="5">
        <v>36</v>
      </c>
      <c r="F5" s="6">
        <v>61.2</v>
      </c>
      <c r="G5" s="6">
        <v>50</v>
      </c>
      <c r="H5">
        <f t="shared" ref="H5:H6" si="0">F5-G5</f>
        <v>11.200000000000003</v>
      </c>
      <c r="I5">
        <v>11.200000000000003</v>
      </c>
      <c r="J5">
        <v>112.00000000000003</v>
      </c>
    </row>
    <row r="6" spans="1:13" ht="15.6" x14ac:dyDescent="0.3">
      <c r="A6" s="5">
        <v>5</v>
      </c>
      <c r="B6" s="5">
        <v>2.7</v>
      </c>
      <c r="C6" s="5">
        <v>28</v>
      </c>
      <c r="D6" s="5">
        <v>160</v>
      </c>
      <c r="F6" s="6">
        <v>90.3</v>
      </c>
      <c r="G6" s="6">
        <v>100</v>
      </c>
      <c r="H6">
        <f t="shared" si="0"/>
        <v>-9.7000000000000028</v>
      </c>
      <c r="I6">
        <v>-9.7000000000000028</v>
      </c>
      <c r="J6">
        <v>-97.000000000000028</v>
      </c>
    </row>
    <row r="7" spans="1:13" ht="15.6" x14ac:dyDescent="0.3">
      <c r="A7" s="5">
        <v>6</v>
      </c>
      <c r="B7" s="5">
        <v>8.6</v>
      </c>
      <c r="C7" s="5">
        <v>100</v>
      </c>
      <c r="D7" s="5">
        <v>35</v>
      </c>
    </row>
    <row r="8" spans="1:13" ht="15.6" x14ac:dyDescent="0.3">
      <c r="A8" s="5">
        <v>7</v>
      </c>
      <c r="B8" s="5">
        <v>10.3</v>
      </c>
      <c r="C8" s="5">
        <v>96</v>
      </c>
      <c r="D8" s="5">
        <v>24</v>
      </c>
      <c r="F8" t="s">
        <v>70</v>
      </c>
      <c r="G8" s="7">
        <v>10</v>
      </c>
    </row>
    <row r="9" spans="1:13" ht="15.6" x14ac:dyDescent="0.3">
      <c r="A9" s="5">
        <v>8</v>
      </c>
      <c r="B9" s="5">
        <v>4.2</v>
      </c>
      <c r="C9" s="5">
        <v>46</v>
      </c>
      <c r="D9" s="5">
        <v>67</v>
      </c>
      <c r="F9" t="s">
        <v>73</v>
      </c>
      <c r="G9">
        <f t="array" ref="G9:I9">MMULT(K4:M4,B18:D20)</f>
        <v>-4.2167358989561015</v>
      </c>
      <c r="H9">
        <v>0.34152421608548234</v>
      </c>
      <c r="I9">
        <v>-3.1672178141438662E-2</v>
      </c>
    </row>
    <row r="10" spans="1:13" ht="15.6" x14ac:dyDescent="0.3">
      <c r="A10" s="5">
        <v>9</v>
      </c>
      <c r="B10" s="5">
        <v>3.5</v>
      </c>
      <c r="C10" s="5">
        <v>78</v>
      </c>
      <c r="D10" s="5">
        <v>80</v>
      </c>
      <c r="F10" t="s">
        <v>72</v>
      </c>
      <c r="G10">
        <f>MMULT(G9:I9,I4:I6)</f>
        <v>13.113938812905854</v>
      </c>
    </row>
    <row r="11" spans="1:13" ht="15.6" x14ac:dyDescent="0.3">
      <c r="A11" s="5">
        <v>10</v>
      </c>
      <c r="B11" s="5">
        <v>1.6</v>
      </c>
      <c r="C11" s="5">
        <v>96</v>
      </c>
      <c r="D11" s="5">
        <v>24</v>
      </c>
      <c r="F11" s="6"/>
    </row>
    <row r="12" spans="1:13" x14ac:dyDescent="0.3">
      <c r="A12" t="s">
        <v>65</v>
      </c>
      <c r="B12">
        <f>AVERAGE(B2:B11)</f>
        <v>3.87</v>
      </c>
      <c r="C12">
        <f t="shared" ref="C12:D12" si="1">AVERAGE(C2:C11)</f>
        <v>61.2</v>
      </c>
      <c r="D12">
        <f t="shared" si="1"/>
        <v>90.3</v>
      </c>
      <c r="F12" t="s">
        <v>74</v>
      </c>
      <c r="G12">
        <f>9*3</f>
        <v>27</v>
      </c>
      <c r="H12" t="s">
        <v>78</v>
      </c>
      <c r="I12">
        <f>G12/7</f>
        <v>3.8571428571428572</v>
      </c>
    </row>
    <row r="13" spans="1:13" x14ac:dyDescent="0.3">
      <c r="F13" t="s">
        <v>75</v>
      </c>
      <c r="G13">
        <v>3</v>
      </c>
    </row>
    <row r="14" spans="1:13" x14ac:dyDescent="0.3">
      <c r="A14" t="s">
        <v>66</v>
      </c>
      <c r="B14">
        <f>_xlfn.VAR.S(B2:B11)</f>
        <v>10.053444444444441</v>
      </c>
      <c r="C14">
        <f>_xlfn.COVARIANCE.S(B2:B11,C2:C11)</f>
        <v>53.04</v>
      </c>
      <c r="D14">
        <f>_xlfn.COVARIANCE.S(B2:B11,D2:D11)</f>
        <v>-94.034444444444432</v>
      </c>
      <c r="F14" t="s">
        <v>77</v>
      </c>
      <c r="G14">
        <f>_xlfn.F.INV.RT(0.05,3,7)</f>
        <v>4.3468313999078179</v>
      </c>
    </row>
    <row r="15" spans="1:13" x14ac:dyDescent="0.3">
      <c r="B15">
        <f>C14</f>
        <v>53.04</v>
      </c>
      <c r="C15">
        <f>_xlfn.VAR.S(C2:C11)</f>
        <v>904.62222222222204</v>
      </c>
      <c r="D15">
        <f>_xlfn.COVARIANCE.S(C2:C11,D2:D11)</f>
        <v>-843.17777777777792</v>
      </c>
      <c r="F15" t="s">
        <v>76</v>
      </c>
      <c r="G15">
        <f>I12*G14</f>
        <v>16.766349685358726</v>
      </c>
    </row>
    <row r="16" spans="1:13" x14ac:dyDescent="0.3">
      <c r="B16">
        <f>D14</f>
        <v>-94.034444444444432</v>
      </c>
      <c r="C16">
        <f>D15</f>
        <v>-843.17777777777792</v>
      </c>
      <c r="D16">
        <f>_xlfn.VAR.S(D2:D11)</f>
        <v>6490.0111111111119</v>
      </c>
    </row>
    <row r="17" spans="1:10" x14ac:dyDescent="0.3">
      <c r="F17" t="s">
        <v>81</v>
      </c>
    </row>
    <row r="18" spans="1:10" ht="14.4" customHeight="1" x14ac:dyDescent="0.3">
      <c r="A18" t="s">
        <v>71</v>
      </c>
      <c r="B18">
        <f t="array" ref="B18:D20">MINVERSE(B14:D16)</f>
        <v>0.15163201058196271</v>
      </c>
      <c r="C18">
        <v>-7.7855214858992758E-3</v>
      </c>
      <c r="D18">
        <v>1.18552234164512E-3</v>
      </c>
      <c r="F18" s="4" t="s">
        <v>82</v>
      </c>
      <c r="G18" s="4"/>
      <c r="H18" s="4"/>
      <c r="I18" s="4"/>
      <c r="J18" s="4"/>
    </row>
    <row r="19" spans="1:10" x14ac:dyDescent="0.3">
      <c r="B19">
        <v>-7.7855214858992793E-3</v>
      </c>
      <c r="C19">
        <v>1.6574859496039235E-3</v>
      </c>
      <c r="D19">
        <v>1.0253420535888355E-4</v>
      </c>
      <c r="F19" s="4"/>
      <c r="G19" s="4"/>
      <c r="H19" s="4"/>
      <c r="I19" s="4"/>
      <c r="J19" s="4"/>
    </row>
    <row r="20" spans="1:10" x14ac:dyDescent="0.3">
      <c r="B20">
        <v>1.1855223416451187E-3</v>
      </c>
      <c r="C20">
        <v>1.0253420535888348E-4</v>
      </c>
      <c r="D20">
        <v>1.8458127076899548E-4</v>
      </c>
      <c r="F20" s="4"/>
      <c r="G20" s="4"/>
      <c r="H20" s="4"/>
      <c r="I20" s="4"/>
      <c r="J20" s="4"/>
    </row>
    <row r="21" spans="1:10" x14ac:dyDescent="0.3">
      <c r="F21" s="4"/>
      <c r="G21" s="4"/>
      <c r="H21" s="4"/>
      <c r="I21" s="4"/>
      <c r="J21" s="4"/>
    </row>
    <row r="23" spans="1:10" x14ac:dyDescent="0.3">
      <c r="A23" t="s">
        <v>79</v>
      </c>
      <c r="F23" t="s">
        <v>87</v>
      </c>
      <c r="H23" t="s">
        <v>88</v>
      </c>
      <c r="I23">
        <f>_xlfn.T.INV(0.05,9)</f>
        <v>-1.8331129326562374</v>
      </c>
    </row>
    <row r="24" spans="1:10" x14ac:dyDescent="0.3">
      <c r="A24">
        <f>B25-C25</f>
        <v>-0.23560062716629204</v>
      </c>
      <c r="B24" s="8" t="s">
        <v>83</v>
      </c>
      <c r="C24">
        <f>B25+C25</f>
        <v>7.9756006271662923</v>
      </c>
      <c r="E24">
        <f>F25-F26</f>
        <v>0.92884786301744571</v>
      </c>
      <c r="F24" t="s">
        <v>80</v>
      </c>
      <c r="G24">
        <f>F25+F26</f>
        <v>6.8111521369825549</v>
      </c>
      <c r="H24" t="s">
        <v>92</v>
      </c>
      <c r="I24">
        <f>0.05/6</f>
        <v>8.3333333333333332E-3</v>
      </c>
    </row>
    <row r="25" spans="1:10" x14ac:dyDescent="0.3">
      <c r="A25" t="s">
        <v>67</v>
      </c>
      <c r="B25">
        <v>3.87</v>
      </c>
      <c r="C25">
        <f>SQRT(G15)*SQRT(B14/10)</f>
        <v>4.1056006271662921</v>
      </c>
      <c r="E25" t="s">
        <v>67</v>
      </c>
      <c r="F25">
        <v>3.87</v>
      </c>
      <c r="H25" t="s">
        <v>96</v>
      </c>
      <c r="I25">
        <f>_xlfn.T.INV(I24,9)*-1</f>
        <v>2.9333240883739884</v>
      </c>
    </row>
    <row r="26" spans="1:10" x14ac:dyDescent="0.3">
      <c r="F26">
        <f>I25*SQRT(B14/10)</f>
        <v>2.9411521369825544</v>
      </c>
    </row>
    <row r="27" spans="1:10" x14ac:dyDescent="0.3">
      <c r="A27">
        <f>B28-C28</f>
        <v>22.254894388480523</v>
      </c>
      <c r="B27" s="8" t="s">
        <v>84</v>
      </c>
      <c r="C27">
        <f>B28+C28</f>
        <v>100.14510561151948</v>
      </c>
    </row>
    <row r="28" spans="1:10" x14ac:dyDescent="0.3">
      <c r="A28" t="s">
        <v>67</v>
      </c>
      <c r="B28">
        <v>61.2</v>
      </c>
      <c r="C28">
        <f>SQRT(G15)*SQRT(C15/10)</f>
        <v>38.94510561151948</v>
      </c>
      <c r="E28">
        <f>F29-F30</f>
        <v>33.300676369637458</v>
      </c>
      <c r="F28" t="s">
        <v>93</v>
      </c>
      <c r="G28">
        <f>F29+F30</f>
        <v>89.099323630362548</v>
      </c>
    </row>
    <row r="29" spans="1:10" x14ac:dyDescent="0.3">
      <c r="E29" t="s">
        <v>67</v>
      </c>
      <c r="F29">
        <v>61.2</v>
      </c>
    </row>
    <row r="30" spans="1:10" x14ac:dyDescent="0.3">
      <c r="A30">
        <f>B31-C31</f>
        <v>-14.013851309762515</v>
      </c>
      <c r="B30" s="8" t="s">
        <v>85</v>
      </c>
      <c r="C30">
        <f>B31+C31</f>
        <v>194.61385130976251</v>
      </c>
      <c r="F30">
        <f>I25*SQRT(C15/10)</f>
        <v>27.899323630362542</v>
      </c>
    </row>
    <row r="31" spans="1:10" x14ac:dyDescent="0.3">
      <c r="A31" t="s">
        <v>86</v>
      </c>
      <c r="B31">
        <v>90.3</v>
      </c>
      <c r="C31">
        <f>SQRT(G15)*SQRT(D16/10)</f>
        <v>104.31385130976251</v>
      </c>
    </row>
    <row r="32" spans="1:10" x14ac:dyDescent="0.3">
      <c r="E32">
        <f>F33-F34</f>
        <v>15.572101561338286</v>
      </c>
      <c r="F32" t="s">
        <v>95</v>
      </c>
      <c r="G32">
        <f>F33+F34</f>
        <v>165.02789843866171</v>
      </c>
    </row>
    <row r="33" spans="1:6" x14ac:dyDescent="0.3">
      <c r="E33" t="s">
        <v>94</v>
      </c>
      <c r="F33">
        <v>90.3</v>
      </c>
    </row>
    <row r="34" spans="1:6" x14ac:dyDescent="0.3">
      <c r="F34">
        <f>I25*SQRT(D16/10)</f>
        <v>74.727898438661711</v>
      </c>
    </row>
    <row r="36" spans="1:6" x14ac:dyDescent="0.3">
      <c r="A36">
        <v>3.87</v>
      </c>
      <c r="B36">
        <v>61.2</v>
      </c>
      <c r="C36">
        <v>90.3</v>
      </c>
      <c r="D36">
        <v>3.87</v>
      </c>
    </row>
    <row r="37" spans="1:6" x14ac:dyDescent="0.3">
      <c r="D37">
        <v>61.2</v>
      </c>
    </row>
    <row r="38" spans="1:6" x14ac:dyDescent="0.3">
      <c r="D38">
        <v>90.3</v>
      </c>
    </row>
  </sheetData>
  <mergeCells count="1">
    <mergeCell ref="F18:J2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0AF6-B88E-4CA0-B934-137026BE3622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89</v>
      </c>
      <c r="B1" t="s">
        <v>90</v>
      </c>
    </row>
    <row r="2" spans="1:2" x14ac:dyDescent="0.3">
      <c r="A2" t="s">
        <v>91</v>
      </c>
      <c r="B2">
        <v>2</v>
      </c>
    </row>
    <row r="3" spans="1:2" x14ac:dyDescent="0.3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no.1</vt:lpstr>
      <vt:lpstr>no.2</vt:lpstr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2022-03-13T14:48:39Z</dcterms:created>
  <dcterms:modified xsi:type="dcterms:W3CDTF">2022-03-14T09:04:32Z</dcterms:modified>
</cp:coreProperties>
</file>