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MT 5\TPG\"/>
    </mc:Choice>
  </mc:AlternateContent>
  <xr:revisionPtr revIDLastSave="0" documentId="13_ncr:1_{CEDC0DF5-9FE3-4D00-9ED0-CB5E9C4C7A42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2. uji normal ganda" sheetId="1" r:id="rId1"/>
    <sheet name="3. thot selang kepercayaan" sheetId="4" r:id="rId2"/>
    <sheet name="3. Ellipse" sheetId="6" r:id="rId3"/>
    <sheet name="4. uji berpasangan" sheetId="7" r:id="rId4"/>
    <sheet name="4. Ragam Homogen" sheetId="8" r:id="rId5"/>
    <sheet name="4. Ragam Heterogen" sheetId="9" r:id="rId6"/>
  </sheets>
  <externalReferences>
    <externalReference r:id="rId7"/>
    <externalReference r:id="rId8"/>
  </externalReferences>
  <definedNames>
    <definedName name="r_0">[2]Sheet17!$A$3:$A$264</definedName>
    <definedName name="r_1">[2]Sheet17!$B$3:$B$264</definedName>
    <definedName name="r_2">[2]Sheet17!$C$3:$C$264</definedName>
    <definedName name="r_3">[2]Sheet17!$D$3:$D$264</definedName>
    <definedName name="r_4">[2]Sheet17!$E$3:$E$264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05AjDukNTREKal6jBVgTxACoKjWk8IwrhU6dunQE+DI="/>
    </ext>
  </extLst>
</workbook>
</file>

<file path=xl/calcChain.xml><?xml version="1.0" encoding="utf-8"?>
<calcChain xmlns="http://schemas.openxmlformats.org/spreadsheetml/2006/main">
  <c r="H40" i="9" l="1"/>
  <c r="B39" i="9"/>
  <c r="A35" i="9"/>
  <c r="A34" i="9"/>
  <c r="E30" i="9"/>
  <c r="D30" i="9"/>
  <c r="B30" i="9"/>
  <c r="B40" i="9" s="1"/>
  <c r="A30" i="9"/>
  <c r="A40" i="9" s="1"/>
  <c r="E29" i="9"/>
  <c r="D29" i="9"/>
  <c r="B29" i="9"/>
  <c r="A29" i="9"/>
  <c r="A39" i="9" s="1"/>
  <c r="D39" i="9" s="1" a="1"/>
  <c r="E23" i="9"/>
  <c r="D23" i="9"/>
  <c r="C23" i="9"/>
  <c r="E34" i="9" s="1"/>
  <c r="B23" i="9"/>
  <c r="D34" i="9" s="1"/>
  <c r="H68" i="8"/>
  <c r="J40" i="8"/>
  <c r="H40" i="8"/>
  <c r="A35" i="8"/>
  <c r="E34" i="8"/>
  <c r="A34" i="8"/>
  <c r="E30" i="8"/>
  <c r="D30" i="8"/>
  <c r="B30" i="8"/>
  <c r="A30" i="8"/>
  <c r="E29" i="8"/>
  <c r="D29" i="8"/>
  <c r="D39" i="8" s="1" a="1"/>
  <c r="D39" i="8" s="1"/>
  <c r="D42" i="8" s="1" a="1"/>
  <c r="D42" i="8" s="1"/>
  <c r="D45" i="8" s="1" a="1"/>
  <c r="B29" i="8"/>
  <c r="A29" i="8"/>
  <c r="E23" i="8"/>
  <c r="D23" i="8"/>
  <c r="C23" i="8"/>
  <c r="B23" i="8"/>
  <c r="D34" i="8" s="1"/>
  <c r="B61" i="7"/>
  <c r="J20" i="7"/>
  <c r="J22" i="7" s="1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C24" i="7" s="1"/>
  <c r="F4" i="7"/>
  <c r="G3" i="7"/>
  <c r="C23" i="7" s="1"/>
  <c r="F3" i="7"/>
  <c r="F18" i="7" s="1"/>
  <c r="E39" i="9" l="1"/>
  <c r="E40" i="9"/>
  <c r="D40" i="9"/>
  <c r="D39" i="9"/>
  <c r="H34" i="9" s="1" a="1"/>
  <c r="H34" i="9" s="1"/>
  <c r="H38" i="9" s="1"/>
  <c r="B57" i="9"/>
  <c r="B63" i="9"/>
  <c r="B56" i="9"/>
  <c r="B62" i="9"/>
  <c r="E46" i="8"/>
  <c r="E45" i="8"/>
  <c r="D46" i="8"/>
  <c r="D45" i="8"/>
  <c r="H34" i="8" s="1" a="1"/>
  <c r="H34" i="8" s="1"/>
  <c r="H38" i="8" s="1"/>
  <c r="B79" i="8"/>
  <c r="B56" i="8"/>
  <c r="B74" i="8"/>
  <c r="B73" i="8"/>
  <c r="B61" i="8"/>
  <c r="B57" i="8"/>
  <c r="B62" i="8"/>
  <c r="B78" i="8"/>
  <c r="J42" i="7"/>
  <c r="J43" i="7"/>
  <c r="B50" i="7"/>
  <c r="S61" i="7"/>
  <c r="G18" i="7"/>
  <c r="B23" i="7"/>
  <c r="B26" i="7" s="1" a="1"/>
  <c r="J61" i="7"/>
  <c r="B24" i="7"/>
  <c r="S60" i="7"/>
  <c r="J60" i="7"/>
  <c r="B26" i="7" l="1"/>
  <c r="B27" i="7"/>
  <c r="C26" i="7"/>
  <c r="C27" i="7"/>
  <c r="B49" i="7"/>
  <c r="J15" i="7" l="1" a="1"/>
  <c r="J15" i="7" s="1"/>
  <c r="J19" i="7" s="1"/>
  <c r="N13" i="6"/>
  <c r="M13" i="6"/>
  <c r="M12" i="6"/>
  <c r="N11" i="6"/>
  <c r="M11" i="6"/>
  <c r="N9" i="6"/>
  <c r="M9" i="6"/>
  <c r="H8" i="6"/>
  <c r="K5" i="6" s="1"/>
  <c r="E8" i="6"/>
  <c r="N10" i="6" s="1"/>
  <c r="D8" i="6"/>
  <c r="M10" i="6" s="1"/>
  <c r="N7" i="6"/>
  <c r="M7" i="6"/>
  <c r="H7" i="6"/>
  <c r="Q6" i="6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N6" i="6"/>
  <c r="M6" i="6"/>
  <c r="Q5" i="6"/>
  <c r="N5" i="6"/>
  <c r="M5" i="6"/>
  <c r="E5" i="6"/>
  <c r="D5" i="6"/>
  <c r="N4" i="6"/>
  <c r="M4" i="6"/>
  <c r="E4" i="6"/>
  <c r="D11" i="6" s="1" a="1"/>
  <c r="D4" i="6"/>
  <c r="H12" i="6" s="1"/>
  <c r="D12" i="6" l="1"/>
  <c r="E11" i="6"/>
  <c r="D11" i="6"/>
  <c r="E12" i="6"/>
  <c r="K6" i="6"/>
  <c r="K4" i="6"/>
  <c r="H11" i="6"/>
  <c r="M8" i="6"/>
  <c r="N12" i="6"/>
  <c r="N8" i="6"/>
  <c r="H13" i="6" l="1"/>
  <c r="H14" i="6" s="1"/>
  <c r="O12" i="6"/>
  <c r="O6" i="6"/>
  <c r="O10" i="6"/>
  <c r="O8" i="6"/>
  <c r="O13" i="6"/>
  <c r="O11" i="6"/>
  <c r="O9" i="6"/>
  <c r="O7" i="6"/>
  <c r="O5" i="6"/>
  <c r="O4" i="6"/>
  <c r="J12" i="6"/>
  <c r="J11" i="6"/>
  <c r="K8" i="6"/>
  <c r="R15" i="6" l="1"/>
  <c r="R9" i="6"/>
  <c r="R16" i="6"/>
  <c r="R10" i="6"/>
  <c r="R21" i="6"/>
  <c r="R17" i="6"/>
  <c r="R4" i="6"/>
  <c r="R22" i="6"/>
  <c r="R13" i="6"/>
  <c r="K12" i="6"/>
  <c r="S16" i="6" s="1"/>
  <c r="S20" i="6"/>
  <c r="K11" i="6"/>
  <c r="R23" i="6" s="1"/>
  <c r="S8" i="6"/>
  <c r="S12" i="6"/>
  <c r="S18" i="6"/>
  <c r="S9" i="6"/>
  <c r="S15" i="6"/>
  <c r="S11" i="6" l="1"/>
  <c r="S4" i="6"/>
  <c r="R7" i="6"/>
  <c r="R14" i="6"/>
  <c r="R6" i="6"/>
  <c r="R5" i="6"/>
  <c r="R20" i="6"/>
  <c r="R19" i="6"/>
  <c r="S19" i="6"/>
  <c r="S22" i="6"/>
  <c r="S17" i="6"/>
  <c r="S10" i="6"/>
  <c r="S24" i="6"/>
  <c r="S23" i="6"/>
  <c r="S13" i="6"/>
  <c r="S21" i="6"/>
  <c r="S7" i="6"/>
  <c r="S14" i="6"/>
  <c r="S6" i="6"/>
  <c r="S5" i="6"/>
  <c r="R11" i="6"/>
  <c r="R18" i="6"/>
  <c r="R12" i="6"/>
  <c r="R8" i="6"/>
  <c r="R24" i="6"/>
  <c r="E122" i="4" l="1"/>
  <c r="E123" i="4" s="1"/>
  <c r="B58" i="4"/>
  <c r="F34" i="4"/>
  <c r="E16" i="4"/>
  <c r="B16" i="4"/>
  <c r="E15" i="4"/>
  <c r="D16" i="4" s="1"/>
  <c r="D26" i="4" s="1" a="1"/>
  <c r="D26" i="4" s="1"/>
  <c r="D15" i="4"/>
  <c r="B15" i="4"/>
  <c r="I28" i="4" s="1"/>
  <c r="F8" i="4"/>
  <c r="E31" i="4" s="1"/>
  <c r="F7" i="4"/>
  <c r="J26" i="4" l="1"/>
  <c r="E128" i="4"/>
  <c r="B128" i="4"/>
  <c r="E127" i="4"/>
  <c r="B127" i="4"/>
  <c r="J28" i="4"/>
  <c r="I27" i="4"/>
  <c r="D31" i="4"/>
  <c r="F31" i="4" s="1"/>
  <c r="B68" i="4" s="1"/>
  <c r="B103" i="4" s="1"/>
  <c r="B59" i="4"/>
  <c r="B27" i="4"/>
  <c r="I26" i="4"/>
  <c r="I30" i="4" s="1"/>
  <c r="I32" i="4" s="1"/>
  <c r="J27" i="4"/>
  <c r="B26" i="4"/>
  <c r="B31" i="4" a="1"/>
  <c r="B31" i="4" s="1"/>
  <c r="C34" i="4" s="1"/>
  <c r="E112" i="4" l="1"/>
  <c r="B112" i="4"/>
  <c r="B113" i="4"/>
  <c r="E113" i="4"/>
  <c r="J30" i="4"/>
  <c r="J32" i="4" s="1"/>
  <c r="C71" i="4"/>
  <c r="C70" i="4"/>
  <c r="C75" i="4" l="1" a="1"/>
  <c r="C75" i="4" s="1"/>
  <c r="D75" i="4" a="1"/>
  <c r="D75" i="4" s="1"/>
  <c r="D79" i="4" a="1"/>
  <c r="D79" i="4" s="1"/>
  <c r="C79" i="4" a="1"/>
  <c r="C79" i="4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C12" i="1"/>
  <c r="B12" i="1"/>
  <c r="E11" i="1" s="1"/>
  <c r="N11" i="1"/>
  <c r="M11" i="1"/>
  <c r="F11" i="1"/>
  <c r="Q10" i="1"/>
  <c r="M10" i="1"/>
  <c r="N10" i="1" s="1"/>
  <c r="F10" i="1"/>
  <c r="E10" i="1"/>
  <c r="F9" i="1"/>
  <c r="E9" i="1"/>
  <c r="F8" i="1"/>
  <c r="E8" i="1"/>
  <c r="I7" i="1"/>
  <c r="H7" i="1"/>
  <c r="I6" i="1" s="1"/>
  <c r="F7" i="1"/>
  <c r="E7" i="1"/>
  <c r="H6" i="1"/>
  <c r="N6" i="1" s="1" a="1"/>
  <c r="F6" i="1"/>
  <c r="E6" i="1"/>
  <c r="F5" i="1"/>
  <c r="E5" i="1"/>
  <c r="F4" i="1"/>
  <c r="E4" i="1"/>
  <c r="F3" i="1"/>
  <c r="E3" i="1"/>
  <c r="F2" i="1"/>
  <c r="E2" i="1"/>
  <c r="H10" i="1" s="1" a="1"/>
  <c r="H19" i="1" l="1"/>
  <c r="H17" i="1"/>
  <c r="H15" i="1"/>
  <c r="H13" i="1"/>
  <c r="J13" i="1" s="1" a="1"/>
  <c r="J13" i="1" s="1"/>
  <c r="H11" i="1"/>
  <c r="J11" i="1" s="1" a="1"/>
  <c r="J11" i="1" s="1"/>
  <c r="I19" i="1"/>
  <c r="I17" i="1"/>
  <c r="I15" i="1"/>
  <c r="I13" i="1"/>
  <c r="I11" i="1"/>
  <c r="H10" i="1"/>
  <c r="I18" i="1"/>
  <c r="I16" i="1"/>
  <c r="I14" i="1"/>
  <c r="I12" i="1"/>
  <c r="I10" i="1"/>
  <c r="H18" i="1"/>
  <c r="H16" i="1"/>
  <c r="H14" i="1"/>
  <c r="J14" i="1" s="1" a="1"/>
  <c r="J14" i="1" s="1"/>
  <c r="H12" i="1"/>
  <c r="J12" i="1" s="1" a="1"/>
  <c r="J12" i="1" s="1"/>
  <c r="O7" i="1"/>
  <c r="N6" i="1"/>
  <c r="N7" i="1"/>
  <c r="O6" i="1"/>
  <c r="J15" i="1" l="1" a="1"/>
  <c r="J15" i="1" s="1"/>
  <c r="J16" i="1" a="1"/>
  <c r="J16" i="1" s="1"/>
  <c r="J17" i="1" a="1"/>
  <c r="J17" i="1" s="1"/>
  <c r="J10" i="1" a="1"/>
  <c r="J10" i="1" s="1"/>
  <c r="J18" i="1" a="1"/>
  <c r="J18" i="1" s="1"/>
  <c r="J19" i="1" a="1"/>
  <c r="J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<sst xmlns="http://schemas.openxmlformats.org/spreadsheetml/2006/main" count="332" uniqueCount="192">
  <si>
    <t>No</t>
  </si>
  <si>
    <t>X1</t>
  </si>
  <si>
    <t>X2</t>
  </si>
  <si>
    <t>Xi-Xbar</t>
  </si>
  <si>
    <t>x1</t>
  </si>
  <si>
    <t>x2</t>
  </si>
  <si>
    <t>Matriks kovarian</t>
  </si>
  <si>
    <t>Invers matriks varians-covariance</t>
  </si>
  <si>
    <t>(Xi-Xbar)*Sinvers</t>
  </si>
  <si>
    <t>di^2</t>
  </si>
  <si>
    <t>di^2 diurutkan</t>
  </si>
  <si>
    <t>i</t>
  </si>
  <si>
    <t>pi</t>
  </si>
  <si>
    <t>chi square</t>
  </si>
  <si>
    <t>Chi-squarediurutkan</t>
  </si>
  <si>
    <t>korelasi</t>
  </si>
  <si>
    <r>
      <rPr>
        <sz val="11"/>
        <color theme="1"/>
        <rFont val="Calibri"/>
      </rPr>
      <t>X</t>
    </r>
    <r>
      <rPr>
        <sz val="11"/>
        <color theme="1"/>
        <rFont val="Calibri"/>
      </rPr>
      <t>̅</t>
    </r>
  </si>
  <si>
    <t>Siswa</t>
  </si>
  <si>
    <t>matematika</t>
  </si>
  <si>
    <t>fisika</t>
  </si>
  <si>
    <t>n</t>
  </si>
  <si>
    <t>p</t>
  </si>
  <si>
    <t>Stat Uji</t>
  </si>
  <si>
    <t>T^2</t>
  </si>
  <si>
    <t>Titik Kritis</t>
  </si>
  <si>
    <t>e1</t>
  </si>
  <si>
    <t>e2</t>
  </si>
  <si>
    <t>S</t>
  </si>
  <si>
    <t>t tabel</t>
  </si>
  <si>
    <t>alpha/2p</t>
  </si>
  <si>
    <t>mat</t>
  </si>
  <si>
    <t>Hipotesis</t>
  </si>
  <si>
    <t>fis</t>
  </si>
  <si>
    <t>m1</t>
  </si>
  <si>
    <t>m2</t>
  </si>
  <si>
    <t>taraf nyata</t>
  </si>
  <si>
    <t>Vektor Rataan Xbar</t>
  </si>
  <si>
    <t>Matriks Kovarian S</t>
  </si>
  <si>
    <t>Uji Hipotesis T2 Hotelling</t>
  </si>
  <si>
    <t>Xbar - miu0</t>
  </si>
  <si>
    <t>Inverse S</t>
  </si>
  <si>
    <t>F</t>
  </si>
  <si>
    <t>Keputusan</t>
  </si>
  <si>
    <t>pada taraf nyata alfa</t>
  </si>
  <si>
    <t>Selang kepercayaan Ellips</t>
  </si>
  <si>
    <t>Gambar daerah kepercayaan Ellips</t>
  </si>
  <si>
    <t>Titik Pusat Xbar</t>
  </si>
  <si>
    <t>Menghitung nilai Eigen</t>
  </si>
  <si>
    <t>L1</t>
  </si>
  <si>
    <t>L2</t>
  </si>
  <si>
    <t>Daerah kepeercayaan</t>
  </si>
  <si>
    <t>c kuadrat</t>
  </si>
  <si>
    <t>panjang sumbu mayor</t>
  </si>
  <si>
    <t>panjang sumbu minor</t>
  </si>
  <si>
    <t>Koordinat yang dibentuk</t>
  </si>
  <si>
    <t>sumbu</t>
  </si>
  <si>
    <t>untuk L1</t>
  </si>
  <si>
    <t>X</t>
  </si>
  <si>
    <t>Y</t>
  </si>
  <si>
    <t>untuk L2</t>
  </si>
  <si>
    <t>Menggambar ellips</t>
  </si>
  <si>
    <t>Selang Kepercayaan Simultan</t>
  </si>
  <si>
    <t>xbar</t>
  </si>
  <si>
    <t>Selang untuk x1</t>
  </si>
  <si>
    <t>batas bawah</t>
  </si>
  <si>
    <t>batas atas</t>
  </si>
  <si>
    <t>Selang Kepercayaan Bonferroni</t>
  </si>
  <si>
    <t>t</t>
  </si>
  <si>
    <t>Confidence Ellipse</t>
  </si>
  <si>
    <t>cov</t>
  </si>
  <si>
    <t>eval</t>
  </si>
  <si>
    <t>X-Xbar</t>
  </si>
  <si>
    <t>Y-Ybar</t>
  </si>
  <si>
    <t>a</t>
  </si>
  <si>
    <t>b</t>
  </si>
  <si>
    <t>θ (rad)</t>
  </si>
  <si>
    <t>mean</t>
  </si>
  <si>
    <t>c</t>
  </si>
  <si>
    <t>θ (deg)</t>
  </si>
  <si>
    <t>% inside</t>
  </si>
  <si>
    <t>inv cov</t>
  </si>
  <si>
    <t>Q</t>
  </si>
  <si>
    <t>trace</t>
  </si>
  <si>
    <t>det</t>
  </si>
  <si>
    <t>eig1</t>
  </si>
  <si>
    <t>eig2</t>
  </si>
  <si>
    <t>Essay Formal</t>
  </si>
  <si>
    <t>Essay Informal</t>
  </si>
  <si>
    <t>Selisih</t>
  </si>
  <si>
    <t>PENGUJIAN HIPOTESIS BEDA VEKTOR NILAI TENGAH DUA POPULASI KASUS DATA BERPASANGAN</t>
  </si>
  <si>
    <t>Kata</t>
  </si>
  <si>
    <t>Kata Kerja</t>
  </si>
  <si>
    <t>d1</t>
  </si>
  <si>
    <t>d2</t>
  </si>
  <si>
    <t>Populasi 1</t>
  </si>
  <si>
    <t>Peubah 1</t>
  </si>
  <si>
    <t>Banyaknya kata</t>
  </si>
  <si>
    <t>Populasi 2</t>
  </si>
  <si>
    <t>Peubah 2</t>
  </si>
  <si>
    <t>Banyaknya kata kerja</t>
  </si>
  <si>
    <t>Prosedur Pengujian</t>
  </si>
  <si>
    <t>Hipotesis Statistik:</t>
  </si>
  <si>
    <t>H0: vektordbar = vektor0</t>
  </si>
  <si>
    <t>(tidak terdapat perbedaan kata dan kata kerja antara essay formal dengan essay informal)</t>
  </si>
  <si>
    <t>H1: vektordbar != vektor0</t>
  </si>
  <si>
    <t>(terdapat perbedaan kata dan kata kerja antara essay formal dengan essay informal)</t>
  </si>
  <si>
    <t>Taraf nyata:</t>
  </si>
  <si>
    <t>Statistik Uji:</t>
  </si>
  <si>
    <t>n*vektordbar'*Sd^-1*vektordbar</t>
  </si>
  <si>
    <t>Kriteria penolakan H0:</t>
  </si>
  <si>
    <t>Tolak H0 jika T^2 &gt; c^2</t>
  </si>
  <si>
    <t>d rata2</t>
  </si>
  <si>
    <t>F(p,n-p,alpha)</t>
  </si>
  <si>
    <t>c^2</t>
  </si>
  <si>
    <t>((n-1)*p/(n-p))*F(p,n-p,alpha)</t>
  </si>
  <si>
    <t>Sd</t>
  </si>
  <si>
    <t>Karena T^2 &gt; c^2 maka</t>
  </si>
  <si>
    <t>Sd^-1</t>
  </si>
  <si>
    <t>Keputusan: Tolak H0</t>
  </si>
  <si>
    <t>Kesimpulan:</t>
  </si>
  <si>
    <t>Cukup bukti untuk menyatakan bahwa terdapat perbedaan kata dan kata kerja antara essay formal dengan essay informal</t>
  </si>
  <si>
    <t>pada taraf nyata 5%</t>
  </si>
  <si>
    <t>Jika dilihat dari rata-rata selisih kata antara essay formal dengan essay informal dan rata-rata selisih kata kerja antara essay formal dengan</t>
  </si>
  <si>
    <t>essay informal di mana rata-rata selisih kata antara essay formal dengan essay informal lebih besar maka</t>
  </si>
  <si>
    <t>essay formal lebih baik daripada essay informal</t>
  </si>
  <si>
    <t>SELANG KEPERCAYAAN SIMULTAN</t>
  </si>
  <si>
    <t>Batas Bawah</t>
  </si>
  <si>
    <t>Batas Atas</t>
  </si>
  <si>
    <t>SELANG KEPERCAYAAN BONFERRONI</t>
  </si>
  <si>
    <t>NO</t>
  </si>
  <si>
    <t>CAT</t>
  </si>
  <si>
    <t>MANUAL</t>
  </si>
  <si>
    <t>PENGUJIAN HIPOTESIS BEDA VEKTOR NILAI TENGAH DUA POPULASI KASUS DATA SALING BEBAS ASUMSI RAGAM SAMA</t>
  </si>
  <si>
    <t>TWK</t>
  </si>
  <si>
    <t>TIU</t>
  </si>
  <si>
    <t>Mengapa kasus ini dianggap kasus data saling bebas?</t>
  </si>
  <si>
    <t>Alasannya adalah sampel yang diambil dari populasi peserta yang mengikuti seleksi menggunakan CAT</t>
  </si>
  <si>
    <t>berbeda dengan sampel yang diambil dari populasi peserta yang mengikuti seleksi menggunakan sistem manual.</t>
  </si>
  <si>
    <t>Setiap sampel dari masing-masing populasi diamati nilai TWK dan TIU.</t>
  </si>
  <si>
    <t>Jadi, nilai amatan peubah TWK dan TIU diukur dari objek (peserta) yang berbeda.</t>
  </si>
  <si>
    <t>Sebenarnya, kasus di mana dua nilai untuk peubah tertentu dalam satu obdervasi berasal dari objek yang berbeda</t>
  </si>
  <si>
    <t>dapat dianggap sebagai data berpasangan.</t>
  </si>
  <si>
    <t>Namun, dua objek yang berbeda tersebut harus memiliki latar belakang yang sama.</t>
  </si>
  <si>
    <t>Karena tidak ada informasi menyangkut hal tersebut,</t>
  </si>
  <si>
    <t>maka saya memilih prosedur pengujian hipotesis beda vektor nilai tengah dua populasi kasus data saling bebas.</t>
  </si>
  <si>
    <t>Peserta yang mengikuti seleksi menggunakan CAT</t>
  </si>
  <si>
    <t>Peserta yang mengikuti seleksi menggunakan sistem manual</t>
  </si>
  <si>
    <t>n1 = n2</t>
  </si>
  <si>
    <t>xbar'</t>
  </si>
  <si>
    <t>vektorxbar1</t>
  </si>
  <si>
    <t>vektorxbar2</t>
  </si>
  <si>
    <t>Prosedur pengujian</t>
  </si>
  <si>
    <t>Hipotesis statistik:</t>
  </si>
  <si>
    <t>H0: vektormiu1 - vektormiu2 = vektor0</t>
  </si>
  <si>
    <t xml:space="preserve">(rata-rata nilai hasil test untuk TWK dan TIU dari peserta yang mengikuti seleksi menggunakan CAT sama dengan peserta yang mengikuti seleksi menggunakan sistem manual) </t>
  </si>
  <si>
    <t>S1</t>
  </si>
  <si>
    <t>S2</t>
  </si>
  <si>
    <t>H1: vektormiu1 - vektormiu2 != vektor0</t>
  </si>
  <si>
    <t xml:space="preserve">(rata-rata nilai hasil test untuk TWK dan TIU dari peserta yang mengikuti seleksi menggunakan CAT berbeda dengan peserta yang mengikuti seleksi menggunakan sistem manual) </t>
  </si>
  <si>
    <t>Statistik uji:</t>
  </si>
  <si>
    <t xml:space="preserve"> </t>
  </si>
  <si>
    <t>vektorxbar1 - vektorxbar2</t>
  </si>
  <si>
    <t>(vektorxbar1 - vektorxbar2)'</t>
  </si>
  <si>
    <t>S gab</t>
  </si>
  <si>
    <t>F tabel (p,n1+n2-p-1;alpha)</t>
  </si>
  <si>
    <t>Karena T^2 &lt; c^2 maka</t>
  </si>
  <si>
    <t>Keputusan: Tak Tolak H0</t>
  </si>
  <si>
    <t>Pada Saat ragam Populasi Tes CPNS Manual diasumsikan Sama dengan Ragam Populasi Tes CPNS CAT,</t>
  </si>
  <si>
    <t>Maka dapat disimpulkan belum cukup bukti menolak Ho. Dengan kata lain, nilai Tes CPNS manual tidak</t>
  </si>
  <si>
    <t>berbeda dengan tes CPNS Cat dengan uji taraf nyata 5%.</t>
  </si>
  <si>
    <t>Selang kepercayaan 95% bagi TWK:</t>
  </si>
  <si>
    <t>Interpretasi :</t>
  </si>
  <si>
    <t>dengan tingkat kepercayaan 95% selisih nilai TWK tes CAT dan manual adalah antara -13.9256</t>
  </si>
  <si>
    <t>hingga 11.5255. Selang kepercayaan ini memuat nilai 0 didalamnya sehingga dapat disimpulkan</t>
  </si>
  <si>
    <t>bahwa TWK antara CAT dan manual tidak berbeda nyata.</t>
  </si>
  <si>
    <t>Selang kepercayaan 95% bagi TIU:</t>
  </si>
  <si>
    <t>Interpretasi:</t>
  </si>
  <si>
    <t>dengan tingkat kepercayaan 95% selisih nilai TIU tes CAT dan manual adalah antara -18.4830 hingga</t>
  </si>
  <si>
    <t>4.1830. Selang kepercayaan ini memuat nilai 0 didalamnya sehingga dapat disimpulkan bahwa TIU</t>
  </si>
  <si>
    <t>antara CAT dan manual tidak berbeda nyata.</t>
  </si>
  <si>
    <t>dengan tingkat kepercayaan 95% selisih nilai TWK tes CAT dan manual adalah antara -12.6908</t>
  </si>
  <si>
    <t>hingga 10.2908. Selang kepercayaan ini memuat nilai 0 didalamnya sehingga dapat disimpulkan</t>
  </si>
  <si>
    <t>dengan tingkat kepercayaan 95% selisih nilai TIU tes CAT dan manual adalah antara -17.3834 hingga</t>
  </si>
  <si>
    <t>3.0834. Selang kepercayaan ini memuat nilai 0 didalamnya sehingga dapat disimpulkan bahwa TIU</t>
  </si>
  <si>
    <t>PENGUJIAN HIPOTESIS BEDA VEKTOR NILAI TENGAH DUA POPULASI KASUS DATA SALING BEBAS ASUMSI RAGAM TIDAK SAMA</t>
  </si>
  <si>
    <t>chisq^2(alpha,p)</t>
  </si>
  <si>
    <t>Tidak cukup bukti untuk menyatakan bahwa rata-rata nilai hasil test untuk TWK dan TIU</t>
  </si>
  <si>
    <t>dari peserta yang mengikuti seleksi menggunakan CAT berbeda dengan peserta yang mengikuti seleksi menggunakan sistem manual</t>
  </si>
  <si>
    <t>dengan tingkat kepercayaan 95% selisih nilai TWK tes CAT dan manual adalah antara -13.2522</t>
  </si>
  <si>
    <t>hingga 10.8522. Selang kepercayaan ini memuat nilai 0 didalamnya sehingga dapat disimpulkan</t>
  </si>
  <si>
    <t>dengan tingkat kepercayaan 95% selisih nilai TIU tes CAT dan manual adalah antara -17.8834 hingga</t>
  </si>
  <si>
    <t>3.5834. Selang kepercayaan ini memuat nilai 0 didalamnya sehingga dapat disimpulkan bahwa 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</si>
</sst>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777777"/>
      <name val="&quot;Google Sans Mono&quot;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4"/>
    <xf numFmtId="9" fontId="1" fillId="0" borderId="4" applyFon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/>
    <xf numFmtId="0" fontId="4" fillId="0" borderId="1" xfId="0" applyFont="1" applyBorder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4" borderId="0" xfId="0" applyFont="1" applyFill="1"/>
    <xf numFmtId="0" fontId="4" fillId="0" borderId="7" xfId="0" applyFont="1" applyBorder="1"/>
    <xf numFmtId="0" fontId="4" fillId="0" borderId="8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/>
    </xf>
    <xf numFmtId="0" fontId="3" fillId="0" borderId="6" xfId="0" applyFont="1" applyBorder="1"/>
    <xf numFmtId="0" fontId="1" fillId="0" borderId="4" xfId="1"/>
    <xf numFmtId="0" fontId="1" fillId="5" borderId="4" xfId="1" applyFill="1"/>
    <xf numFmtId="0" fontId="8" fillId="0" borderId="4" xfId="1" applyFont="1"/>
    <xf numFmtId="0" fontId="7" fillId="0" borderId="4" xfId="1" applyFont="1"/>
    <xf numFmtId="0" fontId="1" fillId="6" borderId="4" xfId="1" applyFill="1"/>
    <xf numFmtId="0" fontId="7" fillId="7" borderId="4" xfId="1" applyFont="1" applyFill="1" applyAlignment="1">
      <alignment horizontal="center"/>
    </xf>
    <xf numFmtId="0" fontId="7" fillId="6" borderId="4" xfId="1" applyFont="1" applyFill="1"/>
    <xf numFmtId="0" fontId="1" fillId="0" borderId="4" xfId="1" applyAlignment="1">
      <alignment horizontal="center"/>
    </xf>
    <xf numFmtId="0" fontId="1" fillId="0" borderId="4" xfId="1" applyAlignment="1">
      <alignment horizontal="right"/>
    </xf>
    <xf numFmtId="0" fontId="7" fillId="8" borderId="4" xfId="1" applyFont="1" applyFill="1"/>
    <xf numFmtId="2" fontId="1" fillId="0" borderId="10" xfId="1" applyNumberFormat="1" applyBorder="1" applyAlignment="1">
      <alignment horizontal="center"/>
    </xf>
    <xf numFmtId="2" fontId="1" fillId="0" borderId="11" xfId="1" applyNumberFormat="1" applyBorder="1" applyAlignment="1">
      <alignment horizontal="right"/>
    </xf>
    <xf numFmtId="0" fontId="1" fillId="0" borderId="10" xfId="1" applyBorder="1"/>
    <xf numFmtId="0" fontId="1" fillId="0" borderId="10" xfId="1" applyBorder="1" applyAlignment="1">
      <alignment horizontal="center"/>
    </xf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1" fillId="0" borderId="16" xfId="1" applyBorder="1"/>
    <xf numFmtId="2" fontId="1" fillId="0" borderId="4" xfId="1" applyNumberFormat="1" applyAlignment="1">
      <alignment horizontal="right"/>
    </xf>
    <xf numFmtId="2" fontId="9" fillId="0" borderId="4" xfId="1" applyNumberFormat="1" applyFont="1" applyAlignment="1" applyProtection="1">
      <alignment horizontal="right"/>
      <protection locked="0"/>
    </xf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20" xfId="1" applyBorder="1"/>
    <xf numFmtId="2" fontId="1" fillId="0" borderId="14" xfId="1" applyNumberFormat="1" applyBorder="1"/>
    <xf numFmtId="2" fontId="1" fillId="0" borderId="15" xfId="1" applyNumberFormat="1" applyBorder="1"/>
    <xf numFmtId="0" fontId="1" fillId="0" borderId="9" xfId="1" applyBorder="1"/>
    <xf numFmtId="164" fontId="0" fillId="0" borderId="20" xfId="2" applyNumberFormat="1" applyFont="1" applyBorder="1"/>
    <xf numFmtId="2" fontId="10" fillId="0" borderId="4" xfId="1" applyNumberFormat="1" applyFont="1" applyProtection="1">
      <protection locked="0"/>
    </xf>
    <xf numFmtId="2" fontId="9" fillId="0" borderId="11" xfId="1" applyNumberFormat="1" applyFont="1" applyBorder="1" applyAlignment="1" applyProtection="1">
      <alignment horizontal="right"/>
      <protection locked="0"/>
    </xf>
    <xf numFmtId="0" fontId="1" fillId="0" borderId="11" xfId="1" applyBorder="1"/>
    <xf numFmtId="0" fontId="11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1" fillId="9" borderId="4" xfId="1" applyFill="1"/>
    <xf numFmtId="0" fontId="1" fillId="9" borderId="9" xfId="1" applyFill="1" applyBorder="1"/>
    <xf numFmtId="0" fontId="8" fillId="0" borderId="4" xfId="1" applyFont="1" applyAlignment="1">
      <alignment horizontal="center" vertical="center"/>
    </xf>
    <xf numFmtId="0" fontId="1" fillId="10" borderId="4" xfId="1" applyFill="1"/>
    <xf numFmtId="0" fontId="1" fillId="0" borderId="4" xfId="1" applyAlignment="1">
      <alignment horizontal="center" vertical="center"/>
    </xf>
    <xf numFmtId="0" fontId="12" fillId="0" borderId="4" xfId="1" applyFont="1" applyAlignment="1">
      <alignment horizontal="justify" vertical="center"/>
    </xf>
  </cellXfs>
  <cellStyles count="3">
    <cellStyle name="Normal" xfId="0" builtinId="0"/>
    <cellStyle name="Normal 2" xfId="1" xr:uid="{5B523EFA-D6C6-42D8-A4D0-52E1A5E2D4AF}"/>
    <cellStyle name="Percent 2" xfId="2" xr:uid="{C440847D-68DB-4E83-8918-E5B0657DE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di^2 vs. Chi-squarediurutkan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'2. uji normal ganda'!$P$10:$P$19</c:f>
              <c:numCache>
                <c:formatCode>General</c:formatCode>
                <c:ptCount val="10"/>
                <c:pt idx="0">
                  <c:v>0.29205720563284598</c:v>
                </c:pt>
                <c:pt idx="1">
                  <c:v>0.30677822996551601</c:v>
                </c:pt>
                <c:pt idx="2">
                  <c:v>0.43474472235241829</c:v>
                </c:pt>
                <c:pt idx="3">
                  <c:v>0.58465245844780778</c:v>
                </c:pt>
                <c:pt idx="4">
                  <c:v>1.2025659170110665</c:v>
                </c:pt>
                <c:pt idx="5">
                  <c:v>1.6944670060281735</c:v>
                </c:pt>
                <c:pt idx="6">
                  <c:v>1.7193231290560702</c:v>
                </c:pt>
                <c:pt idx="7">
                  <c:v>2.3804487939036978</c:v>
                </c:pt>
                <c:pt idx="8">
                  <c:v>3.2953530351255411</c:v>
                </c:pt>
                <c:pt idx="9">
                  <c:v>6.0896095024768728</c:v>
                </c:pt>
              </c:numCache>
            </c:numRef>
          </c:xVal>
          <c:yVal>
            <c:numRef>
              <c:f>'2. uji normal ganda'!$O$10:$O$19</c:f>
              <c:numCache>
                <c:formatCode>General</c:formatCode>
                <c:ptCount val="10"/>
                <c:pt idx="0">
                  <c:v>0.102586588775101</c:v>
                </c:pt>
                <c:pt idx="1">
                  <c:v>0.32503785899554977</c:v>
                </c:pt>
                <c:pt idx="2">
                  <c:v>0.57536414490356125</c:v>
                </c:pt>
                <c:pt idx="3">
                  <c:v>0.8615658321849079</c:v>
                </c:pt>
                <c:pt idx="4">
                  <c:v>1.1956740015112395</c:v>
                </c:pt>
                <c:pt idx="5">
                  <c:v>1.5970153924355426</c:v>
                </c:pt>
                <c:pt idx="6">
                  <c:v>2.0996442489973535</c:v>
                </c:pt>
                <c:pt idx="7">
                  <c:v>2.7725887222397776</c:v>
                </c:pt>
                <c:pt idx="8">
                  <c:v>3.7942399697717573</c:v>
                </c:pt>
                <c:pt idx="9">
                  <c:v>5.991464547107979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6B-485D-8398-0188153B6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38384"/>
        <c:axId val="284851277"/>
      </c:scatterChart>
      <c:valAx>
        <c:axId val="311638384"/>
        <c:scaling>
          <c:orientation val="minMax"/>
          <c:max val="7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Chi-squarediurutkan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4851277"/>
        <c:crosses val="autoZero"/>
        <c:crossBetween val="midCat"/>
      </c:valAx>
      <c:valAx>
        <c:axId val="284851277"/>
        <c:scaling>
          <c:orientation val="minMax"/>
          <c:max val="7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di^2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163838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 Ellipse'!$B$3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 Ellipse'!$A$4:$A$13</c:f>
              <c:numCache>
                <c:formatCode>General</c:formatCode>
                <c:ptCount val="10"/>
                <c:pt idx="0">
                  <c:v>72.8</c:v>
                </c:pt>
                <c:pt idx="1">
                  <c:v>46</c:v>
                </c:pt>
                <c:pt idx="2">
                  <c:v>59.2</c:v>
                </c:pt>
                <c:pt idx="3">
                  <c:v>66.7</c:v>
                </c:pt>
                <c:pt idx="4">
                  <c:v>84.2</c:v>
                </c:pt>
                <c:pt idx="5">
                  <c:v>50.4</c:v>
                </c:pt>
                <c:pt idx="6">
                  <c:v>49.6</c:v>
                </c:pt>
                <c:pt idx="7">
                  <c:v>77.900000000000006</c:v>
                </c:pt>
                <c:pt idx="8">
                  <c:v>63.9</c:v>
                </c:pt>
                <c:pt idx="9">
                  <c:v>55.1</c:v>
                </c:pt>
              </c:numCache>
            </c:numRef>
          </c:xVal>
          <c:yVal>
            <c:numRef>
              <c:f>'3. Ellipse'!$B$4:$B$13</c:f>
              <c:numCache>
                <c:formatCode>General</c:formatCode>
                <c:ptCount val="10"/>
                <c:pt idx="0">
                  <c:v>69.900000000000006</c:v>
                </c:pt>
                <c:pt idx="1">
                  <c:v>68.900000000000006</c:v>
                </c:pt>
                <c:pt idx="2">
                  <c:v>58.4</c:v>
                </c:pt>
                <c:pt idx="3">
                  <c:v>78.2</c:v>
                </c:pt>
                <c:pt idx="4">
                  <c:v>63.9</c:v>
                </c:pt>
                <c:pt idx="5">
                  <c:v>54.6</c:v>
                </c:pt>
                <c:pt idx="6">
                  <c:v>66.5</c:v>
                </c:pt>
                <c:pt idx="7">
                  <c:v>71.599999999999994</c:v>
                </c:pt>
                <c:pt idx="8">
                  <c:v>77.2</c:v>
                </c:pt>
                <c:pt idx="9">
                  <c:v>56.8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9-4C08-8559-80EB14D79B74}"/>
            </c:ext>
          </c:extLst>
        </c:ser>
        <c:ser>
          <c:idx val="1"/>
          <c:order val="1"/>
          <c:tx>
            <c:v>Centroid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 Ellipse'!$D$8</c:f>
              <c:numCache>
                <c:formatCode>0.00</c:formatCode>
                <c:ptCount val="1"/>
                <c:pt idx="0">
                  <c:v>62.58</c:v>
                </c:pt>
              </c:numCache>
            </c:numRef>
          </c:xVal>
          <c:yVal>
            <c:numRef>
              <c:f>'3. Ellipse'!$E$8</c:f>
              <c:numCache>
                <c:formatCode>0.00</c:formatCode>
                <c:ptCount val="1"/>
                <c:pt idx="0">
                  <c:v>66.599999999999994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19-4C08-8559-80EB14D79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43184"/>
        <c:axId val="1857344832"/>
      </c:scatterChart>
      <c:scatterChart>
        <c:scatterStyle val="smoothMarker"/>
        <c:varyColors val="0"/>
        <c:ser>
          <c:idx val="2"/>
          <c:order val="2"/>
          <c:tx>
            <c:v>Ellips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'3. Ellipse'!$R$4:$R$24</c:f>
              <c:numCache>
                <c:formatCode>General</c:formatCode>
                <c:ptCount val="21"/>
                <c:pt idx="0">
                  <c:v>74.136539744787356</c:v>
                </c:pt>
                <c:pt idx="1">
                  <c:v>72.916582465531206</c:v>
                </c:pt>
                <c:pt idx="2">
                  <c:v>70.684808475343999</c:v>
                </c:pt>
                <c:pt idx="3">
                  <c:v>67.659679362068999</c:v>
                </c:pt>
                <c:pt idx="4">
                  <c:v>64.137315840627465</c:v>
                </c:pt>
                <c:pt idx="5">
                  <c:v>60.462511394247819</c:v>
                </c:pt>
                <c:pt idx="6">
                  <c:v>56.994981486009834</c:v>
                </c:pt>
                <c:pt idx="7">
                  <c:v>54.074152103033342</c:v>
                </c:pt>
                <c:pt idx="8">
                  <c:v>51.985934375939031</c:v>
                </c:pt>
                <c:pt idx="9">
                  <c:v>50.934737605323321</c:v>
                </c:pt>
                <c:pt idx="10">
                  <c:v>51.02346025521264</c:v>
                </c:pt>
                <c:pt idx="11">
                  <c:v>52.24341753446879</c:v>
                </c:pt>
                <c:pt idx="12">
                  <c:v>54.47519152465599</c:v>
                </c:pt>
                <c:pt idx="13">
                  <c:v>57.500320637930997</c:v>
                </c:pt>
                <c:pt idx="14">
                  <c:v>61.022684159372538</c:v>
                </c:pt>
                <c:pt idx="15">
                  <c:v>64.69748860575217</c:v>
                </c:pt>
                <c:pt idx="16">
                  <c:v>68.165018513990162</c:v>
                </c:pt>
                <c:pt idx="17">
                  <c:v>71.085847896966655</c:v>
                </c:pt>
                <c:pt idx="18">
                  <c:v>73.174065624060972</c:v>
                </c:pt>
                <c:pt idx="19">
                  <c:v>74.225262394676676</c:v>
                </c:pt>
                <c:pt idx="20">
                  <c:v>74.136539744787356</c:v>
                </c:pt>
              </c:numCache>
            </c:numRef>
          </c:xVal>
          <c:yVal>
            <c:numRef>
              <c:f>'3. Ellipse'!$S$4:$S$24</c:f>
              <c:numCache>
                <c:formatCode>General</c:formatCode>
                <c:ptCount val="21"/>
                <c:pt idx="0">
                  <c:v>70.390607797059019</c:v>
                </c:pt>
                <c:pt idx="1">
                  <c:v>72.199988132459652</c:v>
                </c:pt>
                <c:pt idx="2">
                  <c:v>73.461202612043522</c:v>
                </c:pt>
                <c:pt idx="3">
                  <c:v>74.050794775151005</c:v>
                </c:pt>
                <c:pt idx="4">
                  <c:v>73.911051232926965</c:v>
                </c:pt>
                <c:pt idx="5">
                  <c:v>73.055651056934806</c:v>
                </c:pt>
                <c:pt idx="6">
                  <c:v>71.568326776324113</c:v>
                </c:pt>
                <c:pt idx="7">
                  <c:v>69.594668054478689</c:v>
                </c:pt>
                <c:pt idx="8">
                  <c:v>67.327870358381659</c:v>
                </c:pt>
                <c:pt idx="9">
                  <c:v>64.989823640235244</c:v>
                </c:pt>
                <c:pt idx="10">
                  <c:v>62.80939220294097</c:v>
                </c:pt>
                <c:pt idx="11">
                  <c:v>61.000011867540344</c:v>
                </c:pt>
                <c:pt idx="12">
                  <c:v>59.738797387956467</c:v>
                </c:pt>
                <c:pt idx="13">
                  <c:v>59.149205224848984</c:v>
                </c:pt>
                <c:pt idx="14">
                  <c:v>59.28894876707303</c:v>
                </c:pt>
                <c:pt idx="15">
                  <c:v>60.144348943065182</c:v>
                </c:pt>
                <c:pt idx="16">
                  <c:v>61.631673223675868</c:v>
                </c:pt>
                <c:pt idx="17">
                  <c:v>63.6053319455213</c:v>
                </c:pt>
                <c:pt idx="18">
                  <c:v>65.872129641618329</c:v>
                </c:pt>
                <c:pt idx="19">
                  <c:v>68.210176359764745</c:v>
                </c:pt>
                <c:pt idx="20">
                  <c:v>70.390607797059019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19-4C08-8559-80EB14D79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43184"/>
        <c:axId val="1857344832"/>
      </c:scatterChart>
      <c:valAx>
        <c:axId val="185734318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344832"/>
        <c:crosses val="autoZero"/>
        <c:crossBetween val="midCat"/>
      </c:valAx>
      <c:valAx>
        <c:axId val="1857344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34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4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3</xdr:row>
      <xdr:rowOff>123825</xdr:rowOff>
    </xdr:from>
    <xdr:ext cx="5057775" cy="3438525"/>
    <xdr:graphicFrame macro="">
      <xdr:nvGraphicFramePr>
        <xdr:cNvPr id="681233752" name="Chart 1" title="Chart">
          <a:extLst>
            <a:ext uri="{FF2B5EF4-FFF2-40B4-BE49-F238E27FC236}">
              <a16:creationId xmlns:a16="http://schemas.microsoft.com/office/drawing/2014/main" id="{00000000-0008-0000-0000-000058CD9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36</xdr:row>
      <xdr:rowOff>127000</xdr:rowOff>
    </xdr:from>
    <xdr:to>
      <xdr:col>7</xdr:col>
      <xdr:colOff>76200</xdr:colOff>
      <xdr:row>40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8A9395-4AC5-4F23-86F3-604E4A777F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693" r="21640"/>
        <a:stretch/>
      </xdr:blipFill>
      <xdr:spPr>
        <a:xfrm>
          <a:off x="457200" y="6756400"/>
          <a:ext cx="44323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49</xdr:row>
      <xdr:rowOff>127000</xdr:rowOff>
    </xdr:from>
    <xdr:to>
      <xdr:col>7</xdr:col>
      <xdr:colOff>425450</xdr:colOff>
      <xdr:row>53</xdr:row>
      <xdr:rowOff>60597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301B2D-46A6-48B1-BCF4-E9A252C1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9150350"/>
          <a:ext cx="4667250" cy="6701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38101</xdr:rowOff>
    </xdr:from>
    <xdr:to>
      <xdr:col>9</xdr:col>
      <xdr:colOff>338350</xdr:colOff>
      <xdr:row>46</xdr:row>
      <xdr:rowOff>139701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876E70-A464-40EC-AD4B-7EED1524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88251"/>
          <a:ext cx="6383550" cy="1022350"/>
        </a:xfrm>
        <a:prstGeom prst="rect">
          <a:avLst/>
        </a:prstGeom>
      </xdr:spPr>
    </xdr:pic>
    <xdr:clientData/>
  </xdr:twoCellAnchor>
  <xdr:twoCellAnchor editAs="oneCell">
    <xdr:from>
      <xdr:col>3</xdr:col>
      <xdr:colOff>292100</xdr:colOff>
      <xdr:row>67</xdr:row>
      <xdr:rowOff>165100</xdr:rowOff>
    </xdr:from>
    <xdr:to>
      <xdr:col>7</xdr:col>
      <xdr:colOff>393700</xdr:colOff>
      <xdr:row>71</xdr:row>
      <xdr:rowOff>137677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504DB2-4B28-4749-9454-9FB54B71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6350" y="12503150"/>
          <a:ext cx="2660650" cy="709177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76</xdr:row>
      <xdr:rowOff>165100</xdr:rowOff>
    </xdr:from>
    <xdr:to>
      <xdr:col>11</xdr:col>
      <xdr:colOff>50800</xdr:colOff>
      <xdr:row>80</xdr:row>
      <xdr:rowOff>166214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EAB1224-1AE8-4D92-A57A-32111CCE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0250" y="14160500"/>
          <a:ext cx="4057650" cy="737714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82</xdr:row>
      <xdr:rowOff>61700</xdr:rowOff>
    </xdr:from>
    <xdr:to>
      <xdr:col>3</xdr:col>
      <xdr:colOff>584200</xdr:colOff>
      <xdr:row>92</xdr:row>
      <xdr:rowOff>180208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6B8F92-1F69-4BF0-BE29-1B27C758B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00" y="15162000"/>
          <a:ext cx="2749550" cy="1960008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406400</xdr:colOff>
      <xdr:row>81</xdr:row>
      <xdr:rowOff>149687</xdr:rowOff>
    </xdr:from>
    <xdr:to>
      <xdr:col>9</xdr:col>
      <xdr:colOff>406400</xdr:colOff>
      <xdr:row>93</xdr:row>
      <xdr:rowOff>131523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9874F0-A71A-4759-AD3C-8D161BABF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71850" y="15065837"/>
          <a:ext cx="3079750" cy="21916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139700</xdr:rowOff>
    </xdr:from>
    <xdr:to>
      <xdr:col>8</xdr:col>
      <xdr:colOff>114300</xdr:colOff>
      <xdr:row>99</xdr:row>
      <xdr:rowOff>9740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421C845-6022-41CF-9CE8-0773F7799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633950"/>
          <a:ext cx="5543550" cy="60664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116</xdr:row>
      <xdr:rowOff>165100</xdr:rowOff>
    </xdr:from>
    <xdr:to>
      <xdr:col>5</xdr:col>
      <xdr:colOff>457200</xdr:colOff>
      <xdr:row>119</xdr:row>
      <xdr:rowOff>182006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50C64B-81B4-4B7A-BDDB-9A5EC92F8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9300" y="21526500"/>
          <a:ext cx="2019300" cy="56935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</xdr:row>
      <xdr:rowOff>77108</xdr:rowOff>
    </xdr:from>
    <xdr:to>
      <xdr:col>6</xdr:col>
      <xdr:colOff>382032</xdr:colOff>
      <xdr:row>21</xdr:row>
      <xdr:rowOff>95251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FB49C12-81A0-4033-94D9-52A68788A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3391808"/>
          <a:ext cx="4579381" cy="57059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26</xdr:row>
      <xdr:rowOff>54431</xdr:rowOff>
    </xdr:from>
    <xdr:to>
      <xdr:col>6</xdr:col>
      <xdr:colOff>570645</xdr:colOff>
      <xdr:row>29</xdr:row>
      <xdr:rowOff>58966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FBAE30A-B798-4FC0-BAED-0BE922DC2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76651" y="4842331"/>
          <a:ext cx="1091344" cy="5569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615950</xdr:colOff>
      <xdr:row>14</xdr:row>
      <xdr:rowOff>158750</xdr:rowOff>
    </xdr:from>
    <xdr:to>
      <xdr:col>10</xdr:col>
      <xdr:colOff>438150</xdr:colOff>
      <xdr:row>29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E1201-4B7C-41DF-A344-3075929BF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349250</xdr:colOff>
      <xdr:row>12</xdr:row>
      <xdr:rowOff>158750</xdr:rowOff>
    </xdr:from>
    <xdr:to>
      <xdr:col>17</xdr:col>
      <xdr:colOff>196987</xdr:colOff>
      <xdr:row>15</xdr:row>
      <xdr:rowOff>165129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D56FDD-6144-4BB8-BB17-6808DABA0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4550" y="2368550"/>
          <a:ext cx="2673487" cy="558829"/>
        </a:xfrm>
        <a:prstGeom prst="rect">
          <a:avLst/>
        </a:prstGeom>
      </xdr:spPr>
    </xdr:pic>
    <xdr:clientData/>
  </xdr:twoCellAnchor>
  <xdr:twoCellAnchor editAs="oneCell">
    <xdr:from>
      <xdr:col>12</xdr:col>
      <xdr:colOff>412750</xdr:colOff>
      <xdr:row>19</xdr:row>
      <xdr:rowOff>146050</xdr:rowOff>
    </xdr:from>
    <xdr:to>
      <xdr:col>15</xdr:col>
      <xdr:colOff>450281</xdr:colOff>
      <xdr:row>22</xdr:row>
      <xdr:rowOff>25399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0F5E1F-E4EC-4AF5-8D13-79E14D5D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8050" y="3644900"/>
          <a:ext cx="1866331" cy="431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25401</xdr:rowOff>
    </xdr:from>
    <xdr:to>
      <xdr:col>6</xdr:col>
      <xdr:colOff>403494</xdr:colOff>
      <xdr:row>47</xdr:row>
      <xdr:rowOff>69851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6E8B30-6E3E-495F-8FE6-8230F94E6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1"/>
          <a:ext cx="4340494" cy="2438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57151</xdr:rowOff>
    </xdr:from>
    <xdr:to>
      <xdr:col>14</xdr:col>
      <xdr:colOff>190907</xdr:colOff>
      <xdr:row>40</xdr:row>
      <xdr:rowOff>5475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8391B1-43E3-42F2-8543-5EBBC9F23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57800" y="6318251"/>
          <a:ext cx="4267607" cy="105322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52</xdr:row>
      <xdr:rowOff>0</xdr:rowOff>
    </xdr:from>
    <xdr:to>
      <xdr:col>7</xdr:col>
      <xdr:colOff>83865</xdr:colOff>
      <xdr:row>59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A886EA-364A-408E-A180-96FF4C35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9575800"/>
          <a:ext cx="4732064" cy="1435100"/>
        </a:xfrm>
        <a:prstGeom prst="rect">
          <a:avLst/>
        </a:prstGeom>
      </xdr:spPr>
    </xdr:pic>
    <xdr:clientData/>
  </xdr:twoCellAnchor>
  <xdr:twoCellAnchor editAs="oneCell">
    <xdr:from>
      <xdr:col>7</xdr:col>
      <xdr:colOff>609599</xdr:colOff>
      <xdr:row>51</xdr:row>
      <xdr:rowOff>171450</xdr:rowOff>
    </xdr:from>
    <xdr:to>
      <xdr:col>15</xdr:col>
      <xdr:colOff>124543</xdr:colOff>
      <xdr:row>58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1CBE85-39AD-4F7B-90B7-DAEB64B7F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799" y="9563100"/>
          <a:ext cx="4810844" cy="1123950"/>
        </a:xfrm>
        <a:prstGeom prst="rect">
          <a:avLst/>
        </a:prstGeom>
      </xdr:spPr>
    </xdr:pic>
    <xdr:clientData/>
  </xdr:twoCellAnchor>
  <xdr:twoCellAnchor editAs="oneCell">
    <xdr:from>
      <xdr:col>16</xdr:col>
      <xdr:colOff>12700</xdr:colOff>
      <xdr:row>51</xdr:row>
      <xdr:rowOff>173069</xdr:rowOff>
    </xdr:from>
    <xdr:to>
      <xdr:col>24</xdr:col>
      <xdr:colOff>406750</xdr:colOff>
      <xdr:row>58</xdr:row>
      <xdr:rowOff>102934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FD9222-B973-4756-BE81-A42434E4E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66400" y="9564719"/>
          <a:ext cx="4781900" cy="12189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37</xdr:row>
      <xdr:rowOff>146050</xdr:rowOff>
    </xdr:from>
    <xdr:to>
      <xdr:col>2</xdr:col>
      <xdr:colOff>153612</xdr:colOff>
      <xdr:row>40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4AEC0-495C-4C00-AECB-CE767940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6959600"/>
          <a:ext cx="1728412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641349</xdr:colOff>
      <xdr:row>41</xdr:row>
      <xdr:rowOff>0</xdr:rowOff>
    </xdr:from>
    <xdr:to>
      <xdr:col>1</xdr:col>
      <xdr:colOff>749300</xdr:colOff>
      <xdr:row>43</xdr:row>
      <xdr:rowOff>32307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61F510-7856-4B05-B064-66A7E3E60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349" y="7550150"/>
          <a:ext cx="933451" cy="400607"/>
        </a:xfrm>
        <a:prstGeom prst="rect">
          <a:avLst/>
        </a:prstGeom>
      </xdr:spPr>
    </xdr:pic>
    <xdr:clientData/>
  </xdr:twoCellAnchor>
  <xdr:twoCellAnchor editAs="oneCell">
    <xdr:from>
      <xdr:col>0</xdr:col>
      <xdr:colOff>539751</xdr:colOff>
      <xdr:row>43</xdr:row>
      <xdr:rowOff>117850</xdr:rowOff>
    </xdr:from>
    <xdr:to>
      <xdr:col>2</xdr:col>
      <xdr:colOff>107950</xdr:colOff>
      <xdr:row>46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6377DF-B65D-4B63-B49A-7297B2B18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751" y="8036300"/>
          <a:ext cx="1149349" cy="542550"/>
        </a:xfrm>
        <a:prstGeom prst="rect">
          <a:avLst/>
        </a:prstGeom>
      </xdr:spPr>
    </xdr:pic>
    <xdr:clientData/>
  </xdr:twoCellAnchor>
  <xdr:twoCellAnchor editAs="oneCell">
    <xdr:from>
      <xdr:col>9</xdr:col>
      <xdr:colOff>203201</xdr:colOff>
      <xdr:row>31</xdr:row>
      <xdr:rowOff>9214</xdr:rowOff>
    </xdr:from>
    <xdr:to>
      <xdr:col>13</xdr:col>
      <xdr:colOff>285751</xdr:colOff>
      <xdr:row>34</xdr:row>
      <xdr:rowOff>50849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D6A1E4-D70B-4F0D-9108-27051A6B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8301" y="5717864"/>
          <a:ext cx="2520950" cy="594085"/>
        </a:xfrm>
        <a:prstGeom prst="rect">
          <a:avLst/>
        </a:prstGeom>
      </xdr:spPr>
    </xdr:pic>
    <xdr:clientData/>
  </xdr:twoCellAnchor>
  <xdr:twoCellAnchor editAs="oneCell">
    <xdr:from>
      <xdr:col>0</xdr:col>
      <xdr:colOff>6351</xdr:colOff>
      <xdr:row>49</xdr:row>
      <xdr:rowOff>19050</xdr:rowOff>
    </xdr:from>
    <xdr:to>
      <xdr:col>3</xdr:col>
      <xdr:colOff>813331</xdr:colOff>
      <xdr:row>52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78996A-6EAC-4508-B020-463D9840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1" y="9042400"/>
          <a:ext cx="313743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65</xdr:row>
      <xdr:rowOff>158750</xdr:rowOff>
    </xdr:from>
    <xdr:to>
      <xdr:col>5</xdr:col>
      <xdr:colOff>6959</xdr:colOff>
      <xdr:row>69</xdr:row>
      <xdr:rowOff>69850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A60AE3-09C9-4700-A06F-201FD4912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1" y="12128500"/>
          <a:ext cx="3899508" cy="647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36</xdr:row>
      <xdr:rowOff>28575</xdr:rowOff>
    </xdr:from>
    <xdr:to>
      <xdr:col>1</xdr:col>
      <xdr:colOff>228600</xdr:colOff>
      <xdr:row>38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D09D5-B583-4592-853D-EE7C5A0AA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6657975"/>
          <a:ext cx="492125" cy="35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485775</xdr:colOff>
      <xdr:row>35</xdr:row>
      <xdr:rowOff>171450</xdr:rowOff>
    </xdr:from>
    <xdr:to>
      <xdr:col>4</xdr:col>
      <xdr:colOff>409575</xdr:colOff>
      <xdr:row>38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D31AF1-7D68-43EF-A9BA-E46A1E7CD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6225" y="6616700"/>
          <a:ext cx="774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228600</xdr:colOff>
      <xdr:row>31</xdr:row>
      <xdr:rowOff>0</xdr:rowOff>
    </xdr:from>
    <xdr:to>
      <xdr:col>11</xdr:col>
      <xdr:colOff>19050</xdr:colOff>
      <xdr:row>32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BA666E-05C2-4859-9980-9916829E8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5708650"/>
          <a:ext cx="222885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38101</xdr:colOff>
      <xdr:row>48</xdr:row>
      <xdr:rowOff>171451</xdr:rowOff>
    </xdr:from>
    <xdr:to>
      <xdr:col>4</xdr:col>
      <xdr:colOff>550423</xdr:colOff>
      <xdr:row>53</xdr:row>
      <xdr:rowOff>63501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525DCD-016C-4D79-B10A-E367D7DF5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1" y="9010651"/>
          <a:ext cx="3693672" cy="812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MT%205\TPG\excel%20tpg\P3%20Confidence-Ellipse.xlsx" TargetMode="External"/><Relationship Id="rId1" Type="http://schemas.openxmlformats.org/officeDocument/2006/relationships/externalLinkPath" Target="excel%20tpg/P3%20Confidence-Ellip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es\Documents\A%20Real%20Statistics%202019\Spreadsheets\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Ellipse"/>
    </sheetNames>
    <sheetDataSet>
      <sheetData sheetId="0" refreshError="1"/>
      <sheetData sheetId="1">
        <row r="3">
          <cell r="B3" t="str">
            <v>Y</v>
          </cell>
        </row>
        <row r="4">
          <cell r="A4">
            <v>72.8</v>
          </cell>
          <cell r="B4">
            <v>69.900000000000006</v>
          </cell>
          <cell r="R4">
            <v>74.136539744787356</v>
          </cell>
          <cell r="S4">
            <v>70.390607797059019</v>
          </cell>
        </row>
        <row r="5">
          <cell r="A5">
            <v>46</v>
          </cell>
          <cell r="B5">
            <v>68.900000000000006</v>
          </cell>
          <cell r="R5">
            <v>72.916582465531206</v>
          </cell>
          <cell r="S5">
            <v>72.199988132459652</v>
          </cell>
        </row>
        <row r="6">
          <cell r="A6">
            <v>59.2</v>
          </cell>
          <cell r="B6">
            <v>58.4</v>
          </cell>
          <cell r="R6">
            <v>70.684808475343999</v>
          </cell>
          <cell r="S6">
            <v>73.461202612043522</v>
          </cell>
        </row>
        <row r="7">
          <cell r="A7">
            <v>66.7</v>
          </cell>
          <cell r="B7">
            <v>78.2</v>
          </cell>
          <cell r="R7">
            <v>67.659679362068999</v>
          </cell>
          <cell r="S7">
            <v>74.050794775151005</v>
          </cell>
        </row>
        <row r="8">
          <cell r="A8">
            <v>84.2</v>
          </cell>
          <cell r="B8">
            <v>63.9</v>
          </cell>
          <cell r="D8">
            <v>62.58</v>
          </cell>
          <cell r="E8">
            <v>66.599999999999994</v>
          </cell>
          <cell r="R8">
            <v>64.137315840627465</v>
          </cell>
          <cell r="S8">
            <v>73.911051232926965</v>
          </cell>
        </row>
        <row r="9">
          <cell r="A9">
            <v>50.4</v>
          </cell>
          <cell r="B9">
            <v>54.6</v>
          </cell>
          <cell r="R9">
            <v>60.462511394247819</v>
          </cell>
          <cell r="S9">
            <v>73.055651056934806</v>
          </cell>
        </row>
        <row r="10">
          <cell r="A10">
            <v>49.6</v>
          </cell>
          <cell r="B10">
            <v>66.5</v>
          </cell>
          <cell r="R10">
            <v>56.994981486009834</v>
          </cell>
          <cell r="S10">
            <v>71.568326776324113</v>
          </cell>
        </row>
        <row r="11">
          <cell r="A11">
            <v>77.900000000000006</v>
          </cell>
          <cell r="B11">
            <v>71.599999999999994</v>
          </cell>
          <cell r="R11">
            <v>54.074152103033342</v>
          </cell>
          <cell r="S11">
            <v>69.594668054478689</v>
          </cell>
        </row>
        <row r="12">
          <cell r="A12">
            <v>63.9</v>
          </cell>
          <cell r="B12">
            <v>77.2</v>
          </cell>
          <cell r="R12">
            <v>51.985934375939031</v>
          </cell>
          <cell r="S12">
            <v>67.327870358381659</v>
          </cell>
        </row>
        <row r="13">
          <cell r="A13">
            <v>55.1</v>
          </cell>
          <cell r="B13">
            <v>56.8</v>
          </cell>
          <cell r="R13">
            <v>50.934737605323321</v>
          </cell>
          <cell r="S13">
            <v>64.989823640235244</v>
          </cell>
        </row>
        <row r="14">
          <cell r="R14">
            <v>51.02346025521264</v>
          </cell>
          <cell r="S14">
            <v>62.80939220294097</v>
          </cell>
        </row>
        <row r="15">
          <cell r="R15">
            <v>52.24341753446879</v>
          </cell>
          <cell r="S15">
            <v>61.000011867540344</v>
          </cell>
        </row>
        <row r="16">
          <cell r="R16">
            <v>54.47519152465599</v>
          </cell>
          <cell r="S16">
            <v>59.738797387956467</v>
          </cell>
        </row>
        <row r="17">
          <cell r="R17">
            <v>57.500320637930997</v>
          </cell>
          <cell r="S17">
            <v>59.149205224848984</v>
          </cell>
        </row>
        <row r="18">
          <cell r="R18">
            <v>61.022684159372538</v>
          </cell>
          <cell r="S18">
            <v>59.28894876707303</v>
          </cell>
        </row>
        <row r="19">
          <cell r="R19">
            <v>64.69748860575217</v>
          </cell>
          <cell r="S19">
            <v>60.144348943065182</v>
          </cell>
        </row>
        <row r="20">
          <cell r="R20">
            <v>68.165018513990162</v>
          </cell>
          <cell r="S20">
            <v>61.631673223675868</v>
          </cell>
        </row>
        <row r="21">
          <cell r="R21">
            <v>71.085847896966655</v>
          </cell>
          <cell r="S21">
            <v>63.6053319455213</v>
          </cell>
        </row>
        <row r="22">
          <cell r="R22">
            <v>73.174065624060972</v>
          </cell>
          <cell r="S22">
            <v>65.872129641618329</v>
          </cell>
        </row>
        <row r="23">
          <cell r="R23">
            <v>74.225262394676676</v>
          </cell>
          <cell r="S23">
            <v>68.210176359764745</v>
          </cell>
        </row>
        <row r="24">
          <cell r="R24">
            <v>74.136539744787356</v>
          </cell>
          <cell r="S24">
            <v>70.390607797059019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/>
  </sheetViews>
  <sheetFormatPr defaultColWidth="14.453125" defaultRowHeight="15" customHeight="1"/>
  <cols>
    <col min="1" max="1" width="5.54296875" customWidth="1"/>
    <col min="2" max="2" width="9.7265625" customWidth="1"/>
    <col min="3" max="3" width="8.7265625" customWidth="1"/>
    <col min="4" max="4" width="4.08984375" customWidth="1"/>
    <col min="5" max="7" width="8.7265625" customWidth="1"/>
    <col min="8" max="8" width="9.26953125" customWidth="1"/>
    <col min="9" max="9" width="12.7265625" customWidth="1"/>
    <col min="10" max="10" width="8.7265625" customWidth="1"/>
    <col min="11" max="11" width="12.453125" customWidth="1"/>
    <col min="12" max="12" width="13" customWidth="1"/>
    <col min="13" max="13" width="8.7265625" customWidth="1"/>
    <col min="14" max="14" width="12.453125" customWidth="1"/>
    <col min="15" max="15" width="13.453125" customWidth="1"/>
    <col min="16" max="26" width="8.7265625" customWidth="1"/>
  </cols>
  <sheetData>
    <row r="1" spans="1:19" ht="14.5">
      <c r="A1" s="1" t="s">
        <v>0</v>
      </c>
      <c r="B1" s="1" t="s">
        <v>1</v>
      </c>
      <c r="C1" s="1" t="s">
        <v>2</v>
      </c>
      <c r="E1" s="12" t="s">
        <v>3</v>
      </c>
      <c r="F1" s="13"/>
      <c r="H1" s="12" t="s">
        <v>3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3"/>
    </row>
    <row r="2" spans="1:19" ht="14.5">
      <c r="A2" s="2">
        <v>1</v>
      </c>
      <c r="B2" s="3">
        <v>1.2623629999999999</v>
      </c>
      <c r="C2" s="3">
        <v>7.1074349999999994E-2</v>
      </c>
      <c r="E2" s="4">
        <f t="shared" ref="E2:E11" si="0">B2-$B$12</f>
        <v>-0.59512250000000044</v>
      </c>
      <c r="F2" s="4">
        <f t="shared" ref="F2:F11" si="1">C2-$C$12</f>
        <v>-0.15960457500000003</v>
      </c>
      <c r="G2" s="3" t="s">
        <v>4</v>
      </c>
      <c r="H2" s="3">
        <v>-0.59512250000000044</v>
      </c>
      <c r="I2" s="3">
        <v>-0.26255750000000044</v>
      </c>
      <c r="J2" s="3">
        <v>0.16666549999999947</v>
      </c>
      <c r="K2" s="3">
        <v>0.26000849999999986</v>
      </c>
      <c r="L2" s="3">
        <v>-0.24506150000000027</v>
      </c>
      <c r="M2" s="3">
        <v>-0.22985750000000027</v>
      </c>
      <c r="N2" s="3">
        <v>-0.72880550000000044</v>
      </c>
      <c r="O2" s="3">
        <v>0.64440549999999974</v>
      </c>
      <c r="P2" s="3">
        <v>0.36616449999999978</v>
      </c>
      <c r="Q2" s="3">
        <v>0.62416049999999967</v>
      </c>
    </row>
    <row r="3" spans="1:19" ht="14.5">
      <c r="A3" s="2">
        <v>2</v>
      </c>
      <c r="B3" s="3">
        <v>1.5949279999999999</v>
      </c>
      <c r="C3" s="3">
        <v>0.17397799</v>
      </c>
      <c r="E3" s="4">
        <f t="shared" si="0"/>
        <v>-0.26255750000000044</v>
      </c>
      <c r="F3" s="4">
        <f t="shared" si="1"/>
        <v>-5.6700935000000008E-2</v>
      </c>
      <c r="G3" s="3" t="s">
        <v>5</v>
      </c>
      <c r="H3" s="3">
        <v>-0.15960457500000003</v>
      </c>
      <c r="I3" s="3">
        <v>-5.6700935000000008E-2</v>
      </c>
      <c r="J3" s="3">
        <v>0.45083655499999997</v>
      </c>
      <c r="K3" s="3">
        <v>-0.12931079500000001</v>
      </c>
      <c r="L3" s="3">
        <v>-6.8017585000000019E-2</v>
      </c>
      <c r="M3" s="3">
        <v>4.6527294999999996E-2</v>
      </c>
      <c r="N3" s="3">
        <v>-0.162073885</v>
      </c>
      <c r="O3" s="3">
        <v>-0.12198570500000001</v>
      </c>
      <c r="P3" s="3">
        <v>7.0751334999999999E-2</v>
      </c>
      <c r="Q3" s="3">
        <v>0.12957829499999998</v>
      </c>
    </row>
    <row r="4" spans="1:19" ht="30" customHeight="1">
      <c r="A4" s="2">
        <v>3</v>
      </c>
      <c r="B4" s="3">
        <v>2.0241509999999998</v>
      </c>
      <c r="C4" s="3">
        <v>0.68151547999999995</v>
      </c>
      <c r="E4" s="4">
        <f t="shared" si="0"/>
        <v>0.16666549999999947</v>
      </c>
      <c r="F4" s="4">
        <f t="shared" si="1"/>
        <v>0.45083655499999997</v>
      </c>
    </row>
    <row r="5" spans="1:19" ht="14.5">
      <c r="A5" s="2">
        <v>4</v>
      </c>
      <c r="B5" s="3">
        <v>2.1174940000000002</v>
      </c>
      <c r="C5" s="3">
        <v>0.10136813</v>
      </c>
      <c r="E5" s="4">
        <f t="shared" si="0"/>
        <v>0.26000849999999986</v>
      </c>
      <c r="F5" s="4">
        <f t="shared" si="1"/>
        <v>-0.12931079500000001</v>
      </c>
      <c r="H5" s="12" t="s">
        <v>6</v>
      </c>
      <c r="I5" s="13"/>
      <c r="K5" s="15" t="s">
        <v>7</v>
      </c>
      <c r="L5" s="13"/>
    </row>
    <row r="6" spans="1:19" ht="14.5">
      <c r="A6" s="2">
        <v>5</v>
      </c>
      <c r="B6" s="3">
        <v>1.6124240000000001</v>
      </c>
      <c r="C6" s="3">
        <v>0.16266133999999999</v>
      </c>
      <c r="E6" s="4">
        <f t="shared" si="0"/>
        <v>-0.24506150000000027</v>
      </c>
      <c r="F6" s="4">
        <f t="shared" si="1"/>
        <v>-6.8017585000000019E-2</v>
      </c>
      <c r="H6" s="4">
        <f>_xlfn.VAR.S(B2:B11)</f>
        <v>0.23349414721605496</v>
      </c>
      <c r="I6" s="4">
        <f>H7</f>
        <v>3.3739858590028322E-2</v>
      </c>
      <c r="K6" s="5">
        <v>4.9673072462840553</v>
      </c>
      <c r="L6" s="5">
        <v>-4.7373396365824636</v>
      </c>
      <c r="N6" s="3">
        <f t="array" ref="N6:O7">MINVERSE(H6:I7)</f>
        <v>4.9673072462840686</v>
      </c>
      <c r="O6" s="3">
        <v>-4.7373396365824743</v>
      </c>
    </row>
    <row r="7" spans="1:19" ht="14.5">
      <c r="A7" s="2">
        <v>6</v>
      </c>
      <c r="B7" s="3">
        <v>1.6276280000000001</v>
      </c>
      <c r="C7" s="3">
        <v>0.27720622</v>
      </c>
      <c r="E7" s="4">
        <f t="shared" si="0"/>
        <v>-0.22985750000000027</v>
      </c>
      <c r="F7" s="4">
        <f t="shared" si="1"/>
        <v>4.6527294999999996E-2</v>
      </c>
      <c r="H7" s="4">
        <f>_xlfn.COVARIANCE.S(B2:B11,C2:C11)</f>
        <v>3.3739858590028322E-2</v>
      </c>
      <c r="I7" s="4">
        <f>_xlfn.VAR.S(C2:C11)</f>
        <v>3.5377713425620398E-2</v>
      </c>
      <c r="K7" s="5">
        <v>-4.7373396365824627</v>
      </c>
      <c r="L7" s="5">
        <v>32.784401735564948</v>
      </c>
      <c r="N7" s="3">
        <v>-4.7373396365824743</v>
      </c>
      <c r="O7" s="3">
        <v>32.784401735564948</v>
      </c>
    </row>
    <row r="8" spans="1:19" ht="14.5">
      <c r="A8" s="2">
        <v>7</v>
      </c>
      <c r="B8" s="3">
        <v>1.1286799999999999</v>
      </c>
      <c r="C8" s="3">
        <v>6.8605040000000006E-2</v>
      </c>
      <c r="E8" s="4">
        <f t="shared" si="0"/>
        <v>-0.72880550000000044</v>
      </c>
      <c r="F8" s="4">
        <f t="shared" si="1"/>
        <v>-0.162073885</v>
      </c>
    </row>
    <row r="9" spans="1:19" ht="14.5">
      <c r="A9" s="2">
        <v>8</v>
      </c>
      <c r="B9" s="3">
        <v>2.5018910000000001</v>
      </c>
      <c r="C9" s="3">
        <v>0.10869321999999999</v>
      </c>
      <c r="E9" s="4">
        <f t="shared" si="0"/>
        <v>0.64440549999999974</v>
      </c>
      <c r="F9" s="4">
        <f t="shared" si="1"/>
        <v>-0.12198570500000001</v>
      </c>
      <c r="H9" s="16" t="s">
        <v>8</v>
      </c>
      <c r="I9" s="17"/>
      <c r="J9" s="6" t="s">
        <v>9</v>
      </c>
      <c r="K9" s="6" t="s">
        <v>10</v>
      </c>
      <c r="L9" s="6" t="s">
        <v>11</v>
      </c>
      <c r="M9" s="6" t="s">
        <v>12</v>
      </c>
      <c r="N9" s="6" t="s">
        <v>13</v>
      </c>
      <c r="O9" s="6" t="s">
        <v>14</v>
      </c>
      <c r="P9" s="6" t="s">
        <v>9</v>
      </c>
      <c r="Q9" s="3" t="s">
        <v>15</v>
      </c>
    </row>
    <row r="10" spans="1:19" ht="14.5">
      <c r="A10" s="2">
        <v>9</v>
      </c>
      <c r="B10" s="3">
        <v>2.2236500000000001</v>
      </c>
      <c r="C10" s="3">
        <v>0.30143026000000001</v>
      </c>
      <c r="E10" s="4">
        <f t="shared" si="0"/>
        <v>0.36616449999999978</v>
      </c>
      <c r="F10" s="4">
        <f t="shared" si="1"/>
        <v>7.0751334999999999E-2</v>
      </c>
      <c r="H10" s="7">
        <f t="array" ref="H10:I19">MMULT(E2:F11,K6:L7)</f>
        <v>-2.2000552273492864</v>
      </c>
      <c r="I10" s="7">
        <v>-2.413243097762058</v>
      </c>
      <c r="J10" s="7">
        <f t="array" ref="J10">MMULT(H10:I10,H2:H3)</f>
        <v>1.6944670060281735</v>
      </c>
      <c r="K10" s="7">
        <v>0.29205720563284598</v>
      </c>
      <c r="L10" s="7">
        <v>1</v>
      </c>
      <c r="M10" s="7">
        <f t="shared" ref="M10:M19" si="2">(L10-0.5)/10</f>
        <v>0.05</v>
      </c>
      <c r="N10" s="7">
        <f t="shared" ref="N10:N19" si="3">_xlfn.CHISQ.INV(M10,2)</f>
        <v>0.10258658877510107</v>
      </c>
      <c r="O10" s="8">
        <v>0.102586588775101</v>
      </c>
      <c r="P10" s="8">
        <v>0.29205720563284598</v>
      </c>
      <c r="Q10" s="9">
        <f>CORREL(O10:O19,P10:P19)</f>
        <v>0.99130529180804083</v>
      </c>
    </row>
    <row r="11" spans="1:19" ht="14.5">
      <c r="A11" s="2">
        <v>10</v>
      </c>
      <c r="B11" s="3">
        <v>2.481646</v>
      </c>
      <c r="C11" s="3">
        <v>0.36025721999999999</v>
      </c>
      <c r="E11" s="4">
        <f t="shared" si="0"/>
        <v>0.62416049999999967</v>
      </c>
      <c r="F11" s="4">
        <f t="shared" si="1"/>
        <v>0.12957829499999998</v>
      </c>
      <c r="H11" s="7">
        <v>-1.0355921855094423</v>
      </c>
      <c r="I11" s="7">
        <v>-0.61508218019015337</v>
      </c>
      <c r="J11" s="7">
        <f t="array" ref="J11">MMULT(H11:I11,I2:I3)</f>
        <v>0.30677822996551601</v>
      </c>
      <c r="K11" s="7">
        <v>0.30677822996551601</v>
      </c>
      <c r="L11" s="7">
        <v>2</v>
      </c>
      <c r="M11" s="7">
        <f t="shared" si="2"/>
        <v>0.15</v>
      </c>
      <c r="N11" s="7">
        <f t="shared" si="3"/>
        <v>0.32503785899554977</v>
      </c>
      <c r="O11" s="7">
        <v>0.32503785899554977</v>
      </c>
      <c r="P11" s="7">
        <v>0.30677822996551601</v>
      </c>
    </row>
    <row r="12" spans="1:19" ht="14.5">
      <c r="A12" s="2" t="s">
        <v>16</v>
      </c>
      <c r="B12" s="2">
        <f t="shared" ref="B12:C12" si="4">AVERAGE(B2:B11)</f>
        <v>1.8574855000000003</v>
      </c>
      <c r="C12" s="2">
        <f t="shared" si="4"/>
        <v>0.23067892500000001</v>
      </c>
      <c r="E12" s="10"/>
      <c r="H12" s="7">
        <v>-1.3078871357662369</v>
      </c>
      <c r="I12" s="7">
        <v>13.99085565699729</v>
      </c>
      <c r="J12" s="4">
        <f t="array" ref="J12">MMULT(H12:I12,J2:J3)</f>
        <v>6.0896095024768728</v>
      </c>
      <c r="K12" s="7">
        <v>0.43474472235241829</v>
      </c>
      <c r="L12" s="7">
        <v>3</v>
      </c>
      <c r="M12" s="7">
        <f t="shared" si="2"/>
        <v>0.25</v>
      </c>
      <c r="N12" s="7">
        <f t="shared" si="3"/>
        <v>0.5753641449035618</v>
      </c>
      <c r="O12" s="7">
        <v>0.57536414490356125</v>
      </c>
      <c r="P12" s="7">
        <v>0.43474472235241829</v>
      </c>
    </row>
    <row r="13" spans="1:19" ht="14.5">
      <c r="E13" s="5"/>
      <c r="F13" s="5"/>
      <c r="H13" s="7">
        <v>1.9041312607369365</v>
      </c>
      <c r="I13" s="7">
        <v>-5.4711256249236344</v>
      </c>
      <c r="J13" s="11">
        <f t="array" ref="J13">MMULT(H13:I13,K2:K3)</f>
        <v>1.2025659170110665</v>
      </c>
      <c r="K13" s="7">
        <v>0.58465245844780778</v>
      </c>
      <c r="L13" s="7">
        <v>4</v>
      </c>
      <c r="M13" s="7">
        <f t="shared" si="2"/>
        <v>0.35</v>
      </c>
      <c r="N13" s="7">
        <f t="shared" si="3"/>
        <v>0.86156583218490856</v>
      </c>
      <c r="O13" s="7">
        <v>0.8615658321849079</v>
      </c>
      <c r="P13" s="7">
        <v>0.58465245844780778</v>
      </c>
    </row>
    <row r="14" spans="1:19" ht="14.5">
      <c r="E14" s="5"/>
      <c r="F14" s="5"/>
      <c r="H14" s="7">
        <v>-0.89507336333012444</v>
      </c>
      <c r="I14" s="7">
        <v>-1.0689762743725821</v>
      </c>
      <c r="J14" s="11">
        <f t="array" ref="J14">MMULT(H14:I14,L2:L3)</f>
        <v>0.29205720563284598</v>
      </c>
      <c r="K14" s="7">
        <v>1.2025659170110665</v>
      </c>
      <c r="L14" s="7">
        <v>5</v>
      </c>
      <c r="M14" s="7">
        <f t="shared" si="2"/>
        <v>0.45</v>
      </c>
      <c r="N14" s="7">
        <f t="shared" si="3"/>
        <v>1.1956740015112408</v>
      </c>
      <c r="O14" s="8">
        <v>1.1956740015112395</v>
      </c>
      <c r="P14" s="8">
        <v>1.2025659170110665</v>
      </c>
    </row>
    <row r="15" spans="1:19" ht="14.5">
      <c r="E15" s="5"/>
      <c r="F15" s="5"/>
      <c r="H15" s="7">
        <v>-1.3621884241492037</v>
      </c>
      <c r="I15" s="7">
        <v>2.6142825764648974</v>
      </c>
      <c r="J15" s="11">
        <f t="array" ref="J15">MMULT(H15:I15,M2:M3)</f>
        <v>0.43474472235241829</v>
      </c>
      <c r="K15" s="7">
        <v>1.6944670060281735</v>
      </c>
      <c r="L15" s="7">
        <v>6</v>
      </c>
      <c r="M15" s="7">
        <f t="shared" si="2"/>
        <v>0.55000000000000004</v>
      </c>
      <c r="N15" s="7">
        <f t="shared" si="3"/>
        <v>1.5970153924355435</v>
      </c>
      <c r="O15" s="8">
        <v>1.5970153924355426</v>
      </c>
      <c r="P15" s="8">
        <v>1.6944670060281735</v>
      </c>
    </row>
    <row r="16" spans="1:19" ht="14.5">
      <c r="E16" s="5"/>
      <c r="F16" s="5"/>
      <c r="H16" s="7">
        <v>-2.8524018018162685</v>
      </c>
      <c r="I16" s="7">
        <v>-1.8608961741744516</v>
      </c>
      <c r="J16" s="11">
        <f t="array" ref="J16">MMULT(H16:I16,N2:N3)</f>
        <v>2.3804487939036978</v>
      </c>
      <c r="K16" s="7">
        <v>1.7193231290560702</v>
      </c>
      <c r="L16" s="7">
        <v>7</v>
      </c>
      <c r="M16" s="7">
        <f t="shared" si="2"/>
        <v>0.65</v>
      </c>
      <c r="N16" s="7">
        <f t="shared" si="3"/>
        <v>2.0996442489973557</v>
      </c>
      <c r="O16" s="7">
        <v>2.0996442489973535</v>
      </c>
      <c r="P16" s="7">
        <v>1.7193231290560702</v>
      </c>
    </row>
    <row r="17" spans="5:16" ht="14.5">
      <c r="E17" s="5"/>
      <c r="F17" s="5"/>
      <c r="H17" s="7">
        <v>3.778847825088254</v>
      </c>
      <c r="I17" s="7">
        <v>-7.0519960758978542</v>
      </c>
      <c r="J17" s="11">
        <f t="array" ref="J17">MMULT(H17:I17,O2:O3)</f>
        <v>3.2953530351255411</v>
      </c>
      <c r="K17" s="7">
        <v>2.3804487939036978</v>
      </c>
      <c r="L17" s="7">
        <v>8</v>
      </c>
      <c r="M17" s="7">
        <f t="shared" si="2"/>
        <v>0.75</v>
      </c>
      <c r="N17" s="7">
        <f t="shared" si="3"/>
        <v>2.7725887222397811</v>
      </c>
      <c r="O17" s="7">
        <v>2.7725887222397776</v>
      </c>
      <c r="P17" s="7">
        <v>2.3804487939036978</v>
      </c>
    </row>
    <row r="18" spans="5:16" ht="14.5">
      <c r="E18" s="5"/>
      <c r="F18" s="5"/>
      <c r="H18" s="7">
        <v>1.4836784705453527</v>
      </c>
      <c r="I18" s="7">
        <v>0.58489459060813864</v>
      </c>
      <c r="J18" s="11">
        <f t="array" ref="J18">MMULT(H18:I18,P2:P3)</f>
        <v>0.58465245844780778</v>
      </c>
      <c r="K18" s="7">
        <v>3.2953530351255411</v>
      </c>
      <c r="L18" s="7">
        <v>9</v>
      </c>
      <c r="M18" s="7">
        <f t="shared" si="2"/>
        <v>0.85</v>
      </c>
      <c r="N18" s="7">
        <f t="shared" si="3"/>
        <v>3.7942399697717621</v>
      </c>
      <c r="O18" s="7">
        <v>3.7942399697717573</v>
      </c>
      <c r="P18" s="7">
        <v>3.2953530351255411</v>
      </c>
    </row>
    <row r="19" spans="5:16" ht="14.5">
      <c r="E19" s="5"/>
      <c r="F19" s="5"/>
      <c r="H19" s="7">
        <v>2.4865405815500026</v>
      </c>
      <c r="I19" s="7">
        <v>1.2912866032504189</v>
      </c>
      <c r="J19" s="11">
        <f t="array" ref="J19">MMULT(H19:I19,Q2:Q3)</f>
        <v>1.7193231290560702</v>
      </c>
      <c r="K19" s="7">
        <v>6.0896095024768728</v>
      </c>
      <c r="L19" s="7">
        <v>10</v>
      </c>
      <c r="M19" s="7">
        <f t="shared" si="2"/>
        <v>0.95</v>
      </c>
      <c r="N19" s="7">
        <f t="shared" si="3"/>
        <v>5.9914645471079799</v>
      </c>
      <c r="O19" s="8">
        <v>5.991464547107979</v>
      </c>
      <c r="P19" s="8">
        <v>6.0896095024768728</v>
      </c>
    </row>
    <row r="20" spans="5:16" ht="14.5">
      <c r="E20" s="5"/>
      <c r="F20" s="5"/>
      <c r="H20" s="7"/>
      <c r="I20" s="7"/>
      <c r="J20" s="11"/>
    </row>
    <row r="21" spans="5:16" ht="15.75" customHeight="1">
      <c r="E21" s="5"/>
      <c r="F21" s="5"/>
      <c r="H21" s="7"/>
      <c r="I21" s="7"/>
      <c r="J21" s="11"/>
    </row>
    <row r="22" spans="5:16" ht="15.75" customHeight="1">
      <c r="E22" s="5"/>
      <c r="F22" s="5"/>
    </row>
    <row r="23" spans="5:16" ht="15.75" customHeight="1">
      <c r="E23" s="5"/>
      <c r="F23" s="5"/>
    </row>
    <row r="24" spans="5:16" ht="15.75" customHeight="1">
      <c r="E24" s="5"/>
      <c r="F24" s="5"/>
    </row>
    <row r="25" spans="5:16" ht="15.75" customHeight="1">
      <c r="E25" s="5"/>
      <c r="F25" s="5"/>
    </row>
    <row r="26" spans="5:16" ht="15.75" customHeight="1"/>
    <row r="27" spans="5:16" ht="15.75" customHeight="1"/>
    <row r="28" spans="5:16" ht="15.75" customHeight="1"/>
    <row r="29" spans="5:16" ht="15.75" customHeight="1"/>
    <row r="30" spans="5:16" ht="15.75" customHeight="1"/>
    <row r="31" spans="5:16" ht="15.75" customHeight="1"/>
    <row r="32" spans="5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F1"/>
    <mergeCell ref="H1:S1"/>
    <mergeCell ref="H5:I5"/>
    <mergeCell ref="K5:L5"/>
    <mergeCell ref="H9:I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43AC-1A27-430D-B4FB-A9CD62C8690C}">
  <dimension ref="A1:J128"/>
  <sheetViews>
    <sheetView topLeftCell="A109" zoomScale="75" zoomScaleNormal="75" workbookViewId="0">
      <selection activeCell="Q18" sqref="Q18"/>
    </sheetView>
  </sheetViews>
  <sheetFormatPr defaultColWidth="8.81640625" defaultRowHeight="14.5"/>
  <cols>
    <col min="1" max="1" width="10.453125" style="18" customWidth="1"/>
    <col min="2" max="2" width="13" style="18" customWidth="1"/>
    <col min="3" max="3" width="8.81640625" style="18"/>
    <col min="4" max="4" width="10.1796875" style="18" customWidth="1"/>
    <col min="5" max="16384" width="8.81640625" style="18"/>
  </cols>
  <sheetData>
    <row r="1" spans="1:9">
      <c r="A1" s="20" t="s">
        <v>17</v>
      </c>
      <c r="B1" s="20" t="s">
        <v>18</v>
      </c>
      <c r="C1" s="20" t="s">
        <v>19</v>
      </c>
    </row>
    <row r="2" spans="1:9">
      <c r="A2" s="20">
        <v>1</v>
      </c>
      <c r="B2" s="20">
        <v>72.8</v>
      </c>
      <c r="C2" s="20">
        <v>69.900000000000006</v>
      </c>
    </row>
    <row r="3" spans="1:9">
      <c r="A3" s="20">
        <v>2</v>
      </c>
      <c r="B3" s="20">
        <v>46</v>
      </c>
      <c r="C3" s="20">
        <v>68.900000000000006</v>
      </c>
      <c r="E3" s="18" t="s">
        <v>4</v>
      </c>
      <c r="F3" s="18" t="s">
        <v>30</v>
      </c>
      <c r="H3" s="21" t="s">
        <v>31</v>
      </c>
    </row>
    <row r="4" spans="1:9">
      <c r="A4" s="20">
        <v>3</v>
      </c>
      <c r="B4" s="20">
        <v>59.2</v>
      </c>
      <c r="C4" s="20">
        <v>58.4</v>
      </c>
      <c r="E4" s="18" t="s">
        <v>5</v>
      </c>
      <c r="F4" s="18" t="s">
        <v>32</v>
      </c>
    </row>
    <row r="5" spans="1:9">
      <c r="A5" s="20">
        <v>4</v>
      </c>
      <c r="B5" s="20">
        <v>66.7</v>
      </c>
      <c r="C5" s="20">
        <v>78.2</v>
      </c>
      <c r="H5" s="18" t="s">
        <v>33</v>
      </c>
      <c r="I5" s="18">
        <v>55</v>
      </c>
    </row>
    <row r="6" spans="1:9">
      <c r="A6" s="20">
        <v>5</v>
      </c>
      <c r="B6" s="20">
        <v>84.2</v>
      </c>
      <c r="C6" s="20">
        <v>63.9</v>
      </c>
      <c r="H6" s="18" t="s">
        <v>34</v>
      </c>
      <c r="I6" s="18">
        <v>60</v>
      </c>
    </row>
    <row r="7" spans="1:9">
      <c r="A7" s="20">
        <v>6</v>
      </c>
      <c r="B7" s="20">
        <v>50.4</v>
      </c>
      <c r="C7" s="20">
        <v>54.6</v>
      </c>
      <c r="E7" s="22" t="s">
        <v>20</v>
      </c>
      <c r="F7" s="22">
        <f>COUNT(B2:B11)</f>
        <v>10</v>
      </c>
    </row>
    <row r="8" spans="1:9">
      <c r="A8" s="20">
        <v>7</v>
      </c>
      <c r="B8" s="20">
        <v>49.6</v>
      </c>
      <c r="C8" s="20">
        <v>66.5</v>
      </c>
      <c r="E8" s="22" t="s">
        <v>21</v>
      </c>
      <c r="F8" s="22">
        <f>COUNTA(B1:C1)</f>
        <v>2</v>
      </c>
      <c r="H8" s="22" t="s">
        <v>35</v>
      </c>
      <c r="I8" s="22">
        <v>0.9</v>
      </c>
    </row>
    <row r="9" spans="1:9">
      <c r="A9" s="20">
        <v>8</v>
      </c>
      <c r="B9" s="20">
        <v>77.900000000000006</v>
      </c>
      <c r="C9" s="20">
        <v>71.599999999999994</v>
      </c>
    </row>
    <row r="10" spans="1:9">
      <c r="A10" s="20">
        <v>9</v>
      </c>
      <c r="B10" s="20">
        <v>63.9</v>
      </c>
      <c r="C10" s="20">
        <v>77.2</v>
      </c>
    </row>
    <row r="11" spans="1:9">
      <c r="A11" s="20">
        <v>10</v>
      </c>
      <c r="B11" s="20">
        <v>55.1</v>
      </c>
      <c r="C11" s="20">
        <v>56.8</v>
      </c>
    </row>
    <row r="13" spans="1:9">
      <c r="A13" s="21" t="s">
        <v>36</v>
      </c>
      <c r="D13" s="21" t="s">
        <v>37</v>
      </c>
    </row>
    <row r="15" spans="1:9">
      <c r="A15" s="18" t="s">
        <v>4</v>
      </c>
      <c r="B15" s="22">
        <f>AVERAGE(B2:B11)</f>
        <v>62.58</v>
      </c>
      <c r="D15" s="22">
        <f>_xlfn.VAR.S(B2:B11)</f>
        <v>164.93288888888895</v>
      </c>
      <c r="E15" s="22">
        <f>_xlfn.COVARIANCE.S(B2:B11,C2:C11)</f>
        <v>36.008888888888883</v>
      </c>
    </row>
    <row r="16" spans="1:9">
      <c r="A16" s="18" t="s">
        <v>5</v>
      </c>
      <c r="B16" s="22">
        <f>AVERAGE(C2:C11)</f>
        <v>66.599999999999994</v>
      </c>
      <c r="D16" s="22">
        <f>E15</f>
        <v>36.008888888888883</v>
      </c>
      <c r="E16" s="22">
        <f>_xlfn.VAR.S(C2:C11)</f>
        <v>66.964444444443672</v>
      </c>
    </row>
    <row r="18" spans="1:10">
      <c r="A18" s="23" t="s">
        <v>38</v>
      </c>
      <c r="B18" s="23"/>
      <c r="C18" s="23"/>
      <c r="D18" s="23"/>
      <c r="E18" s="23"/>
      <c r="F18" s="23"/>
      <c r="G18" s="23"/>
      <c r="H18" s="23"/>
      <c r="I18" s="23"/>
    </row>
    <row r="24" spans="1:10">
      <c r="A24" s="21" t="s">
        <v>39</v>
      </c>
      <c r="D24" s="21" t="s">
        <v>40</v>
      </c>
    </row>
    <row r="26" spans="1:10">
      <c r="B26" s="22">
        <f>B15-I5</f>
        <v>7.5799999999999983</v>
      </c>
      <c r="D26" s="22" cm="1">
        <f t="array" ref="D26:E27">MINVERSE(D15:E16)</f>
        <v>6.8695578546604215E-3</v>
      </c>
      <c r="E26" s="22">
        <v>-3.6939774167690561E-3</v>
      </c>
      <c r="I26" s="18">
        <f>B15*D26</f>
        <v>0.42989693054464917</v>
      </c>
      <c r="J26" s="18">
        <f>B16*D26</f>
        <v>0.45751255312038402</v>
      </c>
    </row>
    <row r="27" spans="1:10">
      <c r="B27" s="22">
        <f>B16-I6</f>
        <v>6.5999999999999943</v>
      </c>
      <c r="D27" s="22">
        <v>-3.6939774167690561E-3</v>
      </c>
      <c r="E27" s="22">
        <v>1.69196658280126E-2</v>
      </c>
      <c r="I27" s="18">
        <f>B15*E26</f>
        <v>-0.23116910674140753</v>
      </c>
      <c r="J27" s="18">
        <f>B16*E26</f>
        <v>-0.24601889595681911</v>
      </c>
    </row>
    <row r="28" spans="1:10">
      <c r="I28" s="18">
        <f>B15*E27</f>
        <v>1.0588326875170284</v>
      </c>
      <c r="J28" s="18">
        <f>B16*E27</f>
        <v>1.1268497441456391</v>
      </c>
    </row>
    <row r="29" spans="1:10">
      <c r="A29" s="21" t="s">
        <v>22</v>
      </c>
      <c r="D29" s="21" t="s">
        <v>24</v>
      </c>
    </row>
    <row r="30" spans="1:10">
      <c r="E30" s="18" t="s">
        <v>41</v>
      </c>
      <c r="I30" s="18">
        <f>I26+J27</f>
        <v>0.18387803458783006</v>
      </c>
      <c r="J30" s="18">
        <f>I27+J28</f>
        <v>0.89568063740423154</v>
      </c>
    </row>
    <row r="31" spans="1:10">
      <c r="B31" s="24" cm="1">
        <f t="array" ref="B31">F7*(MMULT(MMULT(TRANSPOSE(B26:B27),_xlfn.ANCHORARRAY(D26)),B26:B27))</f>
        <v>7.6211610297649415</v>
      </c>
      <c r="D31" s="18">
        <f>((F7-1)*F8)/(F7-F8)</f>
        <v>2.25</v>
      </c>
      <c r="E31" s="18">
        <f>_xlfn.F.INV(I8,F8,F7-F8)</f>
        <v>3.1131176401556906</v>
      </c>
      <c r="F31" s="24">
        <f>D31*E31</f>
        <v>7.0045146903503035</v>
      </c>
    </row>
    <row r="32" spans="1:10">
      <c r="I32" s="18">
        <f>B15*I30</f>
        <v>11.507087404506406</v>
      </c>
      <c r="J32" s="18">
        <f>J30*B16</f>
        <v>59.652330451121813</v>
      </c>
    </row>
    <row r="33" spans="1:9">
      <c r="B33" s="21" t="s">
        <v>42</v>
      </c>
    </row>
    <row r="34" spans="1:9">
      <c r="C34" s="18" t="str">
        <f>IF(B31&lt;F31, "TERIMA H0", "TOLAK H0")</f>
        <v>TOLAK H0</v>
      </c>
      <c r="D34" s="18" t="s">
        <v>43</v>
      </c>
      <c r="F34" s="18">
        <f>1-I8</f>
        <v>9.9999999999999978E-2</v>
      </c>
    </row>
    <row r="36" spans="1:9">
      <c r="A36" s="23" t="s">
        <v>44</v>
      </c>
      <c r="B36" s="23"/>
      <c r="C36" s="23"/>
      <c r="D36" s="23"/>
      <c r="E36" s="23"/>
      <c r="F36" s="23"/>
      <c r="G36" s="23"/>
      <c r="H36" s="23"/>
      <c r="I36" s="23"/>
    </row>
    <row r="49" spans="1:9">
      <c r="A49" s="23" t="s">
        <v>45</v>
      </c>
      <c r="B49" s="23"/>
      <c r="C49" s="23"/>
      <c r="D49" s="23"/>
      <c r="E49" s="23"/>
      <c r="F49" s="23"/>
      <c r="G49" s="23"/>
      <c r="H49" s="23"/>
      <c r="I49" s="23"/>
    </row>
    <row r="56" spans="1:9">
      <c r="A56" s="21" t="s">
        <v>46</v>
      </c>
      <c r="B56" s="21"/>
    </row>
    <row r="58" spans="1:9">
      <c r="B58" s="22">
        <f>B15</f>
        <v>62.58</v>
      </c>
    </row>
    <row r="59" spans="1:9">
      <c r="B59" s="22">
        <f>B16</f>
        <v>66.599999999999994</v>
      </c>
    </row>
    <row r="61" spans="1:9">
      <c r="A61" s="21" t="s">
        <v>47</v>
      </c>
      <c r="D61" s="25"/>
      <c r="E61" s="25"/>
    </row>
    <row r="62" spans="1:9">
      <c r="D62" s="18" t="s">
        <v>4</v>
      </c>
      <c r="E62" s="18" t="s">
        <v>5</v>
      </c>
    </row>
    <row r="63" spans="1:9">
      <c r="A63" s="22" t="s">
        <v>48</v>
      </c>
      <c r="B63" s="22">
        <v>176.744</v>
      </c>
      <c r="C63" s="26" t="s">
        <v>25</v>
      </c>
      <c r="D63" s="22">
        <v>0.95</v>
      </c>
      <c r="E63" s="22">
        <v>0.312</v>
      </c>
    </row>
    <row r="64" spans="1:9">
      <c r="A64" s="22" t="s">
        <v>49</v>
      </c>
      <c r="B64" s="22">
        <v>55.152999999999999</v>
      </c>
      <c r="C64" s="26" t="s">
        <v>26</v>
      </c>
      <c r="D64" s="22">
        <v>-0.312</v>
      </c>
      <c r="E64" s="22">
        <v>0.95</v>
      </c>
    </row>
    <row r="66" spans="1:4">
      <c r="A66" s="21" t="s">
        <v>50</v>
      </c>
      <c r="B66" s="21"/>
    </row>
    <row r="68" spans="1:4">
      <c r="A68" s="18" t="s">
        <v>51</v>
      </c>
      <c r="B68" s="22">
        <f>F31</f>
        <v>7.0045146903503035</v>
      </c>
    </row>
    <row r="70" spans="1:4">
      <c r="A70" s="18" t="s">
        <v>52</v>
      </c>
      <c r="C70" s="22">
        <f>SQRT(B63)/SQRT(F7)*SQRT(B68)</f>
        <v>11.126571549364494</v>
      </c>
    </row>
    <row r="71" spans="1:4">
      <c r="A71" s="18" t="s">
        <v>53</v>
      </c>
      <c r="C71" s="22">
        <f>SQRT(B64)/SQRT(F7)*SQRT(B68)</f>
        <v>6.215464574083664</v>
      </c>
    </row>
    <row r="73" spans="1:4">
      <c r="A73" s="21" t="s">
        <v>54</v>
      </c>
    </row>
    <row r="74" spans="1:4">
      <c r="B74" s="18" t="s">
        <v>55</v>
      </c>
    </row>
    <row r="75" spans="1:4">
      <c r="A75" s="21" t="s">
        <v>56</v>
      </c>
      <c r="B75" s="18" t="s">
        <v>57</v>
      </c>
      <c r="C75" s="24" cm="1">
        <f t="array" ref="C75:C76">B58:B59-C70*TRANSPOSE(D63:E63)</f>
        <v>52.009757028103728</v>
      </c>
      <c r="D75" s="24" cm="1">
        <f t="array" ref="D75:D76">B58:B59+C70*TRANSPOSE(D63:E63)</f>
        <v>73.150242971896262</v>
      </c>
    </row>
    <row r="76" spans="1:4">
      <c r="B76" s="18" t="s">
        <v>58</v>
      </c>
      <c r="C76" s="24">
        <v>63.12850967659827</v>
      </c>
      <c r="D76" s="24">
        <v>70.071490323401719</v>
      </c>
    </row>
    <row r="78" spans="1:4">
      <c r="B78" s="18" t="s">
        <v>55</v>
      </c>
    </row>
    <row r="79" spans="1:4">
      <c r="A79" s="21" t="s">
        <v>59</v>
      </c>
      <c r="B79" s="18" t="s">
        <v>57</v>
      </c>
      <c r="C79" s="24" cm="1">
        <f t="array" ref="C79:C80">B58:B59-C71*TRANSPOSE(D64:E64)</f>
        <v>64.519224947114097</v>
      </c>
      <c r="D79" s="24" cm="1">
        <f t="array" ref="D79:D80">B58:B59+C71*TRANSPOSE(D64:E64)</f>
        <v>60.640775052885893</v>
      </c>
    </row>
    <row r="80" spans="1:4">
      <c r="B80" s="18" t="s">
        <v>58</v>
      </c>
      <c r="C80" s="24">
        <v>60.695308654620511</v>
      </c>
      <c r="D80" s="24">
        <v>72.50469134537947</v>
      </c>
    </row>
    <row r="82" spans="1:9">
      <c r="A82" s="21" t="s">
        <v>60</v>
      </c>
    </row>
    <row r="95" spans="1:9">
      <c r="A95" s="23" t="s">
        <v>61</v>
      </c>
      <c r="B95" s="23"/>
      <c r="C95" s="23"/>
      <c r="D95" s="23"/>
      <c r="E95" s="23"/>
      <c r="F95" s="23"/>
      <c r="G95" s="23"/>
      <c r="H95" s="23"/>
      <c r="I95" s="23"/>
    </row>
    <row r="103" spans="1:6">
      <c r="A103" s="18" t="s">
        <v>51</v>
      </c>
      <c r="B103" s="22">
        <f>B68</f>
        <v>7.0045146903503035</v>
      </c>
      <c r="E103" s="18" t="s">
        <v>62</v>
      </c>
      <c r="F103" s="22">
        <v>62.58</v>
      </c>
    </row>
    <row r="104" spans="1:6">
      <c r="F104" s="22">
        <v>66.599999999999994</v>
      </c>
    </row>
    <row r="105" spans="1:6">
      <c r="A105" s="18" t="s">
        <v>27</v>
      </c>
      <c r="B105" s="22">
        <v>164.93288888888895</v>
      </c>
      <c r="C105" s="22">
        <v>36.008888888888883</v>
      </c>
    </row>
    <row r="106" spans="1:6">
      <c r="B106" s="22">
        <v>36.008888888888883</v>
      </c>
      <c r="C106" s="22">
        <v>66.964444444443672</v>
      </c>
    </row>
    <row r="110" spans="1:6">
      <c r="A110" s="27" t="s">
        <v>63</v>
      </c>
      <c r="B110" s="27"/>
      <c r="D110" s="27" t="s">
        <v>63</v>
      </c>
      <c r="E110" s="27"/>
    </row>
    <row r="112" spans="1:6">
      <c r="A112" s="22" t="s">
        <v>64</v>
      </c>
      <c r="B112" s="24">
        <f>F103-SQRT(B103*B105/10)</f>
        <v>51.831628759927682</v>
      </c>
      <c r="D112" s="22" t="s">
        <v>64</v>
      </c>
      <c r="E112" s="24">
        <f>F104-SQRT(B103*C106/10)</f>
        <v>59.751252414913708</v>
      </c>
    </row>
    <row r="113" spans="1:9">
      <c r="A113" s="22" t="s">
        <v>65</v>
      </c>
      <c r="B113" s="24">
        <f>F103+SQRT(B103*B105/10)</f>
        <v>73.328371240072315</v>
      </c>
      <c r="D113" s="22" t="s">
        <v>65</v>
      </c>
      <c r="E113" s="24">
        <f>F104+SQRT(B103*C106/10)</f>
        <v>73.448747585086281</v>
      </c>
    </row>
    <row r="116" spans="1:9">
      <c r="A116" s="23" t="s">
        <v>66</v>
      </c>
      <c r="B116" s="23"/>
      <c r="C116" s="23"/>
      <c r="D116" s="23"/>
      <c r="E116" s="23"/>
      <c r="F116" s="23"/>
      <c r="G116" s="23"/>
      <c r="H116" s="23"/>
      <c r="I116" s="23"/>
    </row>
    <row r="119" spans="1:9">
      <c r="G119" s="18" t="s">
        <v>62</v>
      </c>
      <c r="H119" s="22">
        <v>62.58</v>
      </c>
    </row>
    <row r="120" spans="1:9">
      <c r="H120" s="22">
        <v>66.599999999999994</v>
      </c>
    </row>
    <row r="122" spans="1:9">
      <c r="A122" s="18" t="s">
        <v>20</v>
      </c>
      <c r="B122" s="22">
        <v>10</v>
      </c>
      <c r="D122" s="18" t="s">
        <v>29</v>
      </c>
      <c r="E122" s="22">
        <f>0.1/(2*B123)</f>
        <v>2.5000000000000001E-2</v>
      </c>
      <c r="G122" s="18" t="s">
        <v>27</v>
      </c>
      <c r="H122" s="22">
        <v>164.93288888888895</v>
      </c>
      <c r="I122" s="22">
        <v>36.008888888888883</v>
      </c>
    </row>
    <row r="123" spans="1:9">
      <c r="A123" s="18" t="s">
        <v>21</v>
      </c>
      <c r="B123" s="22">
        <v>2</v>
      </c>
      <c r="D123" s="18" t="s">
        <v>67</v>
      </c>
      <c r="E123" s="22">
        <f>ABS(_xlfn.T.INV(E122,B122-1))</f>
        <v>2.2621571627982053</v>
      </c>
      <c r="H123" s="22">
        <v>36.008888888888883</v>
      </c>
      <c r="I123" s="22">
        <v>66.964444444443672</v>
      </c>
    </row>
    <row r="125" spans="1:9">
      <c r="A125" s="27" t="s">
        <v>63</v>
      </c>
      <c r="B125" s="27"/>
      <c r="D125" s="27" t="s">
        <v>63</v>
      </c>
      <c r="E125" s="27"/>
    </row>
    <row r="127" spans="1:9">
      <c r="A127" s="22" t="s">
        <v>64</v>
      </c>
      <c r="B127" s="24">
        <f>H119-E123*SQRT(H122/10)</f>
        <v>53.392943080420622</v>
      </c>
      <c r="D127" s="22" t="s">
        <v>64</v>
      </c>
      <c r="E127" s="24">
        <f>H120-E123*SQRT(I123/10)</f>
        <v>60.746105257563073</v>
      </c>
    </row>
    <row r="128" spans="1:9">
      <c r="A128" s="22" t="s">
        <v>65</v>
      </c>
      <c r="B128" s="24">
        <f>H119+E123*SQRT(H122/10)</f>
        <v>71.767056919579375</v>
      </c>
      <c r="D128" s="22" t="s">
        <v>65</v>
      </c>
      <c r="E128" s="24">
        <f>H120+E123*SQRT(I123/10)</f>
        <v>72.453894742436916</v>
      </c>
    </row>
  </sheetData>
  <mergeCells count="6">
    <mergeCell ref="A18:I18"/>
    <mergeCell ref="A36:I36"/>
    <mergeCell ref="A49:I49"/>
    <mergeCell ref="D61:E61"/>
    <mergeCell ref="A95:I95"/>
    <mergeCell ref="A116:I1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A7C5-CB6F-4850-A055-A4959AE1A013}">
  <dimension ref="A1:S24"/>
  <sheetViews>
    <sheetView topLeftCell="B1" workbookViewId="0">
      <selection activeCell="O17" sqref="O17"/>
    </sheetView>
  </sheetViews>
  <sheetFormatPr defaultColWidth="8.81640625" defaultRowHeight="14.5"/>
  <cols>
    <col min="1" max="2" width="8.81640625" style="18"/>
    <col min="3" max="3" width="3.453125" style="18" customWidth="1"/>
    <col min="4" max="5" width="8.81640625" style="18"/>
    <col min="6" max="6" width="3.453125" style="18" customWidth="1"/>
    <col min="7" max="8" width="8.81640625" style="18"/>
    <col min="9" max="9" width="2.36328125" style="18" customWidth="1"/>
    <col min="10" max="11" width="8.81640625" style="18"/>
    <col min="12" max="12" width="3.453125" style="18" customWidth="1"/>
    <col min="13" max="13" width="9.1796875" style="18" customWidth="1"/>
    <col min="14" max="16384" width="8.81640625" style="18"/>
  </cols>
  <sheetData>
    <row r="1" spans="1:19">
      <c r="A1" s="21" t="s">
        <v>68</v>
      </c>
    </row>
    <row r="3" spans="1:19">
      <c r="A3" s="28" t="s">
        <v>57</v>
      </c>
      <c r="B3" s="28" t="s">
        <v>58</v>
      </c>
      <c r="D3" s="18" t="s">
        <v>69</v>
      </c>
      <c r="G3" s="18" t="s">
        <v>70</v>
      </c>
      <c r="M3" s="29" t="s">
        <v>71</v>
      </c>
      <c r="N3" s="29" t="s">
        <v>72</v>
      </c>
      <c r="O3" s="29"/>
      <c r="Q3" s="30"/>
      <c r="R3" s="31" t="s">
        <v>57</v>
      </c>
      <c r="S3" s="31" t="s">
        <v>58</v>
      </c>
    </row>
    <row r="4" spans="1:19">
      <c r="A4" s="20">
        <v>72.8</v>
      </c>
      <c r="B4" s="20">
        <v>69.900000000000006</v>
      </c>
      <c r="D4" s="32">
        <f>_xlfn.VAR.S(A4:A13)</f>
        <v>164.93288888888895</v>
      </c>
      <c r="E4" s="33">
        <f>D5</f>
        <v>36.008888888888883</v>
      </c>
      <c r="G4" s="34">
        <v>176.744</v>
      </c>
      <c r="H4" s="35">
        <v>55.152999999999999</v>
      </c>
      <c r="J4" s="18" t="s">
        <v>73</v>
      </c>
      <c r="K4" s="36">
        <f>SQRT(G4)*SQRT(H8)</f>
        <v>12.162331945148283</v>
      </c>
      <c r="M4" s="37">
        <f>A4-D$8</f>
        <v>10.219999999999999</v>
      </c>
      <c r="N4" s="37">
        <f>B4-E$8</f>
        <v>3.3000000000000114</v>
      </c>
      <c r="O4" s="38" t="str">
        <f t="shared" ref="O4:O13" si="0">IF((D$11*M4 + E$11*N4)*M4 + (D$12*M4 + E$12*N4)*N4&gt;=H$8,"outside","inside")</f>
        <v>inside</v>
      </c>
      <c r="Q4" s="18">
        <v>0</v>
      </c>
      <c r="R4" s="18">
        <f>(J$11*K$4*COS(Q4)+K$11*K$5*SIN(Q4))+D$8</f>
        <v>74.136539744787356</v>
      </c>
      <c r="S4" s="18">
        <f>(J$12*K$4*COS(Q4)+K$12*K$5*SIN(Q4))+E$8</f>
        <v>70.390607797059019</v>
      </c>
    </row>
    <row r="5" spans="1:19">
      <c r="A5" s="20">
        <v>46</v>
      </c>
      <c r="B5" s="20">
        <v>68.900000000000006</v>
      </c>
      <c r="D5" s="39">
        <f>_xlfn.COVARIANCE.S(A4:A13,B4:B13)</f>
        <v>36.008888888888883</v>
      </c>
      <c r="E5" s="40">
        <f>_xlfn.VAR.S(B4:B13)</f>
        <v>66.964444444443672</v>
      </c>
      <c r="J5" s="18" t="s">
        <v>74</v>
      </c>
      <c r="K5" s="41">
        <f>SQRT(H4)*SQRT(H8)</f>
        <v>6.7940553842601119</v>
      </c>
      <c r="M5" s="37">
        <f t="shared" ref="M5:N13" si="1">A5-D$8</f>
        <v>-16.579999999999998</v>
      </c>
      <c r="N5" s="37">
        <f t="shared" si="1"/>
        <v>2.3000000000000114</v>
      </c>
      <c r="O5" s="38" t="str">
        <f t="shared" si="0"/>
        <v>outside</v>
      </c>
      <c r="Q5" s="18">
        <f>PI()/10</f>
        <v>0.31415926535897931</v>
      </c>
      <c r="R5" s="18">
        <f t="shared" ref="R5:R24" si="2">(J$11*K$4*COS(Q5)+K$11*K$5*SIN(Q5))+D$8</f>
        <v>72.916582465531206</v>
      </c>
      <c r="S5" s="18">
        <f t="shared" ref="S5:S24" si="3">(J$12*K$4*COS(Q5)+K$12*K$5*SIN(Q5))+E$8</f>
        <v>72.199988132459652</v>
      </c>
    </row>
    <row r="6" spans="1:19">
      <c r="A6" s="20">
        <v>59.2</v>
      </c>
      <c r="B6" s="20">
        <v>58.4</v>
      </c>
      <c r="G6" s="18" t="s">
        <v>21</v>
      </c>
      <c r="H6" s="36">
        <v>2</v>
      </c>
      <c r="J6" s="18" t="s">
        <v>75</v>
      </c>
      <c r="K6" s="42">
        <f>ATAN2(E4,G4-D4)</f>
        <v>0.31694780236898468</v>
      </c>
      <c r="M6" s="37">
        <f t="shared" si="1"/>
        <v>-3.3799999999999955</v>
      </c>
      <c r="N6" s="37">
        <f t="shared" si="1"/>
        <v>-8.1999999999999957</v>
      </c>
      <c r="O6" s="38" t="str">
        <f t="shared" si="0"/>
        <v>outside</v>
      </c>
      <c r="Q6" s="18">
        <f t="shared" ref="Q6:Q24" si="4">Q5+Q$5</f>
        <v>0.62831853071795862</v>
      </c>
      <c r="R6" s="18">
        <f>(J$11*K$4*COS(Q6)+K$11*K$5*SIN(Q6))+D$8</f>
        <v>70.684808475343999</v>
      </c>
      <c r="S6" s="18">
        <f t="shared" si="3"/>
        <v>73.461202612043522</v>
      </c>
    </row>
    <row r="7" spans="1:19">
      <c r="A7" s="20">
        <v>66.7</v>
      </c>
      <c r="B7" s="20">
        <v>78.2</v>
      </c>
      <c r="D7" s="18" t="s">
        <v>76</v>
      </c>
      <c r="G7" s="18" t="s">
        <v>20</v>
      </c>
      <c r="H7" s="36">
        <f>COUNT(A4:A13)</f>
        <v>10</v>
      </c>
      <c r="M7" s="37">
        <f t="shared" si="1"/>
        <v>4.1200000000000045</v>
      </c>
      <c r="N7" s="37">
        <f t="shared" si="1"/>
        <v>11.600000000000009</v>
      </c>
      <c r="O7" s="38" t="str">
        <f t="shared" si="0"/>
        <v>outside</v>
      </c>
      <c r="Q7" s="18">
        <f t="shared" si="4"/>
        <v>0.94247779607693793</v>
      </c>
      <c r="R7" s="18">
        <f t="shared" si="2"/>
        <v>67.659679362068999</v>
      </c>
      <c r="S7" s="18">
        <f t="shared" si="3"/>
        <v>74.050794775151005</v>
      </c>
    </row>
    <row r="8" spans="1:19">
      <c r="A8" s="20">
        <v>84.2</v>
      </c>
      <c r="B8" s="20">
        <v>63.9</v>
      </c>
      <c r="D8" s="43">
        <f>AVERAGE(A4:A13)</f>
        <v>62.58</v>
      </c>
      <c r="E8" s="44">
        <f>AVERAGE(B4:B13)</f>
        <v>66.599999999999994</v>
      </c>
      <c r="G8" s="18" t="s">
        <v>77</v>
      </c>
      <c r="H8" s="41">
        <f>SQRT(_xlfn.F.INV(H9,H6,H7-H6)*(H7-1)*H6/(H7*(H7-H6)))</f>
        <v>0.83692978739857882</v>
      </c>
      <c r="J8" s="18" t="s">
        <v>78</v>
      </c>
      <c r="K8" s="45">
        <f>K6*180/PI()</f>
        <v>18.159771401689337</v>
      </c>
      <c r="M8" s="37">
        <f t="shared" si="1"/>
        <v>21.620000000000005</v>
      </c>
      <c r="N8" s="37">
        <f t="shared" si="1"/>
        <v>-2.6999999999999957</v>
      </c>
      <c r="O8" s="38" t="str">
        <f t="shared" si="0"/>
        <v>outside</v>
      </c>
      <c r="Q8" s="18">
        <f>Q7+Q$5</f>
        <v>1.2566370614359172</v>
      </c>
      <c r="R8" s="18">
        <f t="shared" si="2"/>
        <v>64.137315840627465</v>
      </c>
      <c r="S8" s="18">
        <f t="shared" si="3"/>
        <v>73.911051232926965</v>
      </c>
    </row>
    <row r="9" spans="1:19">
      <c r="A9" s="20">
        <v>50.4</v>
      </c>
      <c r="B9" s="20">
        <v>54.6</v>
      </c>
      <c r="G9" s="18" t="s">
        <v>79</v>
      </c>
      <c r="H9" s="46">
        <v>0.9</v>
      </c>
      <c r="M9" s="37">
        <f t="shared" si="1"/>
        <v>-12.18</v>
      </c>
      <c r="N9" s="37">
        <f t="shared" si="1"/>
        <v>-11.999999999999993</v>
      </c>
      <c r="O9" s="38" t="str">
        <f t="shared" si="0"/>
        <v>outside</v>
      </c>
      <c r="Q9" s="18">
        <f t="shared" si="4"/>
        <v>1.5707963267948966</v>
      </c>
      <c r="R9" s="18">
        <f>(J$11*K$4*COS(Q9)+K$11*K$5*SIN(Q9))+D$8</f>
        <v>60.462511394247819</v>
      </c>
      <c r="S9" s="18">
        <f t="shared" si="3"/>
        <v>73.055651056934806</v>
      </c>
    </row>
    <row r="10" spans="1:19">
      <c r="A10" s="20">
        <v>49.6</v>
      </c>
      <c r="B10" s="20">
        <v>66.5</v>
      </c>
      <c r="D10" s="18" t="s">
        <v>80</v>
      </c>
      <c r="J10" s="18" t="s">
        <v>81</v>
      </c>
      <c r="M10" s="37">
        <f t="shared" si="1"/>
        <v>-12.979999999999997</v>
      </c>
      <c r="N10" s="37">
        <f t="shared" si="1"/>
        <v>-9.9999999999994316E-2</v>
      </c>
      <c r="O10" s="38" t="str">
        <f t="shared" si="0"/>
        <v>outside</v>
      </c>
      <c r="Q10" s="18">
        <f t="shared" si="4"/>
        <v>1.8849555921538759</v>
      </c>
      <c r="R10" s="18">
        <f t="shared" si="2"/>
        <v>56.994981486009834</v>
      </c>
      <c r="S10" s="18">
        <f t="shared" si="3"/>
        <v>71.568326776324113</v>
      </c>
    </row>
    <row r="11" spans="1:19">
      <c r="A11" s="20">
        <v>77.900000000000006</v>
      </c>
      <c r="B11" s="20">
        <v>71.599999999999994</v>
      </c>
      <c r="D11" s="32">
        <f t="array" ref="D11:E12">MINVERSE(D4:E5)</f>
        <v>6.8695578546604215E-3</v>
      </c>
      <c r="E11" s="33">
        <v>-3.6939774167690561E-3</v>
      </c>
      <c r="G11" s="18" t="s">
        <v>82</v>
      </c>
      <c r="H11" s="36">
        <f>D4+E5</f>
        <v>231.89733333333263</v>
      </c>
      <c r="J11" s="32">
        <f>COS(K6)</f>
        <v>0.95019111441021076</v>
      </c>
      <c r="K11" s="33">
        <f>-J12</f>
        <v>-0.31166784578438927</v>
      </c>
      <c r="M11" s="37">
        <f t="shared" si="1"/>
        <v>15.320000000000007</v>
      </c>
      <c r="N11" s="37">
        <f t="shared" si="1"/>
        <v>5</v>
      </c>
      <c r="O11" s="38" t="str">
        <f t="shared" si="0"/>
        <v>outside</v>
      </c>
      <c r="Q11" s="18">
        <f t="shared" si="4"/>
        <v>2.1991148575128552</v>
      </c>
      <c r="R11" s="18">
        <f>(J$11*K$4*COS(Q11)+K$11*K$5*SIN(Q11))+D$8</f>
        <v>54.074152103033342</v>
      </c>
      <c r="S11" s="18">
        <f t="shared" si="3"/>
        <v>69.594668054478689</v>
      </c>
    </row>
    <row r="12" spans="1:19">
      <c r="A12" s="20">
        <v>63.9</v>
      </c>
      <c r="B12" s="20">
        <v>77.2</v>
      </c>
      <c r="D12" s="39">
        <v>-3.6939774167690561E-3</v>
      </c>
      <c r="E12" s="40">
        <v>1.69196658280126E-2</v>
      </c>
      <c r="G12" s="18" t="s">
        <v>83</v>
      </c>
      <c r="H12" s="41">
        <f>D4*E5-E4^2</f>
        <v>9747.9991960492589</v>
      </c>
      <c r="J12" s="39">
        <f>SIN(K6)</f>
        <v>0.31166784578438927</v>
      </c>
      <c r="K12" s="40">
        <f>J11</f>
        <v>0.95019111441021076</v>
      </c>
      <c r="M12" s="37">
        <f t="shared" si="1"/>
        <v>1.3200000000000003</v>
      </c>
      <c r="N12" s="37">
        <f t="shared" si="1"/>
        <v>10.600000000000009</v>
      </c>
      <c r="O12" s="38" t="str">
        <f t="shared" si="0"/>
        <v>outside</v>
      </c>
      <c r="Q12" s="18">
        <f t="shared" si="4"/>
        <v>2.5132741228718345</v>
      </c>
      <c r="R12" s="18">
        <f t="shared" ref="R12:R31" si="5">(J$11*K$4*COS(Q12)+K$11*K$5*SIN(Q12))+D$8</f>
        <v>51.985934375939031</v>
      </c>
      <c r="S12" s="18">
        <f t="shared" si="3"/>
        <v>67.327870358381659</v>
      </c>
    </row>
    <row r="13" spans="1:19">
      <c r="A13" s="20">
        <v>55.1</v>
      </c>
      <c r="B13" s="20">
        <v>56.8</v>
      </c>
      <c r="D13" s="47"/>
      <c r="G13" s="18" t="s">
        <v>84</v>
      </c>
      <c r="H13" s="41">
        <f>(H11+SQRT(H11^2-4*H12))/2</f>
        <v>176.74417723881658</v>
      </c>
      <c r="M13" s="29">
        <f t="shared" si="1"/>
        <v>-7.4799999999999969</v>
      </c>
      <c r="N13" s="29">
        <f t="shared" si="1"/>
        <v>-9.7999999999999972</v>
      </c>
      <c r="O13" s="48" t="str">
        <f t="shared" si="0"/>
        <v>outside</v>
      </c>
      <c r="Q13" s="18">
        <f t="shared" si="4"/>
        <v>2.8274333882308138</v>
      </c>
      <c r="R13" s="18">
        <f t="shared" si="5"/>
        <v>50.934737605323321</v>
      </c>
      <c r="S13" s="18">
        <f t="shared" si="3"/>
        <v>64.989823640235244</v>
      </c>
    </row>
    <row r="14" spans="1:19">
      <c r="G14" s="18" t="s">
        <v>85</v>
      </c>
      <c r="H14" s="42">
        <f>H11-H13</f>
        <v>55.153156094516049</v>
      </c>
      <c r="Q14" s="18">
        <f t="shared" si="4"/>
        <v>3.1415926535897931</v>
      </c>
      <c r="R14" s="18">
        <f t="shared" si="5"/>
        <v>51.02346025521264</v>
      </c>
      <c r="S14" s="18">
        <f t="shared" si="3"/>
        <v>62.80939220294097</v>
      </c>
    </row>
    <row r="15" spans="1:19">
      <c r="Q15" s="18">
        <f t="shared" si="4"/>
        <v>3.4557519189487724</v>
      </c>
      <c r="R15" s="18">
        <f t="shared" si="5"/>
        <v>52.24341753446879</v>
      </c>
      <c r="S15" s="18">
        <f t="shared" si="3"/>
        <v>61.000011867540344</v>
      </c>
    </row>
    <row r="16" spans="1:19">
      <c r="Q16" s="18">
        <f t="shared" si="4"/>
        <v>3.7699111843077517</v>
      </c>
      <c r="R16" s="18">
        <f t="shared" si="5"/>
        <v>54.47519152465599</v>
      </c>
      <c r="S16" s="18">
        <f t="shared" si="3"/>
        <v>59.738797387956467</v>
      </c>
    </row>
    <row r="17" spans="17:19">
      <c r="Q17" s="18">
        <f t="shared" si="4"/>
        <v>4.0840704496667311</v>
      </c>
      <c r="R17" s="18">
        <f t="shared" si="5"/>
        <v>57.500320637930997</v>
      </c>
      <c r="S17" s="18">
        <f t="shared" si="3"/>
        <v>59.149205224848984</v>
      </c>
    </row>
    <row r="18" spans="17:19">
      <c r="Q18" s="18">
        <f t="shared" si="4"/>
        <v>4.3982297150257104</v>
      </c>
      <c r="R18" s="18">
        <f t="shared" si="5"/>
        <v>61.022684159372538</v>
      </c>
      <c r="S18" s="18">
        <f t="shared" si="3"/>
        <v>59.28894876707303</v>
      </c>
    </row>
    <row r="19" spans="17:19">
      <c r="Q19" s="18">
        <f t="shared" si="4"/>
        <v>4.7123889803846897</v>
      </c>
      <c r="R19" s="18">
        <f t="shared" si="5"/>
        <v>64.69748860575217</v>
      </c>
      <c r="S19" s="18">
        <f t="shared" si="3"/>
        <v>60.144348943065182</v>
      </c>
    </row>
    <row r="20" spans="17:19">
      <c r="Q20" s="18">
        <f t="shared" si="4"/>
        <v>5.026548245743669</v>
      </c>
      <c r="R20" s="18">
        <f t="shared" si="5"/>
        <v>68.165018513990162</v>
      </c>
      <c r="S20" s="18">
        <f t="shared" si="3"/>
        <v>61.631673223675868</v>
      </c>
    </row>
    <row r="21" spans="17:19">
      <c r="Q21" s="18">
        <f t="shared" si="4"/>
        <v>5.3407075111026483</v>
      </c>
      <c r="R21" s="18">
        <f t="shared" si="5"/>
        <v>71.085847896966655</v>
      </c>
      <c r="S21" s="18">
        <f t="shared" si="3"/>
        <v>63.6053319455213</v>
      </c>
    </row>
    <row r="22" spans="17:19">
      <c r="Q22" s="18">
        <f t="shared" si="4"/>
        <v>5.6548667764616276</v>
      </c>
      <c r="R22" s="18">
        <f t="shared" si="5"/>
        <v>73.174065624060972</v>
      </c>
      <c r="S22" s="18">
        <f t="shared" si="3"/>
        <v>65.872129641618329</v>
      </c>
    </row>
    <row r="23" spans="17:19">
      <c r="Q23" s="18">
        <f t="shared" si="4"/>
        <v>5.9690260418206069</v>
      </c>
      <c r="R23" s="18">
        <f t="shared" si="5"/>
        <v>74.225262394676676</v>
      </c>
      <c r="S23" s="18">
        <f t="shared" si="3"/>
        <v>68.210176359764745</v>
      </c>
    </row>
    <row r="24" spans="17:19">
      <c r="Q24" s="49">
        <f t="shared" si="4"/>
        <v>6.2831853071795862</v>
      </c>
      <c r="R24" s="49">
        <f t="shared" si="5"/>
        <v>74.136539744787356</v>
      </c>
      <c r="S24" s="49">
        <f t="shared" si="3"/>
        <v>70.390607797059019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8B84-09BC-482E-8B8E-2DE5BC45B89B}">
  <dimension ref="A1:S61"/>
  <sheetViews>
    <sheetView topLeftCell="H1" workbookViewId="0">
      <selection activeCell="I28" sqref="I28"/>
    </sheetView>
  </sheetViews>
  <sheetFormatPr defaultRowHeight="14.5"/>
  <cols>
    <col min="1" max="1" width="12.08984375" style="18" customWidth="1"/>
    <col min="2" max="2" width="7.54296875" style="18" customWidth="1"/>
    <col min="3" max="3" width="9.54296875" style="18" customWidth="1"/>
    <col min="4" max="4" width="8.7265625" style="18"/>
    <col min="5" max="5" width="9.7265625" style="18" customWidth="1"/>
    <col min="6" max="6" width="8.7265625" style="18"/>
    <col min="7" max="7" width="10.1796875" style="18" customWidth="1"/>
    <col min="8" max="8" width="8.7265625" style="18"/>
    <col min="9" max="9" width="14.7265625" style="18" customWidth="1"/>
    <col min="10" max="16" width="8.7265625" style="18"/>
    <col min="17" max="17" width="5.54296875" style="18" customWidth="1"/>
    <col min="18" max="18" width="4.453125" style="18" customWidth="1"/>
    <col min="19" max="19" width="9.1796875" style="18" customWidth="1"/>
    <col min="20" max="16384" width="8.7265625" style="18"/>
  </cols>
  <sheetData>
    <row r="1" spans="1:18">
      <c r="A1" s="50" t="s">
        <v>17</v>
      </c>
      <c r="B1" s="50" t="s">
        <v>86</v>
      </c>
      <c r="C1" s="50"/>
      <c r="D1" s="50" t="s">
        <v>87</v>
      </c>
      <c r="E1" s="50"/>
      <c r="F1" s="51" t="s">
        <v>88</v>
      </c>
      <c r="G1" s="51"/>
      <c r="I1" s="21" t="s">
        <v>89</v>
      </c>
    </row>
    <row r="2" spans="1:18">
      <c r="A2" s="50"/>
      <c r="B2" s="52" t="s">
        <v>90</v>
      </c>
      <c r="C2" s="52" t="s">
        <v>91</v>
      </c>
      <c r="D2" s="52" t="s">
        <v>90</v>
      </c>
      <c r="E2" s="52" t="s">
        <v>91</v>
      </c>
      <c r="F2" s="52" t="s">
        <v>92</v>
      </c>
      <c r="G2" s="52" t="s">
        <v>93</v>
      </c>
    </row>
    <row r="3" spans="1:18">
      <c r="A3" s="53">
        <v>1</v>
      </c>
      <c r="B3" s="53">
        <v>137</v>
      </c>
      <c r="C3" s="53">
        <v>15</v>
      </c>
      <c r="D3" s="53">
        <v>148</v>
      </c>
      <c r="E3" s="53">
        <v>20</v>
      </c>
      <c r="F3" s="45">
        <f>B3-D3</f>
        <v>-11</v>
      </c>
      <c r="G3" s="45">
        <f>C3-E3</f>
        <v>-5</v>
      </c>
      <c r="I3" s="18" t="s">
        <v>94</v>
      </c>
      <c r="J3" s="18" t="s">
        <v>86</v>
      </c>
      <c r="M3" s="18" t="s">
        <v>95</v>
      </c>
      <c r="N3" s="18" t="s">
        <v>96</v>
      </c>
      <c r="Q3" s="19" t="s">
        <v>20</v>
      </c>
      <c r="R3" s="54">
        <v>15</v>
      </c>
    </row>
    <row r="4" spans="1:18">
      <c r="A4" s="53">
        <v>2</v>
      </c>
      <c r="B4" s="53">
        <v>164</v>
      </c>
      <c r="C4" s="53">
        <v>25</v>
      </c>
      <c r="D4" s="53">
        <v>159</v>
      </c>
      <c r="E4" s="53">
        <v>24</v>
      </c>
      <c r="F4" s="45">
        <f t="shared" ref="F4:G17" si="0">B4-D4</f>
        <v>5</v>
      </c>
      <c r="G4" s="45">
        <f t="shared" si="0"/>
        <v>1</v>
      </c>
      <c r="I4" s="18" t="s">
        <v>97</v>
      </c>
      <c r="J4" s="18" t="s">
        <v>87</v>
      </c>
      <c r="M4" s="18" t="s">
        <v>98</v>
      </c>
      <c r="N4" s="18" t="s">
        <v>99</v>
      </c>
      <c r="Q4" s="19" t="s">
        <v>21</v>
      </c>
      <c r="R4" s="54">
        <v>2</v>
      </c>
    </row>
    <row r="5" spans="1:18">
      <c r="A5" s="53">
        <v>3</v>
      </c>
      <c r="B5" s="53">
        <v>224</v>
      </c>
      <c r="C5" s="53">
        <v>27</v>
      </c>
      <c r="D5" s="53">
        <v>144</v>
      </c>
      <c r="E5" s="53">
        <v>19</v>
      </c>
      <c r="F5" s="45">
        <f t="shared" si="0"/>
        <v>80</v>
      </c>
      <c r="G5" s="45">
        <f t="shared" si="0"/>
        <v>8</v>
      </c>
    </row>
    <row r="6" spans="1:18">
      <c r="A6" s="53">
        <v>4</v>
      </c>
      <c r="B6" s="53">
        <v>208</v>
      </c>
      <c r="C6" s="53">
        <v>33</v>
      </c>
      <c r="D6" s="53">
        <v>103</v>
      </c>
      <c r="E6" s="53">
        <v>18</v>
      </c>
      <c r="F6" s="45">
        <f t="shared" si="0"/>
        <v>105</v>
      </c>
      <c r="G6" s="45">
        <f t="shared" si="0"/>
        <v>15</v>
      </c>
      <c r="I6" s="18" t="s">
        <v>100</v>
      </c>
    </row>
    <row r="7" spans="1:18">
      <c r="A7" s="53">
        <v>5</v>
      </c>
      <c r="B7" s="53">
        <v>178</v>
      </c>
      <c r="C7" s="53">
        <v>24</v>
      </c>
      <c r="D7" s="53">
        <v>121</v>
      </c>
      <c r="E7" s="53">
        <v>17</v>
      </c>
      <c r="F7" s="45">
        <f t="shared" si="0"/>
        <v>57</v>
      </c>
      <c r="G7" s="45">
        <f t="shared" si="0"/>
        <v>7</v>
      </c>
      <c r="I7" s="18" t="s">
        <v>101</v>
      </c>
    </row>
    <row r="8" spans="1:18">
      <c r="A8" s="53">
        <v>6</v>
      </c>
      <c r="B8" s="53">
        <v>128</v>
      </c>
      <c r="C8" s="53">
        <v>20</v>
      </c>
      <c r="D8" s="53">
        <v>89</v>
      </c>
      <c r="E8" s="53">
        <v>11</v>
      </c>
      <c r="F8" s="45">
        <f t="shared" si="0"/>
        <v>39</v>
      </c>
      <c r="G8" s="45">
        <f t="shared" si="0"/>
        <v>9</v>
      </c>
      <c r="I8" s="18" t="s">
        <v>102</v>
      </c>
      <c r="L8" s="18" t="s">
        <v>103</v>
      </c>
    </row>
    <row r="9" spans="1:18">
      <c r="A9" s="53">
        <v>7</v>
      </c>
      <c r="B9" s="53">
        <v>154</v>
      </c>
      <c r="C9" s="53">
        <v>18</v>
      </c>
      <c r="D9" s="53">
        <v>119</v>
      </c>
      <c r="E9" s="53">
        <v>17</v>
      </c>
      <c r="F9" s="45">
        <f t="shared" si="0"/>
        <v>35</v>
      </c>
      <c r="G9" s="45">
        <f t="shared" si="0"/>
        <v>1</v>
      </c>
      <c r="I9" s="21" t="s">
        <v>104</v>
      </c>
      <c r="L9" s="18" t="s">
        <v>105</v>
      </c>
    </row>
    <row r="10" spans="1:18">
      <c r="A10" s="53">
        <v>8</v>
      </c>
      <c r="B10" s="53">
        <v>158</v>
      </c>
      <c r="C10" s="53">
        <v>16</v>
      </c>
      <c r="D10" s="53">
        <v>123</v>
      </c>
      <c r="E10" s="53">
        <v>13</v>
      </c>
      <c r="F10" s="45">
        <f t="shared" si="0"/>
        <v>35</v>
      </c>
      <c r="G10" s="45">
        <f t="shared" si="0"/>
        <v>3</v>
      </c>
    </row>
    <row r="11" spans="1:18">
      <c r="A11" s="53">
        <v>9</v>
      </c>
      <c r="B11" s="53">
        <v>102</v>
      </c>
      <c r="C11" s="53">
        <v>21</v>
      </c>
      <c r="D11" s="53">
        <v>76</v>
      </c>
      <c r="E11" s="53">
        <v>16</v>
      </c>
      <c r="F11" s="45">
        <f t="shared" si="0"/>
        <v>26</v>
      </c>
      <c r="G11" s="45">
        <f t="shared" si="0"/>
        <v>5</v>
      </c>
      <c r="I11" s="18" t="s">
        <v>106</v>
      </c>
      <c r="J11" s="18">
        <v>0.05</v>
      </c>
    </row>
    <row r="12" spans="1:18">
      <c r="A12" s="53">
        <v>10</v>
      </c>
      <c r="B12" s="53">
        <v>214</v>
      </c>
      <c r="C12" s="53">
        <v>25</v>
      </c>
      <c r="D12" s="53">
        <v>217</v>
      </c>
      <c r="E12" s="53">
        <v>29</v>
      </c>
      <c r="F12" s="45">
        <f t="shared" si="0"/>
        <v>-3</v>
      </c>
      <c r="G12" s="45">
        <f t="shared" si="0"/>
        <v>-4</v>
      </c>
    </row>
    <row r="13" spans="1:18">
      <c r="A13" s="53">
        <v>11</v>
      </c>
      <c r="B13" s="53">
        <v>209</v>
      </c>
      <c r="C13" s="53">
        <v>24</v>
      </c>
      <c r="D13" s="53">
        <v>148</v>
      </c>
      <c r="E13" s="53">
        <v>22</v>
      </c>
      <c r="F13" s="45">
        <f t="shared" si="0"/>
        <v>61</v>
      </c>
      <c r="G13" s="45">
        <f t="shared" si="0"/>
        <v>2</v>
      </c>
      <c r="I13" s="18" t="s">
        <v>107</v>
      </c>
    </row>
    <row r="14" spans="1:18">
      <c r="A14" s="53">
        <v>12</v>
      </c>
      <c r="B14" s="53">
        <v>151</v>
      </c>
      <c r="C14" s="53">
        <v>16</v>
      </c>
      <c r="D14" s="53">
        <v>151</v>
      </c>
      <c r="E14" s="53">
        <v>21</v>
      </c>
      <c r="F14" s="45">
        <f t="shared" si="0"/>
        <v>0</v>
      </c>
      <c r="G14" s="45">
        <f t="shared" si="0"/>
        <v>-5</v>
      </c>
      <c r="I14" s="19" t="s">
        <v>23</v>
      </c>
      <c r="J14" s="18" t="s">
        <v>108</v>
      </c>
    </row>
    <row r="15" spans="1:18">
      <c r="A15" s="53">
        <v>13</v>
      </c>
      <c r="B15" s="53">
        <v>123</v>
      </c>
      <c r="C15" s="53">
        <v>13</v>
      </c>
      <c r="D15" s="53">
        <v>83</v>
      </c>
      <c r="E15" s="53">
        <v>7</v>
      </c>
      <c r="F15" s="45">
        <f t="shared" si="0"/>
        <v>40</v>
      </c>
      <c r="G15" s="45">
        <f t="shared" si="0"/>
        <v>6</v>
      </c>
      <c r="J15" s="54" cm="1">
        <f t="array" ref="J15">R3*(MMULT(MMULT(TRANSPOSE(B20:B21),B26:C27),B20:B21))</f>
        <v>15.191234319016969</v>
      </c>
    </row>
    <row r="16" spans="1:18">
      <c r="A16" s="53">
        <v>14</v>
      </c>
      <c r="B16" s="53">
        <v>161</v>
      </c>
      <c r="C16" s="53">
        <v>22</v>
      </c>
      <c r="D16" s="53">
        <v>135</v>
      </c>
      <c r="E16" s="53">
        <v>20</v>
      </c>
      <c r="F16" s="45">
        <f t="shared" si="0"/>
        <v>26</v>
      </c>
      <c r="G16" s="45">
        <f t="shared" si="0"/>
        <v>2</v>
      </c>
    </row>
    <row r="17" spans="1:10">
      <c r="A17" s="53">
        <v>15</v>
      </c>
      <c r="B17" s="53">
        <v>175</v>
      </c>
      <c r="C17" s="53">
        <v>23</v>
      </c>
      <c r="D17" s="53">
        <v>178</v>
      </c>
      <c r="E17" s="53">
        <v>15</v>
      </c>
      <c r="F17" s="45">
        <f t="shared" si="0"/>
        <v>-3</v>
      </c>
      <c r="G17" s="45">
        <f t="shared" si="0"/>
        <v>8</v>
      </c>
      <c r="I17" s="18" t="s">
        <v>109</v>
      </c>
    </row>
    <row r="18" spans="1:10">
      <c r="F18" s="45">
        <f>AVERAGE(F3:F17)</f>
        <v>32.799999999999997</v>
      </c>
      <c r="G18" s="45">
        <f>AVERAGE(G3:G17)</f>
        <v>3.5333333333333332</v>
      </c>
      <c r="I18" s="18" t="s">
        <v>110</v>
      </c>
    </row>
    <row r="19" spans="1:10">
      <c r="I19" s="19" t="s">
        <v>23</v>
      </c>
      <c r="J19" s="18">
        <f>J15</f>
        <v>15.191234319016969</v>
      </c>
    </row>
    <row r="20" spans="1:10">
      <c r="A20" s="19" t="s">
        <v>111</v>
      </c>
      <c r="B20" s="55">
        <v>32.799999999999997</v>
      </c>
      <c r="I20" s="19" t="s">
        <v>112</v>
      </c>
      <c r="J20" s="54">
        <f>_xlfn.F.INV.RT(J11,R4,R3-R4)</f>
        <v>3.8055652529780568</v>
      </c>
    </row>
    <row r="21" spans="1:10">
      <c r="B21" s="55">
        <v>3.5333333333333332</v>
      </c>
      <c r="I21" s="19" t="s">
        <v>113</v>
      </c>
      <c r="J21" s="18" t="s">
        <v>114</v>
      </c>
    </row>
    <row r="22" spans="1:10">
      <c r="J22" s="54">
        <f>((R3-1)*R4/(R3-R4))*J20</f>
        <v>8.1966020833373534</v>
      </c>
    </row>
    <row r="23" spans="1:10">
      <c r="A23" s="19" t="s">
        <v>115</v>
      </c>
      <c r="B23" s="55">
        <f>_xlfn.VAR.S(F3:F17)</f>
        <v>1096.0285714285715</v>
      </c>
      <c r="C23" s="55">
        <f>_xlfn.COVARIANCE.S(G3:G17,F3:F17)</f>
        <v>139.90000000000003</v>
      </c>
    </row>
    <row r="24" spans="1:10">
      <c r="B24" s="55">
        <f>_xlfn.COVARIANCE.S(F3:F17,G3:G17)</f>
        <v>139.90000000000003</v>
      </c>
      <c r="C24" s="55">
        <f>_xlfn.VAR.S(G3:G17)</f>
        <v>31.552380952380954</v>
      </c>
    </row>
    <row r="25" spans="1:10">
      <c r="I25" s="18" t="s">
        <v>116</v>
      </c>
    </row>
    <row r="26" spans="1:10">
      <c r="A26" s="19" t="s">
        <v>117</v>
      </c>
      <c r="B26" s="55">
        <f t="array" ref="B26:C27">MINVERSE(B23:C24)</f>
        <v>2.1020485138493901E-3</v>
      </c>
      <c r="C26" s="55">
        <v>-9.320266116568254E-3</v>
      </c>
      <c r="I26" s="19" t="s">
        <v>118</v>
      </c>
      <c r="J26" s="19"/>
    </row>
    <row r="27" spans="1:10">
      <c r="B27" s="55">
        <v>-9.3202661165682522E-3</v>
      </c>
      <c r="C27" s="55">
        <v>7.3018427141361114E-2</v>
      </c>
      <c r="I27" s="18" t="s">
        <v>119</v>
      </c>
    </row>
    <row r="28" spans="1:10">
      <c r="I28" s="18" t="s">
        <v>120</v>
      </c>
    </row>
    <row r="29" spans="1:10">
      <c r="I29" s="18" t="s">
        <v>121</v>
      </c>
    </row>
    <row r="30" spans="1:10">
      <c r="I30" s="18" t="s">
        <v>122</v>
      </c>
    </row>
    <row r="31" spans="1:10">
      <c r="I31" s="18" t="s">
        <v>123</v>
      </c>
    </row>
    <row r="32" spans="1:10">
      <c r="I32" s="18" t="s">
        <v>124</v>
      </c>
    </row>
    <row r="34" spans="1:10">
      <c r="A34" s="21" t="s">
        <v>125</v>
      </c>
    </row>
    <row r="42" spans="1:10">
      <c r="I42" s="18" t="s">
        <v>126</v>
      </c>
      <c r="J42" s="19">
        <f>B21-SQRT(J22*C24/R3)</f>
        <v>-0.61895367865206641</v>
      </c>
    </row>
    <row r="43" spans="1:10">
      <c r="I43" s="18" t="s">
        <v>127</v>
      </c>
      <c r="J43" s="19">
        <f>B21+SQRT(J22*C24/R3)</f>
        <v>7.6856203453187328</v>
      </c>
    </row>
    <row r="49" spans="1:19">
      <c r="A49" s="18" t="s">
        <v>126</v>
      </c>
      <c r="B49" s="19">
        <f>B20-SQRT(J22*B23/R3)</f>
        <v>8.3272803963696553</v>
      </c>
    </row>
    <row r="50" spans="1:19">
      <c r="A50" s="18" t="s">
        <v>127</v>
      </c>
      <c r="B50" s="19">
        <f>B20+SQRT(J22*B23/R3)</f>
        <v>57.272719603630335</v>
      </c>
    </row>
    <row r="52" spans="1:19">
      <c r="A52" s="21" t="s">
        <v>128</v>
      </c>
    </row>
    <row r="60" spans="1:19">
      <c r="I60" s="18" t="s">
        <v>126</v>
      </c>
      <c r="J60" s="19">
        <f>B20-B61*SQRT(B23/R3)</f>
        <v>11.348161414006828</v>
      </c>
      <c r="Q60" s="18" t="s">
        <v>126</v>
      </c>
      <c r="S60" s="19">
        <f>B21-B61*SQRT(C24/R3)</f>
        <v>-0.10640071284162467</v>
      </c>
    </row>
    <row r="61" spans="1:19">
      <c r="A61" s="18" t="s">
        <v>28</v>
      </c>
      <c r="B61" s="18">
        <f>ABS(_xlfn.T.INV(J11/(2*R4),R3-1))</f>
        <v>2.5095694114933247</v>
      </c>
      <c r="I61" s="18" t="s">
        <v>127</v>
      </c>
      <c r="J61" s="19">
        <f>B20+B61*SQRT(B23/R3)</f>
        <v>54.25183858599317</v>
      </c>
      <c r="Q61" s="18" t="s">
        <v>127</v>
      </c>
      <c r="S61" s="19">
        <f>B21+B61*SQRT(C24/R3)</f>
        <v>7.1730673795082911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BABF-CA57-4613-AE0B-915CA4EF95A6}">
  <dimension ref="A1:K80"/>
  <sheetViews>
    <sheetView topLeftCell="A70" workbookViewId="0">
      <selection activeCell="D6" sqref="D6"/>
    </sheetView>
  </sheetViews>
  <sheetFormatPr defaultRowHeight="14.5"/>
  <cols>
    <col min="1" max="1" width="11.81640625" style="18" customWidth="1"/>
    <col min="2" max="2" width="10.81640625" style="18" customWidth="1"/>
    <col min="3" max="3" width="10.7265625" style="18" customWidth="1"/>
    <col min="4" max="4" width="12.1796875" style="18" customWidth="1"/>
    <col min="5" max="5" width="10.7265625" style="18" customWidth="1"/>
    <col min="6" max="6" width="8.7265625" style="18"/>
    <col min="7" max="7" width="10.81640625" style="18" customWidth="1"/>
    <col min="8" max="16384" width="8.7265625" style="18"/>
  </cols>
  <sheetData>
    <row r="1" spans="1:8">
      <c r="A1" s="50" t="s">
        <v>129</v>
      </c>
      <c r="B1" s="50" t="s">
        <v>130</v>
      </c>
      <c r="C1" s="50"/>
      <c r="D1" s="50" t="s">
        <v>131</v>
      </c>
      <c r="E1" s="50"/>
      <c r="G1" s="21" t="s">
        <v>132</v>
      </c>
    </row>
    <row r="2" spans="1:8">
      <c r="A2" s="50"/>
      <c r="B2" s="52" t="s">
        <v>133</v>
      </c>
      <c r="C2" s="52" t="s">
        <v>134</v>
      </c>
      <c r="D2" s="52" t="s">
        <v>133</v>
      </c>
      <c r="E2" s="52" t="s">
        <v>134</v>
      </c>
      <c r="G2" s="56"/>
    </row>
    <row r="3" spans="1:8">
      <c r="A3" s="53">
        <v>1</v>
      </c>
      <c r="B3" s="53">
        <v>54</v>
      </c>
      <c r="C3" s="53">
        <v>77</v>
      </c>
      <c r="D3" s="53">
        <v>58</v>
      </c>
      <c r="E3" s="53">
        <v>84</v>
      </c>
      <c r="G3" s="18" t="s">
        <v>135</v>
      </c>
    </row>
    <row r="4" spans="1:8">
      <c r="A4" s="53">
        <v>2</v>
      </c>
      <c r="B4" s="53">
        <v>76</v>
      </c>
      <c r="C4" s="53">
        <v>58</v>
      </c>
      <c r="D4" s="53">
        <v>49</v>
      </c>
      <c r="E4" s="53">
        <v>60</v>
      </c>
      <c r="G4" s="18" t="s">
        <v>136</v>
      </c>
    </row>
    <row r="5" spans="1:8">
      <c r="A5" s="53">
        <v>3</v>
      </c>
      <c r="B5" s="53">
        <v>55</v>
      </c>
      <c r="C5" s="53">
        <v>58</v>
      </c>
      <c r="D5" s="53">
        <v>83</v>
      </c>
      <c r="E5" s="53">
        <v>69</v>
      </c>
      <c r="G5" s="18" t="s">
        <v>137</v>
      </c>
    </row>
    <row r="6" spans="1:8">
      <c r="A6" s="53">
        <v>4</v>
      </c>
      <c r="B6" s="53">
        <v>79</v>
      </c>
      <c r="C6" s="53">
        <v>63</v>
      </c>
      <c r="D6" s="53">
        <v>55</v>
      </c>
      <c r="E6" s="53">
        <v>60</v>
      </c>
      <c r="G6" s="18" t="s">
        <v>138</v>
      </c>
    </row>
    <row r="7" spans="1:8">
      <c r="A7" s="53">
        <v>5</v>
      </c>
      <c r="B7" s="53">
        <v>84</v>
      </c>
      <c r="C7" s="53">
        <v>37</v>
      </c>
      <c r="D7" s="53">
        <v>85</v>
      </c>
      <c r="E7" s="53">
        <v>89</v>
      </c>
      <c r="G7" s="18" t="s">
        <v>139</v>
      </c>
    </row>
    <row r="8" spans="1:8">
      <c r="A8" s="53">
        <v>6</v>
      </c>
      <c r="B8" s="53">
        <v>60</v>
      </c>
      <c r="C8" s="53">
        <v>45</v>
      </c>
      <c r="D8" s="53">
        <v>90</v>
      </c>
      <c r="E8" s="53">
        <v>68</v>
      </c>
      <c r="G8" s="18" t="s">
        <v>140</v>
      </c>
    </row>
    <row r="9" spans="1:8">
      <c r="A9" s="53">
        <v>7</v>
      </c>
      <c r="B9" s="53">
        <v>73</v>
      </c>
      <c r="C9" s="53">
        <v>60</v>
      </c>
      <c r="D9" s="53">
        <v>42</v>
      </c>
      <c r="E9" s="53">
        <v>36</v>
      </c>
      <c r="G9" s="18" t="s">
        <v>141</v>
      </c>
    </row>
    <row r="10" spans="1:8">
      <c r="A10" s="53">
        <v>8</v>
      </c>
      <c r="B10" s="53">
        <v>81</v>
      </c>
      <c r="C10" s="53">
        <v>56</v>
      </c>
      <c r="D10" s="53">
        <v>85</v>
      </c>
      <c r="E10" s="53">
        <v>57</v>
      </c>
      <c r="G10" s="18" t="s">
        <v>142</v>
      </c>
    </row>
    <row r="11" spans="1:8">
      <c r="A11" s="53">
        <v>9</v>
      </c>
      <c r="B11" s="53">
        <v>65</v>
      </c>
      <c r="C11" s="53">
        <v>80</v>
      </c>
      <c r="D11" s="53">
        <v>80</v>
      </c>
      <c r="E11" s="53">
        <v>46</v>
      </c>
      <c r="G11" s="18" t="s">
        <v>143</v>
      </c>
    </row>
    <row r="12" spans="1:8">
      <c r="A12" s="53">
        <v>10</v>
      </c>
      <c r="B12" s="53">
        <v>54</v>
      </c>
      <c r="C12" s="53">
        <v>42</v>
      </c>
      <c r="D12" s="53">
        <v>89</v>
      </c>
      <c r="E12" s="53">
        <v>51</v>
      </c>
      <c r="G12" s="18" t="s">
        <v>144</v>
      </c>
    </row>
    <row r="13" spans="1:8">
      <c r="A13" s="53">
        <v>11</v>
      </c>
      <c r="B13" s="53">
        <v>67</v>
      </c>
      <c r="C13" s="53">
        <v>42</v>
      </c>
      <c r="D13" s="53">
        <v>40</v>
      </c>
      <c r="E13" s="53">
        <v>65</v>
      </c>
    </row>
    <row r="14" spans="1:8">
      <c r="A14" s="53">
        <v>12</v>
      </c>
      <c r="B14" s="53">
        <v>51</v>
      </c>
      <c r="C14" s="53">
        <v>64</v>
      </c>
      <c r="D14" s="53">
        <v>71</v>
      </c>
      <c r="E14" s="53">
        <v>64</v>
      </c>
    </row>
    <row r="15" spans="1:8">
      <c r="A15" s="53">
        <v>13</v>
      </c>
      <c r="B15" s="53">
        <v>56</v>
      </c>
      <c r="C15" s="53">
        <v>62</v>
      </c>
      <c r="D15" s="53">
        <v>81</v>
      </c>
      <c r="E15" s="53">
        <v>82</v>
      </c>
      <c r="G15" s="18" t="s">
        <v>94</v>
      </c>
      <c r="H15" s="18" t="s">
        <v>145</v>
      </c>
    </row>
    <row r="16" spans="1:8">
      <c r="A16" s="53">
        <v>14</v>
      </c>
      <c r="B16" s="53">
        <v>50</v>
      </c>
      <c r="C16" s="53">
        <v>41</v>
      </c>
      <c r="D16" s="53">
        <v>40</v>
      </c>
      <c r="E16" s="53">
        <v>50</v>
      </c>
      <c r="G16" s="18" t="s">
        <v>97</v>
      </c>
      <c r="H16" s="18" t="s">
        <v>146</v>
      </c>
    </row>
    <row r="17" spans="1:11">
      <c r="A17" s="53">
        <v>15</v>
      </c>
      <c r="B17" s="53">
        <v>58</v>
      </c>
      <c r="C17" s="53">
        <v>43</v>
      </c>
      <c r="D17" s="53">
        <v>80</v>
      </c>
      <c r="E17" s="53">
        <v>77</v>
      </c>
    </row>
    <row r="18" spans="1:11">
      <c r="A18" s="53">
        <v>16</v>
      </c>
      <c r="B18" s="53">
        <v>82</v>
      </c>
      <c r="C18" s="53">
        <v>46</v>
      </c>
      <c r="D18" s="53">
        <v>75</v>
      </c>
      <c r="E18" s="53">
        <v>35</v>
      </c>
      <c r="G18" s="18" t="s">
        <v>95</v>
      </c>
      <c r="H18" s="18" t="s">
        <v>133</v>
      </c>
    </row>
    <row r="19" spans="1:11">
      <c r="A19" s="53">
        <v>17</v>
      </c>
      <c r="B19" s="53">
        <v>61</v>
      </c>
      <c r="C19" s="53">
        <v>48</v>
      </c>
      <c r="D19" s="53">
        <v>41</v>
      </c>
      <c r="E19" s="53">
        <v>55</v>
      </c>
      <c r="G19" s="18" t="s">
        <v>98</v>
      </c>
      <c r="H19" s="18" t="s">
        <v>134</v>
      </c>
    </row>
    <row r="20" spans="1:11">
      <c r="A20" s="53">
        <v>18</v>
      </c>
      <c r="B20" s="53">
        <v>60</v>
      </c>
      <c r="C20" s="53">
        <v>43</v>
      </c>
      <c r="D20" s="53">
        <v>54</v>
      </c>
      <c r="E20" s="53">
        <v>61</v>
      </c>
    </row>
    <row r="21" spans="1:11">
      <c r="A21" s="53">
        <v>19</v>
      </c>
      <c r="B21" s="53">
        <v>45</v>
      </c>
      <c r="C21" s="53">
        <v>56</v>
      </c>
      <c r="D21" s="53">
        <v>48</v>
      </c>
      <c r="E21" s="53">
        <v>50</v>
      </c>
      <c r="G21" s="18" t="s">
        <v>147</v>
      </c>
      <c r="H21" s="56">
        <v>20</v>
      </c>
    </row>
    <row r="22" spans="1:11">
      <c r="A22" s="53">
        <v>20</v>
      </c>
      <c r="B22" s="53">
        <v>80</v>
      </c>
      <c r="C22" s="53">
        <v>38</v>
      </c>
      <c r="D22" s="53">
        <v>69</v>
      </c>
      <c r="E22" s="53">
        <v>43</v>
      </c>
      <c r="G22" s="18" t="s">
        <v>21</v>
      </c>
      <c r="H22" s="56">
        <v>2</v>
      </c>
    </row>
    <row r="23" spans="1:11">
      <c r="A23" s="18" t="s">
        <v>148</v>
      </c>
      <c r="B23" s="57">
        <f>AVERAGE(B3:B22)</f>
        <v>64.55</v>
      </c>
      <c r="C23" s="57">
        <f t="shared" ref="C23:E23" si="0">AVERAGE(C3:C22)</f>
        <v>52.95</v>
      </c>
      <c r="D23" s="57">
        <f t="shared" si="0"/>
        <v>65.75</v>
      </c>
      <c r="E23" s="57">
        <f t="shared" si="0"/>
        <v>60.1</v>
      </c>
    </row>
    <row r="25" spans="1:11">
      <c r="A25" s="18" t="s">
        <v>149</v>
      </c>
      <c r="B25" s="57">
        <v>64.55</v>
      </c>
      <c r="D25" s="18" t="s">
        <v>150</v>
      </c>
      <c r="E25" s="57">
        <v>65.75</v>
      </c>
      <c r="G25" s="18" t="s">
        <v>151</v>
      </c>
    </row>
    <row r="26" spans="1:11">
      <c r="B26" s="57">
        <v>52.95</v>
      </c>
      <c r="E26" s="57">
        <v>60.1</v>
      </c>
      <c r="G26" s="18" t="s">
        <v>152</v>
      </c>
    </row>
    <row r="27" spans="1:11">
      <c r="G27" s="18" t="s">
        <v>153</v>
      </c>
      <c r="K27" s="18" t="s">
        <v>154</v>
      </c>
    </row>
    <row r="28" spans="1:11">
      <c r="A28" s="58" t="s">
        <v>155</v>
      </c>
      <c r="B28" s="58"/>
      <c r="D28" s="58" t="s">
        <v>156</v>
      </c>
      <c r="E28" s="58"/>
      <c r="G28" s="21" t="s">
        <v>157</v>
      </c>
      <c r="H28" s="21"/>
      <c r="K28" s="18" t="s">
        <v>158</v>
      </c>
    </row>
    <row r="29" spans="1:11">
      <c r="A29" s="57">
        <f>_xlfn.VAR.S(B3:B22)</f>
        <v>151.10263157894721</v>
      </c>
      <c r="B29" s="57">
        <f>_xlfn.COVARIANCE.S(B3:B22,C3:C22)</f>
        <v>-26.286842105263158</v>
      </c>
      <c r="D29" s="57">
        <f>_xlfn.VAR.S(D3:D22)</f>
        <v>333.7763157894737</v>
      </c>
      <c r="E29" s="57">
        <f>_xlfn.COVARIANCE.S(E3:E22,D3:D22)</f>
        <v>81.868421052631589</v>
      </c>
    </row>
    <row r="30" spans="1:11">
      <c r="A30" s="57">
        <f>_xlfn.COVARIANCE.S(C3:C22,B3:B22)</f>
        <v>-26.286842105263158</v>
      </c>
      <c r="B30" s="57">
        <f>_xlfn.VAR.S(C3:C22)</f>
        <v>154.15526315789458</v>
      </c>
      <c r="D30" s="57">
        <f>_xlfn.COVARIANCE.S(D3:D22,E3:E22)</f>
        <v>81.868421052631589</v>
      </c>
      <c r="E30" s="57">
        <f>_xlfn.VAR.S(E3:E22)</f>
        <v>230.41052631578964</v>
      </c>
      <c r="G30" s="18" t="s">
        <v>106</v>
      </c>
      <c r="H30" s="18">
        <v>0.05</v>
      </c>
    </row>
    <row r="32" spans="1:11">
      <c r="G32" s="18" t="s">
        <v>159</v>
      </c>
      <c r="H32" s="59" t="s">
        <v>160</v>
      </c>
    </row>
    <row r="33" spans="1:10">
      <c r="A33" s="18" t="s">
        <v>161</v>
      </c>
      <c r="D33" s="18" t="s">
        <v>162</v>
      </c>
      <c r="G33" s="18" t="s">
        <v>23</v>
      </c>
    </row>
    <row r="34" spans="1:10">
      <c r="A34" s="57">
        <f>B25-E25</f>
        <v>-1.2000000000000028</v>
      </c>
      <c r="D34" s="57">
        <f>B23-D23</f>
        <v>-1.2000000000000028</v>
      </c>
      <c r="E34" s="57">
        <f>C23-E23</f>
        <v>-7.1499999999999986</v>
      </c>
      <c r="H34" s="57" cm="1">
        <f t="array" ref="H34">MMULT(MMULT(D34:E34,D45:E46),A34:A35)</f>
        <v>2.6598770383175259</v>
      </c>
    </row>
    <row r="35" spans="1:10">
      <c r="A35" s="57">
        <f>B26-E26</f>
        <v>-7.1499999999999986</v>
      </c>
    </row>
    <row r="36" spans="1:10">
      <c r="G36" s="18" t="s">
        <v>109</v>
      </c>
    </row>
    <row r="37" spans="1:10">
      <c r="G37" s="18" t="s">
        <v>110</v>
      </c>
    </row>
    <row r="38" spans="1:10">
      <c r="D38" s="18" t="s">
        <v>163</v>
      </c>
      <c r="G38" s="18" t="s">
        <v>23</v>
      </c>
      <c r="H38" s="57">
        <f>H34</f>
        <v>2.6598770383175259</v>
      </c>
    </row>
    <row r="39" spans="1:10">
      <c r="A39" s="57"/>
      <c r="B39" s="57"/>
      <c r="D39" s="57" cm="1">
        <f t="array" ref="D39:E40">((H21-1)*A29:B30+(H21-1)*D29:E30)/(H21+H21-2)</f>
        <v>242.43947368421044</v>
      </c>
      <c r="E39" s="57">
        <v>27.790789473684214</v>
      </c>
      <c r="G39" s="18" t="s">
        <v>164</v>
      </c>
      <c r="J39" s="18" t="s">
        <v>113</v>
      </c>
    </row>
    <row r="40" spans="1:10">
      <c r="A40" s="57"/>
      <c r="B40" s="57"/>
      <c r="D40" s="57">
        <v>27.790789473684214</v>
      </c>
      <c r="E40" s="57">
        <v>192.28289473684211</v>
      </c>
      <c r="H40" s="57">
        <f>_xlfn.F.INV.RT(H30,H22,H21+H21-H22-1)</f>
        <v>3.2519238463872067</v>
      </c>
      <c r="J40" s="57">
        <f>(H21+H21-2)/(H21+H21-H22-1)*H22*H40</f>
        <v>6.6796273601466947</v>
      </c>
    </row>
    <row r="42" spans="1:10">
      <c r="D42" s="57" cm="1">
        <f t="array" ref="D42:E43">(1/20+1/20)*D39:E40</f>
        <v>24.243947368421047</v>
      </c>
      <c r="E42" s="57">
        <v>2.7790789473684216</v>
      </c>
      <c r="G42" s="18" t="s">
        <v>165</v>
      </c>
    </row>
    <row r="43" spans="1:10">
      <c r="D43" s="57">
        <v>2.7790789473684216</v>
      </c>
      <c r="E43" s="57">
        <v>19.228289473684214</v>
      </c>
      <c r="G43" s="18" t="s">
        <v>166</v>
      </c>
      <c r="H43" s="57"/>
    </row>
    <row r="44" spans="1:10">
      <c r="G44" s="18" t="s">
        <v>119</v>
      </c>
    </row>
    <row r="45" spans="1:10">
      <c r="D45" s="57">
        <f t="array" ref="D45:E46">MINVERSE(D42:E43)</f>
        <v>4.1942288623775442E-2</v>
      </c>
      <c r="E45" s="57">
        <v>-6.0619501010898214E-3</v>
      </c>
      <c r="G45" s="18" t="s">
        <v>167</v>
      </c>
    </row>
    <row r="46" spans="1:10">
      <c r="D46" s="57">
        <v>-6.0619501010898214E-3</v>
      </c>
      <c r="E46" s="57">
        <v>5.2882844274712536E-2</v>
      </c>
      <c r="G46" s="18" t="s">
        <v>168</v>
      </c>
    </row>
    <row r="47" spans="1:10">
      <c r="G47" s="18" t="s">
        <v>169</v>
      </c>
    </row>
    <row r="49" spans="1:4">
      <c r="A49" s="21" t="s">
        <v>125</v>
      </c>
    </row>
    <row r="55" spans="1:4">
      <c r="A55" s="18" t="s">
        <v>170</v>
      </c>
      <c r="D55" s="19" t="s">
        <v>171</v>
      </c>
    </row>
    <row r="56" spans="1:4">
      <c r="A56" s="19" t="s">
        <v>126</v>
      </c>
      <c r="B56" s="18">
        <f>A34-SQRT(J40*D42)</f>
        <v>-13.925585808129297</v>
      </c>
      <c r="D56" s="18" t="s">
        <v>172</v>
      </c>
    </row>
    <row r="57" spans="1:4">
      <c r="A57" s="19" t="s">
        <v>127</v>
      </c>
      <c r="B57" s="18">
        <f>A34+SQRT(J40*D42)</f>
        <v>11.525585808129291</v>
      </c>
      <c r="D57" s="18" t="s">
        <v>173</v>
      </c>
    </row>
    <row r="58" spans="1:4">
      <c r="D58" s="18" t="s">
        <v>174</v>
      </c>
    </row>
    <row r="60" spans="1:4">
      <c r="A60" s="18" t="s">
        <v>175</v>
      </c>
      <c r="D60" s="19" t="s">
        <v>176</v>
      </c>
    </row>
    <row r="61" spans="1:4">
      <c r="A61" s="19" t="s">
        <v>126</v>
      </c>
      <c r="B61" s="18">
        <f>A35-SQRT(J40*E43)</f>
        <v>-18.48304056541058</v>
      </c>
      <c r="D61" s="18" t="s">
        <v>177</v>
      </c>
    </row>
    <row r="62" spans="1:4">
      <c r="A62" s="19" t="s">
        <v>127</v>
      </c>
      <c r="B62" s="18">
        <f>A35+SQRT(J40*E43)</f>
        <v>4.1830405654105824</v>
      </c>
      <c r="D62" s="18" t="s">
        <v>178</v>
      </c>
    </row>
    <row r="63" spans="1:4">
      <c r="D63" s="18" t="s">
        <v>179</v>
      </c>
    </row>
    <row r="65" spans="1:8">
      <c r="A65" s="21" t="s">
        <v>128</v>
      </c>
    </row>
    <row r="68" spans="1:8">
      <c r="G68" s="19" t="s">
        <v>28</v>
      </c>
      <c r="H68" s="19">
        <f>ABS(_xlfn.T.INV(H30/(2*H22),H21+H21-2))</f>
        <v>2.3337210976874627</v>
      </c>
    </row>
    <row r="72" spans="1:8">
      <c r="A72" s="18" t="s">
        <v>170</v>
      </c>
      <c r="D72" s="19" t="s">
        <v>171</v>
      </c>
    </row>
    <row r="73" spans="1:8">
      <c r="A73" s="19" t="s">
        <v>126</v>
      </c>
      <c r="B73" s="18">
        <f>A34-H68*SQRT(D42)</f>
        <v>-12.69080933848957</v>
      </c>
      <c r="D73" s="18" t="s">
        <v>180</v>
      </c>
    </row>
    <row r="74" spans="1:8">
      <c r="A74" s="19" t="s">
        <v>127</v>
      </c>
      <c r="B74" s="18">
        <f>A34+H68*SQRT(D42)</f>
        <v>10.290809338489565</v>
      </c>
      <c r="D74" s="18" t="s">
        <v>181</v>
      </c>
    </row>
    <row r="75" spans="1:8">
      <c r="D75" s="18" t="s">
        <v>174</v>
      </c>
    </row>
    <row r="77" spans="1:8">
      <c r="A77" s="18" t="s">
        <v>175</v>
      </c>
      <c r="D77" s="19" t="s">
        <v>176</v>
      </c>
    </row>
    <row r="78" spans="1:8">
      <c r="A78" s="19" t="s">
        <v>126</v>
      </c>
      <c r="B78" s="18">
        <f>A35-H68*SQRT(E43)</f>
        <v>-17.383384169969666</v>
      </c>
      <c r="D78" s="18" t="s">
        <v>182</v>
      </c>
    </row>
    <row r="79" spans="1:8">
      <c r="A79" s="19" t="s">
        <v>127</v>
      </c>
      <c r="B79" s="18">
        <f>A35+H68*SQRT(E43)</f>
        <v>3.0833841699696691</v>
      </c>
      <c r="D79" s="18" t="s">
        <v>183</v>
      </c>
    </row>
    <row r="80" spans="1:8">
      <c r="D80" s="18" t="s">
        <v>179</v>
      </c>
    </row>
  </sheetData>
  <mergeCells count="5">
    <mergeCell ref="A1:A2"/>
    <mergeCell ref="B1:C1"/>
    <mergeCell ref="D1:E1"/>
    <mergeCell ref="A28:B28"/>
    <mergeCell ref="D28:E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B1F8-4750-434D-89E7-C750480E4271}">
  <dimension ref="A1:K64"/>
  <sheetViews>
    <sheetView tabSelected="1" workbookViewId="0">
      <selection activeCell="E74" sqref="E74"/>
    </sheetView>
  </sheetViews>
  <sheetFormatPr defaultRowHeight="14.5"/>
  <cols>
    <col min="1" max="1" width="11.81640625" style="18" customWidth="1"/>
    <col min="2" max="2" width="10.81640625" style="18" customWidth="1"/>
    <col min="3" max="3" width="10.7265625" style="18" customWidth="1"/>
    <col min="4" max="4" width="12.1796875" style="18" customWidth="1"/>
    <col min="5" max="5" width="10.7265625" style="18" customWidth="1"/>
    <col min="6" max="6" width="8.7265625" style="18"/>
    <col min="7" max="7" width="10.81640625" style="18" customWidth="1"/>
    <col min="8" max="16384" width="8.7265625" style="18"/>
  </cols>
  <sheetData>
    <row r="1" spans="1:8">
      <c r="A1" s="50" t="s">
        <v>129</v>
      </c>
      <c r="B1" s="50" t="s">
        <v>130</v>
      </c>
      <c r="C1" s="50"/>
      <c r="D1" s="50" t="s">
        <v>131</v>
      </c>
      <c r="E1" s="50"/>
      <c r="G1" s="21" t="s">
        <v>184</v>
      </c>
    </row>
    <row r="2" spans="1:8">
      <c r="A2" s="50"/>
      <c r="B2" s="52" t="s">
        <v>133</v>
      </c>
      <c r="C2" s="52" t="s">
        <v>134</v>
      </c>
      <c r="D2" s="52" t="s">
        <v>133</v>
      </c>
      <c r="E2" s="52" t="s">
        <v>134</v>
      </c>
      <c r="G2" s="56"/>
    </row>
    <row r="3" spans="1:8">
      <c r="A3" s="53">
        <v>1</v>
      </c>
      <c r="B3" s="53">
        <v>54</v>
      </c>
      <c r="C3" s="53">
        <v>77</v>
      </c>
      <c r="D3" s="53">
        <v>58</v>
      </c>
      <c r="E3" s="53">
        <v>84</v>
      </c>
      <c r="G3" s="18" t="s">
        <v>135</v>
      </c>
    </row>
    <row r="4" spans="1:8">
      <c r="A4" s="53">
        <v>2</v>
      </c>
      <c r="B4" s="53">
        <v>76</v>
      </c>
      <c r="C4" s="53">
        <v>58</v>
      </c>
      <c r="D4" s="53">
        <v>49</v>
      </c>
      <c r="E4" s="53">
        <v>60</v>
      </c>
      <c r="G4" s="18" t="s">
        <v>136</v>
      </c>
    </row>
    <row r="5" spans="1:8">
      <c r="A5" s="53">
        <v>3</v>
      </c>
      <c r="B5" s="53">
        <v>55</v>
      </c>
      <c r="C5" s="53">
        <v>58</v>
      </c>
      <c r="D5" s="53">
        <v>83</v>
      </c>
      <c r="E5" s="53">
        <v>69</v>
      </c>
      <c r="G5" s="18" t="s">
        <v>137</v>
      </c>
    </row>
    <row r="6" spans="1:8">
      <c r="A6" s="53">
        <v>4</v>
      </c>
      <c r="B6" s="53">
        <v>79</v>
      </c>
      <c r="C6" s="53">
        <v>63</v>
      </c>
      <c r="D6" s="53">
        <v>55</v>
      </c>
      <c r="E6" s="53">
        <v>60</v>
      </c>
      <c r="G6" s="18" t="s">
        <v>138</v>
      </c>
    </row>
    <row r="7" spans="1:8">
      <c r="A7" s="53">
        <v>5</v>
      </c>
      <c r="B7" s="53">
        <v>84</v>
      </c>
      <c r="C7" s="53">
        <v>37</v>
      </c>
      <c r="D7" s="53">
        <v>85</v>
      </c>
      <c r="E7" s="53">
        <v>89</v>
      </c>
      <c r="G7" s="18" t="s">
        <v>139</v>
      </c>
    </row>
    <row r="8" spans="1:8">
      <c r="A8" s="53">
        <v>6</v>
      </c>
      <c r="B8" s="53">
        <v>60</v>
      </c>
      <c r="C8" s="53">
        <v>45</v>
      </c>
      <c r="D8" s="53">
        <v>90</v>
      </c>
      <c r="E8" s="53">
        <v>68</v>
      </c>
      <c r="G8" s="18" t="s">
        <v>140</v>
      </c>
    </row>
    <row r="9" spans="1:8">
      <c r="A9" s="53">
        <v>7</v>
      </c>
      <c r="B9" s="53">
        <v>73</v>
      </c>
      <c r="C9" s="53">
        <v>60</v>
      </c>
      <c r="D9" s="53">
        <v>42</v>
      </c>
      <c r="E9" s="53">
        <v>36</v>
      </c>
      <c r="G9" s="18" t="s">
        <v>141</v>
      </c>
    </row>
    <row r="10" spans="1:8">
      <c r="A10" s="53">
        <v>8</v>
      </c>
      <c r="B10" s="53">
        <v>81</v>
      </c>
      <c r="C10" s="53">
        <v>56</v>
      </c>
      <c r="D10" s="53">
        <v>85</v>
      </c>
      <c r="E10" s="53">
        <v>57</v>
      </c>
      <c r="G10" s="18" t="s">
        <v>142</v>
      </c>
    </row>
    <row r="11" spans="1:8">
      <c r="A11" s="53">
        <v>9</v>
      </c>
      <c r="B11" s="53">
        <v>65</v>
      </c>
      <c r="C11" s="53">
        <v>80</v>
      </c>
      <c r="D11" s="53">
        <v>80</v>
      </c>
      <c r="E11" s="53">
        <v>46</v>
      </c>
      <c r="G11" s="18" t="s">
        <v>143</v>
      </c>
    </row>
    <row r="12" spans="1:8">
      <c r="A12" s="53">
        <v>10</v>
      </c>
      <c r="B12" s="53">
        <v>54</v>
      </c>
      <c r="C12" s="53">
        <v>42</v>
      </c>
      <c r="D12" s="53">
        <v>89</v>
      </c>
      <c r="E12" s="53">
        <v>51</v>
      </c>
      <c r="G12" s="18" t="s">
        <v>144</v>
      </c>
    </row>
    <row r="13" spans="1:8">
      <c r="A13" s="53">
        <v>11</v>
      </c>
      <c r="B13" s="53">
        <v>67</v>
      </c>
      <c r="C13" s="53">
        <v>42</v>
      </c>
      <c r="D13" s="53">
        <v>40</v>
      </c>
      <c r="E13" s="53">
        <v>65</v>
      </c>
    </row>
    <row r="14" spans="1:8">
      <c r="A14" s="53">
        <v>12</v>
      </c>
      <c r="B14" s="53">
        <v>51</v>
      </c>
      <c r="C14" s="53">
        <v>64</v>
      </c>
      <c r="D14" s="53">
        <v>71</v>
      </c>
      <c r="E14" s="53">
        <v>64</v>
      </c>
    </row>
    <row r="15" spans="1:8">
      <c r="A15" s="53">
        <v>13</v>
      </c>
      <c r="B15" s="53">
        <v>56</v>
      </c>
      <c r="C15" s="53">
        <v>62</v>
      </c>
      <c r="D15" s="53">
        <v>81</v>
      </c>
      <c r="E15" s="53">
        <v>82</v>
      </c>
      <c r="G15" s="18" t="s">
        <v>94</v>
      </c>
      <c r="H15" s="18" t="s">
        <v>145</v>
      </c>
    </row>
    <row r="16" spans="1:8">
      <c r="A16" s="53">
        <v>14</v>
      </c>
      <c r="B16" s="53">
        <v>50</v>
      </c>
      <c r="C16" s="53">
        <v>41</v>
      </c>
      <c r="D16" s="53">
        <v>40</v>
      </c>
      <c r="E16" s="53">
        <v>50</v>
      </c>
      <c r="G16" s="18" t="s">
        <v>97</v>
      </c>
      <c r="H16" s="18" t="s">
        <v>146</v>
      </c>
    </row>
    <row r="17" spans="1:11">
      <c r="A17" s="53">
        <v>15</v>
      </c>
      <c r="B17" s="53">
        <v>58</v>
      </c>
      <c r="C17" s="53">
        <v>43</v>
      </c>
      <c r="D17" s="53">
        <v>80</v>
      </c>
      <c r="E17" s="53">
        <v>77</v>
      </c>
    </row>
    <row r="18" spans="1:11">
      <c r="A18" s="53">
        <v>16</v>
      </c>
      <c r="B18" s="53">
        <v>82</v>
      </c>
      <c r="C18" s="53">
        <v>46</v>
      </c>
      <c r="D18" s="53">
        <v>75</v>
      </c>
      <c r="E18" s="53">
        <v>35</v>
      </c>
      <c r="G18" s="18" t="s">
        <v>95</v>
      </c>
      <c r="H18" s="18" t="s">
        <v>133</v>
      </c>
    </row>
    <row r="19" spans="1:11">
      <c r="A19" s="53">
        <v>17</v>
      </c>
      <c r="B19" s="53">
        <v>61</v>
      </c>
      <c r="C19" s="53">
        <v>48</v>
      </c>
      <c r="D19" s="53">
        <v>41</v>
      </c>
      <c r="E19" s="53">
        <v>55</v>
      </c>
      <c r="G19" s="18" t="s">
        <v>98</v>
      </c>
      <c r="H19" s="18" t="s">
        <v>134</v>
      </c>
    </row>
    <row r="20" spans="1:11">
      <c r="A20" s="53">
        <v>18</v>
      </c>
      <c r="B20" s="53">
        <v>60</v>
      </c>
      <c r="C20" s="53">
        <v>43</v>
      </c>
      <c r="D20" s="53">
        <v>54</v>
      </c>
      <c r="E20" s="53">
        <v>61</v>
      </c>
    </row>
    <row r="21" spans="1:11">
      <c r="A21" s="53">
        <v>19</v>
      </c>
      <c r="B21" s="53">
        <v>45</v>
      </c>
      <c r="C21" s="53">
        <v>56</v>
      </c>
      <c r="D21" s="53">
        <v>48</v>
      </c>
      <c r="E21" s="53">
        <v>50</v>
      </c>
      <c r="G21" s="18" t="s">
        <v>147</v>
      </c>
      <c r="H21" s="56">
        <v>20</v>
      </c>
    </row>
    <row r="22" spans="1:11">
      <c r="A22" s="53">
        <v>20</v>
      </c>
      <c r="B22" s="53">
        <v>80</v>
      </c>
      <c r="C22" s="53">
        <v>38</v>
      </c>
      <c r="D22" s="53">
        <v>69</v>
      </c>
      <c r="E22" s="53">
        <v>43</v>
      </c>
      <c r="G22" s="18" t="s">
        <v>21</v>
      </c>
      <c r="H22" s="56">
        <v>2</v>
      </c>
    </row>
    <row r="23" spans="1:11">
      <c r="A23" s="18" t="s">
        <v>148</v>
      </c>
      <c r="B23" s="57">
        <f>AVERAGE(B3:B22)</f>
        <v>64.55</v>
      </c>
      <c r="C23" s="57">
        <f t="shared" ref="C23:E23" si="0">AVERAGE(C3:C22)</f>
        <v>52.95</v>
      </c>
      <c r="D23" s="57">
        <f t="shared" si="0"/>
        <v>65.75</v>
      </c>
      <c r="E23" s="57">
        <f t="shared" si="0"/>
        <v>60.1</v>
      </c>
    </row>
    <row r="25" spans="1:11">
      <c r="A25" s="18" t="s">
        <v>149</v>
      </c>
      <c r="B25" s="57">
        <v>64.55</v>
      </c>
      <c r="D25" s="18" t="s">
        <v>150</v>
      </c>
      <c r="E25" s="57">
        <v>65.75</v>
      </c>
      <c r="G25" s="18" t="s">
        <v>151</v>
      </c>
    </row>
    <row r="26" spans="1:11">
      <c r="B26" s="57">
        <v>52.95</v>
      </c>
      <c r="E26" s="57">
        <v>60.1</v>
      </c>
      <c r="G26" s="18" t="s">
        <v>152</v>
      </c>
    </row>
    <row r="27" spans="1:11">
      <c r="G27" s="18" t="s">
        <v>153</v>
      </c>
      <c r="K27" s="18" t="s">
        <v>154</v>
      </c>
    </row>
    <row r="28" spans="1:11">
      <c r="A28" s="58" t="s">
        <v>155</v>
      </c>
      <c r="B28" s="58"/>
      <c r="D28" s="58" t="s">
        <v>156</v>
      </c>
      <c r="E28" s="58"/>
      <c r="G28" s="21" t="s">
        <v>157</v>
      </c>
      <c r="H28" s="21"/>
      <c r="K28" s="18" t="s">
        <v>158</v>
      </c>
    </row>
    <row r="29" spans="1:11">
      <c r="A29" s="57">
        <f>_xlfn.VAR.S(B3:B22)</f>
        <v>151.10263157894721</v>
      </c>
      <c r="B29" s="57">
        <f>_xlfn.COVARIANCE.S(B3:B22,C3:C22)</f>
        <v>-26.286842105263158</v>
      </c>
      <c r="D29" s="57">
        <f>_xlfn.VAR.S(D3:D22)</f>
        <v>333.7763157894737</v>
      </c>
      <c r="E29" s="57">
        <f>_xlfn.COVARIANCE.S(E3:E22,D3:D22)</f>
        <v>81.868421052631589</v>
      </c>
    </row>
    <row r="30" spans="1:11">
      <c r="A30" s="57">
        <f>_xlfn.COVARIANCE.S(C3:C22,B3:B22)</f>
        <v>-26.286842105263158</v>
      </c>
      <c r="B30" s="57">
        <f>_xlfn.VAR.S(C3:C22)</f>
        <v>154.15526315789458</v>
      </c>
      <c r="D30" s="57">
        <f>_xlfn.COVARIANCE.S(D3:D22,E3:E22)</f>
        <v>81.868421052631589</v>
      </c>
      <c r="E30" s="57">
        <f>_xlfn.VAR.S(E3:E22)</f>
        <v>230.41052631578964</v>
      </c>
      <c r="G30" s="18" t="s">
        <v>106</v>
      </c>
      <c r="H30" s="18">
        <v>0.05</v>
      </c>
    </row>
    <row r="32" spans="1:11">
      <c r="G32" s="18" t="s">
        <v>159</v>
      </c>
      <c r="H32" s="59" t="s">
        <v>160</v>
      </c>
    </row>
    <row r="33" spans="1:8">
      <c r="A33" s="18" t="s">
        <v>161</v>
      </c>
      <c r="D33" s="18" t="s">
        <v>162</v>
      </c>
      <c r="G33" s="18" t="s">
        <v>23</v>
      </c>
    </row>
    <row r="34" spans="1:8">
      <c r="A34" s="57">
        <f>B25-E25</f>
        <v>-1.2000000000000028</v>
      </c>
      <c r="D34" s="57">
        <f>B23-D23</f>
        <v>-1.2000000000000028</v>
      </c>
      <c r="E34" s="57">
        <f>C23-E23</f>
        <v>-7.1499999999999986</v>
      </c>
      <c r="H34" s="57" cm="1">
        <f t="array" ref="H34">MMULT(MMULT(D34:E34,D39:E40),A34:A35)</f>
        <v>2.6598770383175263</v>
      </c>
    </row>
    <row r="35" spans="1:8">
      <c r="A35" s="57">
        <f>B26-E26</f>
        <v>-7.1499999999999986</v>
      </c>
    </row>
    <row r="36" spans="1:8">
      <c r="G36" s="18" t="s">
        <v>109</v>
      </c>
    </row>
    <row r="37" spans="1:8">
      <c r="G37" s="18" t="s">
        <v>110</v>
      </c>
    </row>
    <row r="38" spans="1:8">
      <c r="G38" s="18" t="s">
        <v>23</v>
      </c>
      <c r="H38" s="57">
        <f>H34</f>
        <v>2.6598770383175263</v>
      </c>
    </row>
    <row r="39" spans="1:8">
      <c r="A39" s="57">
        <f>(A29/20)+(D29/20)</f>
        <v>24.243947368421047</v>
      </c>
      <c r="B39" s="57">
        <f>(B29/20)+(E29/20)</f>
        <v>2.7790789473684212</v>
      </c>
      <c r="D39" s="57">
        <f t="array" ref="D39:E40">MINVERSE(A39:B40)</f>
        <v>4.1942288623775442E-2</v>
      </c>
      <c r="E39" s="57">
        <v>-6.0619501010898214E-3</v>
      </c>
      <c r="G39" s="18" t="s">
        <v>185</v>
      </c>
    </row>
    <row r="40" spans="1:8">
      <c r="A40" s="57">
        <f>(A30/20)+(D30/20)</f>
        <v>2.7790789473684212</v>
      </c>
      <c r="B40" s="57">
        <f>(B30/20)+(E30/20)</f>
        <v>19.22828947368421</v>
      </c>
      <c r="D40" s="57">
        <v>-6.0619501010898214E-3</v>
      </c>
      <c r="E40" s="57">
        <v>5.2882844274712543E-2</v>
      </c>
      <c r="H40" s="57">
        <f>_xlfn.CHISQ.INV.RT(0.05,2)</f>
        <v>5.9914645471079817</v>
      </c>
    </row>
    <row r="42" spans="1:8">
      <c r="G42" s="18" t="s">
        <v>165</v>
      </c>
    </row>
    <row r="43" spans="1:8">
      <c r="G43" s="18" t="s">
        <v>166</v>
      </c>
      <c r="H43" s="57"/>
    </row>
    <row r="44" spans="1:8">
      <c r="G44" s="18" t="s">
        <v>119</v>
      </c>
    </row>
    <row r="45" spans="1:8">
      <c r="G45" s="18" t="s">
        <v>186</v>
      </c>
    </row>
    <row r="46" spans="1:8">
      <c r="G46" s="18" t="s">
        <v>187</v>
      </c>
    </row>
    <row r="47" spans="1:8">
      <c r="G47" s="18" t="s">
        <v>121</v>
      </c>
    </row>
    <row r="49" spans="1:4">
      <c r="A49" s="21" t="s">
        <v>125</v>
      </c>
    </row>
    <row r="55" spans="1:4">
      <c r="A55" s="18" t="s">
        <v>170</v>
      </c>
      <c r="D55" s="19" t="s">
        <v>171</v>
      </c>
    </row>
    <row r="56" spans="1:4">
      <c r="A56" s="19" t="s">
        <v>126</v>
      </c>
      <c r="B56" s="18">
        <f>A34-SQRT(H40*A39)</f>
        <v>-13.252250874415394</v>
      </c>
      <c r="D56" s="18" t="s">
        <v>188</v>
      </c>
    </row>
    <row r="57" spans="1:4">
      <c r="A57" s="19" t="s">
        <v>127</v>
      </c>
      <c r="B57" s="18">
        <f>A34+SQRT(H40*A39)</f>
        <v>10.852250874415388</v>
      </c>
      <c r="D57" s="18" t="s">
        <v>189</v>
      </c>
    </row>
    <row r="58" spans="1:4">
      <c r="D58" s="18" t="s">
        <v>174</v>
      </c>
    </row>
    <row r="61" spans="1:4">
      <c r="A61" s="18" t="s">
        <v>175</v>
      </c>
      <c r="D61" s="19" t="s">
        <v>171</v>
      </c>
    </row>
    <row r="62" spans="1:4">
      <c r="A62" s="19" t="s">
        <v>126</v>
      </c>
      <c r="B62" s="18">
        <f>A35-SQRT(H40*B40)</f>
        <v>-17.883387847418376</v>
      </c>
      <c r="D62" s="18" t="s">
        <v>190</v>
      </c>
    </row>
    <row r="63" spans="1:4">
      <c r="A63" s="19" t="s">
        <v>127</v>
      </c>
      <c r="B63" s="18">
        <f>A35+SQRT(H40*B40)</f>
        <v>3.5833878474183809</v>
      </c>
      <c r="D63" s="18" t="s">
        <v>191</v>
      </c>
    </row>
    <row r="64" spans="1:4">
      <c r="D64" s="18" t="s">
        <v>179</v>
      </c>
    </row>
  </sheetData>
  <mergeCells count="5">
    <mergeCell ref="A1:A2"/>
    <mergeCell ref="B1:C1"/>
    <mergeCell ref="D1:E1"/>
    <mergeCell ref="A28:B28"/>
    <mergeCell ref="D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2. uji normal ganda</vt:lpstr>
      <vt:lpstr>3. thot selang kepercayaan</vt:lpstr>
      <vt:lpstr>3. Ellipse</vt:lpstr>
      <vt:lpstr>4. uji berpasangan</vt:lpstr>
      <vt:lpstr>4. Ragam Homogen</vt:lpstr>
      <vt:lpstr>4. Ragam Heterogen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Bang Much17</cp:lastModifiedBy>
  <dcterms:created xsi:type="dcterms:W3CDTF">2022-02-08T04:03:26Z</dcterms:created>
  <dcterms:modified xsi:type="dcterms:W3CDTF">2023-10-08T17:37:24Z</dcterms:modified>
</cp:coreProperties>
</file>