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3\"/>
    </mc:Choice>
  </mc:AlternateContent>
  <xr:revisionPtr revIDLastSave="0" documentId="13_ncr:1_{3454AB33-DAA5-4A59-A13A-05AECB3EC2E8}" xr6:coauthVersionLast="47" xr6:coauthVersionMax="47" xr10:uidLastSave="{00000000-0000-0000-0000-000000000000}"/>
  <bookViews>
    <workbookView xWindow="-110" yWindow="-110" windowWidth="19420" windowHeight="10300" activeTab="1" xr2:uid="{A165BA2E-507C-4AF7-BCC0-C59FD6536894}"/>
  </bookViews>
  <sheets>
    <sheet name="Title" sheetId="3" r:id="rId1"/>
    <sheet name="Ellipse" sheetId="1" r:id="rId2"/>
  </sheets>
  <externalReferences>
    <externalReference r:id="rId3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H7" i="1"/>
  <c r="H8" i="1" s="1"/>
  <c r="K4" i="1" s="1"/>
  <c r="D8" i="1"/>
  <c r="M12" i="1" s="1"/>
  <c r="E5" i="1"/>
  <c r="D5" i="1"/>
  <c r="E4" i="1" s="1"/>
  <c r="K6" i="1" s="1"/>
  <c r="K8" i="1" s="1"/>
  <c r="D4" i="1"/>
  <c r="H11" i="1" s="1"/>
  <c r="E8" i="1"/>
  <c r="N13" i="1" s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N4" i="1" l="1"/>
  <c r="N7" i="1"/>
  <c r="K5" i="1"/>
  <c r="N10" i="1"/>
  <c r="N11" i="1"/>
  <c r="N5" i="1"/>
  <c r="H12" i="1"/>
  <c r="H13" i="1" s="1"/>
  <c r="N9" i="1"/>
  <c r="N8" i="1"/>
  <c r="N12" i="1"/>
  <c r="M6" i="1"/>
  <c r="M5" i="1"/>
  <c r="N6" i="1"/>
  <c r="M8" i="1"/>
  <c r="M9" i="1"/>
  <c r="M11" i="1"/>
  <c r="M13" i="1"/>
  <c r="M7" i="1"/>
  <c r="M10" i="1"/>
  <c r="D11" i="1" l="1" a="1"/>
  <c r="D12" i="1" l="1"/>
  <c r="E11" i="1"/>
  <c r="D11" i="1"/>
  <c r="E12" i="1"/>
  <c r="J12" i="1"/>
  <c r="J11" i="1"/>
  <c r="H14" i="1"/>
  <c r="K12" i="1" l="1"/>
  <c r="S17" i="1" s="1"/>
  <c r="O13" i="1"/>
  <c r="O11" i="1"/>
  <c r="O4" i="1"/>
  <c r="O9" i="1"/>
  <c r="O8" i="1"/>
  <c r="O5" i="1"/>
  <c r="O6" i="1"/>
  <c r="O12" i="1"/>
  <c r="O10" i="1"/>
  <c r="O7" i="1"/>
  <c r="K11" i="1"/>
  <c r="R20" i="1" s="1"/>
  <c r="R11" i="1" l="1"/>
  <c r="S4" i="1"/>
  <c r="R4" i="1"/>
  <c r="R6" i="1"/>
  <c r="R9" i="1"/>
  <c r="S20" i="1"/>
  <c r="S7" i="1"/>
  <c r="S12" i="1"/>
  <c r="S5" i="1"/>
  <c r="S9" i="1"/>
  <c r="S19" i="1"/>
  <c r="S11" i="1"/>
  <c r="R10" i="1"/>
  <c r="S10" i="1"/>
  <c r="S8" i="1"/>
  <c r="R12" i="1"/>
  <c r="R19" i="1"/>
  <c r="S15" i="1"/>
  <c r="S21" i="1"/>
  <c r="R23" i="1"/>
  <c r="R16" i="1"/>
  <c r="R14" i="1"/>
  <c r="R15" i="1"/>
  <c r="S23" i="1"/>
  <c r="S6" i="1"/>
  <c r="S14" i="1"/>
  <c r="R13" i="1"/>
  <c r="R24" i="1"/>
  <c r="R22" i="1"/>
  <c r="S13" i="1"/>
  <c r="S16" i="1"/>
  <c r="S22" i="1"/>
  <c r="R18" i="1"/>
  <c r="R5" i="1"/>
  <c r="R17" i="1"/>
  <c r="R21" i="1"/>
  <c r="S18" i="1"/>
  <c r="S24" i="1"/>
  <c r="R7" i="1"/>
  <c r="R8" i="1"/>
</calcChain>
</file>

<file path=xl/sharedStrings.xml><?xml version="1.0" encoding="utf-8"?>
<sst xmlns="http://schemas.openxmlformats.org/spreadsheetml/2006/main" count="31" uniqueCount="28">
  <si>
    <t>Confidence Ellipse</t>
  </si>
  <si>
    <t>X</t>
  </si>
  <si>
    <t>Y</t>
  </si>
  <si>
    <t>cov</t>
  </si>
  <si>
    <t>eval</t>
  </si>
  <si>
    <t>X-Xbar</t>
  </si>
  <si>
    <t>Y-Ybar</t>
  </si>
  <si>
    <t>a</t>
  </si>
  <si>
    <t>b</t>
  </si>
  <si>
    <t>θ (rad)</t>
  </si>
  <si>
    <t>mean</t>
  </si>
  <si>
    <t>n</t>
  </si>
  <si>
    <t>θ (deg)</t>
  </si>
  <si>
    <t>% inside</t>
  </si>
  <si>
    <t>inv cov</t>
  </si>
  <si>
    <t>Q</t>
  </si>
  <si>
    <t>trace</t>
  </si>
  <si>
    <t>det</t>
  </si>
  <si>
    <t>eig1</t>
  </si>
  <si>
    <t>eig2</t>
  </si>
  <si>
    <t>Real Statistics Using Excel</t>
  </si>
  <si>
    <t>Updated</t>
  </si>
  <si>
    <t>Copyright © 2013 - 2022 Charles Zaiontz</t>
  </si>
  <si>
    <t xml:space="preserve">Source: </t>
  </si>
  <si>
    <t>https://www.youtube.com/watch?v=MZ8JRGy-t1I</t>
  </si>
  <si>
    <t>https://real-statistics.com/multivariate-statistics/multivariate-normal-distribution/confidence-ellipse/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</si>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</sst>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 applyAlignment="1">
      <alignment horizontal="right"/>
    </xf>
    <xf numFmtId="2" fontId="3" fillId="0" borderId="0" xfId="0" applyNumberFormat="1" applyFont="1" applyAlignment="1" applyProtection="1">
      <alignment horizontal="right"/>
      <protection locked="0"/>
    </xf>
    <xf numFmtId="0" fontId="0" fillId="0" borderId="10" xfId="0" applyBorder="1"/>
    <xf numFmtId="0" fontId="0" fillId="0" borderId="11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2" xfId="0" applyBorder="1"/>
    <xf numFmtId="164" fontId="0" fillId="0" borderId="11" xfId="1" applyNumberFormat="1" applyFont="1" applyBorder="1"/>
    <xf numFmtId="2" fontId="4" fillId="0" borderId="0" xfId="0" applyNumberFormat="1" applyFont="1" applyProtection="1">
      <protection locked="0"/>
    </xf>
    <xf numFmtId="2" fontId="3" fillId="0" borderId="2" xfId="0" applyNumberFormat="1" applyFont="1" applyBorder="1" applyAlignment="1" applyProtection="1">
      <alignment horizontal="right"/>
      <protection locked="0"/>
    </xf>
    <xf numFmtId="0" fontId="0" fillId="0" borderId="2" xfId="0" applyBorder="1"/>
    <xf numFmtId="15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2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Ellipse!$B$3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Ellipse!$A$4:$A$13</c:f>
              <c:numCache>
                <c:formatCode>General</c:formatCode>
                <c:ptCount val="10"/>
                <c:pt idx="0">
                  <c:v>72.8</c:v>
                </c:pt>
                <c:pt idx="1">
                  <c:v>46</c:v>
                </c:pt>
                <c:pt idx="2">
                  <c:v>59.2</c:v>
                </c:pt>
                <c:pt idx="3">
                  <c:v>66.7</c:v>
                </c:pt>
                <c:pt idx="4">
                  <c:v>84.2</c:v>
                </c:pt>
                <c:pt idx="5">
                  <c:v>50.4</c:v>
                </c:pt>
                <c:pt idx="6">
                  <c:v>49.6</c:v>
                </c:pt>
                <c:pt idx="7">
                  <c:v>77.900000000000006</c:v>
                </c:pt>
                <c:pt idx="8">
                  <c:v>63.9</c:v>
                </c:pt>
                <c:pt idx="9">
                  <c:v>55.1</c:v>
                </c:pt>
              </c:numCache>
            </c:numRef>
          </c:xVal>
          <c:yVal>
            <c:numRef>
              <c:f>Ellipse!$B$4:$B$13</c:f>
              <c:numCache>
                <c:formatCode>General</c:formatCode>
                <c:ptCount val="10"/>
                <c:pt idx="0">
                  <c:v>69.900000000000006</c:v>
                </c:pt>
                <c:pt idx="1">
                  <c:v>68.900000000000006</c:v>
                </c:pt>
                <c:pt idx="2">
                  <c:v>58.4</c:v>
                </c:pt>
                <c:pt idx="3">
                  <c:v>78.2</c:v>
                </c:pt>
                <c:pt idx="4">
                  <c:v>63.9</c:v>
                </c:pt>
                <c:pt idx="5">
                  <c:v>54.6</c:v>
                </c:pt>
                <c:pt idx="6">
                  <c:v>66.5</c:v>
                </c:pt>
                <c:pt idx="7">
                  <c:v>71.599999999999994</c:v>
                </c:pt>
                <c:pt idx="8">
                  <c:v>77.2</c:v>
                </c:pt>
                <c:pt idx="9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B-5548-88A7-9BD25648C28E}"/>
            </c:ext>
          </c:extLst>
        </c:ser>
        <c:ser>
          <c:idx val="1"/>
          <c:order val="1"/>
          <c:tx>
            <c:v>Centroid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Ellipse!$D$8</c:f>
              <c:numCache>
                <c:formatCode>0.00</c:formatCode>
                <c:ptCount val="1"/>
                <c:pt idx="0">
                  <c:v>62.58</c:v>
                </c:pt>
              </c:numCache>
            </c:numRef>
          </c:xVal>
          <c:yVal>
            <c:numRef>
              <c:f>Ellipse!$E$8</c:f>
              <c:numCache>
                <c:formatCode>0.00</c:formatCode>
                <c:ptCount val="1"/>
                <c:pt idx="0">
                  <c:v>66.599999999999994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8B-5548-88A7-9BD25648C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3184"/>
        <c:axId val="1857344832"/>
      </c:scatterChart>
      <c:scatterChart>
        <c:scatterStyle val="smoothMarker"/>
        <c:varyColors val="0"/>
        <c:ser>
          <c:idx val="2"/>
          <c:order val="2"/>
          <c:tx>
            <c:v>Ellips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Ellipse!$R$4:$R$24</c:f>
              <c:numCache>
                <c:formatCode>General</c:formatCode>
                <c:ptCount val="21"/>
                <c:pt idx="0">
                  <c:v>74.136539744787356</c:v>
                </c:pt>
                <c:pt idx="1">
                  <c:v>72.916582465531206</c:v>
                </c:pt>
                <c:pt idx="2">
                  <c:v>70.684808475343999</c:v>
                </c:pt>
                <c:pt idx="3">
                  <c:v>67.659679362068999</c:v>
                </c:pt>
                <c:pt idx="4">
                  <c:v>64.137315840627465</c:v>
                </c:pt>
                <c:pt idx="5">
                  <c:v>60.462511394247819</c:v>
                </c:pt>
                <c:pt idx="6">
                  <c:v>56.994981486009834</c:v>
                </c:pt>
                <c:pt idx="7">
                  <c:v>54.074152103033342</c:v>
                </c:pt>
                <c:pt idx="8">
                  <c:v>51.985934375939031</c:v>
                </c:pt>
                <c:pt idx="9">
                  <c:v>50.934737605323321</c:v>
                </c:pt>
                <c:pt idx="10">
                  <c:v>51.02346025521264</c:v>
                </c:pt>
                <c:pt idx="11">
                  <c:v>52.24341753446879</c:v>
                </c:pt>
                <c:pt idx="12">
                  <c:v>54.47519152465599</c:v>
                </c:pt>
                <c:pt idx="13">
                  <c:v>57.500320637930997</c:v>
                </c:pt>
                <c:pt idx="14">
                  <c:v>61.022684159372538</c:v>
                </c:pt>
                <c:pt idx="15">
                  <c:v>64.69748860575217</c:v>
                </c:pt>
                <c:pt idx="16">
                  <c:v>68.165018513990162</c:v>
                </c:pt>
                <c:pt idx="17">
                  <c:v>71.085847896966655</c:v>
                </c:pt>
                <c:pt idx="18">
                  <c:v>73.174065624060972</c:v>
                </c:pt>
                <c:pt idx="19">
                  <c:v>74.225262394676676</c:v>
                </c:pt>
                <c:pt idx="20">
                  <c:v>74.136539744787356</c:v>
                </c:pt>
              </c:numCache>
            </c:numRef>
          </c:xVal>
          <c:yVal>
            <c:numRef>
              <c:f>Ellipse!$S$4:$S$24</c:f>
              <c:numCache>
                <c:formatCode>General</c:formatCode>
                <c:ptCount val="21"/>
                <c:pt idx="0">
                  <c:v>70.390607797059019</c:v>
                </c:pt>
                <c:pt idx="1">
                  <c:v>72.199988132459652</c:v>
                </c:pt>
                <c:pt idx="2">
                  <c:v>73.461202612043522</c:v>
                </c:pt>
                <c:pt idx="3">
                  <c:v>74.050794775151005</c:v>
                </c:pt>
                <c:pt idx="4">
                  <c:v>73.911051232926965</c:v>
                </c:pt>
                <c:pt idx="5">
                  <c:v>73.055651056934806</c:v>
                </c:pt>
                <c:pt idx="6">
                  <c:v>71.568326776324113</c:v>
                </c:pt>
                <c:pt idx="7">
                  <c:v>69.594668054478689</c:v>
                </c:pt>
                <c:pt idx="8">
                  <c:v>67.327870358381659</c:v>
                </c:pt>
                <c:pt idx="9">
                  <c:v>64.989823640235244</c:v>
                </c:pt>
                <c:pt idx="10">
                  <c:v>62.80939220294097</c:v>
                </c:pt>
                <c:pt idx="11">
                  <c:v>61.000011867540344</c:v>
                </c:pt>
                <c:pt idx="12">
                  <c:v>59.738797387956467</c:v>
                </c:pt>
                <c:pt idx="13">
                  <c:v>59.149205224848984</c:v>
                </c:pt>
                <c:pt idx="14">
                  <c:v>59.28894876707303</c:v>
                </c:pt>
                <c:pt idx="15">
                  <c:v>60.144348943065182</c:v>
                </c:pt>
                <c:pt idx="16">
                  <c:v>61.631673223675868</c:v>
                </c:pt>
                <c:pt idx="17">
                  <c:v>63.6053319455213</c:v>
                </c:pt>
                <c:pt idx="18">
                  <c:v>65.872129641618329</c:v>
                </c:pt>
                <c:pt idx="19">
                  <c:v>68.210176359764745</c:v>
                </c:pt>
                <c:pt idx="20">
                  <c:v>70.390607797059019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8B-5548-88A7-9BD25648C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3184"/>
        <c:axId val="1857344832"/>
      </c:scatterChart>
      <c:valAx>
        <c:axId val="18573431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44832"/>
        <c:crosses val="autoZero"/>
        <c:crossBetween val="midCat"/>
      </c:valAx>
      <c:valAx>
        <c:axId val="1857344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4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14</xdr:row>
      <xdr:rowOff>158750</xdr:rowOff>
    </xdr:from>
    <xdr:to>
      <xdr:col>10</xdr:col>
      <xdr:colOff>438150</xdr:colOff>
      <xdr:row>29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B3752-B3F1-ABA1-1576-EF3D6C834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al-statistics.com/multivariate-statistics/multivariate-normal-distribution/confidence-ellipse/" TargetMode="External"/><Relationship Id="rId1" Type="http://schemas.openxmlformats.org/officeDocument/2006/relationships/hyperlink" Target="https://www.youtube.com/watch?v=MZ8JRGy-t1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3070-1270-4F31-B0E7-7AF1121E7C93}">
  <sheetPr codeName="Sheet1"/>
  <dimension ref="A1:F10"/>
  <sheetViews>
    <sheetView workbookViewId="0">
      <selection activeCell="C12" sqref="C12"/>
    </sheetView>
  </sheetViews>
  <sheetFormatPr defaultColWidth="8.81640625" defaultRowHeight="14.5" x14ac:dyDescent="0.35"/>
  <cols>
    <col min="2" max="2" width="9.36328125" bestFit="1" customWidth="1"/>
  </cols>
  <sheetData>
    <row r="1" spans="1:6" x14ac:dyDescent="0.35">
      <c r="A1" t="s">
        <v>20</v>
      </c>
    </row>
    <row r="2" spans="1:6" x14ac:dyDescent="0.35">
      <c r="A2" t="s">
        <v>0</v>
      </c>
    </row>
    <row r="4" spans="1:6" x14ac:dyDescent="0.35">
      <c r="A4" t="s">
        <v>21</v>
      </c>
      <c r="B4" s="24">
        <v>44826</v>
      </c>
    </row>
    <row r="6" spans="1:6" x14ac:dyDescent="0.35">
      <c r="A6" s="25" t="s">
        <v>22</v>
      </c>
    </row>
    <row r="9" spans="1:6" x14ac:dyDescent="0.35">
      <c r="A9" s="28" t="s">
        <v>23</v>
      </c>
      <c r="B9" s="29" t="s">
        <v>24</v>
      </c>
      <c r="C9" s="27"/>
      <c r="D9" s="27"/>
      <c r="E9" s="27"/>
      <c r="F9" s="27"/>
    </row>
    <row r="10" spans="1:6" x14ac:dyDescent="0.35">
      <c r="B10" s="29" t="s">
        <v>25</v>
      </c>
    </row>
  </sheetData>
  <hyperlinks>
    <hyperlink ref="B9" r:id="rId1" xr:uid="{FC89060B-E6CB-4E36-8CBD-85ED90E4052F}"/>
    <hyperlink ref="B10" r:id="rId2" xr:uid="{833431DE-75FC-4F15-99EE-2F129BCBB8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DB06-DE99-4D38-A7E9-E06AC7A2F45F}">
  <sheetPr codeName="Sheet73"/>
  <dimension ref="A1:S24"/>
  <sheetViews>
    <sheetView tabSelected="1" topLeftCell="B13" workbookViewId="0">
      <selection activeCell="O17" sqref="O17"/>
    </sheetView>
  </sheetViews>
  <sheetFormatPr defaultColWidth="8.81640625" defaultRowHeight="14.5" x14ac:dyDescent="0.35"/>
  <cols>
    <col min="3" max="3" width="3.453125" customWidth="1"/>
    <col min="6" max="6" width="3.453125" customWidth="1"/>
    <col min="9" max="9" width="2.36328125" customWidth="1"/>
    <col min="12" max="12" width="3.453125" customWidth="1"/>
    <col min="13" max="13" width="9.1796875" customWidth="1"/>
  </cols>
  <sheetData>
    <row r="1" spans="1:19" x14ac:dyDescent="0.35">
      <c r="A1" s="1" t="s">
        <v>0</v>
      </c>
    </row>
    <row r="3" spans="1:19" x14ac:dyDescent="0.35">
      <c r="A3" s="2" t="s">
        <v>1</v>
      </c>
      <c r="B3" s="2" t="s">
        <v>2</v>
      </c>
      <c r="D3" t="s">
        <v>3</v>
      </c>
      <c r="G3" t="s">
        <v>4</v>
      </c>
      <c r="M3" s="3" t="s">
        <v>5</v>
      </c>
      <c r="N3" s="3" t="s">
        <v>6</v>
      </c>
      <c r="O3" s="3"/>
      <c r="Q3" s="4"/>
      <c r="R3" s="5" t="s">
        <v>1</v>
      </c>
      <c r="S3" s="5" t="s">
        <v>2</v>
      </c>
    </row>
    <row r="4" spans="1:19" x14ac:dyDescent="0.35">
      <c r="A4" s="26">
        <v>72.8</v>
      </c>
      <c r="B4" s="26">
        <v>69.900000000000006</v>
      </c>
      <c r="D4" s="6">
        <f>_xlfn.VAR.S(A4:A13)</f>
        <v>164.93288888888895</v>
      </c>
      <c r="E4" s="7">
        <f>D5</f>
        <v>36.008888888888883</v>
      </c>
      <c r="G4" s="10">
        <v>176.744</v>
      </c>
      <c r="H4" s="11">
        <v>55.152999999999999</v>
      </c>
      <c r="J4" t="s">
        <v>7</v>
      </c>
      <c r="K4" s="12">
        <f>SQRT(G4)*SQRT(H8)</f>
        <v>12.162331945148283</v>
      </c>
      <c r="M4" s="13">
        <f>A4-D$8</f>
        <v>10.219999999999999</v>
      </c>
      <c r="N4" s="13">
        <f>B4-E$8</f>
        <v>3.3000000000000114</v>
      </c>
      <c r="O4" s="14" t="str">
        <f>IF((D$11*M4 + E$11*N4)*M4 + (D$12*M4 + E$12*N4)*N4&gt;=H$8,"outside","inside")</f>
        <v>inside</v>
      </c>
      <c r="Q4">
        <v>0</v>
      </c>
      <c r="R4">
        <f>(J$11*K$4*COS(Q4)+K$11*K$5*SIN(Q4))+D$8</f>
        <v>74.136539744787356</v>
      </c>
      <c r="S4">
        <f>(J$12*K$4*COS(Q4)+K$12*K$5*SIN(Q4))+E$8</f>
        <v>70.390607797059019</v>
      </c>
    </row>
    <row r="5" spans="1:19" x14ac:dyDescent="0.35">
      <c r="A5" s="26">
        <v>46</v>
      </c>
      <c r="B5" s="26">
        <v>68.900000000000006</v>
      </c>
      <c r="D5" s="8">
        <f>_xlfn.COVARIANCE.S(A4:A13,B4:B13)</f>
        <v>36.008888888888883</v>
      </c>
      <c r="E5" s="9">
        <f>_xlfn.VAR.S(B4:B13)</f>
        <v>66.964444444443672</v>
      </c>
      <c r="J5" t="s">
        <v>8</v>
      </c>
      <c r="K5" s="15">
        <f>SQRT(H4)*SQRT(H8)</f>
        <v>6.7940553842601119</v>
      </c>
      <c r="M5" s="13">
        <f t="shared" ref="M5:N13" si="0">A5-D$8</f>
        <v>-16.579999999999998</v>
      </c>
      <c r="N5" s="13">
        <f t="shared" si="0"/>
        <v>2.3000000000000114</v>
      </c>
      <c r="O5" s="14" t="str">
        <f>IF((D$11*M5 + E$11*N5)*M5 + (D$12*M5 + E$12*N5)*N5&gt;=H$8,"outside","inside")</f>
        <v>outside</v>
      </c>
      <c r="Q5">
        <f>PI()/10</f>
        <v>0.31415926535897931</v>
      </c>
      <c r="R5">
        <f t="shared" ref="R5:R24" si="1">(J$11*K$4*COS(Q5)+K$11*K$5*SIN(Q5))+D$8</f>
        <v>72.916582465531206</v>
      </c>
      <c r="S5">
        <f t="shared" ref="S5:S24" si="2">(J$12*K$4*COS(Q5)+K$12*K$5*SIN(Q5))+E$8</f>
        <v>72.199988132459652</v>
      </c>
    </row>
    <row r="6" spans="1:19" x14ac:dyDescent="0.35">
      <c r="A6" s="26">
        <v>59.2</v>
      </c>
      <c r="B6" s="26">
        <v>58.4</v>
      </c>
      <c r="G6" t="s">
        <v>27</v>
      </c>
      <c r="H6" s="12">
        <v>2</v>
      </c>
      <c r="J6" t="s">
        <v>9</v>
      </c>
      <c r="K6" s="16">
        <f>ATAN2(E4,G4-D4)</f>
        <v>0.31694780236898468</v>
      </c>
      <c r="M6" s="13">
        <f t="shared" si="0"/>
        <v>-3.3799999999999955</v>
      </c>
      <c r="N6" s="13">
        <f t="shared" si="0"/>
        <v>-8.1999999999999957</v>
      </c>
      <c r="O6" s="14" t="str">
        <f>IF((D$11*M6 + E$11*N6)*M6 + (D$12*M6 + E$12*N6)*N6&gt;=H$8,"outside","inside")</f>
        <v>outside</v>
      </c>
      <c r="Q6">
        <f t="shared" ref="Q6:Q24" si="3">Q5+Q$5</f>
        <v>0.62831853071795862</v>
      </c>
      <c r="R6">
        <f>(J$11*K$4*COS(Q6)+K$11*K$5*SIN(Q6))+D$8</f>
        <v>70.684808475343999</v>
      </c>
      <c r="S6">
        <f t="shared" si="2"/>
        <v>73.461202612043522</v>
      </c>
    </row>
    <row r="7" spans="1:19" x14ac:dyDescent="0.35">
      <c r="A7" s="26">
        <v>66.7</v>
      </c>
      <c r="B7" s="26">
        <v>78.2</v>
      </c>
      <c r="D7" t="s">
        <v>10</v>
      </c>
      <c r="G7" t="s">
        <v>11</v>
      </c>
      <c r="H7" s="12">
        <f>COUNT(A4:A13)</f>
        <v>10</v>
      </c>
      <c r="M7" s="13">
        <f t="shared" si="0"/>
        <v>4.1200000000000045</v>
      </c>
      <c r="N7" s="13">
        <f t="shared" si="0"/>
        <v>11.600000000000009</v>
      </c>
      <c r="O7" s="14" t="str">
        <f>IF((D$11*M7 + E$11*N7)*M7 + (D$12*M7 + E$12*N7)*N7&gt;=H$8,"outside","inside")</f>
        <v>outside</v>
      </c>
      <c r="Q7">
        <f t="shared" si="3"/>
        <v>0.94247779607693793</v>
      </c>
      <c r="R7">
        <f t="shared" si="1"/>
        <v>67.659679362068999</v>
      </c>
      <c r="S7">
        <f t="shared" si="2"/>
        <v>74.050794775151005</v>
      </c>
    </row>
    <row r="8" spans="1:19" x14ac:dyDescent="0.35">
      <c r="A8" s="26">
        <v>84.2</v>
      </c>
      <c r="B8" s="26">
        <v>63.9</v>
      </c>
      <c r="D8" s="17">
        <f>AVERAGE(A4:A13)</f>
        <v>62.58</v>
      </c>
      <c r="E8" s="18">
        <f>AVERAGE(B4:B13)</f>
        <v>66.599999999999994</v>
      </c>
      <c r="G8" t="s">
        <v>26</v>
      </c>
      <c r="H8" s="15">
        <f>SQRT(_xlfn.F.INV(H9,H6,H7-H6)*(H7-1)*H6/(H7*(H7-H6)))</f>
        <v>0.83692978739857882</v>
      </c>
      <c r="J8" t="s">
        <v>12</v>
      </c>
      <c r="K8" s="19">
        <f>K6*180/PI()</f>
        <v>18.159771401689337</v>
      </c>
      <c r="M8" s="13">
        <f t="shared" si="0"/>
        <v>21.620000000000005</v>
      </c>
      <c r="N8" s="13">
        <f t="shared" si="0"/>
        <v>-2.6999999999999957</v>
      </c>
      <c r="O8" s="14" t="str">
        <f>IF((D$11*M8 + E$11*N8)*M8 + (D$12*M8 + E$12*N8)*N8&gt;=H$8,"outside","inside")</f>
        <v>outside</v>
      </c>
      <c r="Q8">
        <f>Q7+Q$5</f>
        <v>1.2566370614359172</v>
      </c>
      <c r="R8">
        <f t="shared" si="1"/>
        <v>64.137315840627465</v>
      </c>
      <c r="S8">
        <f t="shared" si="2"/>
        <v>73.911051232926965</v>
      </c>
    </row>
    <row r="9" spans="1:19" x14ac:dyDescent="0.35">
      <c r="A9" s="26">
        <v>50.4</v>
      </c>
      <c r="B9" s="26">
        <v>54.6</v>
      </c>
      <c r="G9" t="s">
        <v>13</v>
      </c>
      <c r="H9" s="20">
        <v>0.9</v>
      </c>
      <c r="M9" s="13">
        <f t="shared" si="0"/>
        <v>-12.18</v>
      </c>
      <c r="N9" s="13">
        <f t="shared" si="0"/>
        <v>-11.999999999999993</v>
      </c>
      <c r="O9" s="14" t="str">
        <f>IF((D$11*M9 + E$11*N9)*M9 + (D$12*M9 + E$12*N9)*N9&gt;=H$8,"outside","inside")</f>
        <v>outside</v>
      </c>
      <c r="Q9">
        <f t="shared" si="3"/>
        <v>1.5707963267948966</v>
      </c>
      <c r="R9">
        <f>(J$11*K$4*COS(Q9)+K$11*K$5*SIN(Q9))+D$8</f>
        <v>60.462511394247819</v>
      </c>
      <c r="S9">
        <f t="shared" si="2"/>
        <v>73.055651056934806</v>
      </c>
    </row>
    <row r="10" spans="1:19" x14ac:dyDescent="0.35">
      <c r="A10" s="26">
        <v>49.6</v>
      </c>
      <c r="B10" s="26">
        <v>66.5</v>
      </c>
      <c r="D10" t="s">
        <v>14</v>
      </c>
      <c r="J10" t="s">
        <v>15</v>
      </c>
      <c r="M10" s="13">
        <f t="shared" si="0"/>
        <v>-12.979999999999997</v>
      </c>
      <c r="N10" s="13">
        <f t="shared" si="0"/>
        <v>-9.9999999999994316E-2</v>
      </c>
      <c r="O10" s="14" t="str">
        <f>IF((D$11*M10 + E$11*N10)*M10 + (D$12*M10 + E$12*N10)*N10&gt;=H$8,"outside","inside")</f>
        <v>outside</v>
      </c>
      <c r="Q10">
        <f t="shared" si="3"/>
        <v>1.8849555921538759</v>
      </c>
      <c r="R10">
        <f t="shared" si="1"/>
        <v>56.994981486009834</v>
      </c>
      <c r="S10">
        <f t="shared" si="2"/>
        <v>71.568326776324113</v>
      </c>
    </row>
    <row r="11" spans="1:19" x14ac:dyDescent="0.35">
      <c r="A11" s="26">
        <v>77.900000000000006</v>
      </c>
      <c r="B11" s="26">
        <v>71.599999999999994</v>
      </c>
      <c r="D11" s="6">
        <f t="array" ref="D11:E12">MINVERSE(D4:E5)</f>
        <v>6.8695578546604215E-3</v>
      </c>
      <c r="E11" s="7">
        <v>-3.6939774167690561E-3</v>
      </c>
      <c r="G11" t="s">
        <v>16</v>
      </c>
      <c r="H11" s="12">
        <f>D4+E5</f>
        <v>231.89733333333263</v>
      </c>
      <c r="J11" s="6">
        <f>COS(K6)</f>
        <v>0.95019111441021076</v>
      </c>
      <c r="K11" s="7">
        <f>-J12</f>
        <v>-0.31166784578438927</v>
      </c>
      <c r="M11" s="13">
        <f t="shared" si="0"/>
        <v>15.320000000000007</v>
      </c>
      <c r="N11" s="13">
        <f t="shared" si="0"/>
        <v>5</v>
      </c>
      <c r="O11" s="14" t="str">
        <f>IF((D$11*M11 + E$11*N11)*M11 + (D$12*M11 + E$12*N11)*N11&gt;=H$8,"outside","inside")</f>
        <v>outside</v>
      </c>
      <c r="Q11">
        <f t="shared" si="3"/>
        <v>2.1991148575128552</v>
      </c>
      <c r="R11">
        <f>(J$11*K$4*COS(Q11)+K$11*K$5*SIN(Q11))+D$8</f>
        <v>54.074152103033342</v>
      </c>
      <c r="S11">
        <f t="shared" si="2"/>
        <v>69.594668054478689</v>
      </c>
    </row>
    <row r="12" spans="1:19" x14ac:dyDescent="0.35">
      <c r="A12" s="26">
        <v>63.9</v>
      </c>
      <c r="B12" s="26">
        <v>77.2</v>
      </c>
      <c r="D12" s="8">
        <v>-3.6939774167690561E-3</v>
      </c>
      <c r="E12" s="9">
        <v>1.69196658280126E-2</v>
      </c>
      <c r="G12" t="s">
        <v>17</v>
      </c>
      <c r="H12" s="15">
        <f>D4*E5-E4^2</f>
        <v>9747.9991960492589</v>
      </c>
      <c r="J12" s="8">
        <f>SIN(K6)</f>
        <v>0.31166784578438927</v>
      </c>
      <c r="K12" s="9">
        <f>J11</f>
        <v>0.95019111441021076</v>
      </c>
      <c r="M12" s="13">
        <f t="shared" si="0"/>
        <v>1.3200000000000003</v>
      </c>
      <c r="N12" s="13">
        <f t="shared" si="0"/>
        <v>10.600000000000009</v>
      </c>
      <c r="O12" s="14" t="str">
        <f>IF((D$11*M12 + E$11*N12)*M12 + (D$12*M12 + E$12*N12)*N12&gt;=H$8,"outside","inside")</f>
        <v>outside</v>
      </c>
      <c r="Q12">
        <f t="shared" si="3"/>
        <v>2.5132741228718345</v>
      </c>
      <c r="R12">
        <f t="shared" si="1"/>
        <v>51.985934375939031</v>
      </c>
      <c r="S12">
        <f t="shared" si="2"/>
        <v>67.327870358381659</v>
      </c>
    </row>
    <row r="13" spans="1:19" x14ac:dyDescent="0.35">
      <c r="A13" s="26">
        <v>55.1</v>
      </c>
      <c r="B13" s="26">
        <v>56.8</v>
      </c>
      <c r="D13" s="21"/>
      <c r="G13" t="s">
        <v>18</v>
      </c>
      <c r="H13" s="15">
        <f>(H11+SQRT(H11^2-4*H12))/2</f>
        <v>176.74417723881658</v>
      </c>
      <c r="M13" s="3">
        <f t="shared" si="0"/>
        <v>-7.4799999999999969</v>
      </c>
      <c r="N13" s="3">
        <f t="shared" si="0"/>
        <v>-9.7999999999999972</v>
      </c>
      <c r="O13" s="22" t="str">
        <f>IF((D$11*M13 + E$11*N13)*M13 + (D$12*M13 + E$12*N13)*N13&gt;=H$8,"outside","inside")</f>
        <v>outside</v>
      </c>
      <c r="Q13">
        <f t="shared" si="3"/>
        <v>2.8274333882308138</v>
      </c>
      <c r="R13">
        <f t="shared" si="1"/>
        <v>50.934737605323321</v>
      </c>
      <c r="S13">
        <f t="shared" si="2"/>
        <v>64.989823640235244</v>
      </c>
    </row>
    <row r="14" spans="1:19" x14ac:dyDescent="0.35">
      <c r="G14" t="s">
        <v>19</v>
      </c>
      <c r="H14" s="16">
        <f>H11-H13</f>
        <v>55.153156094516049</v>
      </c>
      <c r="Q14">
        <f t="shared" si="3"/>
        <v>3.1415926535897931</v>
      </c>
      <c r="R14">
        <f t="shared" si="1"/>
        <v>51.02346025521264</v>
      </c>
      <c r="S14">
        <f t="shared" si="2"/>
        <v>62.80939220294097</v>
      </c>
    </row>
    <row r="15" spans="1:19" x14ac:dyDescent="0.35">
      <c r="Q15">
        <f t="shared" si="3"/>
        <v>3.4557519189487724</v>
      </c>
      <c r="R15">
        <f t="shared" si="1"/>
        <v>52.24341753446879</v>
      </c>
      <c r="S15">
        <f t="shared" si="2"/>
        <v>61.000011867540344</v>
      </c>
    </row>
    <row r="16" spans="1:19" x14ac:dyDescent="0.35">
      <c r="Q16">
        <f t="shared" si="3"/>
        <v>3.7699111843077517</v>
      </c>
      <c r="R16">
        <f t="shared" si="1"/>
        <v>54.47519152465599</v>
      </c>
      <c r="S16">
        <f t="shared" si="2"/>
        <v>59.738797387956467</v>
      </c>
    </row>
    <row r="17" spans="17:19" x14ac:dyDescent="0.35">
      <c r="Q17">
        <f t="shared" si="3"/>
        <v>4.0840704496667311</v>
      </c>
      <c r="R17">
        <f t="shared" si="1"/>
        <v>57.500320637930997</v>
      </c>
      <c r="S17">
        <f t="shared" si="2"/>
        <v>59.149205224848984</v>
      </c>
    </row>
    <row r="18" spans="17:19" x14ac:dyDescent="0.35">
      <c r="Q18">
        <f t="shared" si="3"/>
        <v>4.3982297150257104</v>
      </c>
      <c r="R18">
        <f t="shared" si="1"/>
        <v>61.022684159372538</v>
      </c>
      <c r="S18">
        <f t="shared" si="2"/>
        <v>59.28894876707303</v>
      </c>
    </row>
    <row r="19" spans="17:19" x14ac:dyDescent="0.35">
      <c r="Q19">
        <f t="shared" si="3"/>
        <v>4.7123889803846897</v>
      </c>
      <c r="R19">
        <f t="shared" si="1"/>
        <v>64.69748860575217</v>
      </c>
      <c r="S19">
        <f t="shared" si="2"/>
        <v>60.144348943065182</v>
      </c>
    </row>
    <row r="20" spans="17:19" x14ac:dyDescent="0.35">
      <c r="Q20">
        <f t="shared" si="3"/>
        <v>5.026548245743669</v>
      </c>
      <c r="R20">
        <f t="shared" si="1"/>
        <v>68.165018513990162</v>
      </c>
      <c r="S20">
        <f t="shared" si="2"/>
        <v>61.631673223675868</v>
      </c>
    </row>
    <row r="21" spans="17:19" x14ac:dyDescent="0.35">
      <c r="Q21">
        <f t="shared" si="3"/>
        <v>5.3407075111026483</v>
      </c>
      <c r="R21">
        <f t="shared" si="1"/>
        <v>71.085847896966655</v>
      </c>
      <c r="S21">
        <f t="shared" si="2"/>
        <v>63.6053319455213</v>
      </c>
    </row>
    <row r="22" spans="17:19" x14ac:dyDescent="0.35">
      <c r="Q22">
        <f t="shared" si="3"/>
        <v>5.6548667764616276</v>
      </c>
      <c r="R22">
        <f t="shared" si="1"/>
        <v>73.174065624060972</v>
      </c>
      <c r="S22">
        <f t="shared" si="2"/>
        <v>65.872129641618329</v>
      </c>
    </row>
    <row r="23" spans="17:19" x14ac:dyDescent="0.35">
      <c r="Q23">
        <f t="shared" si="3"/>
        <v>5.9690260418206069</v>
      </c>
      <c r="R23">
        <f t="shared" si="1"/>
        <v>74.225262394676676</v>
      </c>
      <c r="S23">
        <f t="shared" si="2"/>
        <v>68.210176359764745</v>
      </c>
    </row>
    <row r="24" spans="17:19" x14ac:dyDescent="0.35">
      <c r="Q24" s="23">
        <f t="shared" si="3"/>
        <v>6.2831853071795862</v>
      </c>
      <c r="R24" s="23">
        <f t="shared" si="1"/>
        <v>74.136539744787356</v>
      </c>
      <c r="S24" s="23">
        <f t="shared" si="2"/>
        <v>70.390607797059019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Ellipse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DHEA</cp:lastModifiedBy>
  <dcterms:created xsi:type="dcterms:W3CDTF">2022-09-22T19:00:32Z</dcterms:created>
  <dcterms:modified xsi:type="dcterms:W3CDTF">2023-08-30T14:17:06Z</dcterms:modified>
</cp:coreProperties>
</file>