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ea\S2 IPB\Asisten Dosen\STA1342\Pertemuan 3\"/>
    </mc:Choice>
  </mc:AlternateContent>
  <xr:revisionPtr revIDLastSave="0" documentId="13_ncr:1_{2EA94616-9135-4293-B62C-C67540477A98}" xr6:coauthVersionLast="47" xr6:coauthVersionMax="47" xr10:uidLastSave="{00000000-0000-0000-0000-000000000000}"/>
  <bookViews>
    <workbookView xWindow="-110" yWindow="-110" windowWidth="19420" windowHeight="10300" activeTab="1" xr2:uid="{FF280B53-7762-480C-B0E8-2D0457B8983E}"/>
  </bookViews>
  <sheets>
    <sheet name="Jawaban P1" sheetId="1" r:id="rId1"/>
    <sheet name="Jawaban 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0" i="1" l="1"/>
  <c r="B99" i="1"/>
  <c r="J77" i="1"/>
  <c r="J76" i="1"/>
  <c r="F30" i="1"/>
  <c r="E30" i="1"/>
  <c r="K149" i="1" s="1"/>
  <c r="F22" i="1"/>
  <c r="E15" i="2"/>
  <c r="D16" i="2" s="1"/>
  <c r="B16" i="2"/>
  <c r="B15" i="2"/>
  <c r="B58" i="2" s="1"/>
  <c r="E127" i="2"/>
  <c r="E128" i="2"/>
  <c r="B128" i="2"/>
  <c r="B127" i="2"/>
  <c r="E123" i="2"/>
  <c r="E122" i="2"/>
  <c r="E113" i="2"/>
  <c r="E112" i="2"/>
  <c r="B113" i="2"/>
  <c r="B112" i="2"/>
  <c r="B103" i="2"/>
  <c r="C71" i="2"/>
  <c r="C70" i="2"/>
  <c r="B68" i="2"/>
  <c r="B59" i="2"/>
  <c r="F34" i="2"/>
  <c r="F8" i="2"/>
  <c r="E31" i="2" s="1"/>
  <c r="F7" i="2"/>
  <c r="D31" i="2" s="1"/>
  <c r="F31" i="2" s="1"/>
  <c r="E16" i="2"/>
  <c r="D15" i="2"/>
  <c r="B27" i="2"/>
  <c r="F6" i="1"/>
  <c r="K169" i="1"/>
  <c r="J169" i="1" s="1"/>
  <c r="H7" i="1"/>
  <c r="I6" i="1" s="1"/>
  <c r="I7" i="1"/>
  <c r="O146" i="1" s="1"/>
  <c r="H6" i="1"/>
  <c r="N145" i="1" s="1"/>
  <c r="F7" i="1"/>
  <c r="F23" i="1" s="1"/>
  <c r="B22" i="1" l="1" a="1"/>
  <c r="B23" i="1" s="1"/>
  <c r="B53" i="1" s="1"/>
  <c r="D26" i="2" a="1"/>
  <c r="D26" i="2" s="1"/>
  <c r="I26" i="2" s="1"/>
  <c r="D79" i="2" a="1"/>
  <c r="D79" i="2" s="1"/>
  <c r="D75" i="2" a="1"/>
  <c r="D75" i="2" s="1"/>
  <c r="C79" i="2" a="1"/>
  <c r="C79" i="2" s="1"/>
  <c r="C75" i="2" a="1"/>
  <c r="C75" i="2" s="1"/>
  <c r="B26" i="2"/>
  <c r="O70" i="1"/>
  <c r="P70" i="1"/>
  <c r="R146" i="1"/>
  <c r="K172" i="1" s="1"/>
  <c r="N146" i="1"/>
  <c r="K154" i="1"/>
  <c r="R145" i="1"/>
  <c r="O145" i="1"/>
  <c r="F53" i="1"/>
  <c r="F52" i="1"/>
  <c r="J149" i="1"/>
  <c r="C22" i="1"/>
  <c r="C52" i="1" s="1"/>
  <c r="B22" i="1"/>
  <c r="B52" i="1" s="1"/>
  <c r="C23" i="1"/>
  <c r="C53" i="1" s="1"/>
  <c r="B65" i="1" l="1"/>
  <c r="B26" i="1" a="1"/>
  <c r="B26" i="1" s="1"/>
  <c r="J28" i="2"/>
  <c r="J27" i="2"/>
  <c r="J26" i="2"/>
  <c r="I28" i="2"/>
  <c r="I27" i="2"/>
  <c r="B31" i="2" a="1"/>
  <c r="B31" i="2" s="1"/>
  <c r="C34" i="2" s="1"/>
  <c r="J30" i="2"/>
  <c r="J32" i="2" s="1"/>
  <c r="I30" i="2"/>
  <c r="I32" i="2" s="1"/>
  <c r="B64" i="1"/>
  <c r="G100" i="1"/>
  <c r="D99" i="1"/>
  <c r="K153" i="1"/>
  <c r="K173" i="1"/>
  <c r="B153" i="1"/>
  <c r="B173" i="1"/>
  <c r="B172" i="1"/>
  <c r="B154" i="1"/>
  <c r="D100" i="1" l="1"/>
  <c r="I99" i="1"/>
  <c r="I100" i="1"/>
  <c r="G9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<sst xmlns="http://schemas.openxmlformats.org/spreadsheetml/2006/main" count="149" uniqueCount="92">
  <si>
    <t>Siswa</t>
  </si>
  <si>
    <t>matematika</t>
  </si>
  <si>
    <t>fisika</t>
  </si>
  <si>
    <t>X1</t>
  </si>
  <si>
    <t>Matematika</t>
  </si>
  <si>
    <t>X2</t>
  </si>
  <si>
    <t>Fisika</t>
  </si>
  <si>
    <t>vektor rata-rata</t>
  </si>
  <si>
    <t>x1 bar</t>
  </si>
  <si>
    <t>x2 bar</t>
  </si>
  <si>
    <t>matriks kovarians</t>
  </si>
  <si>
    <t>n</t>
  </si>
  <si>
    <t>p</t>
  </si>
  <si>
    <t>Ujilah Ho:</t>
  </si>
  <si>
    <t xml:space="preserve">miu = </t>
  </si>
  <si>
    <t>miu =!</t>
  </si>
  <si>
    <t>S invers</t>
  </si>
  <si>
    <t>Stat Uji</t>
  </si>
  <si>
    <t>x bar - miu</t>
  </si>
  <si>
    <t>T^2</t>
  </si>
  <si>
    <t>Titik Kritis</t>
  </si>
  <si>
    <t>F tabel</t>
  </si>
  <si>
    <t>x bar</t>
  </si>
  <si>
    <t>5. Selang kepercayaan simultan dan selang bonferonni 90%</t>
  </si>
  <si>
    <t>Rumus selang kepercayaan simultan</t>
  </si>
  <si>
    <t>Peubah x1</t>
  </si>
  <si>
    <t>S</t>
  </si>
  <si>
    <t>Batas bawah</t>
  </si>
  <si>
    <t>Batas atas</t>
  </si>
  <si>
    <t>Peubah x2</t>
  </si>
  <si>
    <t>Rumus selang kepercayaan bonferroni</t>
  </si>
  <si>
    <t>t tabel</t>
  </si>
  <si>
    <t>alpha</t>
  </si>
  <si>
    <t>alpha/2p</t>
  </si>
  <si>
    <t>4. berikut ini gambar letak skor matematika 65 dan fisika 70, berdasarkan gambar terlihat bahwa nilai
tersebut dalam elips, dengan kata lain masuk ke dalam elips kepercayaan.</t>
  </si>
  <si>
    <t>Menggambar ellips kepercayaan</t>
  </si>
  <si>
    <t>Titik pusat</t>
  </si>
  <si>
    <t>Menghitung nilai eigen dan vektor eigen dari S (output R)</t>
  </si>
  <si>
    <t>lamda 1</t>
  </si>
  <si>
    <t>lamda 2</t>
  </si>
  <si>
    <t>e1</t>
  </si>
  <si>
    <t>e2</t>
  </si>
  <si>
    <t>Setengah sumbu mayor</t>
  </si>
  <si>
    <t>Setengah sumbu minor</t>
  </si>
  <si>
    <t>Mencari koordinat daerah kepercayaan</t>
  </si>
  <si>
    <t>Koordinat 1</t>
  </si>
  <si>
    <t>Koordinat 2</t>
  </si>
  <si>
    <t>X (X1)</t>
  </si>
  <si>
    <t>Y (X2)</t>
  </si>
  <si>
    <t>Koordinat 3</t>
  </si>
  <si>
    <t>Koordinat 4</t>
  </si>
  <si>
    <t>Vektor Rataan Xbar</t>
  </si>
  <si>
    <t>x1</t>
  </si>
  <si>
    <t>x2</t>
  </si>
  <si>
    <t>Matriks Kovarian S</t>
  </si>
  <si>
    <t>mat</t>
  </si>
  <si>
    <t>fis</t>
  </si>
  <si>
    <t>Hipotesis</t>
  </si>
  <si>
    <t>m1</t>
  </si>
  <si>
    <t>m2</t>
  </si>
  <si>
    <t>Uji Hipotesis T2 Hotelling</t>
  </si>
  <si>
    <t>Xbar - miu0</t>
  </si>
  <si>
    <t>Inverse S</t>
  </si>
  <si>
    <t>F</t>
  </si>
  <si>
    <t>taraf nyata</t>
  </si>
  <si>
    <t>Keputusan</t>
  </si>
  <si>
    <t>pada taraf nyata alfa</t>
  </si>
  <si>
    <t>Selang kepercayaan Ellips</t>
  </si>
  <si>
    <t>Gambar daerah kepercayaan Ellips</t>
  </si>
  <si>
    <t>Titik Pusat Xbar</t>
  </si>
  <si>
    <t>Menghitung nilai Eigen</t>
  </si>
  <si>
    <t>L1</t>
  </si>
  <si>
    <t>L2</t>
  </si>
  <si>
    <t>Daerah kepeercayaan</t>
  </si>
  <si>
    <t>c kuadrat</t>
  </si>
  <si>
    <t>panjang sumbu mayor</t>
  </si>
  <si>
    <t>panjang sumbu minor</t>
  </si>
  <si>
    <t>Koordinat yang dibentuk</t>
  </si>
  <si>
    <t>untuk L1</t>
  </si>
  <si>
    <t>untuk L2</t>
  </si>
  <si>
    <t>sumbu</t>
  </si>
  <si>
    <t>X</t>
  </si>
  <si>
    <t>Y</t>
  </si>
  <si>
    <t>Menggambar ellips</t>
  </si>
  <si>
    <t>Selang Kepercayaan Simultan</t>
  </si>
  <si>
    <t>Selang untuk x1</t>
  </si>
  <si>
    <t>xbar</t>
  </si>
  <si>
    <t>batas bawah</t>
  </si>
  <si>
    <t>batas atas</t>
  </si>
  <si>
    <t>Selang Kepercayaan Bonferroni</t>
  </si>
  <si>
    <t>t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</si>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</sst>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0" xfId="0" applyFill="1"/>
    <xf numFmtId="0" fontId="3" fillId="5" borderId="0" xfId="0" applyFont="1" applyFill="1"/>
    <xf numFmtId="0" fontId="0" fillId="0" borderId="0" xfId="0" applyAlignment="1">
      <alignment horizontal="right"/>
    </xf>
    <xf numFmtId="0" fontId="3" fillId="7" borderId="0" xfId="0" applyFont="1" applyFill="1"/>
    <xf numFmtId="0" fontId="0" fillId="0" borderId="0" xfId="0" applyAlignment="1">
      <alignment horizontal="left" wrapText="1"/>
    </xf>
    <xf numFmtId="0" fontId="3" fillId="6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3" Type="http://schemas.openxmlformats.org/officeDocument/2006/relationships/image" Target="../media/image20.png"/><Relationship Id="rId7" Type="http://schemas.openxmlformats.org/officeDocument/2006/relationships/image" Target="../media/image11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17.png"/><Relationship Id="rId11" Type="http://schemas.openxmlformats.org/officeDocument/2006/relationships/image" Target="../media/image2.png"/><Relationship Id="rId5" Type="http://schemas.openxmlformats.org/officeDocument/2006/relationships/image" Target="../media/image24.png"/><Relationship Id="rId10" Type="http://schemas.openxmlformats.org/officeDocument/2006/relationships/image" Target="../media/image1.png"/><Relationship Id="rId4" Type="http://schemas.openxmlformats.org/officeDocument/2006/relationships/image" Target="../media/image23.png"/><Relationship Id="rId9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133839</xdr:rowOff>
    </xdr:from>
    <xdr:to>
      <xdr:col>7</xdr:col>
      <xdr:colOff>195180</xdr:colOff>
      <xdr:row>18</xdr:row>
      <xdr:rowOff>95775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3B023C-B0FD-8DF0-BD9C-22389B65E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32454"/>
          <a:ext cx="5553603" cy="704398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27</xdr:row>
      <xdr:rowOff>44450</xdr:rowOff>
    </xdr:from>
    <xdr:to>
      <xdr:col>3</xdr:col>
      <xdr:colOff>374737</xdr:colOff>
      <xdr:row>32</xdr:row>
      <xdr:rowOff>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D8D74B-8EE7-849B-F01E-8CE228E6C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350" y="5016500"/>
          <a:ext cx="1701887" cy="876345"/>
        </a:xfrm>
        <a:prstGeom prst="rect">
          <a:avLst/>
        </a:prstGeom>
      </xdr:spPr>
    </xdr:pic>
    <xdr:clientData/>
  </xdr:twoCellAnchor>
  <xdr:twoCellAnchor>
    <xdr:from>
      <xdr:col>4</xdr:col>
      <xdr:colOff>6350</xdr:colOff>
      <xdr:row>31</xdr:row>
      <xdr:rowOff>19050</xdr:rowOff>
    </xdr:from>
    <xdr:to>
      <xdr:col>11</xdr:col>
      <xdr:colOff>184150</xdr:colOff>
      <xdr:row>38</xdr:row>
      <xdr:rowOff>24572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F05CE35-876A-4DDD-8736-7BC21D10F71C}"/>
            </a:ext>
          </a:extLst>
        </xdr:cNvPr>
        <xdr:cNvSpPr txBox="1"/>
      </xdr:nvSpPr>
      <xdr:spPr>
        <a:xfrm>
          <a:off x="2584450" y="5727700"/>
          <a:ext cx="4552950" cy="1294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400" b="1"/>
            <a:t>Kesimpulan</a:t>
          </a:r>
          <a:r>
            <a:rPr lang="id-ID" sz="1400"/>
            <a:t> : </a:t>
          </a:r>
          <a:r>
            <a:rPr lang="id-ID" sz="1400">
              <a:solidFill>
                <a:schemeClr val="dk1"/>
              </a:solidFill>
              <a:latin typeface="+mn-lt"/>
              <a:ea typeface="+mn-ea"/>
              <a:cs typeface="+mn-cs"/>
            </a:rPr>
            <a:t>Tolak H0 pada taraf nyata 10%</a:t>
          </a:r>
        </a:p>
        <a:p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id-ID" sz="1400" b="1">
              <a:solidFill>
                <a:schemeClr val="dk1"/>
              </a:solidFill>
              <a:latin typeface="+mn-lt"/>
              <a:ea typeface="+mn-ea"/>
              <a:cs typeface="+mn-cs"/>
            </a:rPr>
            <a:t>rtinya </a:t>
          </a:r>
          <a:r>
            <a:rPr lang="id-ID" sz="140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en-ID" sz="1400">
              <a:solidFill>
                <a:schemeClr val="dk1"/>
              </a:solidFill>
              <a:latin typeface="+mn-lt"/>
              <a:ea typeface="+mn-ea"/>
              <a:cs typeface="+mn-cs"/>
            </a:rPr>
            <a:t>dengan tingkat kepercayaan 90%, dapat disimpulkan bahwa minimal ada salah satu dari rata-rata ujian</a:t>
          </a:r>
          <a:r>
            <a:rPr lang="en-ID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ID" sz="1400">
              <a:solidFill>
                <a:schemeClr val="dk1"/>
              </a:solidFill>
              <a:latin typeface="+mn-lt"/>
              <a:ea typeface="+mn-ea"/>
              <a:cs typeface="+mn-cs"/>
            </a:rPr>
            <a:t>matematika dan fisika yang memiliki nilai rata-rata tidak sama dengan nilai 55 atau nilai 60</a:t>
          </a:r>
          <a:r>
            <a:rPr lang="en-ID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id-ID" sz="1400"/>
        </a:p>
      </xdr:txBody>
    </xdr:sp>
    <xdr:clientData/>
  </xdr:twoCellAnchor>
  <xdr:twoCellAnchor editAs="oneCell">
    <xdr:from>
      <xdr:col>0</xdr:col>
      <xdr:colOff>1</xdr:colOff>
      <xdr:row>41</xdr:row>
      <xdr:rowOff>0</xdr:rowOff>
    </xdr:from>
    <xdr:to>
      <xdr:col>7</xdr:col>
      <xdr:colOff>539263</xdr:colOff>
      <xdr:row>47</xdr:row>
      <xdr:rowOff>108326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28779B-80F7-3170-AB45-BA8C8F7E3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7550150"/>
          <a:ext cx="5880100" cy="1213226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143</xdr:row>
      <xdr:rowOff>0</xdr:rowOff>
    </xdr:from>
    <xdr:to>
      <xdr:col>6</xdr:col>
      <xdr:colOff>588107</xdr:colOff>
      <xdr:row>150</xdr:row>
      <xdr:rowOff>25174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2694A31-CCA3-DD7E-5CBE-9A3E07960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350" y="12522200"/>
          <a:ext cx="4368800" cy="131422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154</xdr:row>
      <xdr:rowOff>152401</xdr:rowOff>
    </xdr:from>
    <xdr:to>
      <xdr:col>6</xdr:col>
      <xdr:colOff>414138</xdr:colOff>
      <xdr:row>163</xdr:row>
      <xdr:rowOff>133351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1D3237-8D7B-07B7-E6AE-B6B799571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1" y="14700251"/>
          <a:ext cx="5096530" cy="163830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19051</xdr:colOff>
      <xdr:row>155</xdr:row>
      <xdr:rowOff>25401</xdr:rowOff>
    </xdr:from>
    <xdr:to>
      <xdr:col>11</xdr:col>
      <xdr:colOff>317500</xdr:colOff>
      <xdr:row>156</xdr:row>
      <xdr:rowOff>52477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5051B2-0D68-EE97-C0A8-D3B24267C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51551" y="14757401"/>
          <a:ext cx="1885949" cy="211226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156</xdr:row>
      <xdr:rowOff>84488</xdr:rowOff>
    </xdr:from>
    <xdr:to>
      <xdr:col>16</xdr:col>
      <xdr:colOff>142780</xdr:colOff>
      <xdr:row>163</xdr:row>
      <xdr:rowOff>139700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643C0F9-23B5-26B8-E4F8-AD7940253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51550" y="15000638"/>
          <a:ext cx="4759230" cy="1344262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166</xdr:row>
      <xdr:rowOff>133350</xdr:rowOff>
    </xdr:from>
    <xdr:to>
      <xdr:col>6</xdr:col>
      <xdr:colOff>477253</xdr:colOff>
      <xdr:row>169</xdr:row>
      <xdr:rowOff>146050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A42FB6E-A0AE-B506-CFFF-EF6247A2A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500" y="16891000"/>
          <a:ext cx="5134246" cy="565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95250</xdr:rowOff>
    </xdr:from>
    <xdr:to>
      <xdr:col>7</xdr:col>
      <xdr:colOff>340032</xdr:colOff>
      <xdr:row>186</xdr:row>
      <xdr:rowOff>114299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08750C5-959A-CBDB-4088-10DE64BE0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8141950"/>
          <a:ext cx="5675986" cy="2412999"/>
        </a:xfrm>
        <a:prstGeom prst="rect">
          <a:avLst/>
        </a:prstGeom>
      </xdr:spPr>
    </xdr:pic>
    <xdr:clientData/>
  </xdr:twoCellAnchor>
  <xdr:twoCellAnchor editAs="oneCell">
    <xdr:from>
      <xdr:col>8</xdr:col>
      <xdr:colOff>603250</xdr:colOff>
      <xdr:row>173</xdr:row>
      <xdr:rowOff>19050</xdr:rowOff>
    </xdr:from>
    <xdr:to>
      <xdr:col>17</xdr:col>
      <xdr:colOff>594762</xdr:colOff>
      <xdr:row>186</xdr:row>
      <xdr:rowOff>82744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8FE252D-4153-728E-79ED-7C749AA41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05550" y="18065750"/>
          <a:ext cx="5846213" cy="2457644"/>
        </a:xfrm>
        <a:prstGeom prst="rect">
          <a:avLst/>
        </a:prstGeom>
      </xdr:spPr>
    </xdr:pic>
    <xdr:clientData/>
  </xdr:twoCellAnchor>
  <xdr:twoCellAnchor editAs="oneCell">
    <xdr:from>
      <xdr:col>0</xdr:col>
      <xdr:colOff>869950</xdr:colOff>
      <xdr:row>118</xdr:row>
      <xdr:rowOff>154434</xdr:rowOff>
    </xdr:from>
    <xdr:to>
      <xdr:col>6</xdr:col>
      <xdr:colOff>435707</xdr:colOff>
      <xdr:row>135</xdr:row>
      <xdr:rowOff>120857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DB5F8EA-576B-CF4C-30B1-5A53BB6A7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9950" y="18086834"/>
          <a:ext cx="4286250" cy="309697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67</xdr:row>
      <xdr:rowOff>0</xdr:rowOff>
    </xdr:from>
    <xdr:to>
      <xdr:col>4</xdr:col>
      <xdr:colOff>4505</xdr:colOff>
      <xdr:row>71</xdr:row>
      <xdr:rowOff>107950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3D6DE0B-7F6F-AB54-9BF3-D56628E81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" y="12338050"/>
          <a:ext cx="2881054" cy="844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31750</xdr:rowOff>
    </xdr:from>
    <xdr:to>
      <xdr:col>5</xdr:col>
      <xdr:colOff>36035</xdr:colOff>
      <xdr:row>80</xdr:row>
      <xdr:rowOff>69934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464F281-669C-F812-34A8-F98159D8A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474700"/>
          <a:ext cx="4152789" cy="13272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50800</xdr:rowOff>
    </xdr:from>
    <xdr:to>
      <xdr:col>3</xdr:col>
      <xdr:colOff>298582</xdr:colOff>
      <xdr:row>95</xdr:row>
      <xdr:rowOff>31834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543E279-480C-7E46-8762-807B8BB37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5887700"/>
          <a:ext cx="2565532" cy="1638384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86</xdr:row>
      <xdr:rowOff>31750</xdr:rowOff>
    </xdr:from>
    <xdr:to>
      <xdr:col>8</xdr:col>
      <xdr:colOff>527183</xdr:colOff>
      <xdr:row>95</xdr:row>
      <xdr:rowOff>25485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BAFF2AF-8C08-C638-0CF1-CAC2785A8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70300" y="15868650"/>
          <a:ext cx="2559182" cy="1651085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82</xdr:row>
      <xdr:rowOff>57150</xdr:rowOff>
    </xdr:from>
    <xdr:to>
      <xdr:col>3</xdr:col>
      <xdr:colOff>108069</xdr:colOff>
      <xdr:row>85</xdr:row>
      <xdr:rowOff>95280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C137ED9-1D77-FBF0-71D5-0D871BAB2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500" y="15157450"/>
          <a:ext cx="2311519" cy="59058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285751</xdr:colOff>
      <xdr:row>100</xdr:row>
      <xdr:rowOff>171450</xdr:rowOff>
    </xdr:from>
    <xdr:to>
      <xdr:col>6</xdr:col>
      <xdr:colOff>171536</xdr:colOff>
      <xdr:row>115</xdr:row>
      <xdr:rowOff>72258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1CE1E8C-838A-6163-5127-337D325F9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93801" y="18586450"/>
          <a:ext cx="3698228" cy="2663058"/>
        </a:xfrm>
        <a:prstGeom prst="rect">
          <a:avLst/>
        </a:prstGeom>
      </xdr:spPr>
    </xdr:pic>
    <xdr:clientData/>
  </xdr:twoCellAnchor>
  <xdr:twoCellAnchor editAs="oneCell">
    <xdr:from>
      <xdr:col>10</xdr:col>
      <xdr:colOff>92808</xdr:colOff>
      <xdr:row>72</xdr:row>
      <xdr:rowOff>78153</xdr:rowOff>
    </xdr:from>
    <xdr:to>
      <xdr:col>11</xdr:col>
      <xdr:colOff>200757</xdr:colOff>
      <xdr:row>75</xdr:row>
      <xdr:rowOff>173403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78DEE83-08F1-95BD-C450-CCF857598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7731" y="13442461"/>
          <a:ext cx="723411" cy="6520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102577</xdr:colOff>
      <xdr:row>75</xdr:row>
      <xdr:rowOff>131884</xdr:rowOff>
    </xdr:from>
    <xdr:to>
      <xdr:col>11</xdr:col>
      <xdr:colOff>210527</xdr:colOff>
      <xdr:row>79</xdr:row>
      <xdr:rowOff>41519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2CF98E4-544C-2EE9-7BB9-A0B354CD0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0" y="14053038"/>
          <a:ext cx="723412" cy="6520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835269</xdr:colOff>
      <xdr:row>93</xdr:row>
      <xdr:rowOff>127488</xdr:rowOff>
    </xdr:from>
    <xdr:to>
      <xdr:col>11</xdr:col>
      <xdr:colOff>54338</xdr:colOff>
      <xdr:row>96</xdr:row>
      <xdr:rowOff>165618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22A6D53-990C-4EA1-8687-F60318C95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193692" y="17389719"/>
          <a:ext cx="2311031" cy="594976"/>
        </a:xfrm>
        <a:prstGeom prst="rect">
          <a:avLst/>
        </a:prstGeom>
      </xdr:spPr>
    </xdr:pic>
    <xdr:clientData/>
  </xdr:twoCellAnchor>
  <xdr:twoCellAnchor editAs="oneCell">
    <xdr:from>
      <xdr:col>0</xdr:col>
      <xdr:colOff>19539</xdr:colOff>
      <xdr:row>54</xdr:row>
      <xdr:rowOff>112345</xdr:rowOff>
    </xdr:from>
    <xdr:to>
      <xdr:col>8</xdr:col>
      <xdr:colOff>165994</xdr:colOff>
      <xdr:row>60</xdr:row>
      <xdr:rowOff>30074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CAD4B75-D1CF-4C9A-B416-424F6D9D1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539" y="10135576"/>
          <a:ext cx="6388993" cy="10314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36</xdr:row>
      <xdr:rowOff>127000</xdr:rowOff>
    </xdr:from>
    <xdr:to>
      <xdr:col>7</xdr:col>
      <xdr:colOff>76200</xdr:colOff>
      <xdr:row>40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CA1AC2-F541-1482-1A64-920DAB46EC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693" r="21640"/>
        <a:stretch/>
      </xdr:blipFill>
      <xdr:spPr>
        <a:xfrm>
          <a:off x="457200" y="6985000"/>
          <a:ext cx="4851400" cy="7112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49</xdr:row>
      <xdr:rowOff>127000</xdr:rowOff>
    </xdr:from>
    <xdr:to>
      <xdr:col>7</xdr:col>
      <xdr:colOff>425450</xdr:colOff>
      <xdr:row>53</xdr:row>
      <xdr:rowOff>60597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AF123E-3A6E-448C-AE80-AC8E1AFFA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10033000"/>
          <a:ext cx="5143500" cy="6955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38101</xdr:rowOff>
    </xdr:from>
    <xdr:to>
      <xdr:col>9</xdr:col>
      <xdr:colOff>338350</xdr:colOff>
      <xdr:row>46</xdr:row>
      <xdr:rowOff>139701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16DA5FE-CA9B-8E67-C880-46119F866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48601"/>
          <a:ext cx="6974100" cy="1054100"/>
        </a:xfrm>
        <a:prstGeom prst="rect">
          <a:avLst/>
        </a:prstGeom>
      </xdr:spPr>
    </xdr:pic>
    <xdr:clientData/>
  </xdr:twoCellAnchor>
  <xdr:twoCellAnchor editAs="oneCell">
    <xdr:from>
      <xdr:col>3</xdr:col>
      <xdr:colOff>292100</xdr:colOff>
      <xdr:row>67</xdr:row>
      <xdr:rowOff>165100</xdr:rowOff>
    </xdr:from>
    <xdr:to>
      <xdr:col>7</xdr:col>
      <xdr:colOff>393700</xdr:colOff>
      <xdr:row>71</xdr:row>
      <xdr:rowOff>137677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3B4DF0-C76F-4402-0A6D-E8653A0BC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11400" y="12928600"/>
          <a:ext cx="2895600" cy="734577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76</xdr:row>
      <xdr:rowOff>165100</xdr:rowOff>
    </xdr:from>
    <xdr:to>
      <xdr:col>11</xdr:col>
      <xdr:colOff>50800</xdr:colOff>
      <xdr:row>80</xdr:row>
      <xdr:rowOff>166214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6B84DC-F030-C5CA-90BF-D6C3C9964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97200" y="14643100"/>
          <a:ext cx="4457700" cy="763114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82</xdr:row>
      <xdr:rowOff>61700</xdr:rowOff>
    </xdr:from>
    <xdr:to>
      <xdr:col>3</xdr:col>
      <xdr:colOff>584200</xdr:colOff>
      <xdr:row>92</xdr:row>
      <xdr:rowOff>180208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D17B464-B186-8F4D-9670-E49539A6B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900" y="15682700"/>
          <a:ext cx="2997200" cy="2023508"/>
        </a:xfrm>
        <a:prstGeom prst="rect">
          <a:avLst/>
        </a:prstGeom>
      </xdr:spPr>
    </xdr:pic>
    <xdr:clientData/>
  </xdr:twoCellAnchor>
  <xdr:twoCellAnchor editAs="oneCell">
    <xdr:from>
      <xdr:col>4</xdr:col>
      <xdr:colOff>406400</xdr:colOff>
      <xdr:row>81</xdr:row>
      <xdr:rowOff>149687</xdr:rowOff>
    </xdr:from>
    <xdr:to>
      <xdr:col>9</xdr:col>
      <xdr:colOff>406400</xdr:colOff>
      <xdr:row>93</xdr:row>
      <xdr:rowOff>131523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46A2495-99FE-F24F-94AF-38291083C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98800" y="15580187"/>
          <a:ext cx="3365500" cy="22678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139700</xdr:rowOff>
    </xdr:from>
    <xdr:to>
      <xdr:col>8</xdr:col>
      <xdr:colOff>114300</xdr:colOff>
      <xdr:row>99</xdr:row>
      <xdr:rowOff>9740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22A3B2-064F-1678-5A62-1B4538F66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237200"/>
          <a:ext cx="6019800" cy="63204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116</xdr:row>
      <xdr:rowOff>165100</xdr:rowOff>
    </xdr:from>
    <xdr:to>
      <xdr:col>5</xdr:col>
      <xdr:colOff>457200</xdr:colOff>
      <xdr:row>119</xdr:row>
      <xdr:rowOff>182006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F093FA8-EEC1-BCAC-6498-EB5B1E8B6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54200" y="22263100"/>
          <a:ext cx="2197100" cy="59475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18</xdr:row>
      <xdr:rowOff>77108</xdr:rowOff>
    </xdr:from>
    <xdr:to>
      <xdr:col>6</xdr:col>
      <xdr:colOff>382032</xdr:colOff>
      <xdr:row>21</xdr:row>
      <xdr:rowOff>95251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C746B3-019A-41EE-84E1-8CE547452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" y="3424465"/>
          <a:ext cx="4582102" cy="57603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95251</xdr:colOff>
      <xdr:row>26</xdr:row>
      <xdr:rowOff>54431</xdr:rowOff>
    </xdr:from>
    <xdr:to>
      <xdr:col>6</xdr:col>
      <xdr:colOff>570645</xdr:colOff>
      <xdr:row>29</xdr:row>
      <xdr:rowOff>58966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EAB6E84-7188-420F-81EE-84165B68B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78465" y="4889502"/>
          <a:ext cx="1092251" cy="562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741A-5998-4C6E-8310-07FE411A3913}">
  <dimension ref="A1:R173"/>
  <sheetViews>
    <sheetView topLeftCell="D63" zoomScale="130" zoomScaleNormal="130" workbookViewId="0">
      <selection activeCell="E25" sqref="E25:J26"/>
    </sheetView>
  </sheetViews>
  <sheetFormatPr defaultColWidth="8.81640625" defaultRowHeight="14.5" x14ac:dyDescent="0.35"/>
  <cols>
    <col min="1" max="1" width="13" customWidth="1"/>
    <col min="2" max="2" width="10.6328125" bestFit="1" customWidth="1"/>
    <col min="5" max="5" width="17.81640625" customWidth="1"/>
    <col min="8" max="8" width="12.6328125" customWidth="1"/>
    <col min="10" max="10" width="14" customWidth="1"/>
  </cols>
  <sheetData>
    <row r="1" spans="1:12" x14ac:dyDescent="0.35">
      <c r="A1" t="s">
        <v>0</v>
      </c>
      <c r="B1" t="s">
        <v>1</v>
      </c>
      <c r="C1" t="s">
        <v>2</v>
      </c>
    </row>
    <row r="2" spans="1:12" x14ac:dyDescent="0.35">
      <c r="A2">
        <v>1</v>
      </c>
      <c r="B2">
        <v>72.8</v>
      </c>
      <c r="C2">
        <v>69.900000000000006</v>
      </c>
      <c r="E2" t="s">
        <v>3</v>
      </c>
      <c r="F2" t="s">
        <v>4</v>
      </c>
    </row>
    <row r="3" spans="1:12" x14ac:dyDescent="0.35">
      <c r="A3">
        <v>2</v>
      </c>
      <c r="B3">
        <v>46</v>
      </c>
      <c r="C3">
        <v>68.900000000000006</v>
      </c>
      <c r="E3" t="s">
        <v>5</v>
      </c>
      <c r="F3" t="s">
        <v>6</v>
      </c>
    </row>
    <row r="4" spans="1:12" x14ac:dyDescent="0.35">
      <c r="A4">
        <v>3</v>
      </c>
      <c r="B4">
        <v>59.2</v>
      </c>
      <c r="C4">
        <v>58.4</v>
      </c>
    </row>
    <row r="5" spans="1:12" x14ac:dyDescent="0.35">
      <c r="A5">
        <v>4</v>
      </c>
      <c r="B5">
        <v>66.7</v>
      </c>
      <c r="C5">
        <v>78.2</v>
      </c>
      <c r="E5" t="s">
        <v>7</v>
      </c>
      <c r="H5" t="s">
        <v>10</v>
      </c>
    </row>
    <row r="6" spans="1:12" x14ac:dyDescent="0.35">
      <c r="A6">
        <v>5</v>
      </c>
      <c r="B6">
        <v>84.2</v>
      </c>
      <c r="C6">
        <v>63.9</v>
      </c>
      <c r="E6" t="s">
        <v>8</v>
      </c>
      <c r="F6" s="1">
        <f>AVERAGE(B2:B11)</f>
        <v>62.58</v>
      </c>
      <c r="H6" s="1">
        <f>_xlfn.VAR.S(B2:B11)</f>
        <v>164.93288888888895</v>
      </c>
      <c r="I6" s="1">
        <f>H7</f>
        <v>36.008888888888883</v>
      </c>
      <c r="K6" t="s">
        <v>11</v>
      </c>
      <c r="L6">
        <v>10</v>
      </c>
    </row>
    <row r="7" spans="1:12" x14ac:dyDescent="0.35">
      <c r="A7">
        <v>6</v>
      </c>
      <c r="B7">
        <v>50.4</v>
      </c>
      <c r="C7">
        <v>54.6</v>
      </c>
      <c r="E7" t="s">
        <v>9</v>
      </c>
      <c r="F7" s="1">
        <f>AVERAGE(C2:C11)</f>
        <v>66.599999999999994</v>
      </c>
      <c r="H7" s="1">
        <f>_xlfn.COVARIANCE.S(B2:B11,C2:C11)</f>
        <v>36.008888888888883</v>
      </c>
      <c r="I7" s="1">
        <f>_xlfn.VAR.S(C2:C11)</f>
        <v>66.964444444443672</v>
      </c>
      <c r="K7" t="s">
        <v>12</v>
      </c>
      <c r="L7">
        <v>2</v>
      </c>
    </row>
    <row r="8" spans="1:12" x14ac:dyDescent="0.35">
      <c r="A8">
        <v>7</v>
      </c>
      <c r="B8">
        <v>49.6</v>
      </c>
      <c r="C8">
        <v>66.5</v>
      </c>
    </row>
    <row r="9" spans="1:12" x14ac:dyDescent="0.35">
      <c r="A9">
        <v>8</v>
      </c>
      <c r="B9">
        <v>77.900000000000006</v>
      </c>
      <c r="C9">
        <v>71.599999999999994</v>
      </c>
    </row>
    <row r="10" spans="1:12" x14ac:dyDescent="0.35">
      <c r="A10">
        <v>9</v>
      </c>
      <c r="B10">
        <v>63.9</v>
      </c>
      <c r="C10">
        <v>77.2</v>
      </c>
    </row>
    <row r="11" spans="1:12" x14ac:dyDescent="0.35">
      <c r="A11">
        <v>10</v>
      </c>
      <c r="B11">
        <v>55.1</v>
      </c>
      <c r="C11">
        <v>56.8</v>
      </c>
    </row>
    <row r="13" spans="1:12" x14ac:dyDescent="0.35">
      <c r="A13" t="s">
        <v>13</v>
      </c>
      <c r="B13" t="s">
        <v>14</v>
      </c>
      <c r="C13" s="2">
        <v>55</v>
      </c>
      <c r="E13" t="s">
        <v>91</v>
      </c>
      <c r="F13" t="s">
        <v>15</v>
      </c>
      <c r="G13" s="2">
        <v>55</v>
      </c>
    </row>
    <row r="14" spans="1:12" x14ac:dyDescent="0.35">
      <c r="C14" s="2">
        <v>60</v>
      </c>
      <c r="G14" s="2">
        <v>60</v>
      </c>
    </row>
    <row r="22" spans="1:10" x14ac:dyDescent="0.35">
      <c r="A22" t="s">
        <v>16</v>
      </c>
      <c r="B22">
        <f t="array" ref="B22:C23">MINVERSE(H6:I7)</f>
        <v>6.8695578546604215E-3</v>
      </c>
      <c r="C22">
        <v>-3.6939774167690561E-3</v>
      </c>
      <c r="E22" t="s">
        <v>18</v>
      </c>
      <c r="F22">
        <f>F6-C13</f>
        <v>7.5799999999999983</v>
      </c>
    </row>
    <row r="23" spans="1:10" x14ac:dyDescent="0.35">
      <c r="B23">
        <v>-3.6939774167690561E-3</v>
      </c>
      <c r="C23">
        <v>1.69196658280126E-2</v>
      </c>
      <c r="F23">
        <f>F7-C14</f>
        <v>6.5999999999999943</v>
      </c>
    </row>
    <row r="25" spans="1:10" x14ac:dyDescent="0.35">
      <c r="A25" t="s">
        <v>17</v>
      </c>
    </row>
    <row r="26" spans="1:10" x14ac:dyDescent="0.35">
      <c r="A26" t="s">
        <v>19</v>
      </c>
      <c r="B26" s="1" cm="1">
        <f t="array" ref="B26">L6*MMULT(TRANSPOSE(F22:F23),MMULT(B22:C23,F22:F23))</f>
        <v>7.6211610297649415</v>
      </c>
      <c r="J26" s="1"/>
    </row>
    <row r="28" spans="1:10" x14ac:dyDescent="0.35">
      <c r="A28" t="s">
        <v>20</v>
      </c>
    </row>
    <row r="29" spans="1:10" x14ac:dyDescent="0.35">
      <c r="E29" t="s">
        <v>21</v>
      </c>
      <c r="F29" t="s">
        <v>20</v>
      </c>
    </row>
    <row r="30" spans="1:10" x14ac:dyDescent="0.35">
      <c r="E30">
        <f>_xlfn.F.INV(0.9,L7,L6-L7)</f>
        <v>3.1131176401556906</v>
      </c>
      <c r="F30">
        <f>(L6-1)*L7*E30/(L6-L7)</f>
        <v>7.0045146903503035</v>
      </c>
    </row>
    <row r="40" s="1" customFormat="1" x14ac:dyDescent="0.35"/>
    <row r="49" spans="1:6" x14ac:dyDescent="0.35">
      <c r="A49" t="s">
        <v>11</v>
      </c>
      <c r="B49">
        <v>10</v>
      </c>
    </row>
    <row r="50" spans="1:6" x14ac:dyDescent="0.35">
      <c r="A50" t="s">
        <v>12</v>
      </c>
      <c r="B50">
        <v>2</v>
      </c>
    </row>
    <row r="52" spans="1:6" x14ac:dyDescent="0.35">
      <c r="A52" t="s">
        <v>16</v>
      </c>
      <c r="B52">
        <f>B22</f>
        <v>6.8695578546604215E-3</v>
      </c>
      <c r="C52">
        <f>C22</f>
        <v>-3.6939774167690561E-3</v>
      </c>
      <c r="E52" t="s">
        <v>22</v>
      </c>
      <c r="F52">
        <f>F6</f>
        <v>62.58</v>
      </c>
    </row>
    <row r="53" spans="1:6" x14ac:dyDescent="0.35">
      <c r="B53">
        <f>B23</f>
        <v>-3.6939774167690561E-3</v>
      </c>
      <c r="C53">
        <f>C23</f>
        <v>1.69196658280126E-2</v>
      </c>
      <c r="F53">
        <f>F7</f>
        <v>66.599999999999994</v>
      </c>
    </row>
    <row r="63" spans="1:6" x14ac:dyDescent="0.35">
      <c r="A63" s="4" t="s">
        <v>35</v>
      </c>
    </row>
    <row r="64" spans="1:6" x14ac:dyDescent="0.35">
      <c r="A64" t="s">
        <v>36</v>
      </c>
      <c r="B64">
        <f>F52</f>
        <v>62.58</v>
      </c>
    </row>
    <row r="65" spans="1:16" x14ac:dyDescent="0.35">
      <c r="B65">
        <f>F53</f>
        <v>66.599999999999994</v>
      </c>
    </row>
    <row r="67" spans="1:16" x14ac:dyDescent="0.35">
      <c r="A67" t="s">
        <v>37</v>
      </c>
    </row>
    <row r="69" spans="1:16" x14ac:dyDescent="0.35">
      <c r="F69" t="s">
        <v>38</v>
      </c>
      <c r="G69">
        <v>176.744</v>
      </c>
      <c r="I69" t="s">
        <v>40</v>
      </c>
      <c r="J69">
        <v>0.95</v>
      </c>
      <c r="L69" t="s">
        <v>41</v>
      </c>
      <c r="M69">
        <v>-0.312</v>
      </c>
      <c r="O69" t="s">
        <v>21</v>
      </c>
      <c r="P69" t="s">
        <v>20</v>
      </c>
    </row>
    <row r="70" spans="1:16" x14ac:dyDescent="0.35">
      <c r="F70" t="s">
        <v>39</v>
      </c>
      <c r="G70">
        <v>55.152999999999999</v>
      </c>
      <c r="J70">
        <v>0.312</v>
      </c>
      <c r="M70">
        <v>0.95</v>
      </c>
      <c r="O70">
        <f>E30</f>
        <v>3.1131176401556906</v>
      </c>
      <c r="P70">
        <f>F30</f>
        <v>7.0045146903503035</v>
      </c>
    </row>
    <row r="76" spans="1:16" x14ac:dyDescent="0.35">
      <c r="H76" t="s">
        <v>42</v>
      </c>
      <c r="J76">
        <f>SQRT(G69*P70/B49)</f>
        <v>11.126571549364494</v>
      </c>
    </row>
    <row r="77" spans="1:16" x14ac:dyDescent="0.35">
      <c r="H77" t="s">
        <v>43</v>
      </c>
      <c r="J77">
        <f>SQRT(G70*P70/10)</f>
        <v>6.215464574083664</v>
      </c>
    </row>
    <row r="82" spans="1:1" x14ac:dyDescent="0.35">
      <c r="A82" t="s">
        <v>44</v>
      </c>
    </row>
    <row r="98" spans="1:9" x14ac:dyDescent="0.35">
      <c r="A98" t="s">
        <v>45</v>
      </c>
      <c r="C98" t="s">
        <v>46</v>
      </c>
      <c r="F98" t="s">
        <v>49</v>
      </c>
      <c r="H98" t="s">
        <v>50</v>
      </c>
    </row>
    <row r="99" spans="1:9" x14ac:dyDescent="0.35">
      <c r="A99" t="s">
        <v>47</v>
      </c>
      <c r="B99">
        <f>F52-J76*J69</f>
        <v>52.009757028103728</v>
      </c>
      <c r="C99" t="s">
        <v>47</v>
      </c>
      <c r="D99">
        <f>F52+J76*J69</f>
        <v>73.150242971896262</v>
      </c>
      <c r="F99" t="s">
        <v>47</v>
      </c>
      <c r="G99">
        <f>F52-J77*M69</f>
        <v>64.519224947114097</v>
      </c>
      <c r="H99" t="s">
        <v>47</v>
      </c>
      <c r="I99">
        <f>F52+J77*M69</f>
        <v>60.640775052885893</v>
      </c>
    </row>
    <row r="100" spans="1:9" x14ac:dyDescent="0.35">
      <c r="A100" t="s">
        <v>48</v>
      </c>
      <c r="B100">
        <f>F53-J76*J70</f>
        <v>63.12850967659827</v>
      </c>
      <c r="C100" t="s">
        <v>48</v>
      </c>
      <c r="D100">
        <f>F53+J76*J70</f>
        <v>70.071490323401719</v>
      </c>
      <c r="F100" t="s">
        <v>48</v>
      </c>
      <c r="G100">
        <f>F53-J77*M70</f>
        <v>60.695308654620511</v>
      </c>
      <c r="H100" t="s">
        <v>48</v>
      </c>
      <c r="I100">
        <f>F53-J77*M70</f>
        <v>60.695308654620511</v>
      </c>
    </row>
    <row r="117" spans="1:12" s="1" customFormat="1" x14ac:dyDescent="0.35"/>
    <row r="118" spans="1:12" ht="34.5" customHeight="1" x14ac:dyDescent="0.35">
      <c r="A118" s="11" t="s">
        <v>34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38" spans="1:5" s="1" customFormat="1" x14ac:dyDescent="0.35"/>
    <row r="140" spans="1:5" x14ac:dyDescent="0.35">
      <c r="A140" t="s">
        <v>23</v>
      </c>
    </row>
    <row r="142" spans="1:5" x14ac:dyDescent="0.35">
      <c r="A142" s="4" t="s">
        <v>24</v>
      </c>
      <c r="B142" s="4"/>
      <c r="C142" s="4"/>
      <c r="D142" s="4"/>
      <c r="E142" s="4"/>
    </row>
    <row r="145" spans="1:18" x14ac:dyDescent="0.35">
      <c r="J145" t="s">
        <v>11</v>
      </c>
      <c r="K145" s="3">
        <v>10</v>
      </c>
      <c r="M145" t="s">
        <v>26</v>
      </c>
      <c r="N145" s="3">
        <f>H6</f>
        <v>164.93288888888895</v>
      </c>
      <c r="O145" s="3">
        <f>I6</f>
        <v>36.008888888888883</v>
      </c>
      <c r="Q145" t="s">
        <v>22</v>
      </c>
      <c r="R145" s="3">
        <f>F6</f>
        <v>62.58</v>
      </c>
    </row>
    <row r="146" spans="1:18" x14ac:dyDescent="0.35">
      <c r="J146" t="s">
        <v>12</v>
      </c>
      <c r="K146" s="3">
        <v>2</v>
      </c>
      <c r="N146" s="3">
        <f>H7</f>
        <v>36.008888888888883</v>
      </c>
      <c r="O146" s="3">
        <f>I7</f>
        <v>66.964444444443672</v>
      </c>
      <c r="R146" s="3">
        <f>F7</f>
        <v>66.599999999999994</v>
      </c>
    </row>
    <row r="148" spans="1:18" x14ac:dyDescent="0.35">
      <c r="J148" t="s">
        <v>21</v>
      </c>
      <c r="K148" t="s">
        <v>20</v>
      </c>
    </row>
    <row r="149" spans="1:18" x14ac:dyDescent="0.35">
      <c r="J149">
        <f>E30</f>
        <v>3.1131176401556906</v>
      </c>
      <c r="K149">
        <f>F30</f>
        <v>7.0045146903503035</v>
      </c>
    </row>
    <row r="152" spans="1:18" x14ac:dyDescent="0.35">
      <c r="A152" s="1" t="s">
        <v>25</v>
      </c>
      <c r="B152" s="1"/>
      <c r="J152" s="1" t="s">
        <v>29</v>
      </c>
      <c r="K152" s="1"/>
    </row>
    <row r="153" spans="1:18" x14ac:dyDescent="0.35">
      <c r="A153" t="s">
        <v>27</v>
      </c>
      <c r="B153">
        <f>R145-SQRT(K149*N145/K145)</f>
        <v>51.831628759927682</v>
      </c>
      <c r="J153" t="s">
        <v>27</v>
      </c>
      <c r="K153">
        <f>R146-SQRT(K149*O146/K145)</f>
        <v>59.751252414913708</v>
      </c>
    </row>
    <row r="154" spans="1:18" x14ac:dyDescent="0.35">
      <c r="A154" t="s">
        <v>28</v>
      </c>
      <c r="B154">
        <f>R145+SQRT(K149*N145/K145)</f>
        <v>73.328371240072315</v>
      </c>
      <c r="J154" t="s">
        <v>28</v>
      </c>
      <c r="K154">
        <f>R146+SQRT(K149*O146/K145)</f>
        <v>73.448747585086281</v>
      </c>
    </row>
    <row r="166" spans="1:11" x14ac:dyDescent="0.35">
      <c r="A166" s="4" t="s">
        <v>30</v>
      </c>
    </row>
    <row r="168" spans="1:11" x14ac:dyDescent="0.35">
      <c r="I168" t="s">
        <v>32</v>
      </c>
      <c r="J168" t="s">
        <v>31</v>
      </c>
      <c r="K168" t="s">
        <v>33</v>
      </c>
    </row>
    <row r="169" spans="1:11" x14ac:dyDescent="0.35">
      <c r="I169">
        <v>0.1</v>
      </c>
      <c r="J169">
        <f>ABS(_xlfn.T.INV(K169,K145-1))</f>
        <v>2.2621571627982053</v>
      </c>
      <c r="K169">
        <f>I169/(2*K146)</f>
        <v>2.5000000000000001E-2</v>
      </c>
    </row>
    <row r="171" spans="1:11" x14ac:dyDescent="0.35">
      <c r="A171" s="1" t="s">
        <v>25</v>
      </c>
      <c r="J171" s="1" t="s">
        <v>29</v>
      </c>
    </row>
    <row r="172" spans="1:11" x14ac:dyDescent="0.35">
      <c r="A172" t="s">
        <v>27</v>
      </c>
      <c r="B172">
        <f>R145-J169*SQRT(N145/K145)</f>
        <v>53.392943080420622</v>
      </c>
      <c r="J172" t="s">
        <v>27</v>
      </c>
      <c r="K172">
        <f>R146-J169*SQRT(O146/K145)</f>
        <v>60.746105257563073</v>
      </c>
    </row>
    <row r="173" spans="1:11" x14ac:dyDescent="0.35">
      <c r="A173" t="s">
        <v>28</v>
      </c>
      <c r="B173">
        <f>R145+J169*SQRT(N145/K145)</f>
        <v>71.767056919579375</v>
      </c>
      <c r="J173" t="s">
        <v>28</v>
      </c>
      <c r="K173">
        <f>R146+J169*SQRT(O146/K145)</f>
        <v>72.453894742436916</v>
      </c>
    </row>
  </sheetData>
  <mergeCells count="1">
    <mergeCell ref="A118:L1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4206-2178-478F-9919-BA82134A6A98}">
  <dimension ref="A1:J128"/>
  <sheetViews>
    <sheetView tabSelected="1" topLeftCell="A118" zoomScale="140" zoomScaleNormal="140" workbookViewId="0">
      <selection activeCell="C71" sqref="C71"/>
    </sheetView>
  </sheetViews>
  <sheetFormatPr defaultColWidth="8.81640625" defaultRowHeight="14.5" x14ac:dyDescent="0.35"/>
  <cols>
    <col min="1" max="1" width="10.453125" customWidth="1"/>
    <col min="2" max="2" width="13" customWidth="1"/>
    <col min="4" max="4" width="10.1796875" customWidth="1"/>
  </cols>
  <sheetData>
    <row r="1" spans="1:9" x14ac:dyDescent="0.35">
      <c r="A1" s="5" t="s">
        <v>0</v>
      </c>
      <c r="B1" s="5" t="s">
        <v>1</v>
      </c>
      <c r="C1" s="5" t="s">
        <v>2</v>
      </c>
    </row>
    <row r="2" spans="1:9" x14ac:dyDescent="0.35">
      <c r="A2" s="5">
        <v>1</v>
      </c>
      <c r="B2" s="5">
        <v>72.8</v>
      </c>
      <c r="C2" s="5">
        <v>69.900000000000006</v>
      </c>
    </row>
    <row r="3" spans="1:9" x14ac:dyDescent="0.35">
      <c r="A3" s="5">
        <v>2</v>
      </c>
      <c r="B3" s="5">
        <v>46</v>
      </c>
      <c r="C3" s="5">
        <v>68.900000000000006</v>
      </c>
      <c r="E3" t="s">
        <v>52</v>
      </c>
      <c r="F3" t="s">
        <v>55</v>
      </c>
      <c r="H3" s="6" t="s">
        <v>57</v>
      </c>
    </row>
    <row r="4" spans="1:9" x14ac:dyDescent="0.35">
      <c r="A4" s="5">
        <v>3</v>
      </c>
      <c r="B4" s="5">
        <v>59.2</v>
      </c>
      <c r="C4" s="5">
        <v>58.4</v>
      </c>
      <c r="E4" t="s">
        <v>53</v>
      </c>
      <c r="F4" t="s">
        <v>56</v>
      </c>
    </row>
    <row r="5" spans="1:9" x14ac:dyDescent="0.35">
      <c r="A5" s="5">
        <v>4</v>
      </c>
      <c r="B5" s="5">
        <v>66.7</v>
      </c>
      <c r="C5" s="5">
        <v>78.2</v>
      </c>
      <c r="H5" t="s">
        <v>58</v>
      </c>
      <c r="I5">
        <v>55</v>
      </c>
    </row>
    <row r="6" spans="1:9" x14ac:dyDescent="0.35">
      <c r="A6" s="5">
        <v>5</v>
      </c>
      <c r="B6" s="5">
        <v>84.2</v>
      </c>
      <c r="C6" s="5">
        <v>63.9</v>
      </c>
      <c r="H6" t="s">
        <v>59</v>
      </c>
      <c r="I6">
        <v>60</v>
      </c>
    </row>
    <row r="7" spans="1:9" x14ac:dyDescent="0.35">
      <c r="A7" s="5">
        <v>6</v>
      </c>
      <c r="B7" s="5">
        <v>50.4</v>
      </c>
      <c r="C7" s="5">
        <v>54.6</v>
      </c>
      <c r="E7" s="7" t="s">
        <v>11</v>
      </c>
      <c r="F7" s="7">
        <f>COUNT(B2:B11)</f>
        <v>10</v>
      </c>
    </row>
    <row r="8" spans="1:9" x14ac:dyDescent="0.35">
      <c r="A8" s="5">
        <v>7</v>
      </c>
      <c r="B8" s="5">
        <v>49.6</v>
      </c>
      <c r="C8" s="5">
        <v>66.5</v>
      </c>
      <c r="E8" s="7" t="s">
        <v>12</v>
      </c>
      <c r="F8" s="7">
        <f>COUNTA(B1:C1)</f>
        <v>2</v>
      </c>
      <c r="H8" s="7" t="s">
        <v>64</v>
      </c>
      <c r="I8" s="7">
        <v>0.9</v>
      </c>
    </row>
    <row r="9" spans="1:9" x14ac:dyDescent="0.35">
      <c r="A9" s="5">
        <v>8</v>
      </c>
      <c r="B9" s="5">
        <v>77.900000000000006</v>
      </c>
      <c r="C9" s="5">
        <v>71.599999999999994</v>
      </c>
    </row>
    <row r="10" spans="1:9" x14ac:dyDescent="0.35">
      <c r="A10" s="5">
        <v>9</v>
      </c>
      <c r="B10" s="5">
        <v>63.9</v>
      </c>
      <c r="C10" s="5">
        <v>77.2</v>
      </c>
    </row>
    <row r="11" spans="1:9" x14ac:dyDescent="0.35">
      <c r="A11" s="5">
        <v>10</v>
      </c>
      <c r="B11" s="5">
        <v>55.1</v>
      </c>
      <c r="C11" s="5">
        <v>56.8</v>
      </c>
    </row>
    <row r="13" spans="1:9" x14ac:dyDescent="0.35">
      <c r="A13" s="6" t="s">
        <v>51</v>
      </c>
      <c r="D13" s="6" t="s">
        <v>54</v>
      </c>
    </row>
    <row r="15" spans="1:9" x14ac:dyDescent="0.35">
      <c r="A15" t="s">
        <v>52</v>
      </c>
      <c r="B15" s="7">
        <f>AVERAGE(B2:B11)</f>
        <v>62.58</v>
      </c>
      <c r="D15" s="7">
        <f>_xlfn.VAR.S(B2:B11)</f>
        <v>164.93288888888895</v>
      </c>
      <c r="E15" s="7">
        <f>_xlfn.COVARIANCE.S(B2:B11,C2:C11)</f>
        <v>36.008888888888883</v>
      </c>
    </row>
    <row r="16" spans="1:9" x14ac:dyDescent="0.35">
      <c r="A16" t="s">
        <v>53</v>
      </c>
      <c r="B16" s="7">
        <f>AVERAGE(C2:C11)</f>
        <v>66.599999999999994</v>
      </c>
      <c r="D16" s="7">
        <f>E15</f>
        <v>36.008888888888883</v>
      </c>
      <c r="E16" s="7">
        <f>_xlfn.VAR.S(C2:C11)</f>
        <v>66.964444444443672</v>
      </c>
    </row>
    <row r="18" spans="1:10" x14ac:dyDescent="0.35">
      <c r="A18" s="12" t="s">
        <v>60</v>
      </c>
      <c r="B18" s="12"/>
      <c r="C18" s="12"/>
      <c r="D18" s="12"/>
      <c r="E18" s="12"/>
      <c r="F18" s="12"/>
      <c r="G18" s="12"/>
      <c r="H18" s="12"/>
      <c r="I18" s="12"/>
    </row>
    <row r="24" spans="1:10" x14ac:dyDescent="0.35">
      <c r="A24" s="6" t="s">
        <v>61</v>
      </c>
      <c r="D24" s="6" t="s">
        <v>62</v>
      </c>
    </row>
    <row r="26" spans="1:10" x14ac:dyDescent="0.35">
      <c r="B26" s="7">
        <f>B15-I5</f>
        <v>7.5799999999999983</v>
      </c>
      <c r="D26" s="7" cm="1">
        <f t="array" ref="D26:E27">MINVERSE(D15:E16)</f>
        <v>6.8695578546604215E-3</v>
      </c>
      <c r="E26" s="7">
        <v>-3.6939774167690561E-3</v>
      </c>
      <c r="I26">
        <f>B15*D26</f>
        <v>0.42989693054464917</v>
      </c>
      <c r="J26">
        <f>B16*D26</f>
        <v>0.45751255312038402</v>
      </c>
    </row>
    <row r="27" spans="1:10" x14ac:dyDescent="0.35">
      <c r="B27" s="7">
        <f>B16-I6</f>
        <v>6.5999999999999943</v>
      </c>
      <c r="D27" s="7">
        <v>-3.6939774167690561E-3</v>
      </c>
      <c r="E27" s="7">
        <v>1.69196658280126E-2</v>
      </c>
      <c r="I27">
        <f>B15*E26</f>
        <v>-0.23116910674140753</v>
      </c>
      <c r="J27">
        <f>B16*E26</f>
        <v>-0.24601889595681911</v>
      </c>
    </row>
    <row r="28" spans="1:10" x14ac:dyDescent="0.35">
      <c r="I28">
        <f>B15*E27</f>
        <v>1.0588326875170284</v>
      </c>
      <c r="J28">
        <f>B16*E27</f>
        <v>1.1268497441456391</v>
      </c>
    </row>
    <row r="29" spans="1:10" x14ac:dyDescent="0.35">
      <c r="A29" s="6" t="s">
        <v>17</v>
      </c>
      <c r="D29" s="6" t="s">
        <v>20</v>
      </c>
    </row>
    <row r="30" spans="1:10" x14ac:dyDescent="0.35">
      <c r="E30" t="s">
        <v>63</v>
      </c>
      <c r="I30">
        <f>I26+J27</f>
        <v>0.18387803458783006</v>
      </c>
      <c r="J30">
        <f>I27+J28</f>
        <v>0.89568063740423154</v>
      </c>
    </row>
    <row r="31" spans="1:10" x14ac:dyDescent="0.35">
      <c r="B31" s="8" cm="1">
        <f t="array" ref="B31">F7*(MMULT(MMULT(TRANSPOSE(B26:B27),_xlfn.ANCHORARRAY(D26)),B26:B27))</f>
        <v>7.6211610297649415</v>
      </c>
      <c r="D31">
        <f>((F7-1)*F8)/(F7-F8)</f>
        <v>2.25</v>
      </c>
      <c r="E31">
        <f>_xlfn.F.INV(I8,F8,F7-F8)</f>
        <v>3.1131176401556906</v>
      </c>
      <c r="F31" s="8">
        <f>D31*E31</f>
        <v>7.0045146903503035</v>
      </c>
    </row>
    <row r="32" spans="1:10" x14ac:dyDescent="0.35">
      <c r="I32">
        <f>B15*I30</f>
        <v>11.507087404506406</v>
      </c>
      <c r="J32">
        <f>J30*B16</f>
        <v>59.652330451121813</v>
      </c>
    </row>
    <row r="33" spans="1:9" x14ac:dyDescent="0.35">
      <c r="B33" s="6" t="s">
        <v>65</v>
      </c>
    </row>
    <row r="34" spans="1:9" x14ac:dyDescent="0.35">
      <c r="C34" t="str">
        <f>IF(B31&lt;F31, "TERIMA H0", "TOLAK H0")</f>
        <v>TOLAK H0</v>
      </c>
      <c r="D34" t="s">
        <v>66</v>
      </c>
      <c r="F34">
        <f>1-I8</f>
        <v>9.9999999999999978E-2</v>
      </c>
    </row>
    <row r="36" spans="1:9" x14ac:dyDescent="0.35">
      <c r="A36" s="12" t="s">
        <v>67</v>
      </c>
      <c r="B36" s="12"/>
      <c r="C36" s="12"/>
      <c r="D36" s="12"/>
      <c r="E36" s="12"/>
      <c r="F36" s="12"/>
      <c r="G36" s="12"/>
      <c r="H36" s="12"/>
      <c r="I36" s="12"/>
    </row>
    <row r="49" spans="1:9" x14ac:dyDescent="0.35">
      <c r="A49" s="12" t="s">
        <v>68</v>
      </c>
      <c r="B49" s="12"/>
      <c r="C49" s="12"/>
      <c r="D49" s="12"/>
      <c r="E49" s="12"/>
      <c r="F49" s="12"/>
      <c r="G49" s="12"/>
      <c r="H49" s="12"/>
      <c r="I49" s="12"/>
    </row>
    <row r="56" spans="1:9" x14ac:dyDescent="0.35">
      <c r="A56" s="6" t="s">
        <v>69</v>
      </c>
      <c r="B56" s="6"/>
    </row>
    <row r="58" spans="1:9" x14ac:dyDescent="0.35">
      <c r="B58" s="7">
        <f>B15</f>
        <v>62.58</v>
      </c>
    </row>
    <row r="59" spans="1:9" x14ac:dyDescent="0.35">
      <c r="B59" s="7">
        <f>B16</f>
        <v>66.599999999999994</v>
      </c>
    </row>
    <row r="61" spans="1:9" x14ac:dyDescent="0.35">
      <c r="A61" s="6" t="s">
        <v>70</v>
      </c>
      <c r="D61" s="13"/>
      <c r="E61" s="13"/>
    </row>
    <row r="62" spans="1:9" x14ac:dyDescent="0.35">
      <c r="D62" t="s">
        <v>52</v>
      </c>
      <c r="E62" t="s">
        <v>53</v>
      </c>
    </row>
    <row r="63" spans="1:9" x14ac:dyDescent="0.35">
      <c r="A63" s="7" t="s">
        <v>71</v>
      </c>
      <c r="B63" s="7">
        <v>176.744</v>
      </c>
      <c r="C63" s="9" t="s">
        <v>40</v>
      </c>
      <c r="D63" s="7">
        <v>0.95</v>
      </c>
      <c r="E63" s="7">
        <v>0.312</v>
      </c>
    </row>
    <row r="64" spans="1:9" x14ac:dyDescent="0.35">
      <c r="A64" s="7" t="s">
        <v>72</v>
      </c>
      <c r="B64" s="7">
        <v>55.152999999999999</v>
      </c>
      <c r="C64" s="9" t="s">
        <v>41</v>
      </c>
      <c r="D64" s="7">
        <v>-0.312</v>
      </c>
      <c r="E64" s="7">
        <v>0.95</v>
      </c>
    </row>
    <row r="66" spans="1:4" x14ac:dyDescent="0.35">
      <c r="A66" s="6" t="s">
        <v>73</v>
      </c>
      <c r="B66" s="6"/>
    </row>
    <row r="68" spans="1:4" x14ac:dyDescent="0.35">
      <c r="A68" t="s">
        <v>74</v>
      </c>
      <c r="B68" s="7">
        <f>F31</f>
        <v>7.0045146903503035</v>
      </c>
    </row>
    <row r="70" spans="1:4" x14ac:dyDescent="0.35">
      <c r="A70" t="s">
        <v>75</v>
      </c>
      <c r="C70" s="7">
        <f>SQRT(B63)/SQRT(F7)*SQRT(B68)</f>
        <v>11.126571549364494</v>
      </c>
    </row>
    <row r="71" spans="1:4" x14ac:dyDescent="0.35">
      <c r="A71" t="s">
        <v>76</v>
      </c>
      <c r="C71" s="7">
        <f>SQRT(B64)/SQRT(F7)*SQRT(B68)</f>
        <v>6.215464574083664</v>
      </c>
    </row>
    <row r="73" spans="1:4" x14ac:dyDescent="0.35">
      <c r="A73" s="6" t="s">
        <v>77</v>
      </c>
    </row>
    <row r="74" spans="1:4" x14ac:dyDescent="0.35">
      <c r="B74" t="s">
        <v>80</v>
      </c>
    </row>
    <row r="75" spans="1:4" x14ac:dyDescent="0.35">
      <c r="A75" s="6" t="s">
        <v>78</v>
      </c>
      <c r="B75" t="s">
        <v>81</v>
      </c>
      <c r="C75" s="8" cm="1">
        <f t="array" ref="C75:C76">B58:B59-C70*TRANSPOSE(D63:E63)</f>
        <v>52.009757028103728</v>
      </c>
      <c r="D75" s="8" cm="1">
        <f t="array" ref="D75:D76">B58:B59+C70*TRANSPOSE(D63:E63)</f>
        <v>73.150242971896262</v>
      </c>
    </row>
    <row r="76" spans="1:4" x14ac:dyDescent="0.35">
      <c r="B76" t="s">
        <v>82</v>
      </c>
      <c r="C76" s="8">
        <v>63.12850967659827</v>
      </c>
      <c r="D76" s="8">
        <v>70.071490323401719</v>
      </c>
    </row>
    <row r="78" spans="1:4" x14ac:dyDescent="0.35">
      <c r="B78" t="s">
        <v>80</v>
      </c>
    </row>
    <row r="79" spans="1:4" x14ac:dyDescent="0.35">
      <c r="A79" s="6" t="s">
        <v>79</v>
      </c>
      <c r="B79" t="s">
        <v>81</v>
      </c>
      <c r="C79" s="8" cm="1">
        <f t="array" ref="C79:C80">B58:B59-C71*TRANSPOSE(D64:E64)</f>
        <v>64.519224947114097</v>
      </c>
      <c r="D79" s="8" cm="1">
        <f t="array" ref="D79:D80">B58:B59+C71*TRANSPOSE(D64:E64)</f>
        <v>60.640775052885893</v>
      </c>
    </row>
    <row r="80" spans="1:4" x14ac:dyDescent="0.35">
      <c r="B80" t="s">
        <v>82</v>
      </c>
      <c r="C80" s="8">
        <v>60.695308654620511</v>
      </c>
      <c r="D80" s="8">
        <v>72.50469134537947</v>
      </c>
    </row>
    <row r="82" spans="1:9" x14ac:dyDescent="0.35">
      <c r="A82" s="6" t="s">
        <v>83</v>
      </c>
    </row>
    <row r="95" spans="1:9" x14ac:dyDescent="0.35">
      <c r="A95" s="12" t="s">
        <v>84</v>
      </c>
      <c r="B95" s="12"/>
      <c r="C95" s="12"/>
      <c r="D95" s="12"/>
      <c r="E95" s="12"/>
      <c r="F95" s="12"/>
      <c r="G95" s="12"/>
      <c r="H95" s="12"/>
      <c r="I95" s="12"/>
    </row>
    <row r="103" spans="1:6" x14ac:dyDescent="0.35">
      <c r="A103" t="s">
        <v>74</v>
      </c>
      <c r="B103" s="7">
        <f>B68</f>
        <v>7.0045146903503035</v>
      </c>
      <c r="E103" t="s">
        <v>86</v>
      </c>
      <c r="F103" s="7">
        <v>62.58</v>
      </c>
    </row>
    <row r="104" spans="1:6" x14ac:dyDescent="0.35">
      <c r="F104" s="7">
        <v>66.599999999999994</v>
      </c>
    </row>
    <row r="105" spans="1:6" x14ac:dyDescent="0.35">
      <c r="A105" t="s">
        <v>26</v>
      </c>
      <c r="B105" s="7">
        <v>164.93288888888895</v>
      </c>
      <c r="C105" s="7">
        <v>36.008888888888883</v>
      </c>
    </row>
    <row r="106" spans="1:6" x14ac:dyDescent="0.35">
      <c r="B106" s="7">
        <v>36.008888888888883</v>
      </c>
      <c r="C106" s="7">
        <v>66.964444444443672</v>
      </c>
    </row>
    <row r="110" spans="1:6" x14ac:dyDescent="0.35">
      <c r="A110" s="10" t="s">
        <v>85</v>
      </c>
      <c r="B110" s="10"/>
      <c r="D110" s="10" t="s">
        <v>85</v>
      </c>
      <c r="E110" s="10"/>
    </row>
    <row r="112" spans="1:6" x14ac:dyDescent="0.35">
      <c r="A112" s="7" t="s">
        <v>87</v>
      </c>
      <c r="B112" s="8">
        <f>F103-SQRT(B103*B105/10)</f>
        <v>51.831628759927682</v>
      </c>
      <c r="D112" s="7" t="s">
        <v>87</v>
      </c>
      <c r="E112" s="8">
        <f>F104-SQRT(B103*C106/10)</f>
        <v>59.751252414913708</v>
      </c>
    </row>
    <row r="113" spans="1:9" x14ac:dyDescent="0.35">
      <c r="A113" s="7" t="s">
        <v>88</v>
      </c>
      <c r="B113" s="8">
        <f>F103+SQRT(B103*B105/10)</f>
        <v>73.328371240072315</v>
      </c>
      <c r="D113" s="7" t="s">
        <v>88</v>
      </c>
      <c r="E113" s="8">
        <f>F104+SQRT(B103*C106/10)</f>
        <v>73.448747585086281</v>
      </c>
    </row>
    <row r="116" spans="1:9" x14ac:dyDescent="0.35">
      <c r="A116" s="12" t="s">
        <v>89</v>
      </c>
      <c r="B116" s="12"/>
      <c r="C116" s="12"/>
      <c r="D116" s="12"/>
      <c r="E116" s="12"/>
      <c r="F116" s="12"/>
      <c r="G116" s="12"/>
      <c r="H116" s="12"/>
      <c r="I116" s="12"/>
    </row>
    <row r="119" spans="1:9" x14ac:dyDescent="0.35">
      <c r="G119" t="s">
        <v>86</v>
      </c>
      <c r="H119" s="7">
        <v>62.58</v>
      </c>
    </row>
    <row r="120" spans="1:9" x14ac:dyDescent="0.35">
      <c r="H120" s="7">
        <v>66.599999999999994</v>
      </c>
    </row>
    <row r="122" spans="1:9" x14ac:dyDescent="0.35">
      <c r="A122" t="s">
        <v>11</v>
      </c>
      <c r="B122" s="7">
        <v>10</v>
      </c>
      <c r="D122" t="s">
        <v>33</v>
      </c>
      <c r="E122" s="7">
        <f>0.1/(2*B123)</f>
        <v>2.5000000000000001E-2</v>
      </c>
      <c r="G122" t="s">
        <v>26</v>
      </c>
      <c r="H122" s="7">
        <v>164.93288888888895</v>
      </c>
      <c r="I122" s="7">
        <v>36.008888888888883</v>
      </c>
    </row>
    <row r="123" spans="1:9" x14ac:dyDescent="0.35">
      <c r="A123" t="s">
        <v>12</v>
      </c>
      <c r="B123" s="7">
        <v>2</v>
      </c>
      <c r="D123" t="s">
        <v>90</v>
      </c>
      <c r="E123" s="7">
        <f>ABS(_xlfn.T.INV(E122,B122-1))</f>
        <v>2.2621571627982053</v>
      </c>
      <c r="H123" s="7">
        <v>36.008888888888883</v>
      </c>
      <c r="I123" s="7">
        <v>66.964444444443672</v>
      </c>
    </row>
    <row r="125" spans="1:9" x14ac:dyDescent="0.35">
      <c r="A125" s="10" t="s">
        <v>85</v>
      </c>
      <c r="B125" s="10"/>
      <c r="D125" s="10" t="s">
        <v>85</v>
      </c>
      <c r="E125" s="10"/>
    </row>
    <row r="127" spans="1:9" x14ac:dyDescent="0.35">
      <c r="A127" s="7" t="s">
        <v>87</v>
      </c>
      <c r="B127" s="8">
        <f>H119-E123*SQRT(H122/10)</f>
        <v>53.392943080420622</v>
      </c>
      <c r="D127" s="7" t="s">
        <v>87</v>
      </c>
      <c r="E127" s="8">
        <f>H120-E123*SQRT(I123/10)</f>
        <v>60.746105257563073</v>
      </c>
    </row>
    <row r="128" spans="1:9" x14ac:dyDescent="0.35">
      <c r="A128" s="7" t="s">
        <v>88</v>
      </c>
      <c r="B128" s="8">
        <f>H119+E123*SQRT(H122/10)</f>
        <v>71.767056919579375</v>
      </c>
      <c r="D128" s="7" t="s">
        <v>88</v>
      </c>
      <c r="E128" s="8">
        <f>H120+E123*SQRT(I123/10)</f>
        <v>72.453894742436916</v>
      </c>
    </row>
  </sheetData>
  <mergeCells count="6">
    <mergeCell ref="A116:I116"/>
    <mergeCell ref="A18:I18"/>
    <mergeCell ref="A36:I36"/>
    <mergeCell ref="A49:I49"/>
    <mergeCell ref="D61:E61"/>
    <mergeCell ref="A95:I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Jawaban P1</vt:lpstr>
      <vt:lpstr>Jawaban 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</dc:creator>
  <cp:lastModifiedBy>DHEA</cp:lastModifiedBy>
  <dcterms:created xsi:type="dcterms:W3CDTF">2023-08-29T04:34:48Z</dcterms:created>
  <dcterms:modified xsi:type="dcterms:W3CDTF">2023-08-30T13:47:57Z</dcterms:modified>
</cp:coreProperties>
</file>