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Fathan\Documents\Obsidian Vault\2. Kuliah\Smt 5\7. Pengantar Analisis Data Kategorik\"/>
    </mc:Choice>
  </mc:AlternateContent>
  <xr:revisionPtr revIDLastSave="0" documentId="13_ncr:1_{8D9BE88C-7717-4788-8E41-C0B95FAD294F}" xr6:coauthVersionLast="47" xr6:coauthVersionMax="47" xr10:uidLastSave="{00000000-0000-0000-0000-000000000000}"/>
  <bookViews>
    <workbookView xWindow="-105" yWindow="0" windowWidth="14595" windowHeight="17385" firstSheet="4" activeTab="4" xr2:uid="{00000000-000D-0000-FFFF-FFFF00000000}"/>
  </bookViews>
  <sheets>
    <sheet name="1. Uji Tanda &amp; Wilcoxon" sheetId="1" r:id="rId1"/>
    <sheet name="2. Mann-Whitney, Berpasangan, r" sheetId="2" r:id="rId2"/>
    <sheet name="3. Kebaikan Suai, Bebas, Homoge" sheetId="3" r:id="rId3"/>
    <sheet name="4. Sebaran Binom &amp; Multi" sheetId="4" r:id="rId4"/>
    <sheet name="5. Likelihood, MLE, Pro binom" sheetId="5" r:id="rId5"/>
    <sheet name="6 7. Tab.Kontingensi, uji dia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5" l="1"/>
  <c r="N15" i="5"/>
  <c r="J101" i="1"/>
  <c r="E102" i="1"/>
  <c r="E101" i="1"/>
  <c r="F102" i="1"/>
  <c r="F101" i="1"/>
  <c r="E95" i="1"/>
  <c r="E91" i="1"/>
  <c r="G90" i="1"/>
  <c r="H87" i="1"/>
  <c r="H24" i="4"/>
  <c r="G27" i="4"/>
  <c r="H22" i="4"/>
  <c r="I18" i="4"/>
  <c r="H18" i="4"/>
  <c r="O11" i="5"/>
  <c r="O9" i="5"/>
  <c r="N11" i="5"/>
  <c r="N9" i="5"/>
  <c r="Y18" i="1"/>
  <c r="BJ48" i="3"/>
  <c r="BI48" i="3"/>
  <c r="BK46" i="3"/>
  <c r="BK44" i="3"/>
  <c r="BN43" i="3"/>
  <c r="BN42" i="3"/>
  <c r="BC31" i="3"/>
  <c r="AX36" i="3"/>
  <c r="AW36" i="3"/>
  <c r="AZ34" i="3"/>
  <c r="AZ32" i="3"/>
  <c r="BC30" i="3"/>
  <c r="A112" i="6"/>
  <c r="D84" i="6"/>
  <c r="A104" i="6" s="1"/>
  <c r="B107" i="6" s="1"/>
  <c r="C84" i="6"/>
  <c r="E85" i="6" s="1"/>
  <c r="A59" i="6"/>
  <c r="A51" i="6"/>
  <c r="B54" i="6" s="1"/>
  <c r="A44" i="6"/>
  <c r="B46" i="6" s="1"/>
  <c r="A36" i="6"/>
  <c r="B39" i="6" s="1"/>
  <c r="E32" i="6"/>
  <c r="D32" i="6"/>
  <c r="C32" i="6"/>
  <c r="E31" i="6"/>
  <c r="E30" i="6"/>
  <c r="BN47" i="3" l="1"/>
  <c r="BC35" i="3"/>
  <c r="BK48" i="3"/>
  <c r="AZ36" i="3"/>
  <c r="A97" i="6"/>
  <c r="B99" i="6" s="1"/>
  <c r="A89" i="6"/>
  <c r="B92" i="6" s="1"/>
  <c r="F34" i="4"/>
  <c r="G39" i="4" s="1"/>
  <c r="F22" i="4"/>
  <c r="BJ31" i="3"/>
  <c r="BI31" i="3"/>
  <c r="BK29" i="3"/>
  <c r="BK27" i="3"/>
  <c r="BK25" i="3"/>
  <c r="BK23" i="3"/>
  <c r="BK21" i="3"/>
  <c r="BK19" i="3"/>
  <c r="BN18" i="3"/>
  <c r="BN22" i="3" s="1"/>
  <c r="BN17" i="3"/>
  <c r="BC19" i="3"/>
  <c r="AY24" i="3"/>
  <c r="AX24" i="3"/>
  <c r="AW24" i="3"/>
  <c r="AZ22" i="3"/>
  <c r="AZ20" i="3"/>
  <c r="AZ24" i="3" s="1"/>
  <c r="BC18" i="3"/>
  <c r="BC23" i="3" s="1"/>
  <c r="AL17" i="3"/>
  <c r="AO26" i="3"/>
  <c r="AN26" i="3"/>
  <c r="AO25" i="3"/>
  <c r="AN25" i="3"/>
  <c r="AO24" i="3"/>
  <c r="AN24" i="3"/>
  <c r="AO23" i="3"/>
  <c r="AN23" i="3"/>
  <c r="AO22" i="3"/>
  <c r="AN22" i="3"/>
  <c r="AO21" i="3"/>
  <c r="AN21" i="3"/>
  <c r="AO20" i="3"/>
  <c r="AN20" i="3"/>
  <c r="AO19" i="3"/>
  <c r="AN19" i="3"/>
  <c r="AO18" i="3"/>
  <c r="AP18" i="3" s="1"/>
  <c r="AN18" i="3"/>
  <c r="AL21" i="3"/>
  <c r="AL19" i="3"/>
  <c r="Q19" i="3"/>
  <c r="T24" i="3"/>
  <c r="S24" i="3"/>
  <c r="T23" i="3"/>
  <c r="U23" i="3" s="1"/>
  <c r="S23" i="3"/>
  <c r="T22" i="3"/>
  <c r="S22" i="3"/>
  <c r="U22" i="3" s="1"/>
  <c r="T21" i="3"/>
  <c r="S21" i="3"/>
  <c r="T20" i="3"/>
  <c r="S20" i="3"/>
  <c r="T19" i="3"/>
  <c r="S19" i="3"/>
  <c r="T18" i="3"/>
  <c r="S18" i="3"/>
  <c r="Q22" i="3"/>
  <c r="Q20" i="3"/>
  <c r="Q18" i="3"/>
  <c r="AP26" i="3" l="1"/>
  <c r="AW23" i="3"/>
  <c r="AW27" i="3" s="1"/>
  <c r="AW33" i="3"/>
  <c r="AW38" i="3" s="1"/>
  <c r="AY21" i="3"/>
  <c r="AY26" i="3" s="1"/>
  <c r="AW21" i="3"/>
  <c r="AW26" i="3" s="1"/>
  <c r="BI45" i="3"/>
  <c r="BI50" i="3" s="1"/>
  <c r="U20" i="3"/>
  <c r="U18" i="3"/>
  <c r="BJ45" i="3"/>
  <c r="BJ50" i="3" s="1"/>
  <c r="AX35" i="3"/>
  <c r="AX39" i="3" s="1"/>
  <c r="BI26" i="3"/>
  <c r="BI36" i="3" s="1"/>
  <c r="BJ24" i="3"/>
  <c r="BJ35" i="3" s="1"/>
  <c r="AY23" i="3"/>
  <c r="AY27" i="3" s="1"/>
  <c r="AX23" i="3"/>
  <c r="AX27" i="3" s="1"/>
  <c r="AX21" i="3"/>
  <c r="AX26" i="3" s="1"/>
  <c r="BC21" i="3" s="1"/>
  <c r="BB26" i="3" s="1"/>
  <c r="BB27" i="3" s="1"/>
  <c r="AX33" i="3"/>
  <c r="AX38" i="3" s="1"/>
  <c r="BC33" i="3" s="1"/>
  <c r="Q26" i="3"/>
  <c r="AW35" i="3"/>
  <c r="AW39" i="3" s="1"/>
  <c r="U24" i="3"/>
  <c r="AB23" i="3" s="1"/>
  <c r="AL18" i="3"/>
  <c r="AL25" i="3" s="1"/>
  <c r="BK31" i="3"/>
  <c r="BI47" i="3" s="1"/>
  <c r="BI51" i="3" s="1"/>
  <c r="AP24" i="3"/>
  <c r="AP19" i="3"/>
  <c r="AP22" i="3"/>
  <c r="AP25" i="3"/>
  <c r="AP20" i="3"/>
  <c r="AP23" i="3"/>
  <c r="AP21" i="3"/>
  <c r="U21" i="3"/>
  <c r="AA23" i="3"/>
  <c r="U19" i="3"/>
  <c r="Q21" i="3" s="1"/>
  <c r="BJ47" i="3" l="1"/>
  <c r="BJ51" i="3" s="1"/>
  <c r="BN45" i="3" s="1"/>
  <c r="BM50" i="3" s="1"/>
  <c r="BM51" i="3" s="1"/>
  <c r="BB38" i="3"/>
  <c r="BB39" i="3" s="1"/>
  <c r="AL20" i="3"/>
  <c r="AQ18" i="3" s="1"/>
  <c r="AR18" i="3" s="1"/>
  <c r="AS18" i="3" s="1"/>
  <c r="V22" i="3"/>
  <c r="W22" i="3" s="1"/>
  <c r="V23" i="3"/>
  <c r="W23" i="3" s="1"/>
  <c r="V21" i="3"/>
  <c r="W21" i="3" s="1"/>
  <c r="V24" i="3"/>
  <c r="W24" i="3" s="1"/>
  <c r="V20" i="3"/>
  <c r="W20" i="3" s="1"/>
  <c r="V18" i="3"/>
  <c r="W18" i="3" s="1"/>
  <c r="BI28" i="3"/>
  <c r="BI37" i="3" s="1"/>
  <c r="BJ26" i="3"/>
  <c r="BJ36" i="3" s="1"/>
  <c r="BJ30" i="3"/>
  <c r="BJ38" i="3" s="1"/>
  <c r="BJ28" i="3"/>
  <c r="BJ37" i="3" s="1"/>
  <c r="BI30" i="3"/>
  <c r="BI38" i="3" s="1"/>
  <c r="V19" i="3"/>
  <c r="W19" i="3" s="1"/>
  <c r="BI24" i="3"/>
  <c r="BI35" i="3" s="1"/>
  <c r="BI20" i="3"/>
  <c r="BI33" i="3" s="1"/>
  <c r="BJ22" i="3"/>
  <c r="BJ34" i="3" s="1"/>
  <c r="BI22" i="3"/>
  <c r="BI34" i="3" s="1"/>
  <c r="BJ20" i="3"/>
  <c r="BJ33" i="3" s="1"/>
  <c r="AQ25" i="3"/>
  <c r="AR25" i="3" s="1"/>
  <c r="AS25" i="3" s="1"/>
  <c r="AQ26" i="3"/>
  <c r="AR26" i="3" s="1"/>
  <c r="AS26" i="3" s="1"/>
  <c r="AQ22" i="3"/>
  <c r="AR22" i="3" s="1"/>
  <c r="AS22" i="3" s="1"/>
  <c r="AQ21" i="3"/>
  <c r="AR21" i="3" s="1"/>
  <c r="AS21" i="3" s="1"/>
  <c r="AQ19" i="3"/>
  <c r="AR19" i="3" s="1"/>
  <c r="AS19" i="3" s="1"/>
  <c r="AQ20" i="3"/>
  <c r="AR20" i="3" s="1"/>
  <c r="AS20" i="3" s="1"/>
  <c r="AQ23" i="3"/>
  <c r="AR23" i="3" s="1"/>
  <c r="AS23" i="3" s="1"/>
  <c r="AQ24" i="3" l="1"/>
  <c r="AR24" i="3" s="1"/>
  <c r="AS24" i="3" s="1"/>
  <c r="AL23" i="3" s="1"/>
  <c r="AK28" i="3" s="1"/>
  <c r="AK29" i="3" s="1"/>
  <c r="BN20" i="3"/>
  <c r="BM25" i="3" s="1"/>
  <c r="BM26" i="3" s="1"/>
  <c r="E20" i="3" l="1"/>
  <c r="E17" i="3"/>
  <c r="E18" i="3" s="1"/>
  <c r="E16" i="3"/>
  <c r="G31" i="3" l="1"/>
  <c r="G33" i="3" s="1"/>
  <c r="G34" i="3" s="1"/>
  <c r="E24" i="3"/>
  <c r="X20" i="3"/>
  <c r="X21" i="3"/>
  <c r="X22" i="3"/>
  <c r="X18" i="3"/>
  <c r="X24" i="3"/>
  <c r="X19" i="3"/>
  <c r="E19" i="3"/>
  <c r="AC23" i="3" l="1"/>
  <c r="I17" i="3"/>
  <c r="J17" i="3" s="1"/>
  <c r="I18" i="3"/>
  <c r="J18" i="3" s="1"/>
  <c r="I19" i="3"/>
  <c r="J19" i="3" s="1"/>
  <c r="I20" i="3"/>
  <c r="J20" i="3" s="1"/>
  <c r="I21" i="3"/>
  <c r="J21" i="3" s="1"/>
  <c r="BR28" i="2"/>
  <c r="BS32" i="2" a="1"/>
  <c r="BS32" i="2" s="1"/>
  <c r="BT32" i="2" s="1"/>
  <c r="BS19" i="2" a="1"/>
  <c r="BS19" i="2" s="1"/>
  <c r="BP25" i="2"/>
  <c r="BL28" i="2"/>
  <c r="BM28" i="2" s="1"/>
  <c r="BL29" i="2"/>
  <c r="BM29" i="2" s="1"/>
  <c r="BP33" i="2" s="1"/>
  <c r="BL30" i="2"/>
  <c r="BM30" i="2" s="1"/>
  <c r="BL31" i="2"/>
  <c r="BM31" i="2" s="1"/>
  <c r="BL32" i="2"/>
  <c r="BM32" i="2" s="1"/>
  <c r="BL33" i="2"/>
  <c r="BM33" i="2" s="1"/>
  <c r="BL34" i="2"/>
  <c r="BM34" i="2" s="1"/>
  <c r="BL35" i="2"/>
  <c r="BM35" i="2" s="1"/>
  <c r="BL36" i="2"/>
  <c r="BM36" i="2" s="1"/>
  <c r="BL27" i="2"/>
  <c r="BM27" i="2" s="1"/>
  <c r="BI30" i="2"/>
  <c r="BI29" i="2"/>
  <c r="BG30" i="2"/>
  <c r="BI28" i="2"/>
  <c r="BI31" i="2"/>
  <c r="BI32" i="2"/>
  <c r="BI33" i="2"/>
  <c r="BI34" i="2"/>
  <c r="BI35" i="2"/>
  <c r="BI36" i="2"/>
  <c r="BI27" i="2"/>
  <c r="BG29" i="2"/>
  <c r="BG36" i="2"/>
  <c r="BG32" i="2"/>
  <c r="BG35" i="2"/>
  <c r="BG34" i="2"/>
  <c r="BG33" i="2"/>
  <c r="BG31" i="2"/>
  <c r="BG27" i="2"/>
  <c r="BG28" i="2"/>
  <c r="U22" i="1"/>
  <c r="U57" i="1"/>
  <c r="U46" i="1"/>
  <c r="U47" i="1"/>
  <c r="U48" i="1"/>
  <c r="U49" i="1"/>
  <c r="U50" i="1"/>
  <c r="U51" i="1"/>
  <c r="U52" i="1"/>
  <c r="U53" i="1"/>
  <c r="U54" i="1"/>
  <c r="U45" i="1"/>
  <c r="U25" i="1"/>
  <c r="U26" i="1"/>
  <c r="U27" i="1"/>
  <c r="U28" i="1"/>
  <c r="U29" i="1"/>
  <c r="U30" i="1"/>
  <c r="U31" i="1"/>
  <c r="U32" i="1"/>
  <c r="U33" i="1"/>
  <c r="U34" i="1"/>
  <c r="U24" i="1"/>
  <c r="U21" i="1"/>
  <c r="AM22" i="2"/>
  <c r="AM23" i="2"/>
  <c r="AM24" i="2"/>
  <c r="AM25" i="2"/>
  <c r="AN25" i="2" s="1"/>
  <c r="AM26" i="2"/>
  <c r="AN26" i="2" s="1"/>
  <c r="AM27" i="2"/>
  <c r="AN27" i="2" s="1"/>
  <c r="AM28" i="2"/>
  <c r="AN28" i="2" s="1"/>
  <c r="AM29" i="2"/>
  <c r="AN29" i="2" s="1"/>
  <c r="AM30" i="2"/>
  <c r="AM21" i="2"/>
  <c r="AT17" i="2"/>
  <c r="AV14" i="2"/>
  <c r="AW11" i="2"/>
  <c r="AP22" i="2"/>
  <c r="AP23" i="2"/>
  <c r="AP24" i="2"/>
  <c r="AP25" i="2"/>
  <c r="AP26" i="2"/>
  <c r="AP27" i="2"/>
  <c r="AQ27" i="2" s="1"/>
  <c r="AP28" i="2"/>
  <c r="AP29" i="2"/>
  <c r="AP30" i="2"/>
  <c r="AP21" i="2"/>
  <c r="B17" i="1"/>
  <c r="B18" i="1"/>
  <c r="B19" i="1"/>
  <c r="B20" i="1"/>
  <c r="B21" i="1"/>
  <c r="B22" i="1"/>
  <c r="B16" i="1"/>
  <c r="Z17" i="2"/>
  <c r="AA27" i="2"/>
  <c r="AA28" i="2"/>
  <c r="AA29" i="2"/>
  <c r="AA26" i="2"/>
  <c r="AB15" i="2"/>
  <c r="G19" i="1"/>
  <c r="AC11" i="2"/>
  <c r="H16" i="1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21" i="2"/>
  <c r="J15" i="2"/>
  <c r="J17" i="2"/>
  <c r="J33" i="2" s="1"/>
  <c r="U59" i="1"/>
  <c r="U58" i="1"/>
  <c r="U55" i="1"/>
  <c r="U56" i="1"/>
  <c r="U23" i="1"/>
  <c r="G66" i="2"/>
  <c r="G65" i="2"/>
  <c r="G60" i="2"/>
  <c r="G61" i="2"/>
  <c r="G62" i="2"/>
  <c r="G63" i="2"/>
  <c r="G59" i="2"/>
  <c r="G53" i="2"/>
  <c r="G54" i="2"/>
  <c r="G55" i="2"/>
  <c r="G56" i="2"/>
  <c r="G57" i="2"/>
  <c r="G58" i="2"/>
  <c r="G52" i="2"/>
  <c r="G51" i="2"/>
  <c r="G50" i="2"/>
  <c r="G43" i="2"/>
  <c r="G44" i="2"/>
  <c r="G45" i="2"/>
  <c r="G46" i="2"/>
  <c r="G47" i="2"/>
  <c r="G48" i="2"/>
  <c r="G49" i="2"/>
  <c r="G31" i="2"/>
  <c r="G34" i="2"/>
  <c r="G35" i="2"/>
  <c r="G36" i="2"/>
  <c r="G37" i="2"/>
  <c r="G38" i="2"/>
  <c r="G39" i="2"/>
  <c r="G40" i="2"/>
  <c r="G41" i="2"/>
  <c r="G42" i="2"/>
  <c r="G33" i="2"/>
  <c r="G30" i="2"/>
  <c r="G29" i="2"/>
  <c r="G25" i="2"/>
  <c r="G26" i="2"/>
  <c r="G27" i="2"/>
  <c r="G28" i="2"/>
  <c r="G24" i="2"/>
  <c r="G23" i="2"/>
  <c r="G22" i="2"/>
  <c r="G21" i="2"/>
  <c r="E20" i="2"/>
  <c r="G20" i="2" s="1"/>
  <c r="E21" i="2"/>
  <c r="E22" i="2"/>
  <c r="E23" i="2"/>
  <c r="E24" i="2"/>
  <c r="E25" i="2"/>
  <c r="E26" i="2"/>
  <c r="E27" i="2"/>
  <c r="E28" i="2"/>
  <c r="E29" i="2"/>
  <c r="E30" i="2"/>
  <c r="E31" i="2"/>
  <c r="E32" i="2"/>
  <c r="G32" i="2" s="1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G64" i="2" s="1"/>
  <c r="E65" i="2"/>
  <c r="E66" i="2"/>
  <c r="E19" i="2"/>
  <c r="G19" i="2" s="1"/>
  <c r="Y45" i="1"/>
  <c r="AA42" i="1"/>
  <c r="AB39" i="1"/>
  <c r="R50" i="1"/>
  <c r="S50" i="1" s="1"/>
  <c r="R27" i="1"/>
  <c r="S27" i="1" s="1"/>
  <c r="R49" i="1"/>
  <c r="S49" i="1" s="1"/>
  <c r="R58" i="1"/>
  <c r="S58" i="1" s="1"/>
  <c r="R46" i="1"/>
  <c r="S46" i="1" s="1"/>
  <c r="R55" i="1"/>
  <c r="S55" i="1" s="1"/>
  <c r="R57" i="1"/>
  <c r="S57" i="1" s="1"/>
  <c r="R54" i="1"/>
  <c r="R52" i="1"/>
  <c r="R48" i="1"/>
  <c r="R45" i="1"/>
  <c r="R53" i="1"/>
  <c r="R47" i="1"/>
  <c r="R59" i="1"/>
  <c r="S59" i="1" s="1"/>
  <c r="R56" i="1"/>
  <c r="S56" i="1" s="1"/>
  <c r="R51" i="1"/>
  <c r="S51" i="1" s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45" i="1"/>
  <c r="P21" i="1"/>
  <c r="AB13" i="1"/>
  <c r="AA16" i="1"/>
  <c r="Y19" i="1"/>
  <c r="R26" i="1"/>
  <c r="R31" i="1"/>
  <c r="R30" i="1"/>
  <c r="S30" i="1" s="1"/>
  <c r="R34" i="1"/>
  <c r="S34" i="1" s="1"/>
  <c r="R21" i="1"/>
  <c r="S21" i="1" s="1"/>
  <c r="R25" i="1"/>
  <c r="S25" i="1" s="1"/>
  <c r="R29" i="1"/>
  <c r="S29" i="1" s="1"/>
  <c r="R24" i="1"/>
  <c r="S24" i="1" s="1"/>
  <c r="R33" i="1"/>
  <c r="S33" i="1" s="1"/>
  <c r="R22" i="1"/>
  <c r="S22" i="1" s="1"/>
  <c r="R28" i="1"/>
  <c r="S28" i="1" s="1"/>
  <c r="R23" i="1"/>
  <c r="S23" i="1" s="1"/>
  <c r="R32" i="1"/>
  <c r="S32" i="1" s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F30" i="1"/>
  <c r="F60" i="1"/>
  <c r="F61" i="1"/>
  <c r="F62" i="1"/>
  <c r="F59" i="1"/>
  <c r="E51" i="1"/>
  <c r="E60" i="1" s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45" i="1"/>
  <c r="B46" i="1"/>
  <c r="E53" i="1"/>
  <c r="G48" i="1"/>
  <c r="H45" i="1"/>
  <c r="E24" i="1"/>
  <c r="F32" i="1"/>
  <c r="F31" i="1"/>
  <c r="AD23" i="3" l="1"/>
  <c r="AE23" i="3" s="1"/>
  <c r="X23" i="3"/>
  <c r="E22" i="3"/>
  <c r="AQ24" i="2"/>
  <c r="AQ28" i="2"/>
  <c r="Z14" i="2"/>
  <c r="AB27" i="2" s="1"/>
  <c r="BT35" i="2"/>
  <c r="BU35" i="2" s="1"/>
  <c r="BP30" i="2" s="1"/>
  <c r="BT34" i="2"/>
  <c r="BU34" i="2" s="1"/>
  <c r="BT33" i="2"/>
  <c r="BU33" i="2" s="1"/>
  <c r="AQ22" i="2"/>
  <c r="AQ23" i="2"/>
  <c r="Z16" i="2"/>
  <c r="AN24" i="2"/>
  <c r="AQ26" i="2"/>
  <c r="AN22" i="2"/>
  <c r="AQ21" i="2"/>
  <c r="AQ30" i="2"/>
  <c r="AQ29" i="2"/>
  <c r="AN23" i="2"/>
  <c r="Z26" i="2"/>
  <c r="AQ25" i="2"/>
  <c r="BU32" i="2"/>
  <c r="Z28" i="2"/>
  <c r="AB26" i="2"/>
  <c r="AB29" i="2"/>
  <c r="AN21" i="2"/>
  <c r="AB28" i="2"/>
  <c r="AN30" i="2"/>
  <c r="BP22" i="2"/>
  <c r="BP23" i="2"/>
  <c r="BP24" i="2"/>
  <c r="BP28" i="2" s="1"/>
  <c r="E19" i="1"/>
  <c r="O21" i="2"/>
  <c r="Z15" i="2"/>
  <c r="L20" i="2" a="1"/>
  <c r="L20" i="2" s="1"/>
  <c r="O30" i="2"/>
  <c r="P30" i="2" s="1"/>
  <c r="O29" i="2"/>
  <c r="P29" i="2" s="1"/>
  <c r="O28" i="2"/>
  <c r="P28" i="2" s="1"/>
  <c r="O27" i="2"/>
  <c r="P27" i="2" s="1"/>
  <c r="O26" i="2"/>
  <c r="P26" i="2" s="1"/>
  <c r="O25" i="2"/>
  <c r="P25" i="2" s="1"/>
  <c r="O24" i="2"/>
  <c r="P24" i="2" s="1"/>
  <c r="J20" i="2"/>
  <c r="J22" i="2" s="1"/>
  <c r="O23" i="2"/>
  <c r="P23" i="2" s="1"/>
  <c r="O22" i="2"/>
  <c r="P22" i="2" s="1"/>
  <c r="J21" i="2"/>
  <c r="J14" i="2"/>
  <c r="V55" i="1"/>
  <c r="V58" i="1"/>
  <c r="V59" i="1"/>
  <c r="G59" i="1"/>
  <c r="G61" i="1"/>
  <c r="G60" i="1"/>
  <c r="H60" i="1" s="1"/>
  <c r="V22" i="1"/>
  <c r="S47" i="1"/>
  <c r="S53" i="1"/>
  <c r="S45" i="1"/>
  <c r="S48" i="1"/>
  <c r="V48" i="1" s="1"/>
  <c r="S31" i="1"/>
  <c r="S26" i="1"/>
  <c r="V34" i="1" s="1"/>
  <c r="S52" i="1"/>
  <c r="S54" i="1"/>
  <c r="V56" i="1"/>
  <c r="V23" i="1"/>
  <c r="G62" i="1"/>
  <c r="E59" i="1"/>
  <c r="E62" i="1"/>
  <c r="E61" i="1"/>
  <c r="E48" i="1"/>
  <c r="E49" i="1" s="1"/>
  <c r="H62" i="1" l="1"/>
  <c r="H61" i="1"/>
  <c r="D27" i="3"/>
  <c r="D28" i="3" s="1"/>
  <c r="Q24" i="3"/>
  <c r="P29" i="3" s="1"/>
  <c r="P30" i="3" s="1"/>
  <c r="AC28" i="2"/>
  <c r="BP32" i="2"/>
  <c r="BP29" i="2"/>
  <c r="BP31" i="2" s="1"/>
  <c r="BP35" i="2" s="1"/>
  <c r="Z27" i="2"/>
  <c r="AC27" i="2" s="1"/>
  <c r="Z29" i="2"/>
  <c r="AC29" i="2" s="1"/>
  <c r="AT15" i="2"/>
  <c r="AC26" i="2"/>
  <c r="AT16" i="2"/>
  <c r="AT14" i="2"/>
  <c r="AS20" i="2" s="1"/>
  <c r="J16" i="2"/>
  <c r="L15" i="2" s="1"/>
  <c r="J28" i="2"/>
  <c r="P21" i="2"/>
  <c r="O33" i="2" s="1"/>
  <c r="O32" i="2"/>
  <c r="J24" i="2"/>
  <c r="J27" i="2" s="1"/>
  <c r="V45" i="1"/>
  <c r="V50" i="1"/>
  <c r="H59" i="1"/>
  <c r="G51" i="1" s="1"/>
  <c r="V30" i="1"/>
  <c r="V24" i="1"/>
  <c r="V32" i="1"/>
  <c r="V21" i="1"/>
  <c r="V33" i="1"/>
  <c r="V26" i="1"/>
  <c r="V28" i="1"/>
  <c r="V27" i="1"/>
  <c r="V31" i="1"/>
  <c r="V53" i="1"/>
  <c r="V47" i="1"/>
  <c r="V46" i="1"/>
  <c r="V25" i="1"/>
  <c r="V51" i="1"/>
  <c r="V57" i="1"/>
  <c r="V54" i="1"/>
  <c r="V52" i="1"/>
  <c r="V29" i="1"/>
  <c r="V49" i="1"/>
  <c r="E22" i="1"/>
  <c r="E20" i="1" l="1"/>
  <c r="G102" i="1"/>
  <c r="H102" i="1" s="1"/>
  <c r="G101" i="1"/>
  <c r="H101" i="1" s="1"/>
  <c r="G93" i="1" s="1"/>
  <c r="BO38" i="2"/>
  <c r="BO37" i="2"/>
  <c r="AB18" i="2"/>
  <c r="AB20" i="2" s="1"/>
  <c r="AS23" i="2"/>
  <c r="AS24" i="2"/>
  <c r="G52" i="1"/>
  <c r="G53" i="1"/>
  <c r="J30" i="2"/>
  <c r="J25" i="2"/>
  <c r="J32" i="2" s="1"/>
  <c r="Y43" i="1"/>
  <c r="Y42" i="1"/>
  <c r="X48" i="1" s="1"/>
  <c r="X51" i="1" s="1"/>
  <c r="Y44" i="1"/>
  <c r="Y16" i="1"/>
  <c r="X22" i="1" s="1"/>
  <c r="X25" i="1" s="1"/>
  <c r="Y17" i="1"/>
  <c r="E31" i="1"/>
  <c r="E32" i="1"/>
  <c r="E30" i="1"/>
  <c r="G32" i="1"/>
  <c r="G31" i="1"/>
  <c r="H31" i="1" s="1"/>
  <c r="G30" i="1"/>
  <c r="G95" i="1" l="1"/>
  <c r="G94" i="1"/>
  <c r="AB19" i="2"/>
  <c r="I35" i="2"/>
  <c r="I34" i="2"/>
  <c r="X52" i="1"/>
  <c r="X26" i="1"/>
  <c r="H30" i="1"/>
  <c r="H32" i="1"/>
  <c r="G22" i="1" l="1"/>
  <c r="G24" i="1" l="1"/>
  <c r="G23" i="1"/>
  <c r="E41" i="4"/>
  <c r="B41" i="4"/>
  <c r="D41" i="4"/>
  <c r="C41" i="4"/>
  <c r="E28" i="4"/>
  <c r="B28" i="4"/>
  <c r="C29" i="4"/>
  <c r="E40" i="4"/>
  <c r="B40" i="4"/>
  <c r="D29" i="4"/>
  <c r="B29" i="4"/>
  <c r="E29" i="4"/>
  <c r="C27" i="4"/>
  <c r="D27" i="4"/>
  <c r="B27" i="4"/>
  <c r="E27" i="4"/>
  <c r="C39" i="4"/>
  <c r="D40" i="4"/>
  <c r="C40" i="4"/>
  <c r="D39" i="4"/>
  <c r="B39" i="4"/>
  <c r="E39" i="4"/>
  <c r="D28" i="4"/>
  <c r="C28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<sst xmlns="http://schemas.openxmlformats.org/spreadsheetml/2006/main" count="601" uniqueCount="221">
  <si>
    <t>Lama belajar</t>
  </si>
  <si>
    <t>S+</t>
  </si>
  <si>
    <t>S-</t>
  </si>
  <si>
    <t>S0</t>
  </si>
  <si>
    <t>n</t>
  </si>
  <si>
    <t>Hipotesis</t>
  </si>
  <si>
    <t>H0 : M0</t>
  </si>
  <si>
    <t>&gt;=</t>
  </si>
  <si>
    <t>H1 : M0</t>
  </si>
  <si>
    <t>&lt;</t>
  </si>
  <si>
    <t>Statistik Uji</t>
  </si>
  <si>
    <t>&gt;</t>
  </si>
  <si>
    <t>!=</t>
  </si>
  <si>
    <t>S</t>
  </si>
  <si>
    <t>P(S &lt;= 2 | b(7 ; 0.5 ) ) = b(0; 7 ; 0.5 ) + b(1; 7 ; 0.5 ) + b(2; 7 ; 0.5 )</t>
  </si>
  <si>
    <t>b(0; 7 ; 0.5 )</t>
  </si>
  <si>
    <t>x</t>
  </si>
  <si>
    <t>nCx</t>
  </si>
  <si>
    <t>p^x</t>
  </si>
  <si>
    <t>(1-p)^(n-x)</t>
  </si>
  <si>
    <t>Hasil</t>
  </si>
  <si>
    <t>b(1; 7 ; 0.5 )</t>
  </si>
  <si>
    <t>p</t>
  </si>
  <si>
    <t>b(2; 7 ; 0.5 )</t>
  </si>
  <si>
    <t xml:space="preserve">P(S &lt;= 2 | b(7 ; 0.5 ) ) </t>
  </si>
  <si>
    <t>Keputusan</t>
  </si>
  <si>
    <t>alpha</t>
  </si>
  <si>
    <t>Contoh 1</t>
  </si>
  <si>
    <t>Contoh 2</t>
  </si>
  <si>
    <t>Berat</t>
  </si>
  <si>
    <t>&gt; 8,41</t>
  </si>
  <si>
    <t>=</t>
  </si>
  <si>
    <t>P(S &lt;= 3 | b(15 ; 0.5 ) ) = b(0; 15 ; 0.5 ) + b(1; 15 ; 0.5 ) + b(2; 15 ; 0.5 ) + b(3; 15 ; 0.5 )</t>
  </si>
  <si>
    <t>b(0; 15 ; 0.5 )</t>
  </si>
  <si>
    <t>b(1; 15 ; 0.5 )</t>
  </si>
  <si>
    <t>b(2; 15 ; 0.5 )</t>
  </si>
  <si>
    <t>b(3; 15 ; 0.5 )</t>
  </si>
  <si>
    <t>!= 107</t>
  </si>
  <si>
    <t>R</t>
  </si>
  <si>
    <t>Tanda</t>
  </si>
  <si>
    <t>T+</t>
  </si>
  <si>
    <t>T-</t>
  </si>
  <si>
    <t>Rank</t>
  </si>
  <si>
    <t>T 14 (0,025)</t>
  </si>
  <si>
    <t>min(T-, T+)</t>
  </si>
  <si>
    <t>Data</t>
  </si>
  <si>
    <t>&lt; 119</t>
  </si>
  <si>
    <t>Data tanpa 107</t>
  </si>
  <si>
    <t>Data tanpa 119</t>
  </si>
  <si>
    <t>Di = Data-107</t>
  </si>
  <si>
    <t>Di = Data-119</t>
  </si>
  <si>
    <t>abs</t>
  </si>
  <si>
    <t>T 15 (0,05)</t>
  </si>
  <si>
    <t>UJI TANDA</t>
  </si>
  <si>
    <t>UJ PERINGKAT BERTANDA WILCOXON</t>
  </si>
  <si>
    <t>Rendah</t>
  </si>
  <si>
    <t>Tinggi</t>
  </si>
  <si>
    <t>Grup</t>
  </si>
  <si>
    <t>Nilai</t>
  </si>
  <si>
    <t>no</t>
  </si>
  <si>
    <t>&lt;=</t>
  </si>
  <si>
    <t>w(1-alpha) = n1 n2 - w (alpha)</t>
  </si>
  <si>
    <t>dimana :</t>
  </si>
  <si>
    <t>My</t>
  </si>
  <si>
    <t>H0 : Mx</t>
  </si>
  <si>
    <t>H1 : Mx</t>
  </si>
  <si>
    <t>n1 (n1 + 1)</t>
  </si>
  <si>
    <t>n1</t>
  </si>
  <si>
    <t>n2</t>
  </si>
  <si>
    <t>T</t>
  </si>
  <si>
    <t>n1 n2</t>
  </si>
  <si>
    <t>t</t>
  </si>
  <si>
    <t>dupe</t>
  </si>
  <si>
    <t>freq</t>
  </si>
  <si>
    <t>unik</t>
  </si>
  <si>
    <t>sum(t)</t>
  </si>
  <si>
    <t>freq^3</t>
  </si>
  <si>
    <t>sum(t^3)</t>
  </si>
  <si>
    <t>T- (n1 n2) /2</t>
  </si>
  <si>
    <t>n1 n2 (n +1) / 12</t>
  </si>
  <si>
    <t>n (n -1) * 12</t>
  </si>
  <si>
    <t>sum(t^3) - sum(t)</t>
  </si>
  <si>
    <t>Z (alpha)</t>
  </si>
  <si>
    <t>Z.hit</t>
  </si>
  <si>
    <t>UJI Mann Whitney</t>
  </si>
  <si>
    <t>P(S &lt;= 3| b(9 ; 0.5 ) ) =  b(0; 9 ; 0.5 ) + b(1; 9 ; 0.5 ) + b(2; 9 ; 0.5 ) + b(3; 9 ; 0.5 )</t>
  </si>
  <si>
    <t>b(3; 9 ; 0.5 )</t>
  </si>
  <si>
    <t>b(2; 9 ; 0.5 )</t>
  </si>
  <si>
    <t>b(1; 9 ; 0.5 )</t>
  </si>
  <si>
    <t>b(0; 9 ; 0.5 )</t>
  </si>
  <si>
    <t xml:space="preserve">P(S &lt;= 3 | b(9 ; 0.5 ) ) </t>
  </si>
  <si>
    <t>UJI TANDA Data Berpasangan</t>
  </si>
  <si>
    <t xml:space="preserve"> &gt; 2</t>
  </si>
  <si>
    <t>D = x-y</t>
  </si>
  <si>
    <t>Akhir (y)</t>
  </si>
  <si>
    <t>Awal (x)</t>
  </si>
  <si>
    <t>Sebelum (x)</t>
  </si>
  <si>
    <t>Sesudah (y)</t>
  </si>
  <si>
    <t>Di =x-y</t>
  </si>
  <si>
    <t>T 14 (0,05)</t>
  </si>
  <si>
    <t>Kaidah Penolakan H0</t>
  </si>
  <si>
    <t>UJ PERINGKAT BERTANDA WILCOXON Berpasangan</t>
  </si>
  <si>
    <t>Kehadiran (x)</t>
  </si>
  <si>
    <t>Nilai Ujian (y)</t>
  </si>
  <si>
    <t>R(x)</t>
  </si>
  <si>
    <t>R(y)</t>
  </si>
  <si>
    <t>di = x-y</t>
  </si>
  <si>
    <t>di^2</t>
  </si>
  <si>
    <t>Rank (x)</t>
  </si>
  <si>
    <t>Rank(y)</t>
  </si>
  <si>
    <t>r(x)</t>
  </si>
  <si>
    <t>r(y)</t>
  </si>
  <si>
    <t>Amatan yang sama</t>
  </si>
  <si>
    <t>Unik</t>
  </si>
  <si>
    <t>(n^3 - n) /12</t>
  </si>
  <si>
    <t>y</t>
  </si>
  <si>
    <t>Sum Tx</t>
  </si>
  <si>
    <t>Sum Ty</t>
  </si>
  <si>
    <t>Sum x^2</t>
  </si>
  <si>
    <t>Sum y^2</t>
  </si>
  <si>
    <t>rs</t>
  </si>
  <si>
    <t>Sum di^2</t>
  </si>
  <si>
    <t>tab(10; 0,025)</t>
  </si>
  <si>
    <t>Korelasi Spearman</t>
  </si>
  <si>
    <t>Frekuensi</t>
  </si>
  <si>
    <t>A</t>
  </si>
  <si>
    <t>B</t>
  </si>
  <si>
    <t>C</t>
  </si>
  <si>
    <t>D</t>
  </si>
  <si>
    <t>E</t>
  </si>
  <si>
    <t>X^2(r-1)</t>
  </si>
  <si>
    <t>X^2</t>
  </si>
  <si>
    <t>E_i</t>
  </si>
  <si>
    <t>p_i</t>
  </si>
  <si>
    <t>r</t>
  </si>
  <si>
    <t>O_i</t>
  </si>
  <si>
    <t>(Oi-Ei)^2 / Ei</t>
  </si>
  <si>
    <t>Banyak Keranjang</t>
  </si>
  <si>
    <t xml:space="preserve">Banyak Jeruk </t>
  </si>
  <si>
    <t>n (Per Keranjang)</t>
  </si>
  <si>
    <t>n (Total)</t>
  </si>
  <si>
    <t>hat{p}</t>
  </si>
  <si>
    <t>k</t>
  </si>
  <si>
    <t>X^2(r-k-1)</t>
  </si>
  <si>
    <t>Oi * r</t>
  </si>
  <si>
    <t>P(r|n=10, p = 0.1142)</t>
  </si>
  <si>
    <t xml:space="preserve">
P(r|n=10, p = 0.1142)</t>
  </si>
  <si>
    <t>5 &amp; 6</t>
  </si>
  <si>
    <t>Uji Kesesuaian Seragam</t>
  </si>
  <si>
    <t>Uji Kesesuaian Binomial</t>
  </si>
  <si>
    <t>Kedatangan</t>
  </si>
  <si>
    <t>lambda</t>
  </si>
  <si>
    <t>P(r, lambda = 2.9)</t>
  </si>
  <si>
    <t>Uji Kesesuaian Poison</t>
  </si>
  <si>
    <t>Jenis Kelamin</t>
  </si>
  <si>
    <t>Tingkat Kesibukan</t>
  </si>
  <si>
    <t>Sedang</t>
  </si>
  <si>
    <t>Total</t>
  </si>
  <si>
    <t>Wanita</t>
  </si>
  <si>
    <t>Oi</t>
  </si>
  <si>
    <t>Ei</t>
  </si>
  <si>
    <t>Pria</t>
  </si>
  <si>
    <t>(Oi-Ei)^2/Ei</t>
  </si>
  <si>
    <t>Uji Kebebasan</t>
  </si>
  <si>
    <t>Pendidikan</t>
  </si>
  <si>
    <t>Bachelor</t>
  </si>
  <si>
    <t>O</t>
  </si>
  <si>
    <t>College</t>
  </si>
  <si>
    <t>Doctorate</t>
  </si>
  <si>
    <t>Hs-Gard</t>
  </si>
  <si>
    <t>Master</t>
  </si>
  <si>
    <t>No HS-Grad</t>
  </si>
  <si>
    <t>Uji Kehomogenan</t>
  </si>
  <si>
    <t>Binom.dist</t>
  </si>
  <si>
    <t>n3</t>
  </si>
  <si>
    <t>pi 1</t>
  </si>
  <si>
    <t>pi 2</t>
  </si>
  <si>
    <t>pi 3</t>
  </si>
  <si>
    <t>Contoh 3</t>
  </si>
  <si>
    <t>Contoh 4</t>
  </si>
  <si>
    <t>Pemeriksaan</t>
  </si>
  <si>
    <t>Malnutrisi</t>
  </si>
  <si>
    <t>Tidak Malnutrisi</t>
  </si>
  <si>
    <t>Prediksi Malnutrisi</t>
  </si>
  <si>
    <t>Positif</t>
  </si>
  <si>
    <t>Negatif</t>
  </si>
  <si>
    <t>Bagian a</t>
  </si>
  <si>
    <t>Menghitung Spesifisitas</t>
  </si>
  <si>
    <t xml:space="preserve">Maka rata-rata banyaknya orang yang salah diprediksi </t>
  </si>
  <si>
    <t>menjadi malnutrisi dari 40 orang yang tidak terkena malnutrisi</t>
  </si>
  <si>
    <t>adalah</t>
  </si>
  <si>
    <t>orang</t>
  </si>
  <si>
    <t>Bagian b</t>
  </si>
  <si>
    <t>Menghitung Sensitifitas</t>
  </si>
  <si>
    <t>Maka rata-rata banyaknya orang yang benar diprediksi terkena malnutrisi dari 50 orang yang terkena malnutrisi</t>
  </si>
  <si>
    <t>Bagian c</t>
  </si>
  <si>
    <t>Menghitung Akurasi</t>
  </si>
  <si>
    <t>Maka rata-rata banyaknya orang yang benar diprediksi sesuai dengan keadaan sebenarnya dari 100 orang</t>
  </si>
  <si>
    <t>yang diperiksa</t>
  </si>
  <si>
    <t>Bagian d</t>
  </si>
  <si>
    <t>Menghitung Presisi</t>
  </si>
  <si>
    <t xml:space="preserve">Jika kita melihat pada nilai Spesifisitas, Sensitifitas, dan Akurasinya. Maka kita melihat bahwa </t>
  </si>
  <si>
    <t xml:space="preserve">semua nilainya dibawah 60%. Ini tidak terlalu bagus. Namun jika kita melihat nilai dari Presisi nya. </t>
  </si>
  <si>
    <t xml:space="preserve">Maka kita melihat bahwa nilainya ini cukup baik, yakni diatas 70%. </t>
  </si>
  <si>
    <t>Kanker</t>
  </si>
  <si>
    <t>+</t>
  </si>
  <si>
    <t>-</t>
  </si>
  <si>
    <t>Punya</t>
  </si>
  <si>
    <t>Tidak</t>
  </si>
  <si>
    <t>Test</t>
  </si>
  <si>
    <t>Lansia</t>
  </si>
  <si>
    <t>Bukan lansia</t>
  </si>
  <si>
    <t>Meninggal</t>
  </si>
  <si>
    <t>Tidak Meninggal</t>
  </si>
  <si>
    <t>Bukan</t>
  </si>
  <si>
    <t>Kanker par</t>
  </si>
  <si>
    <t>Perokok</t>
  </si>
  <si>
    <t>Jantung</t>
  </si>
  <si>
    <t>P(S &lt;= 110 | b(7 ; 0.5 ) ) = b(0; 7 ; 0.5 ) + b(1; 7 ; 0.5 ) + b(2; 7 ; 0.5 )</t>
  </si>
  <si>
    <t>Paru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</si>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</sst>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1"/>
      <color theme="1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7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1" fillId="4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1" fillId="3" borderId="0" xfId="0" applyFont="1" applyFill="1" applyBorder="1" applyAlignment="1">
      <alignment vertical="center"/>
    </xf>
    <xf numFmtId="0" fontId="1" fillId="6" borderId="0" xfId="0" applyFont="1" applyFill="1" applyBorder="1" applyAlignment="1">
      <alignment horizontal="left" vertical="center"/>
    </xf>
    <xf numFmtId="0" fontId="0" fillId="6" borderId="0" xfId="0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0" fillId="4" borderId="0" xfId="0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6" borderId="0" xfId="0" applyFon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9" borderId="8" xfId="0" applyFill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horizontal="center" vertical="center"/>
    </xf>
    <xf numFmtId="0" fontId="1" fillId="4" borderId="1" xfId="0" applyFont="1" applyFill="1" applyBorder="1" applyAlignment="1">
      <alignment vertical="center"/>
    </xf>
    <xf numFmtId="0" fontId="0" fillId="0" borderId="8" xfId="0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" xfId="0" applyBorder="1"/>
    <xf numFmtId="0" fontId="0" fillId="0" borderId="0" xfId="0" applyBorder="1"/>
    <xf numFmtId="0" fontId="0" fillId="0" borderId="0" xfId="0" applyFont="1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0" fontId="0" fillId="4" borderId="1" xfId="0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1" fillId="7" borderId="0" xfId="0" applyFont="1" applyFill="1" applyBorder="1" applyAlignment="1">
      <alignment vertical="center"/>
    </xf>
    <xf numFmtId="0" fontId="0" fillId="0" borderId="15" xfId="0" applyFill="1" applyBorder="1" applyAlignment="1">
      <alignment horizontal="center" vertical="center"/>
    </xf>
    <xf numFmtId="0" fontId="0" fillId="8" borderId="0" xfId="0" applyFill="1" applyAlignment="1">
      <alignment vertical="center"/>
    </xf>
    <xf numFmtId="0" fontId="0" fillId="0" borderId="15" xfId="0" applyBorder="1" applyAlignment="1">
      <alignment vertical="center"/>
    </xf>
    <xf numFmtId="0" fontId="4" fillId="11" borderId="0" xfId="0" applyFont="1" applyFill="1" applyAlignment="1">
      <alignment horizontal="center" vertical="center" wrapText="1"/>
    </xf>
    <xf numFmtId="0" fontId="2" fillId="11" borderId="0" xfId="0" applyFont="1" applyFill="1" applyAlignment="1">
      <alignment horizontal="center" vertical="center" wrapText="1"/>
    </xf>
    <xf numFmtId="0" fontId="0" fillId="10" borderId="8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8" xfId="0" applyFill="1" applyBorder="1" applyAlignment="1">
      <alignment vertical="center"/>
    </xf>
    <xf numFmtId="0" fontId="1" fillId="10" borderId="8" xfId="0" applyFont="1" applyFill="1" applyBorder="1" applyAlignment="1">
      <alignment vertical="center"/>
    </xf>
    <xf numFmtId="0" fontId="1" fillId="10" borderId="1" xfId="0" applyFont="1" applyFill="1" applyBorder="1" applyAlignment="1">
      <alignment vertical="center"/>
    </xf>
    <xf numFmtId="0" fontId="1" fillId="10" borderId="8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" xfId="0" applyFill="1" applyBorder="1"/>
    <xf numFmtId="0" fontId="0" fillId="10" borderId="1" xfId="0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10" borderId="8" xfId="0" applyFill="1" applyBorder="1"/>
    <xf numFmtId="0" fontId="0" fillId="7" borderId="16" xfId="0" applyFill="1" applyBorder="1"/>
    <xf numFmtId="0" fontId="0" fillId="0" borderId="8" xfId="0" applyBorder="1"/>
    <xf numFmtId="0" fontId="0" fillId="0" borderId="16" xfId="0" applyBorder="1"/>
    <xf numFmtId="0" fontId="0" fillId="7" borderId="0" xfId="0" applyFill="1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5" borderId="10" xfId="0" applyFill="1" applyBorder="1"/>
    <xf numFmtId="0" fontId="0" fillId="0" borderId="11" xfId="0" applyBorder="1"/>
    <xf numFmtId="0" fontId="0" fillId="7" borderId="1" xfId="0" applyFill="1" applyBorder="1" applyAlignment="1">
      <alignment wrapText="1"/>
    </xf>
    <xf numFmtId="0" fontId="0" fillId="7" borderId="12" xfId="0" applyFill="1" applyBorder="1"/>
    <xf numFmtId="0" fontId="0" fillId="0" borderId="12" xfId="0" applyBorder="1"/>
    <xf numFmtId="0" fontId="0" fillId="12" borderId="1" xfId="0" applyFill="1" applyBorder="1"/>
    <xf numFmtId="0" fontId="0" fillId="12" borderId="12" xfId="0" applyFill="1" applyBorder="1"/>
    <xf numFmtId="0" fontId="0" fillId="8" borderId="0" xfId="0" applyFill="1"/>
    <xf numFmtId="0" fontId="0" fillId="7" borderId="8" xfId="0" applyFill="1" applyBorder="1" applyAlignment="1">
      <alignment wrapText="1"/>
    </xf>
    <xf numFmtId="0" fontId="0" fillId="12" borderId="16" xfId="0" applyFill="1" applyBorder="1"/>
    <xf numFmtId="0" fontId="0" fillId="7" borderId="0" xfId="0" applyFill="1" applyBorder="1" applyAlignment="1">
      <alignment horizontal="center"/>
    </xf>
    <xf numFmtId="0" fontId="0" fillId="5" borderId="0" xfId="0" applyFill="1" applyBorder="1"/>
    <xf numFmtId="0" fontId="0" fillId="7" borderId="8" xfId="0" applyFill="1" applyBorder="1"/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3" borderId="1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0" fillId="5" borderId="12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7" borderId="8" xfId="0" applyFill="1" applyBorder="1" applyAlignment="1">
      <alignment vertical="center"/>
    </xf>
    <xf numFmtId="0" fontId="0" fillId="7" borderId="14" xfId="0" applyFill="1" applyBorder="1" applyAlignment="1">
      <alignment vertical="center"/>
    </xf>
    <xf numFmtId="0" fontId="0" fillId="2" borderId="15" xfId="0" applyFill="1" applyBorder="1" applyAlignment="1">
      <alignment vertical="center"/>
    </xf>
    <xf numFmtId="0" fontId="5" fillId="7" borderId="1" xfId="0" applyFont="1" applyFill="1" applyBorder="1" applyAlignment="1">
      <alignment horizontal="center" vertical="center" wrapText="1"/>
    </xf>
    <xf numFmtId="0" fontId="5" fillId="7" borderId="13" xfId="0" applyFont="1" applyFill="1" applyBorder="1" applyAlignment="1">
      <alignment horizontal="center" vertical="center"/>
    </xf>
    <xf numFmtId="0" fontId="5" fillId="7" borderId="18" xfId="0" applyFont="1" applyFill="1" applyBorder="1" applyAlignment="1">
      <alignment horizontal="center" vertical="center"/>
    </xf>
    <xf numFmtId="0" fontId="5" fillId="7" borderId="1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 wrapText="1"/>
    </xf>
    <xf numFmtId="0" fontId="5" fillId="13" borderId="1" xfId="0" applyFont="1" applyFill="1" applyBorder="1" applyAlignment="1">
      <alignment horizontal="right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right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7" borderId="8" xfId="0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0" fontId="5" fillId="2" borderId="20" xfId="0" applyFont="1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/>
    </xf>
    <xf numFmtId="0" fontId="5" fillId="2" borderId="8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5" fillId="5" borderId="17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1" fillId="0" borderId="6" xfId="0" applyFont="1" applyBorder="1"/>
    <xf numFmtId="0" fontId="0" fillId="3" borderId="6" xfId="0" applyFill="1" applyBorder="1"/>
  </cellXfs>
  <cellStyles count="1"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5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3.png"/><Relationship Id="rId5" Type="http://schemas.openxmlformats.org/officeDocument/2006/relationships/image" Target="../media/image18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7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68036</xdr:rowOff>
    </xdr:from>
    <xdr:to>
      <xdr:col>4</xdr:col>
      <xdr:colOff>399721</xdr:colOff>
      <xdr:row>9</xdr:row>
      <xdr:rowOff>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D8C4D3-84AD-22B5-A90A-999934D2F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036"/>
          <a:ext cx="3414227" cy="1708661"/>
        </a:xfrm>
        <a:prstGeom prst="rect">
          <a:avLst/>
        </a:prstGeom>
      </xdr:spPr>
    </xdr:pic>
    <xdr:clientData/>
  </xdr:twoCellAnchor>
  <xdr:twoCellAnchor editAs="oneCell">
    <xdr:from>
      <xdr:col>4</xdr:col>
      <xdr:colOff>554866</xdr:colOff>
      <xdr:row>0</xdr:row>
      <xdr:rowOff>32539</xdr:rowOff>
    </xdr:from>
    <xdr:to>
      <xdr:col>9</xdr:col>
      <xdr:colOff>54499</xdr:colOff>
      <xdr:row>9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0AF750-70BF-887F-DEB1-6B5538168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1545" y="32539"/>
          <a:ext cx="3617364" cy="1790818"/>
        </a:xfrm>
        <a:prstGeom prst="rect">
          <a:avLst/>
        </a:prstGeom>
      </xdr:spPr>
    </xdr:pic>
    <xdr:clientData/>
  </xdr:twoCellAnchor>
  <xdr:twoCellAnchor editAs="oneCell">
    <xdr:from>
      <xdr:col>0</xdr:col>
      <xdr:colOff>558362</xdr:colOff>
      <xdr:row>10</xdr:row>
      <xdr:rowOff>41194</xdr:rowOff>
    </xdr:from>
    <xdr:to>
      <xdr:col>5</xdr:col>
      <xdr:colOff>217810</xdr:colOff>
      <xdr:row>13</xdr:row>
      <xdr:rowOff>184755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F2E104-B262-0FC3-4F32-7506BED28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8362" y="1955719"/>
          <a:ext cx="3419624" cy="71506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26</xdr:row>
      <xdr:rowOff>0</xdr:rowOff>
    </xdr:from>
    <xdr:to>
      <xdr:col>5</xdr:col>
      <xdr:colOff>249622</xdr:colOff>
      <xdr:row>28</xdr:row>
      <xdr:rowOff>1625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2FBAD9-D4C8-FBEE-2D2D-A42A310A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4762500"/>
          <a:ext cx="1707930" cy="377334"/>
        </a:xfrm>
        <a:prstGeom prst="rect">
          <a:avLst/>
        </a:prstGeom>
      </xdr:spPr>
    </xdr:pic>
    <xdr:clientData/>
  </xdr:twoCellAnchor>
  <xdr:oneCellAnchor>
    <xdr:from>
      <xdr:col>8</xdr:col>
      <xdr:colOff>188499</xdr:colOff>
      <xdr:row>19</xdr:row>
      <xdr:rowOff>174793</xdr:rowOff>
    </xdr:from>
    <xdr:ext cx="2379109" cy="860533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8007D05-C2AA-447D-A70A-640161A76F9B}"/>
            </a:ext>
          </a:extLst>
        </xdr:cNvPr>
        <xdr:cNvSpPr txBox="1"/>
      </xdr:nvSpPr>
      <xdr:spPr>
        <a:xfrm>
          <a:off x="5638456" y="3794293"/>
          <a:ext cx="2379109" cy="86053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/>
            <a:t>Artinya</a:t>
          </a:r>
          <a:r>
            <a:rPr lang="en-US" sz="1100" b="0"/>
            <a:t> </a:t>
          </a:r>
          <a:r>
            <a:rPr lang="en-US" sz="1100" b="1"/>
            <a:t>tidak</a:t>
          </a:r>
          <a:r>
            <a:rPr lang="en-US" sz="1100" b="1" baseline="0"/>
            <a:t> cukup bukti </a:t>
          </a:r>
          <a:r>
            <a:rPr lang="en-US" sz="1100" b="0" baseline="0"/>
            <a:t>untuk menyatakan bahwa waktu mahasiswa untuk belajar </a:t>
          </a:r>
          <a:r>
            <a:rPr lang="en-US" sz="1100" b="1" baseline="0"/>
            <a:t>kurang dari 2 jam</a:t>
          </a:r>
          <a:r>
            <a:rPr lang="en-US" sz="1100" b="0" baseline="0"/>
            <a:t> pada taraf nyata 5%.</a:t>
          </a:r>
          <a:endParaRPr lang="id-ID" b="0">
            <a:effectLst/>
          </a:endParaRPr>
        </a:p>
      </xdr:txBody>
    </xdr:sp>
    <xdr:clientData/>
  </xdr:oneCellAnchor>
  <xdr:oneCellAnchor>
    <xdr:from>
      <xdr:col>2</xdr:col>
      <xdr:colOff>216660</xdr:colOff>
      <xdr:row>14</xdr:row>
      <xdr:rowOff>12454</xdr:rowOff>
    </xdr:from>
    <xdr:ext cx="462514" cy="45965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5139EE1-E734-4E47-A070-14E2557420C5}"/>
            </a:ext>
          </a:extLst>
        </xdr:cNvPr>
        <xdr:cNvSpPr txBox="1"/>
      </xdr:nvSpPr>
      <xdr:spPr>
        <a:xfrm>
          <a:off x="1641269" y="2679454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1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2</xdr:col>
      <xdr:colOff>145429</xdr:colOff>
      <xdr:row>25</xdr:row>
      <xdr:rowOff>7484</xdr:rowOff>
    </xdr:from>
    <xdr:ext cx="462514" cy="45965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7BF4D2C-B030-44B8-BB2C-B04F0774F17A}"/>
            </a:ext>
          </a:extLst>
        </xdr:cNvPr>
        <xdr:cNvSpPr txBox="1"/>
      </xdr:nvSpPr>
      <xdr:spPr>
        <a:xfrm>
          <a:off x="1570038" y="4769984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2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5</xdr:col>
      <xdr:colOff>182217</xdr:colOff>
      <xdr:row>20</xdr:row>
      <xdr:rowOff>8283</xdr:rowOff>
    </xdr:from>
    <xdr:ext cx="462514" cy="45965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0194A9A-A600-4718-AA6C-9D5916B55775}"/>
            </a:ext>
          </a:extLst>
        </xdr:cNvPr>
        <xdr:cNvSpPr txBox="1"/>
      </xdr:nvSpPr>
      <xdr:spPr>
        <a:xfrm>
          <a:off x="3752021" y="3818283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3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twoCellAnchor editAs="oneCell">
    <xdr:from>
      <xdr:col>0</xdr:col>
      <xdr:colOff>14798</xdr:colOff>
      <xdr:row>34</xdr:row>
      <xdr:rowOff>171450</xdr:rowOff>
    </xdr:from>
    <xdr:to>
      <xdr:col>5</xdr:col>
      <xdr:colOff>355612</xdr:colOff>
      <xdr:row>42</xdr:row>
      <xdr:rowOff>112310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EC1579-EB9D-7C1A-44C0-555DEC62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98" y="6677025"/>
          <a:ext cx="4100990" cy="1495785"/>
        </a:xfrm>
        <a:prstGeom prst="rect">
          <a:avLst/>
        </a:prstGeom>
      </xdr:spPr>
    </xdr:pic>
    <xdr:clientData/>
  </xdr:twoCellAnchor>
  <xdr:oneCellAnchor>
    <xdr:from>
      <xdr:col>3</xdr:col>
      <xdr:colOff>1</xdr:colOff>
      <xdr:row>55</xdr:row>
      <xdr:rowOff>0</xdr:rowOff>
    </xdr:from>
    <xdr:ext cx="1706945" cy="377334"/>
    <xdr:pic>
      <xdr:nvPicPr>
        <xdr:cNvPr id="14" name="Picture 13">
          <a:extLst>
            <a:ext uri="{FF2B5EF4-FFF2-40B4-BE49-F238E27FC236}">
              <a16:creationId xmlns:a16="http://schemas.microsoft.com/office/drawing/2014/main" id="{8543A495-B58E-42F2-B019-475BBB4CC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05026" y="4972050"/>
          <a:ext cx="1706945" cy="377334"/>
        </a:xfrm>
        <a:prstGeom prst="rect">
          <a:avLst/>
        </a:prstGeom>
      </xdr:spPr>
    </xdr:pic>
    <xdr:clientData/>
  </xdr:oneCellAnchor>
  <xdr:oneCellAnchor>
    <xdr:from>
      <xdr:col>5</xdr:col>
      <xdr:colOff>182217</xdr:colOff>
      <xdr:row>49</xdr:row>
      <xdr:rowOff>8283</xdr:rowOff>
    </xdr:from>
    <xdr:ext cx="462514" cy="45965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F2CBE5B6-AD6D-4867-8F0C-B670CBC9C096}"/>
            </a:ext>
          </a:extLst>
        </xdr:cNvPr>
        <xdr:cNvSpPr txBox="1"/>
      </xdr:nvSpPr>
      <xdr:spPr>
        <a:xfrm>
          <a:off x="3744567" y="3837333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3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8</xdr:col>
      <xdr:colOff>38099</xdr:colOff>
      <xdr:row>49</xdr:row>
      <xdr:rowOff>0</xdr:rowOff>
    </xdr:from>
    <xdr:ext cx="2867025" cy="860533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51D7359-A88C-4271-A248-6561F87A96BB}"/>
            </a:ext>
          </a:extLst>
        </xdr:cNvPr>
        <xdr:cNvSpPr txBox="1"/>
      </xdr:nvSpPr>
      <xdr:spPr>
        <a:xfrm>
          <a:off x="5667374" y="9363075"/>
          <a:ext cx="2867025" cy="86053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/>
            <a:t>Artinya</a:t>
          </a:r>
          <a:r>
            <a:rPr lang="en-US" sz="1100" b="0"/>
            <a:t> </a:t>
          </a:r>
          <a:r>
            <a:rPr lang="en-US" sz="1100" b="1"/>
            <a:t>cukup</a:t>
          </a:r>
          <a:r>
            <a:rPr lang="en-US" sz="1100" b="1" baseline="0"/>
            <a:t> bukti</a:t>
          </a:r>
          <a:r>
            <a:rPr lang="en-US" sz="1100" b="0" baseline="0"/>
            <a:t> untuk menyatakan bahwa waktu median berat populasi yang sampelnya diambil dalam percobaan kedua </a:t>
          </a:r>
          <a:r>
            <a:rPr lang="en-US" sz="1100" b="1" baseline="0"/>
            <a:t>lebih besar </a:t>
          </a:r>
          <a:r>
            <a:rPr lang="en-US" sz="1100" b="0" baseline="0"/>
            <a:t>dari 8,41 kg pada taraf nyata 5%.</a:t>
          </a:r>
          <a:endParaRPr lang="id-ID" b="0">
            <a:effectLst/>
          </a:endParaRPr>
        </a:p>
      </xdr:txBody>
    </xdr:sp>
    <xdr:clientData/>
  </xdr:oneCellAnchor>
  <xdr:oneCellAnchor>
    <xdr:from>
      <xdr:col>2</xdr:col>
      <xdr:colOff>207302</xdr:colOff>
      <xdr:row>43</xdr:row>
      <xdr:rowOff>13607</xdr:rowOff>
    </xdr:from>
    <xdr:ext cx="462514" cy="45965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C9CBBCD-E996-4CAD-8F77-479483781A0D}"/>
            </a:ext>
          </a:extLst>
        </xdr:cNvPr>
        <xdr:cNvSpPr txBox="1"/>
      </xdr:nvSpPr>
      <xdr:spPr>
        <a:xfrm>
          <a:off x="1636052" y="8259536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1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2</xdr:col>
      <xdr:colOff>231321</xdr:colOff>
      <xdr:row>53</xdr:row>
      <xdr:rowOff>171923</xdr:rowOff>
    </xdr:from>
    <xdr:ext cx="462514" cy="459655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232B7B8-BF3F-43F0-B4C8-B270AE0BECF7}"/>
            </a:ext>
          </a:extLst>
        </xdr:cNvPr>
        <xdr:cNvSpPr txBox="1"/>
      </xdr:nvSpPr>
      <xdr:spPr>
        <a:xfrm>
          <a:off x="1660071" y="10322852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2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twoCellAnchor editAs="oneCell">
    <xdr:from>
      <xdr:col>14</xdr:col>
      <xdr:colOff>34635</xdr:colOff>
      <xdr:row>0</xdr:row>
      <xdr:rowOff>0</xdr:rowOff>
    </xdr:from>
    <xdr:to>
      <xdr:col>18</xdr:col>
      <xdr:colOff>59314</xdr:colOff>
      <xdr:row>9</xdr:row>
      <xdr:rowOff>113713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833FE53-E406-B569-8DA9-E315DAD68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80862" y="0"/>
          <a:ext cx="3287837" cy="1845531"/>
        </a:xfrm>
        <a:prstGeom prst="rect">
          <a:avLst/>
        </a:prstGeom>
      </xdr:spPr>
    </xdr:pic>
    <xdr:clientData/>
  </xdr:twoCellAnchor>
  <xdr:twoCellAnchor editAs="oneCell">
    <xdr:from>
      <xdr:col>19</xdr:col>
      <xdr:colOff>242454</xdr:colOff>
      <xdr:row>0</xdr:row>
      <xdr:rowOff>0</xdr:rowOff>
    </xdr:from>
    <xdr:to>
      <xdr:col>24</xdr:col>
      <xdr:colOff>459771</xdr:colOff>
      <xdr:row>9</xdr:row>
      <xdr:rowOff>103559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D904610-9977-0225-6C2B-54697FB8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19363" y="0"/>
          <a:ext cx="3247999" cy="1835377"/>
        </a:xfrm>
        <a:prstGeom prst="rect">
          <a:avLst/>
        </a:prstGeom>
      </xdr:spPr>
    </xdr:pic>
    <xdr:clientData/>
  </xdr:twoCellAnchor>
  <xdr:twoCellAnchor editAs="oneCell">
    <xdr:from>
      <xdr:col>14</xdr:col>
      <xdr:colOff>123263</xdr:colOff>
      <xdr:row>11</xdr:row>
      <xdr:rowOff>22413</xdr:rowOff>
    </xdr:from>
    <xdr:to>
      <xdr:col>18</xdr:col>
      <xdr:colOff>559731</xdr:colOff>
      <xdr:row>18</xdr:row>
      <xdr:rowOff>172029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7A010C8-696B-443C-4F22-835F159B5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69490" y="2152549"/>
          <a:ext cx="3686958" cy="1483116"/>
        </a:xfrm>
        <a:prstGeom prst="rect">
          <a:avLst/>
        </a:prstGeom>
      </xdr:spPr>
    </xdr:pic>
    <xdr:clientData/>
  </xdr:twoCellAnchor>
  <xdr:oneCellAnchor>
    <xdr:from>
      <xdr:col>22</xdr:col>
      <xdr:colOff>166138</xdr:colOff>
      <xdr:row>19</xdr:row>
      <xdr:rowOff>179294</xdr:rowOff>
    </xdr:from>
    <xdr:ext cx="462514" cy="459655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F6D80676-2A84-4B9D-967F-4918CCED65AC}"/>
            </a:ext>
          </a:extLst>
        </xdr:cNvPr>
        <xdr:cNvSpPr txBox="1"/>
      </xdr:nvSpPr>
      <xdr:spPr>
        <a:xfrm>
          <a:off x="15428550" y="3821206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3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19</xdr:col>
      <xdr:colOff>0</xdr:colOff>
      <xdr:row>16</xdr:row>
      <xdr:rowOff>100853</xdr:rowOff>
    </xdr:from>
    <xdr:ext cx="462514" cy="459655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94967CE-545F-446A-928E-65EBFBA04963}"/>
            </a:ext>
          </a:extLst>
        </xdr:cNvPr>
        <xdr:cNvSpPr txBox="1"/>
      </xdr:nvSpPr>
      <xdr:spPr>
        <a:xfrm>
          <a:off x="13402236" y="3171265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1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22</xdr:col>
      <xdr:colOff>145678</xdr:colOff>
      <xdr:row>10</xdr:row>
      <xdr:rowOff>179294</xdr:rowOff>
    </xdr:from>
    <xdr:ext cx="462514" cy="45965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C8663FA-58C5-D4C9-D8CB-7A164A54C341}"/>
            </a:ext>
          </a:extLst>
        </xdr:cNvPr>
        <xdr:cNvSpPr txBox="1"/>
      </xdr:nvSpPr>
      <xdr:spPr>
        <a:xfrm>
          <a:off x="14343531" y="2106706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2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twoCellAnchor editAs="oneCell">
    <xdr:from>
      <xdr:col>25</xdr:col>
      <xdr:colOff>168089</xdr:colOff>
      <xdr:row>15</xdr:row>
      <xdr:rowOff>159319</xdr:rowOff>
    </xdr:from>
    <xdr:to>
      <xdr:col>27</xdr:col>
      <xdr:colOff>483890</xdr:colOff>
      <xdr:row>25</xdr:row>
      <xdr:rowOff>184167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4BC77E6-2EDE-213B-195B-464D8505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45854" y="3039231"/>
          <a:ext cx="1671711" cy="1929848"/>
        </a:xfrm>
        <a:prstGeom prst="rect">
          <a:avLst/>
        </a:prstGeom>
      </xdr:spPr>
    </xdr:pic>
    <xdr:clientData/>
  </xdr:twoCellAnchor>
  <xdr:oneCellAnchor>
    <xdr:from>
      <xdr:col>23</xdr:col>
      <xdr:colOff>0</xdr:colOff>
      <xdr:row>26</xdr:row>
      <xdr:rowOff>0</xdr:rowOff>
    </xdr:from>
    <xdr:ext cx="2379109" cy="860533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4C7F256D-684A-4E59-A115-09D5F188D02B}"/>
            </a:ext>
          </a:extLst>
        </xdr:cNvPr>
        <xdr:cNvSpPr txBox="1"/>
      </xdr:nvSpPr>
      <xdr:spPr>
        <a:xfrm>
          <a:off x="15529891" y="5350565"/>
          <a:ext cx="2379109" cy="86053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/>
            <a:t>Artinya</a:t>
          </a:r>
          <a:r>
            <a:rPr lang="en-US" sz="1100" b="0"/>
            <a:t> </a:t>
          </a:r>
          <a:r>
            <a:rPr lang="en-US" sz="1100" b="1"/>
            <a:t>tidak</a:t>
          </a:r>
          <a:r>
            <a:rPr lang="en-US" sz="1100" b="1" baseline="0"/>
            <a:t> cukup bukti </a:t>
          </a:r>
          <a:r>
            <a:rPr lang="en-US" sz="1100" b="0" baseline="0"/>
            <a:t>untuk menyatakan bahwa median IQ tersebut </a:t>
          </a:r>
          <a:r>
            <a:rPr lang="en-US" sz="1100" b="1" baseline="0"/>
            <a:t>tidak sama dengan 107 </a:t>
          </a:r>
          <a:r>
            <a:rPr lang="en-US" sz="1100" b="0" baseline="0"/>
            <a:t>pada taraf nyata 5%.</a:t>
          </a:r>
          <a:endParaRPr lang="id-ID" b="0">
            <a:effectLst/>
          </a:endParaRPr>
        </a:p>
      </xdr:txBody>
    </xdr:sp>
    <xdr:clientData/>
  </xdr:oneCellAnchor>
  <xdr:twoCellAnchor editAs="oneCell">
    <xdr:from>
      <xdr:col>14</xdr:col>
      <xdr:colOff>26665</xdr:colOff>
      <xdr:row>37</xdr:row>
      <xdr:rowOff>31467</xdr:rowOff>
    </xdr:from>
    <xdr:to>
      <xdr:col>17</xdr:col>
      <xdr:colOff>811650</xdr:colOff>
      <xdr:row>42</xdr:row>
      <xdr:rowOff>73139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2ED255-7DFD-BAD7-2349-B8DFFE441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14951" y="7161610"/>
          <a:ext cx="2991436" cy="994172"/>
        </a:xfrm>
        <a:prstGeom prst="rect">
          <a:avLst/>
        </a:prstGeom>
      </xdr:spPr>
    </xdr:pic>
    <xdr:clientData/>
  </xdr:twoCellAnchor>
  <xdr:oneCellAnchor>
    <xdr:from>
      <xdr:col>17</xdr:col>
      <xdr:colOff>1038225</xdr:colOff>
      <xdr:row>40</xdr:row>
      <xdr:rowOff>76200</xdr:rowOff>
    </xdr:from>
    <xdr:ext cx="462514" cy="459655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31667EE6-AA3D-4230-BBA7-962623E192F1}"/>
            </a:ext>
          </a:extLst>
        </xdr:cNvPr>
        <xdr:cNvSpPr txBox="1"/>
      </xdr:nvSpPr>
      <xdr:spPr>
        <a:xfrm>
          <a:off x="12877800" y="7743825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1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22</xdr:col>
      <xdr:colOff>154932</xdr:colOff>
      <xdr:row>45</xdr:row>
      <xdr:rowOff>179294</xdr:rowOff>
    </xdr:from>
    <xdr:ext cx="462514" cy="459655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77C6991-DBA9-4670-8478-62DFE5E23A28}"/>
            </a:ext>
          </a:extLst>
        </xdr:cNvPr>
        <xdr:cNvSpPr txBox="1"/>
      </xdr:nvSpPr>
      <xdr:spPr>
        <a:xfrm>
          <a:off x="15417344" y="8819029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3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22</xdr:col>
      <xdr:colOff>145678</xdr:colOff>
      <xdr:row>36</xdr:row>
      <xdr:rowOff>179294</xdr:rowOff>
    </xdr:from>
    <xdr:ext cx="462514" cy="459655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724DA851-E028-4E10-83BA-8B450292D217}"/>
            </a:ext>
          </a:extLst>
        </xdr:cNvPr>
        <xdr:cNvSpPr txBox="1"/>
      </xdr:nvSpPr>
      <xdr:spPr>
        <a:xfrm>
          <a:off x="15408090" y="2106706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2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23</xdr:col>
      <xdr:colOff>0</xdr:colOff>
      <xdr:row>52</xdr:row>
      <xdr:rowOff>0</xdr:rowOff>
    </xdr:from>
    <xdr:ext cx="2965174" cy="860533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5E5E08DF-6098-42BD-AB02-D0875C92AD04}"/>
            </a:ext>
          </a:extLst>
        </xdr:cNvPr>
        <xdr:cNvSpPr txBox="1"/>
      </xdr:nvSpPr>
      <xdr:spPr>
        <a:xfrm>
          <a:off x="16002000" y="9955696"/>
          <a:ext cx="2965174" cy="86053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/>
            <a:t>Artinya</a:t>
          </a:r>
          <a:r>
            <a:rPr lang="en-US" sz="1100" b="0"/>
            <a:t> </a:t>
          </a:r>
          <a:r>
            <a:rPr lang="en-US" sz="1100" b="1"/>
            <a:t>tidak</a:t>
          </a:r>
          <a:r>
            <a:rPr lang="en-US" sz="1100" b="1" baseline="0"/>
            <a:t> cukup bukti </a:t>
          </a:r>
          <a:r>
            <a:rPr lang="en-US" sz="1100" b="0" baseline="0"/>
            <a:t>untuk menyatakan bahwa median median lama waktu karyawan penujualan mendatangi calon nasabah </a:t>
          </a:r>
          <a:r>
            <a:rPr lang="en-US" sz="1100" b="1" baseline="0"/>
            <a:t>kurang dari 119</a:t>
          </a:r>
          <a:r>
            <a:rPr lang="en-US" sz="1100" b="0" baseline="0"/>
            <a:t> jam per bulan pada taraf nyata 5%.</a:t>
          </a:r>
          <a:endParaRPr lang="id-ID" b="0">
            <a:effectLst/>
          </a:endParaRPr>
        </a:p>
      </xdr:txBody>
    </xdr:sp>
    <xdr:clientData/>
  </xdr:oneCellAnchor>
  <xdr:twoCellAnchor editAs="oneCell">
    <xdr:from>
      <xdr:col>25</xdr:col>
      <xdr:colOff>523760</xdr:colOff>
      <xdr:row>42</xdr:row>
      <xdr:rowOff>11205</xdr:rowOff>
    </xdr:from>
    <xdr:to>
      <xdr:col>27</xdr:col>
      <xdr:colOff>213126</xdr:colOff>
      <xdr:row>52</xdr:row>
      <xdr:rowOff>13834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F5BDA26-EA37-3105-B0B7-046D5BCC2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601525" y="8079440"/>
          <a:ext cx="1045276" cy="1907629"/>
        </a:xfrm>
        <a:prstGeom prst="rect">
          <a:avLst/>
        </a:prstGeom>
      </xdr:spPr>
    </xdr:pic>
    <xdr:clientData/>
  </xdr:twoCellAnchor>
  <xdr:twoCellAnchor editAs="oneCell">
    <xdr:from>
      <xdr:col>0</xdr:col>
      <xdr:colOff>17319</xdr:colOff>
      <xdr:row>64</xdr:row>
      <xdr:rowOff>121227</xdr:rowOff>
    </xdr:from>
    <xdr:to>
      <xdr:col>8</xdr:col>
      <xdr:colOff>602878</xdr:colOff>
      <xdr:row>82</xdr:row>
      <xdr:rowOff>64548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744218D-55D1-7915-8449-7A4278B71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19" y="12451772"/>
          <a:ext cx="6716062" cy="3372321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762000</xdr:colOff>
      <xdr:row>64</xdr:row>
      <xdr:rowOff>95250</xdr:rowOff>
    </xdr:from>
    <xdr:to>
      <xdr:col>26</xdr:col>
      <xdr:colOff>727321</xdr:colOff>
      <xdr:row>80</xdr:row>
      <xdr:rowOff>412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1AF871A-93FA-61E9-4F58-5BFD80133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39688" y="12287250"/>
          <a:ext cx="5966071" cy="2953162"/>
        </a:xfrm>
        <a:prstGeom prst="rect">
          <a:avLst/>
        </a:prstGeom>
      </xdr:spPr>
    </xdr:pic>
    <xdr:clientData/>
  </xdr:twoCellAnchor>
  <xdr:oneCellAnchor>
    <xdr:from>
      <xdr:col>3</xdr:col>
      <xdr:colOff>1</xdr:colOff>
      <xdr:row>97</xdr:row>
      <xdr:rowOff>0</xdr:rowOff>
    </xdr:from>
    <xdr:ext cx="1705584" cy="382625"/>
    <xdr:pic>
      <xdr:nvPicPr>
        <xdr:cNvPr id="47" name="Picture 46">
          <a:extLst>
            <a:ext uri="{FF2B5EF4-FFF2-40B4-BE49-F238E27FC236}">
              <a16:creationId xmlns:a16="http://schemas.microsoft.com/office/drawing/2014/main" id="{B34E6902-9EC7-47A8-984A-572BD8009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99608" y="4980214"/>
          <a:ext cx="1705584" cy="382625"/>
        </a:xfrm>
        <a:prstGeom prst="rect">
          <a:avLst/>
        </a:prstGeom>
      </xdr:spPr>
    </xdr:pic>
    <xdr:clientData/>
  </xdr:oneCellAnchor>
  <xdr:oneCellAnchor>
    <xdr:from>
      <xdr:col>5</xdr:col>
      <xdr:colOff>182217</xdr:colOff>
      <xdr:row>91</xdr:row>
      <xdr:rowOff>8283</xdr:rowOff>
    </xdr:from>
    <xdr:ext cx="462514" cy="459655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79B35552-C321-4C20-A2CC-F7F272619EF5}"/>
            </a:ext>
          </a:extLst>
        </xdr:cNvPr>
        <xdr:cNvSpPr txBox="1"/>
      </xdr:nvSpPr>
      <xdr:spPr>
        <a:xfrm>
          <a:off x="3937788" y="3845497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3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595604</xdr:colOff>
      <xdr:row>7</xdr:row>
      <xdr:rowOff>136071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97763D-9055-4B81-49D2-E8A735881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57211" cy="1469571"/>
        </a:xfrm>
        <a:prstGeom prst="rect">
          <a:avLst/>
        </a:prstGeom>
      </xdr:spPr>
    </xdr:pic>
    <xdr:clientData/>
  </xdr:twoCellAnchor>
  <xdr:twoCellAnchor editAs="oneCell">
    <xdr:from>
      <xdr:col>6</xdr:col>
      <xdr:colOff>13138</xdr:colOff>
      <xdr:row>0</xdr:row>
      <xdr:rowOff>0</xdr:rowOff>
    </xdr:from>
    <xdr:to>
      <xdr:col>12</xdr:col>
      <xdr:colOff>476000</xdr:colOff>
      <xdr:row>7</xdr:row>
      <xdr:rowOff>174935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CCB1BA-5F1E-312A-4B70-93A09DDED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78621" y="0"/>
          <a:ext cx="4605908" cy="150843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</xdr:row>
      <xdr:rowOff>0</xdr:rowOff>
    </xdr:from>
    <xdr:to>
      <xdr:col>5</xdr:col>
      <xdr:colOff>572665</xdr:colOff>
      <xdr:row>16</xdr:row>
      <xdr:rowOff>167368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68CB6E-16B4-9E23-D88D-6CA800DE8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905000"/>
          <a:ext cx="3620664" cy="1323975"/>
        </a:xfrm>
        <a:prstGeom prst="rect">
          <a:avLst/>
        </a:prstGeom>
      </xdr:spPr>
    </xdr:pic>
    <xdr:clientData/>
  </xdr:twoCellAnchor>
  <xdr:oneCellAnchor>
    <xdr:from>
      <xdr:col>7</xdr:col>
      <xdr:colOff>154932</xdr:colOff>
      <xdr:row>30</xdr:row>
      <xdr:rowOff>188819</xdr:rowOff>
    </xdr:from>
    <xdr:ext cx="462514" cy="459655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7BC33F4-FE82-44BF-8A09-0DEBCD6C3425}"/>
            </a:ext>
          </a:extLst>
        </xdr:cNvPr>
        <xdr:cNvSpPr txBox="1"/>
      </xdr:nvSpPr>
      <xdr:spPr>
        <a:xfrm>
          <a:off x="4422132" y="5903819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3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7</xdr:col>
      <xdr:colOff>145678</xdr:colOff>
      <xdr:row>8</xdr:row>
      <xdr:rowOff>179294</xdr:rowOff>
    </xdr:from>
    <xdr:ext cx="462514" cy="45965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263D6A8-E21E-4207-AB11-7A76CD3FBB9E}"/>
            </a:ext>
          </a:extLst>
        </xdr:cNvPr>
        <xdr:cNvSpPr txBox="1"/>
      </xdr:nvSpPr>
      <xdr:spPr>
        <a:xfrm>
          <a:off x="16090528" y="7094444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2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8</xdr:col>
      <xdr:colOff>0</xdr:colOff>
      <xdr:row>35</xdr:row>
      <xdr:rowOff>57150</xdr:rowOff>
    </xdr:from>
    <xdr:ext cx="2965174" cy="86053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9A4C190-EA83-46A8-B5D8-DC8121E9296E}"/>
            </a:ext>
          </a:extLst>
        </xdr:cNvPr>
        <xdr:cNvSpPr txBox="1"/>
      </xdr:nvSpPr>
      <xdr:spPr>
        <a:xfrm>
          <a:off x="4876800" y="6724650"/>
          <a:ext cx="2965174" cy="86053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/>
            <a:t>Artinya</a:t>
          </a:r>
          <a:r>
            <a:rPr lang="en-US" sz="1100" b="0"/>
            <a:t> </a:t>
          </a:r>
          <a:r>
            <a:rPr lang="en-US" sz="1100" b="1" baseline="0"/>
            <a:t>cukup bukti </a:t>
          </a:r>
          <a:r>
            <a:rPr lang="en-US" sz="1100" b="0" baseline="0"/>
            <a:t>untuk menyatakan bahwa produktivitas padi di dataran rendah lebih besar dibandingkan dengan dataran tinggi pada taraf nyata 5%.</a:t>
          </a:r>
          <a:endParaRPr lang="id-ID" b="0">
            <a:effectLst/>
          </a:endParaRPr>
        </a:p>
      </xdr:txBody>
    </xdr:sp>
    <xdr:clientData/>
  </xdr:oneCellAnchor>
  <xdr:oneCellAnchor>
    <xdr:from>
      <xdr:col>5</xdr:col>
      <xdr:colOff>581025</xdr:colOff>
      <xdr:row>14</xdr:row>
      <xdr:rowOff>38100</xdr:rowOff>
    </xdr:from>
    <xdr:ext cx="462514" cy="45965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30206D3-A355-461C-806B-19323A2AB3CE}"/>
            </a:ext>
          </a:extLst>
        </xdr:cNvPr>
        <xdr:cNvSpPr txBox="1"/>
      </xdr:nvSpPr>
      <xdr:spPr>
        <a:xfrm>
          <a:off x="3629025" y="2705100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1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twoCellAnchor editAs="oneCell">
    <xdr:from>
      <xdr:col>11</xdr:col>
      <xdr:colOff>316255</xdr:colOff>
      <xdr:row>10</xdr:row>
      <xdr:rowOff>9525</xdr:rowOff>
    </xdr:from>
    <xdr:to>
      <xdr:col>15</xdr:col>
      <xdr:colOff>3649</xdr:colOff>
      <xdr:row>12</xdr:row>
      <xdr:rowOff>85549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079D47B-3A88-B36E-2BF2-922EDF5DC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21855" y="1914525"/>
          <a:ext cx="1513010" cy="561975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0</xdr:row>
      <xdr:rowOff>0</xdr:rowOff>
    </xdr:from>
    <xdr:to>
      <xdr:col>23</xdr:col>
      <xdr:colOff>238126</xdr:colOff>
      <xdr:row>7</xdr:row>
      <xdr:rowOff>180250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D22172-61E2-363B-F1DF-66D337F5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20501" y="0"/>
          <a:ext cx="3333750" cy="1513750"/>
        </a:xfrm>
        <a:prstGeom prst="rect">
          <a:avLst/>
        </a:prstGeom>
      </xdr:spPr>
    </xdr:pic>
    <xdr:clientData/>
  </xdr:twoCellAnchor>
  <xdr:twoCellAnchor editAs="oneCell">
    <xdr:from>
      <xdr:col>23</xdr:col>
      <xdr:colOff>166688</xdr:colOff>
      <xdr:row>0</xdr:row>
      <xdr:rowOff>0</xdr:rowOff>
    </xdr:from>
    <xdr:to>
      <xdr:col>31</xdr:col>
      <xdr:colOff>17805</xdr:colOff>
      <xdr:row>8</xdr:row>
      <xdr:rowOff>42137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C04204-44CB-0A6C-44CB-FC0FBAC7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82813" y="0"/>
          <a:ext cx="5072062" cy="153765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</xdr:row>
      <xdr:rowOff>0</xdr:rowOff>
    </xdr:from>
    <xdr:to>
      <xdr:col>23</xdr:col>
      <xdr:colOff>268941</xdr:colOff>
      <xdr:row>18</xdr:row>
      <xdr:rowOff>50141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901349-6D67-FA95-6F6D-FF7D7993E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73971" y="1916206"/>
          <a:ext cx="3294529" cy="1586793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22</xdr:row>
      <xdr:rowOff>0</xdr:rowOff>
    </xdr:from>
    <xdr:to>
      <xdr:col>26</xdr:col>
      <xdr:colOff>487746</xdr:colOff>
      <xdr:row>24</xdr:row>
      <xdr:rowOff>4440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3DACC1-9041-459E-801C-02D1A2CB5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05026" y="4972050"/>
          <a:ext cx="1706945" cy="377334"/>
        </a:xfrm>
        <a:prstGeom prst="rect">
          <a:avLst/>
        </a:prstGeom>
      </xdr:spPr>
    </xdr:pic>
    <xdr:clientData/>
  </xdr:twoCellAnchor>
  <xdr:oneCellAnchor>
    <xdr:from>
      <xdr:col>29</xdr:col>
      <xdr:colOff>70258</xdr:colOff>
      <xdr:row>15</xdr:row>
      <xdr:rowOff>10569</xdr:rowOff>
    </xdr:from>
    <xdr:ext cx="2379109" cy="981345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44D15570-11CA-4896-9480-874D7D303E72}"/>
            </a:ext>
          </a:extLst>
        </xdr:cNvPr>
        <xdr:cNvSpPr txBox="1"/>
      </xdr:nvSpPr>
      <xdr:spPr>
        <a:xfrm>
          <a:off x="18259724" y="2874638"/>
          <a:ext cx="2379109" cy="981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/>
            <a:t>Artinya</a:t>
          </a:r>
          <a:r>
            <a:rPr lang="en-US" sz="1100" b="0"/>
            <a:t> </a:t>
          </a:r>
          <a:r>
            <a:rPr lang="en-US" sz="1100" b="1"/>
            <a:t>tidak</a:t>
          </a:r>
          <a:r>
            <a:rPr lang="en-US" sz="1100" b="1" baseline="0"/>
            <a:t> cukup bukti </a:t>
          </a:r>
          <a:r>
            <a:rPr lang="en-US" sz="1100" b="0" baseline="0"/>
            <a:t>untuk menyatakan bahwa pengaturan suhu ruangan mampu menurunkan suhu badan bagi pasien penderita demam pada taraf nyata 5%.</a:t>
          </a:r>
          <a:endParaRPr lang="id-ID" b="0">
            <a:effectLst/>
          </a:endParaRPr>
        </a:p>
      </xdr:txBody>
    </xdr:sp>
    <xdr:clientData/>
  </xdr:oneCellAnchor>
  <xdr:twoCellAnchor editAs="oneCell">
    <xdr:from>
      <xdr:col>36</xdr:col>
      <xdr:colOff>1</xdr:colOff>
      <xdr:row>0</xdr:row>
      <xdr:rowOff>0</xdr:rowOff>
    </xdr:from>
    <xdr:to>
      <xdr:col>42</xdr:col>
      <xdr:colOff>305160</xdr:colOff>
      <xdr:row>8</xdr:row>
      <xdr:rowOff>36355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521D15-DEEB-C00C-53CE-F38DDEE92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496319" y="0"/>
          <a:ext cx="4139046" cy="1560355"/>
        </a:xfrm>
        <a:prstGeom prst="rect">
          <a:avLst/>
        </a:prstGeom>
      </xdr:spPr>
    </xdr:pic>
    <xdr:clientData/>
  </xdr:twoCellAnchor>
  <xdr:twoCellAnchor editAs="oneCell">
    <xdr:from>
      <xdr:col>42</xdr:col>
      <xdr:colOff>467591</xdr:colOff>
      <xdr:row>0</xdr:row>
      <xdr:rowOff>0</xdr:rowOff>
    </xdr:from>
    <xdr:to>
      <xdr:col>48</xdr:col>
      <xdr:colOff>353458</xdr:colOff>
      <xdr:row>8</xdr:row>
      <xdr:rowOff>53728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14C98C-5F5B-5FBB-0852-57158F9BE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600727" y="0"/>
          <a:ext cx="3522686" cy="1577728"/>
        </a:xfrm>
        <a:prstGeom prst="rect">
          <a:avLst/>
        </a:prstGeom>
      </xdr:spPr>
    </xdr:pic>
    <xdr:clientData/>
  </xdr:twoCellAnchor>
  <xdr:twoCellAnchor editAs="oneCell">
    <xdr:from>
      <xdr:col>36</xdr:col>
      <xdr:colOff>13139</xdr:colOff>
      <xdr:row>9</xdr:row>
      <xdr:rowOff>183931</xdr:rowOff>
    </xdr:from>
    <xdr:to>
      <xdr:col>42</xdr:col>
      <xdr:colOff>136282</xdr:colOff>
      <xdr:row>18</xdr:row>
      <xdr:rowOff>81064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FB3DDAA-AF9E-277D-B2E7-13B8F56F7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669501" y="1905000"/>
          <a:ext cx="3929278" cy="1622087"/>
        </a:xfrm>
        <a:prstGeom prst="rect">
          <a:avLst/>
        </a:prstGeom>
      </xdr:spPr>
    </xdr:pic>
    <xdr:clientData/>
  </xdr:twoCellAnchor>
  <xdr:oneCellAnchor>
    <xdr:from>
      <xdr:col>43</xdr:col>
      <xdr:colOff>166138</xdr:colOff>
      <xdr:row>17</xdr:row>
      <xdr:rowOff>179294</xdr:rowOff>
    </xdr:from>
    <xdr:ext cx="462514" cy="459655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3E009928-0551-49E9-8BDE-B5D0F7696E70}"/>
            </a:ext>
          </a:extLst>
        </xdr:cNvPr>
        <xdr:cNvSpPr txBox="1"/>
      </xdr:nvSpPr>
      <xdr:spPr>
        <a:xfrm>
          <a:off x="16301488" y="3817844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3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43</xdr:col>
      <xdr:colOff>145678</xdr:colOff>
      <xdr:row>8</xdr:row>
      <xdr:rowOff>179294</xdr:rowOff>
    </xdr:from>
    <xdr:ext cx="462514" cy="45965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70468CA6-CC5C-4EA2-B742-99F4C9788749}"/>
            </a:ext>
          </a:extLst>
        </xdr:cNvPr>
        <xdr:cNvSpPr txBox="1"/>
      </xdr:nvSpPr>
      <xdr:spPr>
        <a:xfrm>
          <a:off x="16281028" y="2103344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2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44</xdr:col>
      <xdr:colOff>0</xdr:colOff>
      <xdr:row>24</xdr:row>
      <xdr:rowOff>0</xdr:rowOff>
    </xdr:from>
    <xdr:ext cx="3004038" cy="967154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13E53121-AFAB-4EB2-BBB7-9DC3F8C6083D}"/>
            </a:ext>
          </a:extLst>
        </xdr:cNvPr>
        <xdr:cNvSpPr txBox="1"/>
      </xdr:nvSpPr>
      <xdr:spPr>
        <a:xfrm>
          <a:off x="27629827" y="4579327"/>
          <a:ext cx="3004038" cy="96715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/>
            <a:t>Artinya</a:t>
          </a:r>
          <a:r>
            <a:rPr lang="en-US" sz="1100" b="1" baseline="0"/>
            <a:t> cukup bukti </a:t>
          </a:r>
          <a:r>
            <a:rPr lang="en-US" sz="1100" b="0" baseline="0"/>
            <a:t>untuk menyatakan bahwa IPB kota/kabupaten di provinsi jawa barat </a:t>
          </a:r>
          <a:r>
            <a:rPr lang="en-US" sz="1100" b="1" baseline="0"/>
            <a:t>lebih tinggi </a:t>
          </a:r>
          <a:r>
            <a:rPr lang="en-US" sz="1100" b="0" baseline="0"/>
            <a:t>setelam masa pemerintahan gubernur X</a:t>
          </a:r>
          <a:r>
            <a:rPr lang="en-US" sz="1100" b="1" baseline="0"/>
            <a:t> </a:t>
          </a:r>
          <a:r>
            <a:rPr lang="en-US" sz="1100" b="0" baseline="0"/>
            <a:t>pada taraf nyata 5%.</a:t>
          </a:r>
          <a:endParaRPr lang="id-ID" b="0">
            <a:effectLst/>
          </a:endParaRPr>
        </a:p>
      </xdr:txBody>
    </xdr:sp>
    <xdr:clientData/>
  </xdr:oneCellAnchor>
  <xdr:twoCellAnchor editAs="oneCell">
    <xdr:from>
      <xdr:col>47</xdr:col>
      <xdr:colOff>43240</xdr:colOff>
      <xdr:row>14</xdr:row>
      <xdr:rowOff>29307</xdr:rowOff>
    </xdr:from>
    <xdr:to>
      <xdr:col>49</xdr:col>
      <xdr:colOff>139517</xdr:colOff>
      <xdr:row>23</xdr:row>
      <xdr:rowOff>42704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43AAA6F-7041-023F-763A-93847293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497471" y="2703634"/>
          <a:ext cx="1312546" cy="1740549"/>
        </a:xfrm>
        <a:prstGeom prst="rect">
          <a:avLst/>
        </a:prstGeom>
      </xdr:spPr>
    </xdr:pic>
    <xdr:clientData/>
  </xdr:twoCellAnchor>
  <xdr:twoCellAnchor editAs="oneCell">
    <xdr:from>
      <xdr:col>55</xdr:col>
      <xdr:colOff>33618</xdr:colOff>
      <xdr:row>0</xdr:row>
      <xdr:rowOff>0</xdr:rowOff>
    </xdr:from>
    <xdr:to>
      <xdr:col>60</xdr:col>
      <xdr:colOff>183005</xdr:colOff>
      <xdr:row>7</xdr:row>
      <xdr:rowOff>159658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76148A7-5E62-7373-68C9-2586F0C6C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200353" y="0"/>
          <a:ext cx="3706824" cy="1493158"/>
        </a:xfrm>
        <a:prstGeom prst="rect">
          <a:avLst/>
        </a:prstGeom>
      </xdr:spPr>
    </xdr:pic>
    <xdr:clientData/>
  </xdr:twoCellAnchor>
  <xdr:twoCellAnchor editAs="oneCell">
    <xdr:from>
      <xdr:col>61</xdr:col>
      <xdr:colOff>100246</xdr:colOff>
      <xdr:row>0</xdr:row>
      <xdr:rowOff>0</xdr:rowOff>
    </xdr:from>
    <xdr:to>
      <xdr:col>65</xdr:col>
      <xdr:colOff>332725</xdr:colOff>
      <xdr:row>8</xdr:row>
      <xdr:rowOff>30021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E868719-467A-A0EC-52F5-D87C76C1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97687" y="0"/>
          <a:ext cx="2986977" cy="1535206"/>
        </a:xfrm>
        <a:prstGeom prst="rect">
          <a:avLst/>
        </a:prstGeom>
      </xdr:spPr>
    </xdr:pic>
    <xdr:clientData/>
  </xdr:twoCellAnchor>
  <xdr:twoCellAnchor editAs="oneCell">
    <xdr:from>
      <xdr:col>55</xdr:col>
      <xdr:colOff>9525</xdr:colOff>
      <xdr:row>7</xdr:row>
      <xdr:rowOff>161926</xdr:rowOff>
    </xdr:from>
    <xdr:to>
      <xdr:col>60</xdr:col>
      <xdr:colOff>454723</xdr:colOff>
      <xdr:row>15</xdr:row>
      <xdr:rowOff>172416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9749994-9F10-A0FF-2193-A2CFC9170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04300" y="1495426"/>
          <a:ext cx="3631167" cy="1485899"/>
        </a:xfrm>
        <a:prstGeom prst="rect">
          <a:avLst/>
        </a:prstGeom>
      </xdr:spPr>
    </xdr:pic>
    <xdr:clientData/>
  </xdr:twoCellAnchor>
  <xdr:twoCellAnchor editAs="oneCell">
    <xdr:from>
      <xdr:col>55</xdr:col>
      <xdr:colOff>1</xdr:colOff>
      <xdr:row>17</xdr:row>
      <xdr:rowOff>0</xdr:rowOff>
    </xdr:from>
    <xdr:to>
      <xdr:col>60</xdr:col>
      <xdr:colOff>123985</xdr:colOff>
      <xdr:row>24</xdr:row>
      <xdr:rowOff>95250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90035FE-F11B-A3A8-22F0-972204909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548537" y="3252107"/>
          <a:ext cx="3716269" cy="1428750"/>
        </a:xfrm>
        <a:prstGeom prst="rect">
          <a:avLst/>
        </a:prstGeom>
      </xdr:spPr>
    </xdr:pic>
    <xdr:clientData/>
  </xdr:twoCellAnchor>
  <xdr:oneCellAnchor>
    <xdr:from>
      <xdr:col>65</xdr:col>
      <xdr:colOff>179744</xdr:colOff>
      <xdr:row>33</xdr:row>
      <xdr:rowOff>165687</xdr:rowOff>
    </xdr:from>
    <xdr:ext cx="462514" cy="459655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14BFE88D-8D21-4111-B9AA-62F293C2D6E4}"/>
            </a:ext>
          </a:extLst>
        </xdr:cNvPr>
        <xdr:cNvSpPr txBox="1"/>
      </xdr:nvSpPr>
      <xdr:spPr>
        <a:xfrm>
          <a:off x="41382173" y="6479401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3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65</xdr:col>
      <xdr:colOff>145678</xdr:colOff>
      <xdr:row>16</xdr:row>
      <xdr:rowOff>179294</xdr:rowOff>
    </xdr:from>
    <xdr:ext cx="462514" cy="459655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A564F53-AC9D-4F03-9A39-7F73E2B353DE}"/>
            </a:ext>
          </a:extLst>
        </xdr:cNvPr>
        <xdr:cNvSpPr txBox="1"/>
      </xdr:nvSpPr>
      <xdr:spPr>
        <a:xfrm>
          <a:off x="27167370" y="1703294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2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66</xdr:col>
      <xdr:colOff>57979</xdr:colOff>
      <xdr:row>38</xdr:row>
      <xdr:rowOff>57978</xdr:rowOff>
    </xdr:from>
    <xdr:ext cx="3004038" cy="662609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5E31AB34-5E21-4BAD-B864-C672CA7F5AA6}"/>
            </a:ext>
          </a:extLst>
        </xdr:cNvPr>
        <xdr:cNvSpPr txBox="1"/>
      </xdr:nvSpPr>
      <xdr:spPr>
        <a:xfrm>
          <a:off x="41893436" y="7321826"/>
          <a:ext cx="3004038" cy="66260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/>
            <a:t>Artinya</a:t>
          </a:r>
          <a:r>
            <a:rPr lang="en-US" sz="1100" b="1" baseline="0"/>
            <a:t> tidak cukup bukti </a:t>
          </a:r>
          <a:r>
            <a:rPr lang="en-US" sz="1100" b="0" baseline="0"/>
            <a:t>untuk menyatakan bahwa </a:t>
          </a:r>
          <a:r>
            <a:rPr lang="en-US" sz="1100" b="1" baseline="0"/>
            <a:t>ada hubungan </a:t>
          </a:r>
          <a:r>
            <a:rPr lang="en-US" sz="1100" b="0" baseline="0"/>
            <a:t>antara jumlah keharidan kuliah dan nilai ujian akhir pada taraf nyata 5%.</a:t>
          </a:r>
          <a:endParaRPr lang="id-ID" b="0">
            <a:effectLst/>
          </a:endParaRPr>
        </a:p>
      </xdr:txBody>
    </xdr:sp>
    <xdr:clientData/>
  </xdr:oneCellAnchor>
  <xdr:twoCellAnchor editAs="oneCell">
    <xdr:from>
      <xdr:col>70</xdr:col>
      <xdr:colOff>57978</xdr:colOff>
      <xdr:row>18</xdr:row>
      <xdr:rowOff>182217</xdr:rowOff>
    </xdr:from>
    <xdr:to>
      <xdr:col>71</xdr:col>
      <xdr:colOff>307341</xdr:colOff>
      <xdr:row>25</xdr:row>
      <xdr:rowOff>94326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6D929F3-E841-A2A5-CC5D-F326753F9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345087" y="3627782"/>
          <a:ext cx="1474785" cy="1319113"/>
        </a:xfrm>
        <a:prstGeom prst="rect">
          <a:avLst/>
        </a:prstGeom>
      </xdr:spPr>
    </xdr:pic>
    <xdr:clientData/>
  </xdr:twoCellAnchor>
  <xdr:twoCellAnchor editAs="oneCell">
    <xdr:from>
      <xdr:col>70</xdr:col>
      <xdr:colOff>453312</xdr:colOff>
      <xdr:row>35</xdr:row>
      <xdr:rowOff>47739</xdr:rowOff>
    </xdr:from>
    <xdr:to>
      <xdr:col>73</xdr:col>
      <xdr:colOff>167775</xdr:colOff>
      <xdr:row>43</xdr:row>
      <xdr:rowOff>40686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B32B3E0-2E43-DEFE-AC56-2E2B844B9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071725" y="6740087"/>
          <a:ext cx="1925920" cy="15169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10</xdr:col>
      <xdr:colOff>316651</xdr:colOff>
      <xdr:row>90</xdr:row>
      <xdr:rowOff>67269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A56CF89-77D5-F9B0-54D1-49F7583CA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035643"/>
          <a:ext cx="6916115" cy="4258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9</xdr:col>
      <xdr:colOff>481235</xdr:colOff>
      <xdr:row>116</xdr:row>
      <xdr:rowOff>19664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119F691-A0D6-1D66-ACDC-D9A57A5D5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7798143"/>
          <a:ext cx="6468378" cy="44011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783055</xdr:colOff>
      <xdr:row>6</xdr:row>
      <xdr:rowOff>158671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5516B7-7608-9761-74FD-EB4B8E865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609850" cy="1301671"/>
        </a:xfrm>
        <a:prstGeom prst="rect">
          <a:avLst/>
        </a:prstGeom>
      </xdr:spPr>
    </xdr:pic>
    <xdr:clientData/>
  </xdr:twoCellAnchor>
  <xdr:twoCellAnchor editAs="oneCell">
    <xdr:from>
      <xdr:col>0</xdr:col>
      <xdr:colOff>21981</xdr:colOff>
      <xdr:row>9</xdr:row>
      <xdr:rowOff>7327</xdr:rowOff>
    </xdr:from>
    <xdr:to>
      <xdr:col>3</xdr:col>
      <xdr:colOff>662161</xdr:colOff>
      <xdr:row>14</xdr:row>
      <xdr:rowOff>147905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0BBB8D-0373-A1AA-03C9-C720C7335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81" y="1721827"/>
          <a:ext cx="2461113" cy="1093078"/>
        </a:xfrm>
        <a:prstGeom prst="rect">
          <a:avLst/>
        </a:prstGeom>
      </xdr:spPr>
    </xdr:pic>
    <xdr:clientData/>
  </xdr:twoCellAnchor>
  <xdr:oneCellAnchor>
    <xdr:from>
      <xdr:col>2</xdr:col>
      <xdr:colOff>242077</xdr:colOff>
      <xdr:row>16</xdr:row>
      <xdr:rowOff>55935</xdr:rowOff>
    </xdr:from>
    <xdr:ext cx="264560" cy="113075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17772A-C4E8-48AF-8F3E-CDBBA476569E}"/>
            </a:ext>
          </a:extLst>
        </xdr:cNvPr>
        <xdr:cNvSpPr txBox="1"/>
      </xdr:nvSpPr>
      <xdr:spPr>
        <a:xfrm rot="16724430">
          <a:off x="1028177" y="2775035"/>
          <a:ext cx="11307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E :</a:t>
          </a:r>
          <a:r>
            <a:rPr lang="en-US" sz="1100" baseline="0"/>
            <a:t> Nilai Harapan</a:t>
          </a:r>
        </a:p>
      </xdr:txBody>
    </xdr:sp>
    <xdr:clientData/>
  </xdr:oneCellAnchor>
  <xdr:oneCellAnchor>
    <xdr:from>
      <xdr:col>4</xdr:col>
      <xdr:colOff>20053</xdr:colOff>
      <xdr:row>12</xdr:row>
      <xdr:rowOff>95250</xdr:rowOff>
    </xdr:from>
    <xdr:ext cx="462514" cy="45965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FF0C1DD-FF56-4294-9D71-9783C5F94B1E}"/>
            </a:ext>
          </a:extLst>
        </xdr:cNvPr>
        <xdr:cNvSpPr txBox="1"/>
      </xdr:nvSpPr>
      <xdr:spPr>
        <a:xfrm>
          <a:off x="2667000" y="2381250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1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6</xdr:col>
      <xdr:colOff>0</xdr:colOff>
      <xdr:row>12</xdr:row>
      <xdr:rowOff>105276</xdr:rowOff>
    </xdr:from>
    <xdr:ext cx="462514" cy="45965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7F68DCD-A077-47CA-9C39-5A1A801E4146}"/>
            </a:ext>
          </a:extLst>
        </xdr:cNvPr>
        <xdr:cNvSpPr txBox="1"/>
      </xdr:nvSpPr>
      <xdr:spPr>
        <a:xfrm>
          <a:off x="3870158" y="2391276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2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5</xdr:col>
      <xdr:colOff>20053</xdr:colOff>
      <xdr:row>21</xdr:row>
      <xdr:rowOff>35092</xdr:rowOff>
    </xdr:from>
    <xdr:ext cx="462514" cy="45965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26233D8-EDB0-4038-9357-C79ECB32C5C9}"/>
            </a:ext>
          </a:extLst>
        </xdr:cNvPr>
        <xdr:cNvSpPr txBox="1"/>
      </xdr:nvSpPr>
      <xdr:spPr>
        <a:xfrm>
          <a:off x="3278606" y="4035592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3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twoCellAnchor editAs="oneCell">
    <xdr:from>
      <xdr:col>12</xdr:col>
      <xdr:colOff>0</xdr:colOff>
      <xdr:row>9</xdr:row>
      <xdr:rowOff>19050</xdr:rowOff>
    </xdr:from>
    <xdr:to>
      <xdr:col>16</xdr:col>
      <xdr:colOff>18787</xdr:colOff>
      <xdr:row>15</xdr:row>
      <xdr:rowOff>92875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CA8BEF5-A2F5-E006-15A4-2C5D6819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53100"/>
          <a:ext cx="2619375" cy="1216825"/>
        </a:xfrm>
        <a:prstGeom prst="rect">
          <a:avLst/>
        </a:prstGeom>
      </xdr:spPr>
    </xdr:pic>
    <xdr:clientData/>
  </xdr:twoCellAnchor>
  <xdr:twoCellAnchor editAs="oneCell">
    <xdr:from>
      <xdr:col>4</xdr:col>
      <xdr:colOff>29766</xdr:colOff>
      <xdr:row>8</xdr:row>
      <xdr:rowOff>89297</xdr:rowOff>
    </xdr:from>
    <xdr:to>
      <xdr:col>5</xdr:col>
      <xdr:colOff>455679</xdr:colOff>
      <xdr:row>12</xdr:row>
      <xdr:rowOff>53849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57A4ADE-C285-4ED5-98D4-29DA8B4F4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1047" y="1625203"/>
          <a:ext cx="1033132" cy="726552"/>
        </a:xfrm>
        <a:prstGeom prst="rect">
          <a:avLst/>
        </a:prstGeom>
      </xdr:spPr>
    </xdr:pic>
    <xdr:clientData/>
  </xdr:twoCellAnchor>
  <xdr:twoCellAnchor editAs="oneCell">
    <xdr:from>
      <xdr:col>5</xdr:col>
      <xdr:colOff>589359</xdr:colOff>
      <xdr:row>21</xdr:row>
      <xdr:rowOff>65485</xdr:rowOff>
    </xdr:from>
    <xdr:to>
      <xdr:col>9</xdr:col>
      <xdr:colOff>13120</xdr:colOff>
      <xdr:row>25</xdr:row>
      <xdr:rowOff>82061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443658A-EB08-4E5C-82E8-1D112A994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27859" y="4077891"/>
          <a:ext cx="1852636" cy="778576"/>
        </a:xfrm>
        <a:prstGeom prst="rect">
          <a:avLst/>
        </a:prstGeom>
      </xdr:spPr>
    </xdr:pic>
    <xdr:clientData/>
  </xdr:twoCellAnchor>
  <xdr:oneCellAnchor>
    <xdr:from>
      <xdr:col>14</xdr:col>
      <xdr:colOff>177082</xdr:colOff>
      <xdr:row>15</xdr:row>
      <xdr:rowOff>35472</xdr:rowOff>
    </xdr:from>
    <xdr:ext cx="264560" cy="2000419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88BE416-6F4F-4C1F-8EDB-617F2E4F2B49}"/>
            </a:ext>
          </a:extLst>
        </xdr:cNvPr>
        <xdr:cNvSpPr txBox="1"/>
      </xdr:nvSpPr>
      <xdr:spPr>
        <a:xfrm rot="16724430">
          <a:off x="1233202" y="2808402"/>
          <a:ext cx="200041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hat{p}</a:t>
          </a:r>
          <a:r>
            <a:rPr lang="en-US" sz="1100" baseline="0"/>
            <a:t> adalah penduga populasi</a:t>
          </a:r>
        </a:p>
      </xdr:txBody>
    </xdr:sp>
    <xdr:clientData/>
  </xdr:oneCellAnchor>
  <xdr:oneCellAnchor>
    <xdr:from>
      <xdr:col>17</xdr:col>
      <xdr:colOff>559716</xdr:colOff>
      <xdr:row>24</xdr:row>
      <xdr:rowOff>0</xdr:rowOff>
    </xdr:from>
    <xdr:ext cx="1824923" cy="43678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EDAD66F2-393F-46AC-8583-560A1C6D697B}"/>
            </a:ext>
          </a:extLst>
        </xdr:cNvPr>
        <xdr:cNvSpPr txBox="1"/>
      </xdr:nvSpPr>
      <xdr:spPr>
        <a:xfrm>
          <a:off x="4436391" y="3829050"/>
          <a:ext cx="1824923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Karena P</a:t>
          </a:r>
          <a:r>
            <a:rPr lang="en-US" sz="1100" baseline="0"/>
            <a:t> 6 kecil sekali,</a:t>
          </a:r>
        </a:p>
        <a:p>
          <a:r>
            <a:rPr lang="en-US" sz="1100" baseline="0"/>
            <a:t>Maka gabung dengan yang 5</a:t>
          </a:r>
        </a:p>
      </xdr:txBody>
    </xdr:sp>
    <xdr:clientData/>
  </xdr:oneCellAnchor>
  <xdr:twoCellAnchor editAs="oneCell">
    <xdr:from>
      <xdr:col>33</xdr:col>
      <xdr:colOff>27213</xdr:colOff>
      <xdr:row>9</xdr:row>
      <xdr:rowOff>13608</xdr:rowOff>
    </xdr:from>
    <xdr:to>
      <xdr:col>37</xdr:col>
      <xdr:colOff>557893</xdr:colOff>
      <xdr:row>15</xdr:row>
      <xdr:rowOff>177646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F07124-A1E5-0C64-FB6B-4D3F53055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54356" y="1741715"/>
          <a:ext cx="3469823" cy="1307038"/>
        </a:xfrm>
        <a:prstGeom prst="rect">
          <a:avLst/>
        </a:prstGeom>
      </xdr:spPr>
    </xdr:pic>
    <xdr:clientData/>
  </xdr:twoCellAnchor>
  <xdr:twoCellAnchor editAs="oneCell">
    <xdr:from>
      <xdr:col>17</xdr:col>
      <xdr:colOff>259581</xdr:colOff>
      <xdr:row>26</xdr:row>
      <xdr:rowOff>111996</xdr:rowOff>
    </xdr:from>
    <xdr:to>
      <xdr:col>20</xdr:col>
      <xdr:colOff>175393</xdr:colOff>
      <xdr:row>30</xdr:row>
      <xdr:rowOff>45355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AC00E4C-8562-4685-BED6-7005C4DE6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72510" y="5269103"/>
          <a:ext cx="1752776" cy="736181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9</xdr:row>
      <xdr:rowOff>4534</xdr:rowOff>
    </xdr:from>
    <xdr:to>
      <xdr:col>19</xdr:col>
      <xdr:colOff>561370</xdr:colOff>
      <xdr:row>13</xdr:row>
      <xdr:rowOff>58963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5ED679-341F-4B11-908D-DA08D933E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95857" y="1732641"/>
          <a:ext cx="2303084" cy="816429"/>
        </a:xfrm>
        <a:prstGeom prst="rect">
          <a:avLst/>
        </a:prstGeom>
      </xdr:spPr>
    </xdr:pic>
    <xdr:clientData/>
  </xdr:twoCellAnchor>
  <xdr:twoCellAnchor editAs="oneCell">
    <xdr:from>
      <xdr:col>20</xdr:col>
      <xdr:colOff>77558</xdr:colOff>
      <xdr:row>10</xdr:row>
      <xdr:rowOff>163286</xdr:rowOff>
    </xdr:from>
    <xdr:to>
      <xdr:col>22</xdr:col>
      <xdr:colOff>126939</xdr:colOff>
      <xdr:row>15</xdr:row>
      <xdr:rowOff>46508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B2F703-0AB2-454C-9C6E-D8842625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27451" y="2081893"/>
          <a:ext cx="1981595" cy="835722"/>
        </a:xfrm>
        <a:prstGeom prst="rect">
          <a:avLst/>
        </a:prstGeom>
      </xdr:spPr>
    </xdr:pic>
    <xdr:clientData/>
  </xdr:twoCellAnchor>
  <xdr:oneCellAnchor>
    <xdr:from>
      <xdr:col>16</xdr:col>
      <xdr:colOff>13607</xdr:colOff>
      <xdr:row>13</xdr:row>
      <xdr:rowOff>81643</xdr:rowOff>
    </xdr:from>
    <xdr:ext cx="462514" cy="459655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A69D374-EC3B-4E86-9B62-6BF70EDAE622}"/>
            </a:ext>
          </a:extLst>
        </xdr:cNvPr>
        <xdr:cNvSpPr txBox="1"/>
      </xdr:nvSpPr>
      <xdr:spPr>
        <a:xfrm>
          <a:off x="10314214" y="2571750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1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17</xdr:col>
      <xdr:colOff>605875</xdr:colOff>
      <xdr:row>13</xdr:row>
      <xdr:rowOff>91669</xdr:rowOff>
    </xdr:from>
    <xdr:ext cx="462514" cy="459655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52E5BBB-94C7-4E51-A2E6-6A5E05C44124}"/>
            </a:ext>
          </a:extLst>
        </xdr:cNvPr>
        <xdr:cNvSpPr txBox="1"/>
      </xdr:nvSpPr>
      <xdr:spPr>
        <a:xfrm>
          <a:off x="11518804" y="2581776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2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17</xdr:col>
      <xdr:colOff>13606</xdr:colOff>
      <xdr:row>22</xdr:row>
      <xdr:rowOff>21485</xdr:rowOff>
    </xdr:from>
    <xdr:ext cx="462514" cy="459655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3A79C8AB-17C1-4206-B60F-B218DFA7BB1C}"/>
            </a:ext>
          </a:extLst>
        </xdr:cNvPr>
        <xdr:cNvSpPr txBox="1"/>
      </xdr:nvSpPr>
      <xdr:spPr>
        <a:xfrm>
          <a:off x="10926535" y="4416592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3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38</xdr:col>
      <xdr:colOff>40823</xdr:colOff>
      <xdr:row>16</xdr:row>
      <xdr:rowOff>40821</xdr:rowOff>
    </xdr:from>
    <xdr:ext cx="462514" cy="459655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D2FD05E9-0B1D-455C-874B-506D8104186F}"/>
            </a:ext>
          </a:extLst>
        </xdr:cNvPr>
        <xdr:cNvSpPr txBox="1"/>
      </xdr:nvSpPr>
      <xdr:spPr>
        <a:xfrm>
          <a:off x="25037144" y="3102428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1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39</xdr:col>
      <xdr:colOff>578662</xdr:colOff>
      <xdr:row>13</xdr:row>
      <xdr:rowOff>91669</xdr:rowOff>
    </xdr:from>
    <xdr:ext cx="462514" cy="459655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4BBCE611-1A61-4D71-982C-94B1AB3234B1}"/>
            </a:ext>
          </a:extLst>
        </xdr:cNvPr>
        <xdr:cNvSpPr txBox="1"/>
      </xdr:nvSpPr>
      <xdr:spPr>
        <a:xfrm>
          <a:off x="25833519" y="2581776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2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38</xdr:col>
      <xdr:colOff>13607</xdr:colOff>
      <xdr:row>22</xdr:row>
      <xdr:rowOff>21485</xdr:rowOff>
    </xdr:from>
    <xdr:ext cx="462514" cy="459655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DE4778AA-5385-48AC-88AE-7D1EA0ED2BB1}"/>
            </a:ext>
          </a:extLst>
        </xdr:cNvPr>
        <xdr:cNvSpPr txBox="1"/>
      </xdr:nvSpPr>
      <xdr:spPr>
        <a:xfrm>
          <a:off x="24656143" y="4416592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3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twoCellAnchor editAs="oneCell">
    <xdr:from>
      <xdr:col>46</xdr:col>
      <xdr:colOff>13607</xdr:colOff>
      <xdr:row>0</xdr:row>
      <xdr:rowOff>0</xdr:rowOff>
    </xdr:from>
    <xdr:to>
      <xdr:col>50</xdr:col>
      <xdr:colOff>276890</xdr:colOff>
      <xdr:row>7</xdr:row>
      <xdr:rowOff>2785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F716570-C273-93F5-3999-9048AF174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983464" y="0"/>
          <a:ext cx="2721429" cy="1331906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</xdr:row>
      <xdr:rowOff>0</xdr:rowOff>
    </xdr:from>
    <xdr:to>
      <xdr:col>52</xdr:col>
      <xdr:colOff>511970</xdr:colOff>
      <xdr:row>16</xdr:row>
      <xdr:rowOff>346260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261662F-AD1D-1A8E-FA6E-506589395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969857" y="1728107"/>
          <a:ext cx="4212481" cy="1679760"/>
        </a:xfrm>
        <a:prstGeom prst="rect">
          <a:avLst/>
        </a:prstGeom>
      </xdr:spPr>
    </xdr:pic>
    <xdr:clientData/>
  </xdr:twoCellAnchor>
  <xdr:twoCellAnchor editAs="oneCell">
    <xdr:from>
      <xdr:col>38</xdr:col>
      <xdr:colOff>285750</xdr:colOff>
      <xdr:row>9</xdr:row>
      <xdr:rowOff>13608</xdr:rowOff>
    </xdr:from>
    <xdr:to>
      <xdr:col>41</xdr:col>
      <xdr:colOff>330853</xdr:colOff>
      <xdr:row>12</xdr:row>
      <xdr:rowOff>113254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D4E3824-9C37-487B-B6B7-8345129D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282071" y="1741715"/>
          <a:ext cx="1882067" cy="671146"/>
        </a:xfrm>
        <a:prstGeom prst="rect">
          <a:avLst/>
        </a:prstGeom>
      </xdr:spPr>
    </xdr:pic>
    <xdr:clientData/>
  </xdr:twoCellAnchor>
  <xdr:twoCellAnchor editAs="oneCell">
    <xdr:from>
      <xdr:col>41</xdr:col>
      <xdr:colOff>469397</xdr:colOff>
      <xdr:row>10</xdr:row>
      <xdr:rowOff>174421</xdr:rowOff>
    </xdr:from>
    <xdr:to>
      <xdr:col>43</xdr:col>
      <xdr:colOff>626873</xdr:colOff>
      <xdr:row>15</xdr:row>
      <xdr:rowOff>89067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A0F4985-6064-4805-81D0-4A77B09F3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302683" y="2093028"/>
          <a:ext cx="1994440" cy="867146"/>
        </a:xfrm>
        <a:prstGeom prst="rect">
          <a:avLst/>
        </a:prstGeom>
      </xdr:spPr>
    </xdr:pic>
    <xdr:clientData/>
  </xdr:twoCellAnchor>
  <xdr:twoCellAnchor editAs="oneCell">
    <xdr:from>
      <xdr:col>38</xdr:col>
      <xdr:colOff>114565</xdr:colOff>
      <xdr:row>26</xdr:row>
      <xdr:rowOff>47006</xdr:rowOff>
    </xdr:from>
    <xdr:to>
      <xdr:col>41</xdr:col>
      <xdr:colOff>18585</xdr:colOff>
      <xdr:row>29</xdr:row>
      <xdr:rowOff>174792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545EBD1-3EAB-4F2F-925C-6DF428634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0886" y="5204113"/>
          <a:ext cx="1740984" cy="726500"/>
        </a:xfrm>
        <a:prstGeom prst="rect">
          <a:avLst/>
        </a:prstGeom>
      </xdr:spPr>
    </xdr:pic>
    <xdr:clientData/>
  </xdr:twoCellAnchor>
  <xdr:twoCellAnchor editAs="oneCell">
    <xdr:from>
      <xdr:col>52</xdr:col>
      <xdr:colOff>598714</xdr:colOff>
      <xdr:row>15</xdr:row>
      <xdr:rowOff>13608</xdr:rowOff>
    </xdr:from>
    <xdr:to>
      <xdr:col>55</xdr:col>
      <xdr:colOff>426569</xdr:colOff>
      <xdr:row>16</xdr:row>
      <xdr:rowOff>285650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9F622D1-CD7B-4607-80D8-FEE97593A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541857" y="2884715"/>
          <a:ext cx="1673679" cy="462542"/>
        </a:xfrm>
        <a:prstGeom prst="rect">
          <a:avLst/>
        </a:prstGeom>
      </xdr:spPr>
    </xdr:pic>
    <xdr:clientData/>
  </xdr:twoCellAnchor>
  <xdr:twoCellAnchor editAs="oneCell">
    <xdr:from>
      <xdr:col>57</xdr:col>
      <xdr:colOff>591207</xdr:colOff>
      <xdr:row>0</xdr:row>
      <xdr:rowOff>1</xdr:rowOff>
    </xdr:from>
    <xdr:to>
      <xdr:col>60</xdr:col>
      <xdr:colOff>674125</xdr:colOff>
      <xdr:row>7</xdr:row>
      <xdr:rowOff>120432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8EB82C8-EBD3-82C0-BB63-BBDC6AD3C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603621" y="1"/>
          <a:ext cx="2239729" cy="1423276"/>
        </a:xfrm>
        <a:prstGeom prst="rect">
          <a:avLst/>
        </a:prstGeom>
      </xdr:spPr>
    </xdr:pic>
    <xdr:clientData/>
  </xdr:twoCellAnchor>
  <xdr:twoCellAnchor editAs="oneCell">
    <xdr:from>
      <xdr:col>60</xdr:col>
      <xdr:colOff>718606</xdr:colOff>
      <xdr:row>0</xdr:row>
      <xdr:rowOff>0</xdr:rowOff>
    </xdr:from>
    <xdr:to>
      <xdr:col>65</xdr:col>
      <xdr:colOff>226539</xdr:colOff>
      <xdr:row>7</xdr:row>
      <xdr:rowOff>120431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D2FFED6-4392-BAD3-7F22-79D4C92D6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602379" y="0"/>
          <a:ext cx="2933710" cy="1453931"/>
        </a:xfrm>
        <a:prstGeom prst="rect">
          <a:avLst/>
        </a:prstGeom>
      </xdr:spPr>
    </xdr:pic>
    <xdr:clientData/>
  </xdr:twoCellAnchor>
  <xdr:twoCellAnchor editAs="oneCell">
    <xdr:from>
      <xdr:col>58</xdr:col>
      <xdr:colOff>10949</xdr:colOff>
      <xdr:row>9</xdr:row>
      <xdr:rowOff>10949</xdr:rowOff>
    </xdr:from>
    <xdr:to>
      <xdr:col>61</xdr:col>
      <xdr:colOff>179094</xdr:colOff>
      <xdr:row>15</xdr:row>
      <xdr:rowOff>150143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A21D0BF-663A-FDC7-C3AB-15ECF9C52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482424" y="1734974"/>
          <a:ext cx="2513067" cy="1282194"/>
        </a:xfrm>
        <a:prstGeom prst="rect">
          <a:avLst/>
        </a:prstGeom>
      </xdr:spPr>
    </xdr:pic>
    <xdr:clientData/>
  </xdr:twoCellAnchor>
  <xdr:twoCellAnchor editAs="oneCell">
    <xdr:from>
      <xdr:col>62</xdr:col>
      <xdr:colOff>120430</xdr:colOff>
      <xdr:row>9</xdr:row>
      <xdr:rowOff>21897</xdr:rowOff>
    </xdr:from>
    <xdr:to>
      <xdr:col>65</xdr:col>
      <xdr:colOff>104368</xdr:colOff>
      <xdr:row>12</xdr:row>
      <xdr:rowOff>58710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DEE5402-3A83-4BDB-A02C-020E3DD5E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198361" y="1707931"/>
          <a:ext cx="1832108" cy="595176"/>
        </a:xfrm>
        <a:prstGeom prst="rect">
          <a:avLst/>
        </a:prstGeom>
      </xdr:spPr>
    </xdr:pic>
    <xdr:clientData/>
  </xdr:twoCellAnchor>
  <xdr:twoCellAnchor editAs="oneCell">
    <xdr:from>
      <xdr:col>62</xdr:col>
      <xdr:colOff>120431</xdr:colOff>
      <xdr:row>12</xdr:row>
      <xdr:rowOff>118800</xdr:rowOff>
    </xdr:from>
    <xdr:to>
      <xdr:col>65</xdr:col>
      <xdr:colOff>321482</xdr:colOff>
      <xdr:row>15</xdr:row>
      <xdr:rowOff>118979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B43DBFB-6021-438B-A11A-D9A50F234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198362" y="2363197"/>
          <a:ext cx="2049221" cy="558541"/>
        </a:xfrm>
        <a:prstGeom prst="rect">
          <a:avLst/>
        </a:prstGeom>
      </xdr:spPr>
    </xdr:pic>
    <xdr:clientData/>
  </xdr:twoCellAnchor>
  <xdr:oneCellAnchor>
    <xdr:from>
      <xdr:col>61</xdr:col>
      <xdr:colOff>208191</xdr:colOff>
      <xdr:row>13</xdr:row>
      <xdr:rowOff>111077</xdr:rowOff>
    </xdr:from>
    <xdr:ext cx="462514" cy="459655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D7F017C-1A0F-4406-9C40-8D9D01086741}"/>
            </a:ext>
          </a:extLst>
        </xdr:cNvPr>
        <xdr:cNvSpPr txBox="1"/>
      </xdr:nvSpPr>
      <xdr:spPr>
        <a:xfrm>
          <a:off x="40984716" y="2597102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1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62</xdr:col>
      <xdr:colOff>69755</xdr:colOff>
      <xdr:row>32</xdr:row>
      <xdr:rowOff>19050</xdr:rowOff>
    </xdr:from>
    <xdr:ext cx="462514" cy="459655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89377F71-FDF5-428C-804D-8E244CB7A0ED}"/>
            </a:ext>
          </a:extLst>
        </xdr:cNvPr>
        <xdr:cNvSpPr txBox="1"/>
      </xdr:nvSpPr>
      <xdr:spPr>
        <a:xfrm>
          <a:off x="41455880" y="6353175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2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63</xdr:col>
      <xdr:colOff>152400</xdr:colOff>
      <xdr:row>19</xdr:row>
      <xdr:rowOff>120316</xdr:rowOff>
    </xdr:from>
    <xdr:ext cx="462514" cy="459655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307E0B83-76FA-4420-AF23-6CDE5C397502}"/>
            </a:ext>
          </a:extLst>
        </xdr:cNvPr>
        <xdr:cNvSpPr txBox="1"/>
      </xdr:nvSpPr>
      <xdr:spPr>
        <a:xfrm>
          <a:off x="42148125" y="3939841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3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50</xdr:col>
      <xdr:colOff>598716</xdr:colOff>
      <xdr:row>15</xdr:row>
      <xdr:rowOff>120602</xdr:rowOff>
    </xdr:from>
    <xdr:ext cx="462514" cy="459655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0906B8B-8902-4AB1-A79A-E025E5FF470F}"/>
            </a:ext>
          </a:extLst>
        </xdr:cNvPr>
        <xdr:cNvSpPr txBox="1"/>
      </xdr:nvSpPr>
      <xdr:spPr>
        <a:xfrm>
          <a:off x="34193391" y="2987627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1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51</xdr:col>
      <xdr:colOff>117380</xdr:colOff>
      <xdr:row>24</xdr:row>
      <xdr:rowOff>104775</xdr:rowOff>
    </xdr:from>
    <xdr:ext cx="462514" cy="459655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26870E14-6E80-4304-B3C1-F2923E705D80}"/>
            </a:ext>
          </a:extLst>
        </xdr:cNvPr>
        <xdr:cNvSpPr txBox="1"/>
      </xdr:nvSpPr>
      <xdr:spPr>
        <a:xfrm>
          <a:off x="34321655" y="4876800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2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55</xdr:col>
      <xdr:colOff>19050</xdr:colOff>
      <xdr:row>17</xdr:row>
      <xdr:rowOff>25066</xdr:rowOff>
    </xdr:from>
    <xdr:ext cx="462514" cy="459655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F92125B0-6B68-4499-B8A7-3007DE2FEF8C}"/>
            </a:ext>
          </a:extLst>
        </xdr:cNvPr>
        <xdr:cNvSpPr txBox="1"/>
      </xdr:nvSpPr>
      <xdr:spPr>
        <a:xfrm>
          <a:off x="36661725" y="3463591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3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30</xdr:row>
      <xdr:rowOff>1</xdr:rowOff>
    </xdr:from>
    <xdr:to>
      <xdr:col>4</xdr:col>
      <xdr:colOff>329045</xdr:colOff>
      <xdr:row>35</xdr:row>
      <xdr:rowOff>37719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0A95D4-6F97-F9B1-A130-10E6AFA72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974774"/>
          <a:ext cx="2961409" cy="1019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4</xdr:col>
      <xdr:colOff>359890</xdr:colOff>
      <xdr:row>42</xdr:row>
      <xdr:rowOff>93883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1CDAADF-8202-ED32-CF04-84FB7CA88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135091"/>
          <a:ext cx="2992254" cy="12642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</xdr:rowOff>
    </xdr:from>
    <xdr:to>
      <xdr:col>4</xdr:col>
      <xdr:colOff>449592</xdr:colOff>
      <xdr:row>50</xdr:row>
      <xdr:rowOff>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6A39957-5CD2-848F-DA17-A79CAE69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8485910"/>
          <a:ext cx="3081956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</xdr:rowOff>
    </xdr:from>
    <xdr:to>
      <xdr:col>4</xdr:col>
      <xdr:colOff>469473</xdr:colOff>
      <xdr:row>57</xdr:row>
      <xdr:rowOff>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389B25D-8067-AAF0-F76E-FC28CF64D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009910"/>
          <a:ext cx="3101837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</xdr:rowOff>
    </xdr:from>
    <xdr:to>
      <xdr:col>5</xdr:col>
      <xdr:colOff>95995</xdr:colOff>
      <xdr:row>62</xdr:row>
      <xdr:rowOff>173184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863DE1C-0688-6FA6-3AEB-E976268D5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1343410"/>
          <a:ext cx="3334495" cy="935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4</xdr:col>
      <xdr:colOff>588818</xdr:colOff>
      <xdr:row>72</xdr:row>
      <xdr:rowOff>185593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94840CE-BA87-ABBB-38E5-93C6DCE0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2486409"/>
          <a:ext cx="3221182" cy="1709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4</xdr:col>
      <xdr:colOff>484909</xdr:colOff>
      <xdr:row>81</xdr:row>
      <xdr:rowOff>67615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6B3339D-C60D-1D2D-CC84-8621B4E2C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4391409"/>
          <a:ext cx="3117273" cy="1401115"/>
        </a:xfrm>
        <a:prstGeom prst="rect">
          <a:avLst/>
        </a:prstGeom>
      </xdr:spPr>
    </xdr:pic>
    <xdr:clientData/>
  </xdr:twoCellAnchor>
  <xdr:oneCellAnchor>
    <xdr:from>
      <xdr:col>51</xdr:col>
      <xdr:colOff>117380</xdr:colOff>
      <xdr:row>36</xdr:row>
      <xdr:rowOff>104775</xdr:rowOff>
    </xdr:from>
    <xdr:ext cx="462514" cy="459655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8FC173BA-4383-4766-866A-7A9AE6A4ACDA}"/>
            </a:ext>
          </a:extLst>
        </xdr:cNvPr>
        <xdr:cNvSpPr txBox="1"/>
      </xdr:nvSpPr>
      <xdr:spPr>
        <a:xfrm>
          <a:off x="34407380" y="4877301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2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55</xdr:col>
      <xdr:colOff>19050</xdr:colOff>
      <xdr:row>29</xdr:row>
      <xdr:rowOff>25066</xdr:rowOff>
    </xdr:from>
    <xdr:ext cx="462514" cy="459655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DFC2EAC-AB8C-4F8B-B8AB-E755AAE2C0EE}"/>
            </a:ext>
          </a:extLst>
        </xdr:cNvPr>
        <xdr:cNvSpPr txBox="1"/>
      </xdr:nvSpPr>
      <xdr:spPr>
        <a:xfrm>
          <a:off x="36775524" y="3464092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3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62</xdr:col>
      <xdr:colOff>69755</xdr:colOff>
      <xdr:row>49</xdr:row>
      <xdr:rowOff>19050</xdr:rowOff>
    </xdr:from>
    <xdr:ext cx="462514" cy="459655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BFDE500-051F-468C-85B5-6F4C3CA04E56}"/>
            </a:ext>
          </a:extLst>
        </xdr:cNvPr>
        <xdr:cNvSpPr txBox="1"/>
      </xdr:nvSpPr>
      <xdr:spPr>
        <a:xfrm>
          <a:off x="41866747" y="6412101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2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63</xdr:col>
      <xdr:colOff>152400</xdr:colOff>
      <xdr:row>44</xdr:row>
      <xdr:rowOff>120316</xdr:rowOff>
    </xdr:from>
    <xdr:ext cx="462514" cy="459655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F9CD983C-2237-4F9B-B247-C8F28150625F}"/>
            </a:ext>
          </a:extLst>
        </xdr:cNvPr>
        <xdr:cNvSpPr txBox="1"/>
      </xdr:nvSpPr>
      <xdr:spPr>
        <a:xfrm>
          <a:off x="42562866" y="3994892"/>
          <a:ext cx="462514" cy="459655"/>
        </a:xfrm>
        <a:prstGeom prst="rect">
          <a:avLst/>
        </a:prstGeom>
        <a:solidFill>
          <a:schemeClr val="accent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>
              <a:solidFill>
                <a:schemeClr val="bg1"/>
              </a:solidFill>
              <a:effectLst/>
            </a:rPr>
            <a:t>3</a:t>
          </a:r>
          <a:endParaRPr lang="id-ID" sz="2400" b="1">
            <a:solidFill>
              <a:schemeClr val="bg1"/>
            </a:solidFill>
            <a:effectLst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66675</xdr:colOff>
      <xdr:row>5</xdr:row>
      <xdr:rowOff>159851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CAE50B-8CA4-B8B1-6E73-468EF0700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05075" cy="1112351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0</xdr:row>
      <xdr:rowOff>0</xdr:rowOff>
    </xdr:from>
    <xdr:to>
      <xdr:col>7</xdr:col>
      <xdr:colOff>382062</xdr:colOff>
      <xdr:row>5</xdr:row>
      <xdr:rowOff>159155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059CB7-C844-C2FD-1E23-2494CD7E3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3175" y="0"/>
          <a:ext cx="2325162" cy="11116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</xdr:colOff>
      <xdr:row>6</xdr:row>
      <xdr:rowOff>0</xdr:rowOff>
    </xdr:from>
    <xdr:to>
      <xdr:col>3</xdr:col>
      <xdr:colOff>515442</xdr:colOff>
      <xdr:row>11</xdr:row>
      <xdr:rowOff>181839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0F4671-AF86-C7E4-2651-A616B1E68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4" y="1143000"/>
          <a:ext cx="2296618" cy="1134339"/>
        </a:xfrm>
        <a:prstGeom prst="rect">
          <a:avLst/>
        </a:prstGeom>
      </xdr:spPr>
    </xdr:pic>
    <xdr:clientData/>
  </xdr:twoCellAnchor>
  <xdr:twoCellAnchor editAs="oneCell">
    <xdr:from>
      <xdr:col>3</xdr:col>
      <xdr:colOff>514348</xdr:colOff>
      <xdr:row>5</xdr:row>
      <xdr:rowOff>161925</xdr:rowOff>
    </xdr:from>
    <xdr:to>
      <xdr:col>6</xdr:col>
      <xdr:colOff>648722</xdr:colOff>
      <xdr:row>11</xdr:row>
      <xdr:rowOff>122053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AD611E-5D70-E959-CCDE-F49AB6AC6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43148" y="1114425"/>
          <a:ext cx="2086999" cy="11031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</xdr:rowOff>
    </xdr:from>
    <xdr:to>
      <xdr:col>3</xdr:col>
      <xdr:colOff>483782</xdr:colOff>
      <xdr:row>17</xdr:row>
      <xdr:rowOff>152401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18E7E5-3250-AE1A-CD57-AD492AAA5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86001"/>
          <a:ext cx="2312582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1</xdr:rowOff>
    </xdr:from>
    <xdr:to>
      <xdr:col>3</xdr:col>
      <xdr:colOff>266701</xdr:colOff>
      <xdr:row>22</xdr:row>
      <xdr:rowOff>147485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9DBD1A2-02C4-91E2-A7D9-D2A7C07AF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619501"/>
          <a:ext cx="2095500" cy="7189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161926</xdr:rowOff>
    </xdr:from>
    <xdr:to>
      <xdr:col>5</xdr:col>
      <xdr:colOff>466725</xdr:colOff>
      <xdr:row>24</xdr:row>
      <xdr:rowOff>110650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2F340B-6B7B-C6CC-555A-95469248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352926"/>
          <a:ext cx="3514725" cy="3297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533401</xdr:colOff>
      <xdr:row>35</xdr:row>
      <xdr:rowOff>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B07DF2-BAF9-74EA-EB10-1582BF211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5905500"/>
          <a:ext cx="2362200" cy="7591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5</xdr:col>
      <xdr:colOff>466725</xdr:colOff>
      <xdr:row>36</xdr:row>
      <xdr:rowOff>139224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7316EB-9DB0-4F46-B686-2F4A90193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67500"/>
          <a:ext cx="3514725" cy="329724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0</xdr:row>
      <xdr:rowOff>0</xdr:rowOff>
    </xdr:from>
    <xdr:to>
      <xdr:col>16</xdr:col>
      <xdr:colOff>505921</xdr:colOff>
      <xdr:row>9</xdr:row>
      <xdr:rowOff>38737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5ADB46B-932A-678C-D224-0084C08EA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34125" y="0"/>
          <a:ext cx="4144471" cy="1753237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11</xdr:row>
      <xdr:rowOff>0</xdr:rowOff>
    </xdr:from>
    <xdr:to>
      <xdr:col>14</xdr:col>
      <xdr:colOff>438151</xdr:colOff>
      <xdr:row>16</xdr:row>
      <xdr:rowOff>87026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F955D95-3D55-3602-6E77-4FDBE1E0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15076" y="2095500"/>
          <a:ext cx="2876550" cy="1039526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16</xdr:row>
      <xdr:rowOff>114300</xdr:rowOff>
    </xdr:from>
    <xdr:to>
      <xdr:col>12</xdr:col>
      <xdr:colOff>561976</xdr:colOff>
      <xdr:row>18</xdr:row>
      <xdr:rowOff>66675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7AB0DD-D533-C331-0B0C-53690336E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24601" y="3162300"/>
          <a:ext cx="1771650" cy="333375"/>
        </a:xfrm>
        <a:prstGeom prst="rect">
          <a:avLst/>
        </a:prstGeom>
      </xdr:spPr>
    </xdr:pic>
    <xdr:clientData/>
  </xdr:twoCellAnchor>
  <xdr:twoCellAnchor editAs="oneCell">
    <xdr:from>
      <xdr:col>10</xdr:col>
      <xdr:colOff>40229</xdr:colOff>
      <xdr:row>22</xdr:row>
      <xdr:rowOff>19050</xdr:rowOff>
    </xdr:from>
    <xdr:to>
      <xdr:col>14</xdr:col>
      <xdr:colOff>590550</xdr:colOff>
      <xdr:row>25</xdr:row>
      <xdr:rowOff>17793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BE112E-8345-C757-19E6-4A6C8A499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55304" y="4210050"/>
          <a:ext cx="2988721" cy="570243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25</xdr:row>
      <xdr:rowOff>47625</xdr:rowOff>
    </xdr:from>
    <xdr:to>
      <xdr:col>12</xdr:col>
      <xdr:colOff>542925</xdr:colOff>
      <xdr:row>27</xdr:row>
      <xdr:rowOff>854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9620F1E-A59B-444B-96EC-9522E0497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05550" y="4810125"/>
          <a:ext cx="1771650" cy="3333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4</xdr:col>
      <xdr:colOff>171451</xdr:colOff>
      <xdr:row>6</xdr:row>
      <xdr:rowOff>130021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028C8A-82C8-B286-6BA1-D34F2655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2609850" cy="1273020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0</xdr:row>
      <xdr:rowOff>0</xdr:rowOff>
    </xdr:from>
    <xdr:to>
      <xdr:col>8</xdr:col>
      <xdr:colOff>439230</xdr:colOff>
      <xdr:row>6</xdr:row>
      <xdr:rowOff>124993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A365F2-275E-4086-D16B-61DDB1522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8425" y="0"/>
          <a:ext cx="2677605" cy="12679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</xdr:rowOff>
    </xdr:from>
    <xdr:to>
      <xdr:col>4</xdr:col>
      <xdr:colOff>175241</xdr:colOff>
      <xdr:row>13</xdr:row>
      <xdr:rowOff>152401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A996E0-3347-EE3A-8E50-BD34E9BE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1"/>
          <a:ext cx="2613641" cy="129540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6</xdr:row>
      <xdr:rowOff>161925</xdr:rowOff>
    </xdr:from>
    <xdr:to>
      <xdr:col>8</xdr:col>
      <xdr:colOff>323850</xdr:colOff>
      <xdr:row>13</xdr:row>
      <xdr:rowOff>164710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F67595-A0D7-9B35-5E43-2752AC24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0" y="1304925"/>
          <a:ext cx="2533650" cy="1336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4</xdr:col>
      <xdr:colOff>161925</xdr:colOff>
      <xdr:row>20</xdr:row>
      <xdr:rowOff>46691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443C6E-24CE-EB92-9536-A90CAEF4F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67000"/>
          <a:ext cx="2600325" cy="118969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76200</xdr:rowOff>
    </xdr:from>
    <xdr:to>
      <xdr:col>4</xdr:col>
      <xdr:colOff>190501</xdr:colOff>
      <xdr:row>27</xdr:row>
      <xdr:rowOff>58868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572914-07E5-13FD-C790-E7F9574E4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886200"/>
          <a:ext cx="2628900" cy="1316168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20</xdr:row>
      <xdr:rowOff>19050</xdr:rowOff>
    </xdr:from>
    <xdr:to>
      <xdr:col>8</xdr:col>
      <xdr:colOff>597724</xdr:colOff>
      <xdr:row>27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2AD15E-7C07-C3E7-D0C1-FADF45D27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28899" y="3829050"/>
          <a:ext cx="2845625" cy="1381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4</xdr:col>
      <xdr:colOff>123825</xdr:colOff>
      <xdr:row>33</xdr:row>
      <xdr:rowOff>119111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C564336-DC5A-E5B9-6476-63213068C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524500"/>
          <a:ext cx="2562225" cy="881111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28</xdr:row>
      <xdr:rowOff>180975</xdr:rowOff>
    </xdr:from>
    <xdr:to>
      <xdr:col>10</xdr:col>
      <xdr:colOff>71927</xdr:colOff>
      <xdr:row>33</xdr:row>
      <xdr:rowOff>161924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43A318-B923-9EE5-1EF6-7EDBE4E74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81275" y="5514975"/>
          <a:ext cx="3586652" cy="933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12</xdr:col>
      <xdr:colOff>67705</xdr:colOff>
      <xdr:row>60</xdr:row>
      <xdr:rowOff>86136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F01F2C-BF2C-4B67-89A2-22A18CDEB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572500"/>
          <a:ext cx="7382905" cy="294363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64</xdr:row>
      <xdr:rowOff>0</xdr:rowOff>
    </xdr:from>
    <xdr:to>
      <xdr:col>6</xdr:col>
      <xdr:colOff>323851</xdr:colOff>
      <xdr:row>70</xdr:row>
      <xdr:rowOff>186221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99BD82-F5CA-50C3-88D2-C8C4D4812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2192000"/>
          <a:ext cx="3981450" cy="1329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6</xdr:col>
      <xdr:colOff>400050</xdr:colOff>
      <xdr:row>80</xdr:row>
      <xdr:rowOff>47559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DCB21F9-AEA3-8663-DAA6-C3AC707C1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25500"/>
          <a:ext cx="4057650" cy="1762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6</xdr:col>
      <xdr:colOff>600369</xdr:colOff>
      <xdr:row>91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6C0341F-819E-56A3-1902-7A99A6785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6192500"/>
          <a:ext cx="4257969" cy="125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11</xdr:col>
      <xdr:colOff>601095</xdr:colOff>
      <xdr:row>107</xdr:row>
      <xdr:rowOff>86136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E0FF08-3AB8-57FF-31EB-65615BAD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7526000"/>
          <a:ext cx="7306695" cy="29436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17</xdr:row>
      <xdr:rowOff>49282</xdr:rowOff>
    </xdr:from>
    <xdr:to>
      <xdr:col>5</xdr:col>
      <xdr:colOff>199360</xdr:colOff>
      <xdr:row>25</xdr:row>
      <xdr:rowOff>125795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B245C3-1E7D-4C3C-9E47-5CFD97005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010"/>
        <a:stretch/>
      </xdr:blipFill>
      <xdr:spPr>
        <a:xfrm>
          <a:off x="1" y="3438410"/>
          <a:ext cx="3300522" cy="1671397"/>
        </a:xfrm>
        <a:prstGeom prst="rect">
          <a:avLst/>
        </a:prstGeom>
      </xdr:spPr>
    </xdr:pic>
    <xdr:clientData/>
  </xdr:twoCellAnchor>
  <xdr:twoCellAnchor editAs="oneCell">
    <xdr:from>
      <xdr:col>5</xdr:col>
      <xdr:colOff>36633</xdr:colOff>
      <xdr:row>31</xdr:row>
      <xdr:rowOff>149810</xdr:rowOff>
    </xdr:from>
    <xdr:to>
      <xdr:col>8</xdr:col>
      <xdr:colOff>563217</xdr:colOff>
      <xdr:row>39</xdr:row>
      <xdr:rowOff>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AA32EE-B803-43A5-B3BE-66E3BDFE8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6133" y="4150310"/>
          <a:ext cx="2355384" cy="1434211"/>
        </a:xfrm>
        <a:prstGeom prst="rect">
          <a:avLst/>
        </a:prstGeom>
      </xdr:spPr>
    </xdr:pic>
    <xdr:clientData/>
  </xdr:twoCellAnchor>
  <xdr:twoCellAnchor editAs="oneCell">
    <xdr:from>
      <xdr:col>5</xdr:col>
      <xdr:colOff>21981</xdr:colOff>
      <xdr:row>26</xdr:row>
      <xdr:rowOff>42996</xdr:rowOff>
    </xdr:from>
    <xdr:to>
      <xdr:col>8</xdr:col>
      <xdr:colOff>588065</xdr:colOff>
      <xdr:row>30</xdr:row>
      <xdr:rowOff>186579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CBC4B5-20A3-4567-A454-C2A20AACE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1481" y="3090996"/>
          <a:ext cx="2394884" cy="9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4</xdr:col>
      <xdr:colOff>142875</xdr:colOff>
      <xdr:row>6</xdr:row>
      <xdr:rowOff>159089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403AE6-6A33-CF72-4EE0-BF91517F1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"/>
          <a:ext cx="2581275" cy="1302088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0</xdr:row>
      <xdr:rowOff>0</xdr:rowOff>
    </xdr:from>
    <xdr:to>
      <xdr:col>8</xdr:col>
      <xdr:colOff>239120</xdr:colOff>
      <xdr:row>6</xdr:row>
      <xdr:rowOff>168418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E1732A-A327-C7FD-8B5A-BC8097E9C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7949" y="0"/>
          <a:ext cx="2467971" cy="13114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44303</xdr:rowOff>
    </xdr:from>
    <xdr:to>
      <xdr:col>4</xdr:col>
      <xdr:colOff>475632</xdr:colOff>
      <xdr:row>14</xdr:row>
      <xdr:rowOff>183998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97A756-4C27-0A4A-657C-432E4B92F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39826"/>
          <a:ext cx="2956562" cy="1535219"/>
        </a:xfrm>
        <a:prstGeom prst="rect">
          <a:avLst/>
        </a:prstGeom>
      </xdr:spPr>
    </xdr:pic>
    <xdr:clientData/>
  </xdr:twoCellAnchor>
  <xdr:twoCellAnchor editAs="oneCell">
    <xdr:from>
      <xdr:col>4</xdr:col>
      <xdr:colOff>523960</xdr:colOff>
      <xdr:row>7</xdr:row>
      <xdr:rowOff>66454</xdr:rowOff>
    </xdr:from>
    <xdr:to>
      <xdr:col>9</xdr:col>
      <xdr:colOff>148868</xdr:colOff>
      <xdr:row>15</xdr:row>
      <xdr:rowOff>44303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02A54A-7AA5-CB20-4F7D-6C60FCC4E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04890" y="1461977"/>
          <a:ext cx="2726071" cy="15727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332267</xdr:colOff>
      <xdr:row>78</xdr:row>
      <xdr:rowOff>154234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6FB8DD-639A-E8D2-9E70-AEEA582AF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759070"/>
          <a:ext cx="6534593" cy="294528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25</xdr:col>
      <xdr:colOff>168746</xdr:colOff>
      <xdr:row>18</xdr:row>
      <xdr:rowOff>117254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117485-96A2-50CC-B231-D6E47A018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63023" y="0"/>
          <a:ext cx="7611537" cy="37057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3"/>
  <sheetViews>
    <sheetView topLeftCell="N1" zoomScale="101" zoomScaleNormal="115" workbookViewId="0">
      <selection activeCell="J92" sqref="J92"/>
    </sheetView>
  </sheetViews>
  <sheetFormatPr defaultRowHeight="15" x14ac:dyDescent="0.25"/>
  <cols>
    <col min="1" max="1" width="12" style="1" customWidth="1"/>
    <col min="2" max="2" width="12.28515625" style="1" bestFit="1" customWidth="1"/>
    <col min="3" max="3" width="10.28515625" style="1" customWidth="1"/>
    <col min="4" max="4" width="10.5703125" style="1" customWidth="1"/>
    <col min="5" max="5" width="11.28515625" style="1" customWidth="1"/>
    <col min="6" max="6" width="9.85546875" style="1" customWidth="1"/>
    <col min="7" max="8" width="12.85546875" style="1" bestFit="1" customWidth="1"/>
    <col min="9" max="9" width="14.85546875" style="1" customWidth="1"/>
    <col min="10" max="13" width="9.140625" style="1"/>
    <col min="14" max="14" width="9.140625" style="53" customWidth="1"/>
    <col min="15" max="16" width="9.28515625" style="1" bestFit="1" customWidth="1"/>
    <col min="17" max="17" width="14.28515625" style="1" customWidth="1"/>
    <col min="18" max="18" width="15.85546875" style="1" customWidth="1"/>
    <col min="19" max="26" width="9.140625" style="1"/>
    <col min="27" max="27" width="11.28515625" style="1" customWidth="1"/>
    <col min="28" max="16384" width="9.140625" style="1"/>
  </cols>
  <sheetData>
    <row r="1" spans="1:29" ht="15.75" x14ac:dyDescent="0.25">
      <c r="A1" s="29"/>
      <c r="B1" s="29"/>
      <c r="C1" s="29"/>
      <c r="D1" s="29"/>
      <c r="E1" s="29"/>
      <c r="F1" s="29"/>
      <c r="G1" s="29"/>
      <c r="H1" s="29"/>
      <c r="I1" s="29"/>
    </row>
    <row r="2" spans="1:29" ht="15" customHeight="1" x14ac:dyDescent="0.25">
      <c r="K2" s="55" t="s">
        <v>53</v>
      </c>
      <c r="L2" s="56"/>
      <c r="Z2" s="55" t="s">
        <v>54</v>
      </c>
      <c r="AA2" s="55"/>
      <c r="AB2" s="55"/>
      <c r="AC2" s="55"/>
    </row>
    <row r="3" spans="1:29" ht="15" customHeight="1" x14ac:dyDescent="0.25">
      <c r="K3" s="56"/>
      <c r="L3" s="56"/>
      <c r="Z3" s="55"/>
      <c r="AA3" s="55"/>
      <c r="AB3" s="55"/>
      <c r="AC3" s="55"/>
    </row>
    <row r="4" spans="1:29" ht="15" customHeight="1" x14ac:dyDescent="0.25">
      <c r="K4" s="56"/>
      <c r="L4" s="56"/>
      <c r="Z4" s="55"/>
      <c r="AA4" s="55"/>
      <c r="AB4" s="55"/>
      <c r="AC4" s="55"/>
    </row>
    <row r="5" spans="1:29" ht="15" customHeight="1" x14ac:dyDescent="0.25">
      <c r="K5" s="56"/>
      <c r="L5" s="56"/>
      <c r="Z5" s="55"/>
      <c r="AA5" s="55"/>
      <c r="AB5" s="55"/>
      <c r="AC5" s="55"/>
    </row>
    <row r="6" spans="1:29" ht="15" customHeight="1" x14ac:dyDescent="0.25">
      <c r="K6" s="56"/>
      <c r="L6" s="56"/>
      <c r="Z6" s="55"/>
      <c r="AA6" s="55"/>
      <c r="AB6" s="55"/>
      <c r="AC6" s="55"/>
    </row>
    <row r="7" spans="1:29" ht="15" customHeight="1" x14ac:dyDescent="0.25">
      <c r="Z7" s="55"/>
      <c r="AA7" s="55"/>
      <c r="AB7" s="55"/>
      <c r="AC7" s="55"/>
    </row>
    <row r="8" spans="1:29" x14ac:dyDescent="0.25">
      <c r="Z8" s="55"/>
      <c r="AA8" s="55"/>
      <c r="AB8" s="55"/>
      <c r="AC8" s="55"/>
    </row>
    <row r="10" spans="1:29" ht="15.75" thickBot="1" x14ac:dyDescent="0.3"/>
    <row r="11" spans="1:29" x14ac:dyDescent="0.25">
      <c r="A11" s="11" t="s">
        <v>27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3"/>
      <c r="O11" s="11" t="s">
        <v>27</v>
      </c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3"/>
    </row>
    <row r="12" spans="1:29" x14ac:dyDescent="0.25">
      <c r="A12" s="14"/>
      <c r="B12" s="9"/>
      <c r="C12" s="9"/>
      <c r="D12" s="9"/>
      <c r="E12" s="9"/>
      <c r="F12" s="9"/>
      <c r="G12" s="9"/>
      <c r="H12" s="9"/>
      <c r="I12" s="9"/>
      <c r="J12" s="9"/>
      <c r="K12" s="9"/>
      <c r="L12" s="15"/>
      <c r="O12" s="14"/>
      <c r="P12" s="9"/>
      <c r="Q12" s="9"/>
      <c r="R12" s="9"/>
      <c r="S12" s="9"/>
      <c r="T12" s="9"/>
      <c r="U12" s="9"/>
      <c r="V12" s="9"/>
      <c r="W12" s="9"/>
      <c r="X12" s="10" t="s">
        <v>5</v>
      </c>
      <c r="Y12" s="10"/>
      <c r="Z12" s="10"/>
      <c r="AA12" s="9"/>
      <c r="AB12" s="10" t="s">
        <v>10</v>
      </c>
      <c r="AC12" s="33"/>
    </row>
    <row r="13" spans="1:29" x14ac:dyDescent="0.25">
      <c r="A13" s="14"/>
      <c r="B13" s="9"/>
      <c r="C13" s="9"/>
      <c r="D13" s="9"/>
      <c r="E13" s="9"/>
      <c r="F13" s="9"/>
      <c r="G13" s="9"/>
      <c r="H13" s="9"/>
      <c r="I13" s="9"/>
      <c r="J13" s="9"/>
      <c r="K13" s="9"/>
      <c r="L13" s="15"/>
      <c r="O13" s="14"/>
      <c r="P13" s="9"/>
      <c r="Q13" s="9"/>
      <c r="R13" s="9"/>
      <c r="S13" s="9"/>
      <c r="T13" s="9"/>
      <c r="U13" s="9"/>
      <c r="V13" s="9"/>
      <c r="W13" s="9"/>
      <c r="X13" s="8" t="s">
        <v>6</v>
      </c>
      <c r="Y13" s="8" t="s">
        <v>31</v>
      </c>
      <c r="Z13" s="8">
        <v>107</v>
      </c>
      <c r="AA13" s="9"/>
      <c r="AB13" s="9" t="str">
        <f>IF(Y14 = "&lt;", "T = T+",  IF(Y14 = "&gt;", "T = T-", "T = T' = min(T-, T+)"))</f>
        <v>T = T' = min(T-, T+)</v>
      </c>
      <c r="AC13" s="15"/>
    </row>
    <row r="14" spans="1:29" x14ac:dyDescent="0.25">
      <c r="A14" s="14"/>
      <c r="B14" s="9"/>
      <c r="C14" s="9"/>
      <c r="D14" s="9"/>
      <c r="E14" s="9"/>
      <c r="F14" s="9"/>
      <c r="G14" s="9"/>
      <c r="H14" s="9"/>
      <c r="I14" s="9"/>
      <c r="J14" s="9"/>
      <c r="K14" s="9"/>
      <c r="L14" s="15"/>
      <c r="O14" s="14"/>
      <c r="P14" s="9"/>
      <c r="Q14" s="9"/>
      <c r="R14" s="9"/>
      <c r="S14" s="9"/>
      <c r="T14" s="9"/>
      <c r="U14" s="9"/>
      <c r="V14" s="9"/>
      <c r="W14" s="9"/>
      <c r="X14" s="8" t="s">
        <v>8</v>
      </c>
      <c r="Y14" s="8" t="s">
        <v>12</v>
      </c>
      <c r="Z14" s="8">
        <v>107</v>
      </c>
      <c r="AA14" s="9"/>
      <c r="AB14" s="9"/>
      <c r="AC14" s="15"/>
    </row>
    <row r="15" spans="1:29" x14ac:dyDescent="0.25">
      <c r="A15" s="61" t="s">
        <v>0</v>
      </c>
      <c r="B15" s="62" t="s">
        <v>92</v>
      </c>
      <c r="C15" s="9"/>
      <c r="D15" s="10" t="s">
        <v>5</v>
      </c>
      <c r="E15" s="10"/>
      <c r="F15" s="10"/>
      <c r="G15" s="9"/>
      <c r="H15" s="10" t="s">
        <v>10</v>
      </c>
      <c r="I15" s="10"/>
      <c r="J15" s="9"/>
      <c r="K15" s="9"/>
      <c r="L15" s="15"/>
      <c r="O15" s="14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10" t="s">
        <v>100</v>
      </c>
      <c r="AB15" s="10"/>
      <c r="AC15" s="33"/>
    </row>
    <row r="16" spans="1:29" x14ac:dyDescent="0.25">
      <c r="A16" s="2">
        <v>1.5</v>
      </c>
      <c r="B16" s="40" t="str">
        <f>IF(A16 &gt; 2, 1, "")</f>
        <v/>
      </c>
      <c r="C16" s="9"/>
      <c r="D16" s="8" t="s">
        <v>6</v>
      </c>
      <c r="E16" s="8" t="s">
        <v>7</v>
      </c>
      <c r="F16" s="8">
        <v>2</v>
      </c>
      <c r="G16" s="9"/>
      <c r="H16" s="9" t="str">
        <f>IF(E17 = "&lt;", "S = S+",  IF(E17 = "&gt;", "S = S-", "S = S' = min(S-, S+)"))</f>
        <v>S = S+</v>
      </c>
      <c r="I16" s="9"/>
      <c r="J16" s="9"/>
      <c r="K16" s="9"/>
      <c r="L16" s="15"/>
      <c r="O16" s="14"/>
      <c r="P16" s="9"/>
      <c r="Q16" s="9"/>
      <c r="R16" s="9"/>
      <c r="S16" s="9"/>
      <c r="T16" s="9"/>
      <c r="U16" s="9"/>
      <c r="V16" s="9"/>
      <c r="W16" s="9"/>
      <c r="X16" s="17" t="s">
        <v>40</v>
      </c>
      <c r="Y16" s="2">
        <f>SUMIF(V21:V34, "&gt; 0")</f>
        <v>64.5</v>
      </c>
      <c r="Z16" s="9"/>
      <c r="AA16" s="9" t="str">
        <f>IF(Y14 = "&lt;", "T+ &lt;=T n (alpha)",  IF(Y14 = "&gt;", "T- &lt;=T n (alpha)", "T' &lt;=T n (alpha/2)"))</f>
        <v>T' &lt;=T n (alpha/2)</v>
      </c>
      <c r="AB16" s="9"/>
      <c r="AC16" s="15"/>
    </row>
    <row r="17" spans="1:29" x14ac:dyDescent="0.25">
      <c r="A17" s="3">
        <v>2.1</v>
      </c>
      <c r="B17" s="40">
        <f t="shared" ref="B17:B22" si="0">IF(A17 &gt; 2, 1, "")</f>
        <v>1</v>
      </c>
      <c r="C17" s="9"/>
      <c r="D17" s="8" t="s">
        <v>8</v>
      </c>
      <c r="E17" s="8" t="s">
        <v>9</v>
      </c>
      <c r="F17" s="8">
        <v>2</v>
      </c>
      <c r="G17" s="9"/>
      <c r="H17" s="9"/>
      <c r="I17" s="9"/>
      <c r="J17" s="9"/>
      <c r="K17" s="9"/>
      <c r="L17" s="15"/>
      <c r="O17" s="14"/>
      <c r="P17" s="9"/>
      <c r="Q17" s="9"/>
      <c r="R17" s="9"/>
      <c r="S17" s="9"/>
      <c r="T17" s="9"/>
      <c r="U17" s="9"/>
      <c r="V17" s="9"/>
      <c r="W17" s="9"/>
      <c r="X17" s="17" t="s">
        <v>41</v>
      </c>
      <c r="Y17" s="2">
        <f>ABS(SUMIF(V21:V34, "&lt; 0"))</f>
        <v>40.5</v>
      </c>
      <c r="Z17" s="9"/>
      <c r="AA17" s="9"/>
      <c r="AB17" s="9"/>
      <c r="AC17" s="15"/>
    </row>
    <row r="18" spans="1:29" x14ac:dyDescent="0.25">
      <c r="A18" s="2">
        <v>1.7</v>
      </c>
      <c r="B18" s="40" t="str">
        <f t="shared" si="0"/>
        <v/>
      </c>
      <c r="C18" s="9"/>
      <c r="D18" s="9"/>
      <c r="E18" s="9"/>
      <c r="F18" s="9"/>
      <c r="G18" s="10" t="s">
        <v>100</v>
      </c>
      <c r="H18" s="10"/>
      <c r="I18" s="33"/>
      <c r="J18" s="9"/>
      <c r="K18" s="9"/>
      <c r="L18" s="15"/>
      <c r="O18" s="14"/>
      <c r="P18" s="9"/>
      <c r="Q18" s="9"/>
      <c r="R18" s="9"/>
      <c r="S18" s="9"/>
      <c r="T18" s="9"/>
      <c r="U18" s="9"/>
      <c r="V18" s="9"/>
      <c r="W18" s="9"/>
      <c r="X18" s="17" t="s">
        <v>4</v>
      </c>
      <c r="Y18" s="2">
        <f>COUNTA(Q21:Q34)</f>
        <v>14</v>
      </c>
      <c r="Z18" s="9"/>
      <c r="AA18" s="9"/>
      <c r="AB18" s="9"/>
      <c r="AC18" s="15"/>
    </row>
    <row r="19" spans="1:29" x14ac:dyDescent="0.25">
      <c r="A19" s="2">
        <v>1.8</v>
      </c>
      <c r="B19" s="40" t="str">
        <f t="shared" si="0"/>
        <v/>
      </c>
      <c r="C19" s="9"/>
      <c r="D19" s="17" t="s">
        <v>1</v>
      </c>
      <c r="E19" s="2">
        <f>SUM(B16:B22)</f>
        <v>2</v>
      </c>
      <c r="F19" s="9"/>
      <c r="G19" s="9" t="str">
        <f>IF(E17 = "&lt;", "P(x &lt;= S+ | b(n ; 0.5 ) ) &lt;= alpha",  IF(E17 = "&gt;", "P(x &lt;= S- | b(n ; 0.5 ) ) &lt;= alpha", "P(x &lt;= S' | b(n ; 0.5 ) ) &lt;= alpha/2"))</f>
        <v>P(x &lt;= S+ | b(n ; 0.5 ) ) &lt;= alpha</v>
      </c>
      <c r="H19" s="9"/>
      <c r="I19" s="9"/>
      <c r="J19" s="9"/>
      <c r="K19" s="9"/>
      <c r="L19" s="15"/>
      <c r="O19" s="14"/>
      <c r="P19" s="9"/>
      <c r="Q19" s="9"/>
      <c r="R19" s="9"/>
      <c r="S19" s="9"/>
      <c r="T19" s="9"/>
      <c r="U19" s="9"/>
      <c r="V19" s="9"/>
      <c r="W19" s="9"/>
      <c r="X19" s="17" t="s">
        <v>26</v>
      </c>
      <c r="Y19" s="2">
        <f>5/100</f>
        <v>0.05</v>
      </c>
      <c r="Z19" s="9"/>
      <c r="AA19" s="9"/>
      <c r="AB19" s="9"/>
      <c r="AC19" s="15"/>
    </row>
    <row r="20" spans="1:29" x14ac:dyDescent="0.25">
      <c r="A20" s="3">
        <v>2.2000000000000002</v>
      </c>
      <c r="B20" s="40">
        <f t="shared" si="0"/>
        <v>1</v>
      </c>
      <c r="C20" s="9"/>
      <c r="D20" s="17" t="s">
        <v>2</v>
      </c>
      <c r="E20" s="2">
        <f>E22-E19</f>
        <v>5</v>
      </c>
      <c r="F20" s="9"/>
      <c r="G20" s="9"/>
      <c r="H20" s="9"/>
      <c r="I20" s="9"/>
      <c r="J20" s="9"/>
      <c r="K20" s="9"/>
      <c r="L20" s="15"/>
      <c r="O20" s="62" t="s">
        <v>45</v>
      </c>
      <c r="P20" s="8" t="s">
        <v>37</v>
      </c>
      <c r="Q20" s="6" t="s">
        <v>47</v>
      </c>
      <c r="R20" s="6" t="s">
        <v>49</v>
      </c>
      <c r="S20" s="32" t="s">
        <v>51</v>
      </c>
      <c r="T20" s="4" t="s">
        <v>59</v>
      </c>
      <c r="U20" s="6" t="s">
        <v>38</v>
      </c>
      <c r="V20" s="6" t="s">
        <v>39</v>
      </c>
      <c r="W20" s="9"/>
      <c r="X20" s="9"/>
      <c r="Y20" s="9"/>
      <c r="Z20" s="9"/>
      <c r="AA20" s="9"/>
      <c r="AB20" s="9"/>
      <c r="AC20" s="15"/>
    </row>
    <row r="21" spans="1:29" x14ac:dyDescent="0.25">
      <c r="A21" s="2">
        <v>1.1000000000000001</v>
      </c>
      <c r="B21" s="40" t="str">
        <f t="shared" si="0"/>
        <v/>
      </c>
      <c r="C21" s="9"/>
      <c r="D21" s="17" t="s">
        <v>3</v>
      </c>
      <c r="E21" s="2">
        <v>0</v>
      </c>
      <c r="F21" s="9"/>
      <c r="G21" s="18" t="s">
        <v>24</v>
      </c>
      <c r="H21" s="19"/>
      <c r="I21" s="9"/>
      <c r="J21" s="9"/>
      <c r="K21" s="9"/>
      <c r="L21" s="15"/>
      <c r="O21" s="16">
        <v>99</v>
      </c>
      <c r="P21" s="4">
        <f>IF(O21 &lt;&gt; 107, 1, "")</f>
        <v>1</v>
      </c>
      <c r="Q21" s="2">
        <v>108</v>
      </c>
      <c r="R21" s="4">
        <f>Q21-107</f>
        <v>1</v>
      </c>
      <c r="S21" s="4">
        <f>ABS(R21)</f>
        <v>1</v>
      </c>
      <c r="T21" s="4">
        <v>1</v>
      </c>
      <c r="U21" s="4">
        <f>T21</f>
        <v>1</v>
      </c>
      <c r="V21" s="4">
        <f>IF(R21&lt;0, -U21, U21)</f>
        <v>1</v>
      </c>
      <c r="W21" s="9"/>
      <c r="X21" s="34" t="s">
        <v>44</v>
      </c>
      <c r="Y21" s="19"/>
      <c r="Z21" s="9"/>
      <c r="AA21" s="9"/>
      <c r="AB21" s="9"/>
      <c r="AC21" s="15"/>
    </row>
    <row r="22" spans="1:29" x14ac:dyDescent="0.25">
      <c r="A22" s="2">
        <v>0.8</v>
      </c>
      <c r="B22" s="40" t="str">
        <f t="shared" si="0"/>
        <v/>
      </c>
      <c r="C22" s="9"/>
      <c r="D22" s="17" t="s">
        <v>4</v>
      </c>
      <c r="E22" s="2">
        <f>COUNTA(B16:B22)</f>
        <v>7</v>
      </c>
      <c r="F22" s="9"/>
      <c r="G22" s="20">
        <f>SUM(H30:H32)</f>
        <v>0.2265625</v>
      </c>
      <c r="H22" s="9"/>
      <c r="I22" s="9"/>
      <c r="J22" s="9"/>
      <c r="K22" s="9"/>
      <c r="L22" s="15"/>
      <c r="O22" s="16">
        <v>100</v>
      </c>
      <c r="P22" s="4">
        <f>IF(O22 &lt;&gt; 107, 1, "")</f>
        <v>1</v>
      </c>
      <c r="Q22" s="2">
        <v>109</v>
      </c>
      <c r="R22" s="4">
        <f>Q22-107</f>
        <v>2</v>
      </c>
      <c r="S22" s="4">
        <f>ABS(R22)</f>
        <v>2</v>
      </c>
      <c r="T22" s="4">
        <v>2</v>
      </c>
      <c r="U22" s="4">
        <f>SUM($T$22:$T$23)/COUNTA(T$22:$T$23)</f>
        <v>2.5</v>
      </c>
      <c r="V22" s="4">
        <f>IF(R22&lt;0, -U22, U22)</f>
        <v>2.5</v>
      </c>
      <c r="W22" s="9"/>
      <c r="X22" s="9">
        <f>MIN(Y16:Y17)</f>
        <v>40.5</v>
      </c>
      <c r="Y22" s="9"/>
      <c r="Z22" s="9"/>
      <c r="AA22" s="9"/>
      <c r="AB22" s="9"/>
      <c r="AC22" s="15"/>
    </row>
    <row r="23" spans="1:29" x14ac:dyDescent="0.25">
      <c r="B23" s="9"/>
      <c r="C23" s="9"/>
      <c r="D23" s="17" t="s">
        <v>22</v>
      </c>
      <c r="E23" s="2">
        <v>0.5</v>
      </c>
      <c r="F23" s="9"/>
      <c r="G23" s="9" t="str">
        <f>IF(G22 &gt; E24, "P &gt; alpha", IF(G22 &lt; E24, "P  &lt; alpha","P  = alpha"))</f>
        <v>P &gt; alpha</v>
      </c>
      <c r="H23" s="9"/>
      <c r="I23" s="9"/>
      <c r="J23" s="9"/>
      <c r="K23" s="9"/>
      <c r="L23" s="15"/>
      <c r="O23" s="16">
        <v>90</v>
      </c>
      <c r="P23" s="4">
        <f>IF(O23 &lt;&gt; 107, 1, "")</f>
        <v>1</v>
      </c>
      <c r="Q23" s="2">
        <v>105</v>
      </c>
      <c r="R23" s="4">
        <f>Q23-107</f>
        <v>-2</v>
      </c>
      <c r="S23" s="4">
        <f>ABS(R23)</f>
        <v>2</v>
      </c>
      <c r="T23" s="4">
        <v>3</v>
      </c>
      <c r="U23" s="4">
        <f>SUM($T$22:$T$23)/COUNTA(T$22:$T$23)</f>
        <v>2.5</v>
      </c>
      <c r="V23" s="4">
        <f>IF(R23&lt;0, -U23, U23)</f>
        <v>-2.5</v>
      </c>
      <c r="W23" s="9"/>
      <c r="X23" s="34" t="s">
        <v>43</v>
      </c>
      <c r="Y23" s="19"/>
      <c r="Z23" s="9"/>
      <c r="AA23" s="9"/>
      <c r="AB23" s="9"/>
      <c r="AC23" s="15"/>
    </row>
    <row r="24" spans="1:29" x14ac:dyDescent="0.25">
      <c r="B24" s="9"/>
      <c r="C24" s="9"/>
      <c r="D24" s="17" t="s">
        <v>26</v>
      </c>
      <c r="E24" s="2">
        <f>5/100</f>
        <v>0.05</v>
      </c>
      <c r="F24" s="9"/>
      <c r="G24" s="21" t="str">
        <f>IF(G22 &gt; E24, "Tak Tolak H0", "Tolak H0")</f>
        <v>Tak Tolak H0</v>
      </c>
      <c r="H24" s="20"/>
      <c r="I24" s="9"/>
      <c r="J24" s="9"/>
      <c r="K24" s="9"/>
      <c r="L24" s="15"/>
      <c r="O24" s="16">
        <v>94</v>
      </c>
      <c r="P24" s="4">
        <f>IF(O24 &lt;&gt; 107, 1, "")</f>
        <v>1</v>
      </c>
      <c r="Q24" s="2">
        <v>104</v>
      </c>
      <c r="R24" s="4">
        <f>Q24-107</f>
        <v>-3</v>
      </c>
      <c r="S24" s="4">
        <f>ABS(R24)</f>
        <v>3</v>
      </c>
      <c r="T24" s="4">
        <v>4</v>
      </c>
      <c r="U24" s="4">
        <f>T24</f>
        <v>4</v>
      </c>
      <c r="V24" s="4">
        <f>IF(R24&lt;0, -U24, U24)</f>
        <v>-4</v>
      </c>
      <c r="W24" s="9"/>
      <c r="X24" s="35">
        <v>21</v>
      </c>
      <c r="Y24" s="9"/>
      <c r="Z24" s="9"/>
      <c r="AA24" s="9"/>
      <c r="AB24" s="9"/>
      <c r="AC24" s="15"/>
    </row>
    <row r="25" spans="1:29" x14ac:dyDescent="0.25">
      <c r="B25" s="9"/>
      <c r="C25" s="9"/>
      <c r="D25" s="9"/>
      <c r="E25" s="9"/>
      <c r="F25" s="9"/>
      <c r="G25" s="9"/>
      <c r="H25" s="9"/>
      <c r="I25" s="9"/>
      <c r="J25" s="9"/>
      <c r="K25" s="9"/>
      <c r="L25" s="15"/>
      <c r="O25" s="16">
        <v>135</v>
      </c>
      <c r="P25" s="4">
        <f>IF(O25 &lt;&gt; 107, 1, "")</f>
        <v>1</v>
      </c>
      <c r="Q25" s="2">
        <v>111</v>
      </c>
      <c r="R25" s="4">
        <f>Q25-107</f>
        <v>4</v>
      </c>
      <c r="S25" s="4">
        <f>ABS(R25)</f>
        <v>4</v>
      </c>
      <c r="T25" s="4">
        <v>5</v>
      </c>
      <c r="U25" s="4">
        <f t="shared" ref="U25:U34" si="1">T25</f>
        <v>5</v>
      </c>
      <c r="V25" s="4">
        <f>IF(R25&lt;0, -U25, U25)</f>
        <v>5</v>
      </c>
      <c r="W25" s="9"/>
      <c r="X25" s="9" t="str">
        <f>IF(X22 &gt; X24, "T &gt; T.tab", IF(X22 &lt; X24, "T &lt; T.tab","T = T.tab"))</f>
        <v>T &gt; T.tab</v>
      </c>
      <c r="Y25" s="9"/>
      <c r="Z25" s="9"/>
      <c r="AA25" s="9"/>
      <c r="AB25" s="9"/>
      <c r="AC25" s="15"/>
    </row>
    <row r="26" spans="1:29" x14ac:dyDescent="0.25">
      <c r="B26" s="9"/>
      <c r="C26" s="9"/>
      <c r="D26" s="22" t="s">
        <v>14</v>
      </c>
      <c r="E26" s="22"/>
      <c r="F26" s="22"/>
      <c r="G26" s="22"/>
      <c r="H26" s="22"/>
      <c r="I26" s="22"/>
      <c r="J26" s="9"/>
      <c r="K26" s="9"/>
      <c r="L26" s="15"/>
      <c r="O26" s="16">
        <v>108</v>
      </c>
      <c r="P26" s="4">
        <f>IF(O26 &lt;&gt; 107, 1, "")</f>
        <v>1</v>
      </c>
      <c r="Q26" s="2">
        <v>100</v>
      </c>
      <c r="R26" s="4">
        <f>Q26-107</f>
        <v>-7</v>
      </c>
      <c r="S26" s="4">
        <f>ABS(R26)</f>
        <v>7</v>
      </c>
      <c r="T26" s="4">
        <v>6</v>
      </c>
      <c r="U26" s="4">
        <f t="shared" si="1"/>
        <v>6</v>
      </c>
      <c r="V26" s="4">
        <f>IF(R26&lt;0, -U26, U26)</f>
        <v>-6</v>
      </c>
      <c r="W26" s="9"/>
      <c r="X26" s="21" t="str">
        <f>IF(X22 &gt; X24, "Tak Tolak H0", "Tolak H0")</f>
        <v>Tak Tolak H0</v>
      </c>
      <c r="Y26" s="20"/>
      <c r="Z26" s="9"/>
      <c r="AA26" s="9"/>
      <c r="AB26" s="9"/>
      <c r="AC26" s="15"/>
    </row>
    <row r="27" spans="1:29" x14ac:dyDescent="0.25">
      <c r="B27" s="9"/>
      <c r="C27" s="9"/>
      <c r="D27" s="9"/>
      <c r="E27" s="9"/>
      <c r="F27" s="9"/>
      <c r="G27" s="9"/>
      <c r="H27" s="9"/>
      <c r="I27" s="9"/>
      <c r="J27" s="9"/>
      <c r="K27" s="9"/>
      <c r="L27" s="15"/>
      <c r="O27" s="36">
        <v>107</v>
      </c>
      <c r="P27" s="30" t="str">
        <f>IF(O27 &lt;&gt; 107, 1, "")</f>
        <v/>
      </c>
      <c r="Q27" s="2">
        <v>99</v>
      </c>
      <c r="R27" s="4">
        <f>Q27-107</f>
        <v>-8</v>
      </c>
      <c r="S27" s="4">
        <f>ABS(R27)</f>
        <v>8</v>
      </c>
      <c r="T27" s="4">
        <v>7</v>
      </c>
      <c r="U27" s="4">
        <f t="shared" si="1"/>
        <v>7</v>
      </c>
      <c r="V27" s="4">
        <f>IF(R27&lt;0, -U27, U27)</f>
        <v>-7</v>
      </c>
      <c r="W27" s="9"/>
      <c r="X27" s="9"/>
      <c r="Y27" s="9"/>
      <c r="Z27" s="9"/>
      <c r="AA27" s="9"/>
      <c r="AB27" s="9"/>
      <c r="AC27" s="15"/>
    </row>
    <row r="28" spans="1:29" x14ac:dyDescent="0.25">
      <c r="B28" s="9"/>
      <c r="C28" s="9"/>
      <c r="D28" s="9"/>
      <c r="E28" s="9"/>
      <c r="F28" s="9"/>
      <c r="G28" s="8"/>
      <c r="H28" s="9"/>
      <c r="I28" s="9"/>
      <c r="J28" s="9"/>
      <c r="K28" s="9"/>
      <c r="L28" s="15"/>
      <c r="O28" s="16">
        <v>111</v>
      </c>
      <c r="P28" s="4">
        <f>IF(O28 &lt;&gt; 107, 1, "")</f>
        <v>1</v>
      </c>
      <c r="Q28" s="2">
        <v>117</v>
      </c>
      <c r="R28" s="4">
        <f>Q28-107</f>
        <v>10</v>
      </c>
      <c r="S28" s="4">
        <f>ABS(R28)</f>
        <v>10</v>
      </c>
      <c r="T28" s="4">
        <v>8</v>
      </c>
      <c r="U28" s="4">
        <f t="shared" si="1"/>
        <v>8</v>
      </c>
      <c r="V28" s="4">
        <f>IF(R28&lt;0, -U28, U28)</f>
        <v>8</v>
      </c>
      <c r="W28" s="9"/>
      <c r="X28" s="9"/>
      <c r="Y28" s="9"/>
      <c r="Z28" s="9"/>
      <c r="AA28" s="9"/>
      <c r="AB28" s="9"/>
      <c r="AC28" s="15"/>
    </row>
    <row r="29" spans="1:29" x14ac:dyDescent="0.25">
      <c r="B29" s="9"/>
      <c r="C29" s="9"/>
      <c r="D29" s="23" t="s">
        <v>16</v>
      </c>
      <c r="E29" s="9" t="s">
        <v>17</v>
      </c>
      <c r="F29" s="9" t="s">
        <v>18</v>
      </c>
      <c r="G29" s="9" t="s">
        <v>19</v>
      </c>
      <c r="H29" s="24" t="s">
        <v>20</v>
      </c>
      <c r="I29" s="9"/>
      <c r="J29" s="9"/>
      <c r="K29" s="9"/>
      <c r="L29" s="15"/>
      <c r="O29" s="16">
        <v>119</v>
      </c>
      <c r="P29" s="4">
        <f>IF(O29 &lt;&gt; 107, 1, "")</f>
        <v>1</v>
      </c>
      <c r="Q29" s="2">
        <v>119</v>
      </c>
      <c r="R29" s="4">
        <f>Q29-107</f>
        <v>12</v>
      </c>
      <c r="S29" s="4">
        <f>ABS(R29)</f>
        <v>12</v>
      </c>
      <c r="T29" s="4">
        <v>9</v>
      </c>
      <c r="U29" s="4">
        <f t="shared" si="1"/>
        <v>9</v>
      </c>
      <c r="V29" s="4">
        <f>IF(R29&lt;0, -U29, U29)</f>
        <v>9</v>
      </c>
      <c r="W29" s="9"/>
      <c r="X29" s="9"/>
      <c r="Y29" s="9"/>
      <c r="Z29" s="9"/>
      <c r="AA29" s="9"/>
      <c r="AB29" s="9"/>
      <c r="AC29" s="15"/>
    </row>
    <row r="30" spans="1:29" x14ac:dyDescent="0.25">
      <c r="B30" s="9"/>
      <c r="C30" s="9"/>
      <c r="D30" s="4">
        <v>0</v>
      </c>
      <c r="E30" s="2">
        <f>COMBIN($E$22,$D30)</f>
        <v>1</v>
      </c>
      <c r="F30" s="2">
        <f>$E$23^$D30</f>
        <v>1</v>
      </c>
      <c r="G30" s="2">
        <f>(1-$E$23)^($E$22-$D30)</f>
        <v>7.8125E-3</v>
      </c>
      <c r="H30" s="5">
        <f>E30*F30*G30</f>
        <v>7.8125E-3</v>
      </c>
      <c r="I30" s="6" t="s">
        <v>15</v>
      </c>
      <c r="J30" s="9"/>
      <c r="K30" s="9"/>
      <c r="L30" s="15"/>
      <c r="O30" s="16">
        <v>104</v>
      </c>
      <c r="P30" s="4">
        <f>IF(O30 &lt;&gt; 107, 1, "")</f>
        <v>1</v>
      </c>
      <c r="Q30" s="2">
        <v>94</v>
      </c>
      <c r="R30" s="4">
        <f>Q30-107</f>
        <v>-13</v>
      </c>
      <c r="S30" s="4">
        <f>ABS(R30)</f>
        <v>13</v>
      </c>
      <c r="T30" s="4">
        <v>10</v>
      </c>
      <c r="U30" s="4">
        <f t="shared" si="1"/>
        <v>10</v>
      </c>
      <c r="V30" s="4">
        <f>IF(R30&lt;0, -U30, U30)</f>
        <v>-10</v>
      </c>
      <c r="W30" s="9"/>
      <c r="X30" s="9"/>
      <c r="Y30" s="9"/>
      <c r="Z30" s="9"/>
      <c r="AA30" s="9"/>
      <c r="AB30" s="9"/>
      <c r="AC30" s="15"/>
    </row>
    <row r="31" spans="1:29" x14ac:dyDescent="0.25">
      <c r="A31" s="14"/>
      <c r="B31" s="9"/>
      <c r="C31" s="9"/>
      <c r="D31" s="4">
        <v>1</v>
      </c>
      <c r="E31" s="2">
        <f t="shared" ref="E31:E32" si="2">COMBIN($E$22,$D31)</f>
        <v>7</v>
      </c>
      <c r="F31" s="2">
        <f>$E$23^$D31</f>
        <v>0.5</v>
      </c>
      <c r="G31" s="2">
        <f>(1-$E$23)^($E$22-$D31)</f>
        <v>1.5625E-2</v>
      </c>
      <c r="H31" s="5">
        <f>E31*F31*G31</f>
        <v>5.46875E-2</v>
      </c>
      <c r="I31" s="6" t="s">
        <v>21</v>
      </c>
      <c r="J31" s="9"/>
      <c r="K31" s="9"/>
      <c r="L31" s="15"/>
      <c r="O31" s="16">
        <v>127</v>
      </c>
      <c r="P31" s="4">
        <f>IF(O31 &lt;&gt; 107, 1, "")</f>
        <v>1</v>
      </c>
      <c r="Q31" s="2">
        <v>90</v>
      </c>
      <c r="R31" s="4">
        <f>Q31-107</f>
        <v>-17</v>
      </c>
      <c r="S31" s="4">
        <f>ABS(R31)</f>
        <v>17</v>
      </c>
      <c r="T31" s="4">
        <v>11</v>
      </c>
      <c r="U31" s="4">
        <f t="shared" si="1"/>
        <v>11</v>
      </c>
      <c r="V31" s="4">
        <f>IF(R31&lt;0, -U31, U31)</f>
        <v>-11</v>
      </c>
      <c r="W31" s="9"/>
      <c r="X31" s="9"/>
      <c r="Y31" s="9"/>
      <c r="Z31" s="9"/>
      <c r="AA31" s="9"/>
      <c r="AB31" s="9"/>
      <c r="AC31" s="15"/>
    </row>
    <row r="32" spans="1:29" x14ac:dyDescent="0.25">
      <c r="A32" s="14"/>
      <c r="B32" s="9"/>
      <c r="C32" s="9"/>
      <c r="D32" s="4">
        <v>2</v>
      </c>
      <c r="E32" s="2">
        <f t="shared" si="2"/>
        <v>21</v>
      </c>
      <c r="F32" s="2">
        <f>$E$23^$D32</f>
        <v>0.25</v>
      </c>
      <c r="G32" s="2">
        <f>(1-$E$23)^($E$22-$D32)</f>
        <v>3.125E-2</v>
      </c>
      <c r="H32" s="5">
        <f>E32*F32*G32</f>
        <v>0.1640625</v>
      </c>
      <c r="I32" s="7" t="s">
        <v>23</v>
      </c>
      <c r="J32" s="9"/>
      <c r="K32" s="9"/>
      <c r="L32" s="15"/>
      <c r="O32" s="16">
        <v>109</v>
      </c>
      <c r="P32" s="4">
        <f>IF(O32 &lt;&gt; 107, 1, "")</f>
        <v>1</v>
      </c>
      <c r="Q32" s="28">
        <v>125</v>
      </c>
      <c r="R32" s="4">
        <f>Q32-107</f>
        <v>18</v>
      </c>
      <c r="S32" s="4">
        <f>ABS(R32)</f>
        <v>18</v>
      </c>
      <c r="T32" s="4">
        <v>12</v>
      </c>
      <c r="U32" s="4">
        <f t="shared" si="1"/>
        <v>12</v>
      </c>
      <c r="V32" s="4">
        <f>IF(R32&lt;0, -U32, U32)</f>
        <v>12</v>
      </c>
      <c r="W32" s="9"/>
      <c r="X32" s="9"/>
      <c r="Y32" s="9"/>
      <c r="Z32" s="9"/>
      <c r="AA32" s="9"/>
      <c r="AB32" s="9"/>
      <c r="AC32" s="15"/>
    </row>
    <row r="33" spans="1:30" ht="15.75" thickBot="1" x14ac:dyDescent="0.3">
      <c r="A33" s="25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7"/>
      <c r="O33" s="16">
        <v>117</v>
      </c>
      <c r="P33" s="4">
        <f>IF(O33 &lt;&gt; 107, 1, "")</f>
        <v>1</v>
      </c>
      <c r="Q33" s="28">
        <v>127</v>
      </c>
      <c r="R33" s="4">
        <f>Q33-107</f>
        <v>20</v>
      </c>
      <c r="S33" s="4">
        <f>ABS(R33)</f>
        <v>20</v>
      </c>
      <c r="T33" s="4">
        <v>13</v>
      </c>
      <c r="U33" s="4">
        <f t="shared" si="1"/>
        <v>13</v>
      </c>
      <c r="V33" s="4">
        <f>IF(R33&lt;0, -U33, U33)</f>
        <v>13</v>
      </c>
      <c r="W33" s="9"/>
      <c r="X33" s="9"/>
      <c r="Y33" s="9"/>
      <c r="Z33" s="9"/>
      <c r="AA33" s="9"/>
      <c r="AB33" s="9"/>
      <c r="AC33" s="15"/>
    </row>
    <row r="34" spans="1:30" ht="15.75" thickBot="1" x14ac:dyDescent="0.3">
      <c r="O34" s="16">
        <v>105</v>
      </c>
      <c r="P34" s="4">
        <f>IF(O34 &lt;&gt; 107, 1, "")</f>
        <v>1</v>
      </c>
      <c r="Q34" s="28">
        <v>135</v>
      </c>
      <c r="R34" s="4">
        <f>Q34-107</f>
        <v>28</v>
      </c>
      <c r="S34" s="4">
        <f>ABS(R34)</f>
        <v>28</v>
      </c>
      <c r="T34" s="4">
        <v>14</v>
      </c>
      <c r="U34" s="4">
        <f t="shared" si="1"/>
        <v>14</v>
      </c>
      <c r="V34" s="4">
        <f>IF(R34&lt;0, -U34, U34)</f>
        <v>14</v>
      </c>
      <c r="W34" s="9"/>
      <c r="X34" s="9"/>
      <c r="Y34" s="9"/>
      <c r="Z34" s="9"/>
      <c r="AA34" s="9"/>
      <c r="AB34" s="9"/>
      <c r="AC34" s="15"/>
    </row>
    <row r="35" spans="1:30" ht="15.75" thickBot="1" x14ac:dyDescent="0.3">
      <c r="A35" s="11" t="s">
        <v>28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3"/>
      <c r="O35" s="37">
        <v>125</v>
      </c>
      <c r="P35" s="38">
        <f>IF(O35 &lt;&gt; 107, 1, "")</f>
        <v>1</v>
      </c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7"/>
    </row>
    <row r="36" spans="1:30" ht="15.75" thickBot="1" x14ac:dyDescent="0.3">
      <c r="A36" s="14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15"/>
    </row>
    <row r="37" spans="1:30" x14ac:dyDescent="0.25">
      <c r="A37" s="14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15"/>
      <c r="O37" s="11" t="s">
        <v>28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3"/>
    </row>
    <row r="38" spans="1:30" x14ac:dyDescent="0.25">
      <c r="A38" s="14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15"/>
      <c r="O38" s="14"/>
      <c r="P38" s="9"/>
      <c r="Q38" s="9"/>
      <c r="R38" s="9"/>
      <c r="S38" s="9"/>
      <c r="T38" s="9"/>
      <c r="U38" s="9"/>
      <c r="V38" s="9"/>
      <c r="X38" s="10" t="s">
        <v>5</v>
      </c>
      <c r="Y38" s="10"/>
      <c r="Z38" s="10"/>
      <c r="AA38" s="9"/>
      <c r="AB38" s="10" t="s">
        <v>10</v>
      </c>
      <c r="AC38" s="33"/>
      <c r="AD38" s="9"/>
    </row>
    <row r="39" spans="1:30" x14ac:dyDescent="0.25">
      <c r="A39" s="14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15"/>
      <c r="O39" s="14"/>
      <c r="P39" s="9"/>
      <c r="Q39" s="9"/>
      <c r="R39" s="9"/>
      <c r="S39" s="9"/>
      <c r="T39" s="9"/>
      <c r="U39" s="9"/>
      <c r="V39" s="9"/>
      <c r="W39" s="9"/>
      <c r="X39" s="8" t="s">
        <v>6</v>
      </c>
      <c r="Y39" s="8" t="s">
        <v>7</v>
      </c>
      <c r="Z39" s="8">
        <v>119</v>
      </c>
      <c r="AA39" s="9"/>
      <c r="AB39" s="9" t="str">
        <f>IF(Y40 = "&lt;", "T = T+",  IF(Y40 = "&gt;", "T = T-", "T = T' = min(T-, T+)"))</f>
        <v>T = T+</v>
      </c>
      <c r="AC39" s="15"/>
      <c r="AD39" s="9"/>
    </row>
    <row r="40" spans="1:30" x14ac:dyDescent="0.25">
      <c r="A40" s="14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15"/>
      <c r="O40" s="14"/>
      <c r="P40" s="9"/>
      <c r="Q40" s="9"/>
      <c r="R40" s="9"/>
      <c r="S40" s="9"/>
      <c r="T40" s="9"/>
      <c r="U40" s="9"/>
      <c r="V40" s="9"/>
      <c r="W40" s="9"/>
      <c r="X40" s="8" t="s">
        <v>8</v>
      </c>
      <c r="Y40" s="8" t="s">
        <v>9</v>
      </c>
      <c r="Z40" s="8">
        <v>119</v>
      </c>
      <c r="AA40" s="9"/>
      <c r="AB40" s="9"/>
      <c r="AC40" s="15"/>
      <c r="AD40" s="9"/>
    </row>
    <row r="41" spans="1:30" x14ac:dyDescent="0.25">
      <c r="A41" s="14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15"/>
      <c r="O41" s="14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10" t="s">
        <v>100</v>
      </c>
      <c r="AB41" s="10"/>
      <c r="AC41" s="33"/>
      <c r="AD41" s="9"/>
    </row>
    <row r="42" spans="1:30" x14ac:dyDescent="0.25">
      <c r="A42" s="14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15"/>
      <c r="O42" s="14"/>
      <c r="P42" s="9"/>
      <c r="Q42" s="9"/>
      <c r="R42" s="9"/>
      <c r="S42" s="9"/>
      <c r="T42" s="9"/>
      <c r="U42" s="9"/>
      <c r="V42" s="9"/>
      <c r="W42" s="9"/>
      <c r="X42" s="17" t="s">
        <v>40</v>
      </c>
      <c r="Y42" s="2">
        <f>SUMIF(V45:V59, "&gt; 0")</f>
        <v>65.5</v>
      </c>
      <c r="Z42" s="9"/>
      <c r="AA42" s="9" t="str">
        <f>IF(Y40 = "&lt;", "T+ &lt;=T n (alpha)",  IF(Y40 = "&gt;", "T- &lt;=T n (alpha)", "T' &lt;=T n (alpha/2)"))</f>
        <v>T+ &lt;=T n (alpha)</v>
      </c>
      <c r="AB42" s="9"/>
      <c r="AC42" s="15"/>
      <c r="AD42" s="9"/>
    </row>
    <row r="43" spans="1:30" x14ac:dyDescent="0.25">
      <c r="A43" s="14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15"/>
      <c r="O43" s="14"/>
      <c r="P43" s="9"/>
      <c r="Q43" s="9"/>
      <c r="R43" s="9"/>
      <c r="S43" s="9"/>
      <c r="T43" s="9"/>
      <c r="U43" s="9"/>
      <c r="V43" s="9"/>
      <c r="W43" s="9"/>
      <c r="X43" s="17" t="s">
        <v>41</v>
      </c>
      <c r="Y43" s="2">
        <f>ABS(SUMIF(V45:V59, "&lt; 0"))</f>
        <v>54.5</v>
      </c>
      <c r="Z43" s="9"/>
      <c r="AA43" s="9"/>
      <c r="AB43" s="9"/>
      <c r="AC43" s="15"/>
      <c r="AD43" s="9"/>
    </row>
    <row r="44" spans="1:30" x14ac:dyDescent="0.25">
      <c r="A44" s="60" t="s">
        <v>29</v>
      </c>
      <c r="B44" s="58" t="s">
        <v>30</v>
      </c>
      <c r="C44" s="9"/>
      <c r="D44" s="10" t="s">
        <v>5</v>
      </c>
      <c r="E44" s="10"/>
      <c r="F44" s="10"/>
      <c r="G44" s="9"/>
      <c r="H44" s="10" t="s">
        <v>10</v>
      </c>
      <c r="I44" s="10"/>
      <c r="J44" s="9"/>
      <c r="K44" s="9"/>
      <c r="L44" s="9"/>
      <c r="M44" s="15"/>
      <c r="O44" s="57" t="s">
        <v>45</v>
      </c>
      <c r="P44" s="4" t="s">
        <v>46</v>
      </c>
      <c r="Q44" s="39" t="s">
        <v>48</v>
      </c>
      <c r="R44" s="6" t="s">
        <v>50</v>
      </c>
      <c r="S44" s="32" t="s">
        <v>51</v>
      </c>
      <c r="T44" s="4" t="s">
        <v>59</v>
      </c>
      <c r="U44" s="6" t="s">
        <v>38</v>
      </c>
      <c r="V44" s="6" t="s">
        <v>39</v>
      </c>
      <c r="W44" s="9"/>
      <c r="X44" s="17" t="s">
        <v>4</v>
      </c>
      <c r="Y44" s="2">
        <f>COUNTA(V45:V59)</f>
        <v>15</v>
      </c>
      <c r="Z44" s="9"/>
      <c r="AA44" s="9"/>
      <c r="AB44" s="9"/>
      <c r="AC44" s="15"/>
      <c r="AD44" s="9"/>
    </row>
    <row r="45" spans="1:30" x14ac:dyDescent="0.25">
      <c r="A45" s="16">
        <v>8.3000000000000007</v>
      </c>
      <c r="B45" s="4" t="str">
        <f>IF(A45&gt;8.41, 1, "")</f>
        <v/>
      </c>
      <c r="C45" s="9"/>
      <c r="D45" s="8" t="s">
        <v>6</v>
      </c>
      <c r="E45" s="8" t="s">
        <v>31</v>
      </c>
      <c r="F45" s="8">
        <v>8.41</v>
      </c>
      <c r="G45" s="9"/>
      <c r="H45" s="9" t="str">
        <f>IF(E46 = "&lt;", "S = S+",  IF(E46 = "&gt;", "S = S-", "S = S' = min(S-, S+)"))</f>
        <v>S = S-</v>
      </c>
      <c r="I45" s="9"/>
      <c r="J45" s="9"/>
      <c r="K45" s="9"/>
      <c r="L45" s="9"/>
      <c r="M45" s="15"/>
      <c r="O45" s="40">
        <v>136</v>
      </c>
      <c r="P45" s="4" t="str">
        <f>IF(O45 &lt; 119, 1, "")</f>
        <v/>
      </c>
      <c r="Q45" s="4">
        <v>120</v>
      </c>
      <c r="R45" s="8">
        <f>Q45-119</f>
        <v>1</v>
      </c>
      <c r="S45" s="4">
        <f>ABS(R45)</f>
        <v>1</v>
      </c>
      <c r="T45" s="4">
        <v>1</v>
      </c>
      <c r="U45" s="4">
        <f>T45</f>
        <v>1</v>
      </c>
      <c r="V45" s="4">
        <f>IF(R45&lt;0, -U45, U45)</f>
        <v>1</v>
      </c>
      <c r="W45" s="9"/>
      <c r="X45" s="17" t="s">
        <v>26</v>
      </c>
      <c r="Y45" s="2">
        <f>5/100</f>
        <v>0.05</v>
      </c>
      <c r="Z45" s="9"/>
      <c r="AA45" s="9"/>
      <c r="AB45" s="9"/>
      <c r="AC45" s="15"/>
      <c r="AD45" s="9"/>
    </row>
    <row r="46" spans="1:30" x14ac:dyDescent="0.25">
      <c r="A46" s="16">
        <v>9.5</v>
      </c>
      <c r="B46" s="4">
        <f>IF(A46&gt;8.41, 1, "")</f>
        <v>1</v>
      </c>
      <c r="C46" s="9"/>
      <c r="D46" s="8" t="s">
        <v>8</v>
      </c>
      <c r="E46" s="8" t="s">
        <v>11</v>
      </c>
      <c r="F46" s="8">
        <v>8.41</v>
      </c>
      <c r="G46" s="9"/>
      <c r="H46" s="9"/>
      <c r="I46" s="9"/>
      <c r="J46" s="9"/>
      <c r="K46" s="9"/>
      <c r="L46" s="9"/>
      <c r="M46" s="15"/>
      <c r="O46" s="40">
        <v>103</v>
      </c>
      <c r="P46" s="4">
        <f t="shared" ref="P46:P60" si="3">IF(O46 &lt; 119, 1, "")</f>
        <v>1</v>
      </c>
      <c r="Q46" s="4">
        <v>122</v>
      </c>
      <c r="R46" s="8">
        <f>Q46-119</f>
        <v>3</v>
      </c>
      <c r="S46" s="4">
        <f>ABS(R46)</f>
        <v>3</v>
      </c>
      <c r="T46" s="4">
        <v>2</v>
      </c>
      <c r="U46" s="4">
        <f t="shared" ref="U46:U54" si="4">T46</f>
        <v>2</v>
      </c>
      <c r="V46" s="4">
        <f>IF(R46&lt;0, -U46, U46)</f>
        <v>2</v>
      </c>
      <c r="W46" s="9"/>
      <c r="X46" s="9"/>
      <c r="Y46" s="9"/>
      <c r="Z46" s="9"/>
      <c r="AA46" s="9"/>
      <c r="AB46" s="9"/>
      <c r="AC46" s="15"/>
      <c r="AD46" s="9"/>
    </row>
    <row r="47" spans="1:30" x14ac:dyDescent="0.25">
      <c r="A47" s="16">
        <v>9.6</v>
      </c>
      <c r="B47" s="4">
        <f t="shared" ref="B47:B59" si="5">IF(A47&gt;8.41, 1, "")</f>
        <v>1</v>
      </c>
      <c r="C47" s="9"/>
      <c r="D47" s="9"/>
      <c r="E47" s="9"/>
      <c r="F47" s="9"/>
      <c r="G47" s="10" t="s">
        <v>100</v>
      </c>
      <c r="H47" s="10"/>
      <c r="I47" s="33"/>
      <c r="J47" s="9"/>
      <c r="K47" s="9"/>
      <c r="L47" s="9"/>
      <c r="M47" s="15"/>
      <c r="O47" s="40">
        <v>91</v>
      </c>
      <c r="P47" s="4">
        <f t="shared" si="3"/>
        <v>1</v>
      </c>
      <c r="Q47" s="4">
        <v>125</v>
      </c>
      <c r="R47" s="8">
        <f>Q47-119</f>
        <v>6</v>
      </c>
      <c r="S47" s="4">
        <f>ABS(R47)</f>
        <v>6</v>
      </c>
      <c r="T47" s="4">
        <v>3</v>
      </c>
      <c r="U47" s="4">
        <f t="shared" si="4"/>
        <v>3</v>
      </c>
      <c r="V47" s="4">
        <f>IF(R47&lt;0, -U47, U47)</f>
        <v>3</v>
      </c>
      <c r="W47" s="9"/>
      <c r="X47" s="34" t="s">
        <v>40</v>
      </c>
      <c r="Y47" s="19"/>
      <c r="Z47" s="9"/>
      <c r="AA47" s="9"/>
      <c r="AB47" s="9"/>
      <c r="AC47" s="15"/>
      <c r="AD47" s="9"/>
    </row>
    <row r="48" spans="1:30" x14ac:dyDescent="0.25">
      <c r="A48" s="16">
        <v>8.75</v>
      </c>
      <c r="B48" s="4">
        <f t="shared" si="5"/>
        <v>1</v>
      </c>
      <c r="C48" s="9"/>
      <c r="D48" s="17" t="s">
        <v>1</v>
      </c>
      <c r="E48" s="2">
        <f>SUM(B45:B59)</f>
        <v>12</v>
      </c>
      <c r="F48" s="9"/>
      <c r="G48" s="9" t="str">
        <f>IF(E46 = "&lt;", "P(x &lt;= S+ | b(n ; 0.5 ) ) &lt;= alpha",  IF(E46 = "&gt;", "P(x &lt;= S- | b(n ; 0.5 ) ) &lt;= alpha", "P(x &lt;= S' | b(n ; 0.5 ) ) &lt;= alpha/2"))</f>
        <v>P(x &lt;= S- | b(n ; 0.5 ) ) &lt;= alpha</v>
      </c>
      <c r="H48" s="9"/>
      <c r="I48" s="9"/>
      <c r="J48" s="9"/>
      <c r="K48" s="9"/>
      <c r="L48" s="9"/>
      <c r="M48" s="15"/>
      <c r="O48" s="40">
        <v>122</v>
      </c>
      <c r="P48" s="4" t="str">
        <f t="shared" si="3"/>
        <v/>
      </c>
      <c r="Q48" s="4">
        <v>126</v>
      </c>
      <c r="R48" s="8">
        <f>Q48-119</f>
        <v>7</v>
      </c>
      <c r="S48" s="4">
        <f>ABS(R48)</f>
        <v>7</v>
      </c>
      <c r="T48" s="4">
        <v>4</v>
      </c>
      <c r="U48" s="4">
        <f t="shared" si="4"/>
        <v>4</v>
      </c>
      <c r="V48" s="4">
        <f>IF(R48&lt;0, -U48, U48)</f>
        <v>4</v>
      </c>
      <c r="W48" s="9"/>
      <c r="X48" s="9">
        <f>Y42</f>
        <v>65.5</v>
      </c>
      <c r="Y48" s="9"/>
      <c r="Z48" s="9"/>
      <c r="AA48" s="9"/>
      <c r="AB48" s="9"/>
      <c r="AC48" s="15"/>
      <c r="AD48" s="9"/>
    </row>
    <row r="49" spans="1:30" x14ac:dyDescent="0.25">
      <c r="A49" s="16">
        <v>8.4</v>
      </c>
      <c r="B49" s="4" t="str">
        <f t="shared" si="5"/>
        <v/>
      </c>
      <c r="C49" s="9"/>
      <c r="D49" s="17" t="s">
        <v>2</v>
      </c>
      <c r="E49" s="2">
        <f>E51-E48</f>
        <v>3</v>
      </c>
      <c r="F49" s="9"/>
      <c r="G49" s="9"/>
      <c r="H49" s="9"/>
      <c r="I49" s="9"/>
      <c r="J49" s="9"/>
      <c r="K49" s="9"/>
      <c r="L49" s="9"/>
      <c r="M49" s="15"/>
      <c r="O49" s="40">
        <v>96</v>
      </c>
      <c r="P49" s="4">
        <f t="shared" si="3"/>
        <v>1</v>
      </c>
      <c r="Q49" s="4">
        <v>103</v>
      </c>
      <c r="R49" s="8">
        <f>Q49-119</f>
        <v>-16</v>
      </c>
      <c r="S49" s="4">
        <f>ABS(R49)</f>
        <v>16</v>
      </c>
      <c r="T49" s="4">
        <v>5</v>
      </c>
      <c r="U49" s="4">
        <f t="shared" si="4"/>
        <v>5</v>
      </c>
      <c r="V49" s="4">
        <f>IF(R49&lt;0, -U49, U49)</f>
        <v>-5</v>
      </c>
      <c r="W49" s="9"/>
      <c r="X49" s="34" t="s">
        <v>52</v>
      </c>
      <c r="Y49" s="19"/>
      <c r="Z49" s="9"/>
      <c r="AA49" s="9"/>
      <c r="AB49" s="9"/>
      <c r="AC49" s="15"/>
      <c r="AD49" s="9"/>
    </row>
    <row r="50" spans="1:30" x14ac:dyDescent="0.25">
      <c r="A50" s="16">
        <v>9.1</v>
      </c>
      <c r="B50" s="4">
        <f t="shared" si="5"/>
        <v>1</v>
      </c>
      <c r="C50" s="9"/>
      <c r="D50" s="17" t="s">
        <v>3</v>
      </c>
      <c r="E50" s="2">
        <v>0</v>
      </c>
      <c r="F50" s="9"/>
      <c r="G50" s="18" t="s">
        <v>24</v>
      </c>
      <c r="H50" s="19"/>
      <c r="I50" s="9"/>
      <c r="J50" s="9"/>
      <c r="K50" s="9"/>
      <c r="L50" s="9"/>
      <c r="M50" s="15"/>
      <c r="O50" s="40">
        <v>145</v>
      </c>
      <c r="P50" s="4" t="str">
        <f t="shared" si="3"/>
        <v/>
      </c>
      <c r="Q50" s="4">
        <v>136</v>
      </c>
      <c r="R50" s="8">
        <f>Q50-119</f>
        <v>17</v>
      </c>
      <c r="S50" s="4">
        <f>ABS(R50)</f>
        <v>17</v>
      </c>
      <c r="T50" s="4">
        <v>6</v>
      </c>
      <c r="U50" s="4">
        <f t="shared" si="4"/>
        <v>6</v>
      </c>
      <c r="V50" s="4">
        <f>IF(R50&lt;0, -U50, U50)</f>
        <v>6</v>
      </c>
      <c r="W50" s="9"/>
      <c r="X50" s="35">
        <v>30</v>
      </c>
      <c r="Y50" s="9"/>
      <c r="Z50" s="9"/>
      <c r="AA50" s="9"/>
      <c r="AB50" s="9"/>
      <c r="AC50" s="15"/>
      <c r="AD50" s="9"/>
    </row>
    <row r="51" spans="1:30" x14ac:dyDescent="0.25">
      <c r="A51" s="16">
        <v>9.25</v>
      </c>
      <c r="B51" s="4">
        <f t="shared" si="5"/>
        <v>1</v>
      </c>
      <c r="C51" s="9"/>
      <c r="D51" s="17" t="s">
        <v>4</v>
      </c>
      <c r="E51" s="2">
        <f>COUNTA(A45:A59)</f>
        <v>15</v>
      </c>
      <c r="F51" s="9"/>
      <c r="G51" s="20">
        <f>SUM(H59:H62)</f>
        <v>1.7578125E-2</v>
      </c>
      <c r="H51" s="9"/>
      <c r="I51" s="9"/>
      <c r="J51" s="9"/>
      <c r="K51" s="9"/>
      <c r="L51" s="9"/>
      <c r="M51" s="15"/>
      <c r="O51" s="40">
        <v>140</v>
      </c>
      <c r="P51" s="4" t="str">
        <f t="shared" si="3"/>
        <v/>
      </c>
      <c r="Q51" s="4">
        <v>137</v>
      </c>
      <c r="R51" s="8">
        <f>Q51-119</f>
        <v>18</v>
      </c>
      <c r="S51" s="4">
        <f>ABS(R51)</f>
        <v>18</v>
      </c>
      <c r="T51" s="4">
        <v>7</v>
      </c>
      <c r="U51" s="4">
        <f t="shared" si="4"/>
        <v>7</v>
      </c>
      <c r="V51" s="4">
        <f>IF(R51&lt;0, -U51, U51)</f>
        <v>7</v>
      </c>
      <c r="W51" s="9"/>
      <c r="X51" s="9" t="str">
        <f>IF(X48 &gt; X50, "T &gt; T.tab", IF(X48 &lt; X50, "T &lt; T.tab","T = T.tab"))</f>
        <v>T &gt; T.tab</v>
      </c>
      <c r="Y51" s="9"/>
      <c r="Z51" s="9"/>
      <c r="AA51" s="9"/>
      <c r="AB51" s="9"/>
      <c r="AC51" s="15"/>
      <c r="AD51" s="9"/>
    </row>
    <row r="52" spans="1:30" x14ac:dyDescent="0.25">
      <c r="A52" s="16">
        <v>9.8000000000000007</v>
      </c>
      <c r="B52" s="4">
        <f t="shared" si="5"/>
        <v>1</v>
      </c>
      <c r="C52" s="9"/>
      <c r="D52" s="17" t="s">
        <v>22</v>
      </c>
      <c r="E52" s="2">
        <v>0.5</v>
      </c>
      <c r="F52" s="9"/>
      <c r="G52" s="9" t="str">
        <f>IF(G51 &gt; E53, "P &gt; alpha", IF(G51 &lt; E53, "P  &lt; alpha","P  = alpha"))</f>
        <v>P  &lt; alpha</v>
      </c>
      <c r="H52" s="9"/>
      <c r="I52" s="9"/>
      <c r="J52" s="9"/>
      <c r="K52" s="9"/>
      <c r="L52" s="9"/>
      <c r="M52" s="15"/>
      <c r="O52" s="40">
        <v>138</v>
      </c>
      <c r="P52" s="4" t="str">
        <f t="shared" si="3"/>
        <v/>
      </c>
      <c r="Q52" s="4">
        <v>138</v>
      </c>
      <c r="R52" s="8">
        <f>Q52-119</f>
        <v>19</v>
      </c>
      <c r="S52" s="4">
        <f>ABS(R52)</f>
        <v>19</v>
      </c>
      <c r="T52" s="4">
        <v>8</v>
      </c>
      <c r="U52" s="4">
        <f t="shared" si="4"/>
        <v>8</v>
      </c>
      <c r="V52" s="4">
        <f>IF(R52&lt;0, -U52, U52)</f>
        <v>8</v>
      </c>
      <c r="W52" s="9"/>
      <c r="X52" s="21" t="str">
        <f>IF(X48 &gt; X50, "Tak Tolak H0", "Tolak H0")</f>
        <v>Tak Tolak H0</v>
      </c>
      <c r="Y52" s="20"/>
      <c r="Z52" s="9"/>
      <c r="AA52" s="9"/>
      <c r="AB52" s="9"/>
      <c r="AC52" s="15"/>
      <c r="AD52" s="9"/>
    </row>
    <row r="53" spans="1:30" x14ac:dyDescent="0.25">
      <c r="A53" s="16">
        <v>10.050000000000001</v>
      </c>
      <c r="B53" s="4">
        <f t="shared" si="5"/>
        <v>1</v>
      </c>
      <c r="C53" s="9"/>
      <c r="D53" s="17" t="s">
        <v>26</v>
      </c>
      <c r="E53" s="2">
        <f>5/100</f>
        <v>0.05</v>
      </c>
      <c r="F53" s="9"/>
      <c r="G53" s="21" t="str">
        <f>IF(G51 &gt; E53, "Tak Tolak H0", "Tolak H0")</f>
        <v>Tolak H0</v>
      </c>
      <c r="H53" s="20"/>
      <c r="I53" s="9"/>
      <c r="J53" s="9"/>
      <c r="K53" s="9"/>
      <c r="L53" s="9"/>
      <c r="M53" s="15"/>
      <c r="O53" s="40">
        <v>126</v>
      </c>
      <c r="P53" s="4" t="str">
        <f t="shared" si="3"/>
        <v/>
      </c>
      <c r="Q53" s="4">
        <v>99</v>
      </c>
      <c r="R53" s="8">
        <f>Q53-119</f>
        <v>-20</v>
      </c>
      <c r="S53" s="4">
        <f>ABS(R53)</f>
        <v>20</v>
      </c>
      <c r="T53" s="4">
        <v>9</v>
      </c>
      <c r="U53" s="4">
        <f t="shared" si="4"/>
        <v>9</v>
      </c>
      <c r="V53" s="4">
        <f>IF(R53&lt;0, -U53, U53)</f>
        <v>-9</v>
      </c>
      <c r="W53" s="9"/>
      <c r="X53" s="9"/>
      <c r="Y53" s="9"/>
      <c r="Z53" s="9"/>
      <c r="AA53" s="9"/>
      <c r="AB53" s="9"/>
      <c r="AC53" s="15"/>
      <c r="AD53" s="9"/>
    </row>
    <row r="54" spans="1:30" x14ac:dyDescent="0.25">
      <c r="A54" s="16">
        <v>8.15</v>
      </c>
      <c r="B54" s="4" t="str">
        <f t="shared" si="5"/>
        <v/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15"/>
      <c r="O54" s="40">
        <v>120</v>
      </c>
      <c r="P54" s="4" t="str">
        <f t="shared" si="3"/>
        <v/>
      </c>
      <c r="Q54" s="4">
        <v>140</v>
      </c>
      <c r="R54" s="8">
        <f>Q54-119</f>
        <v>21</v>
      </c>
      <c r="S54" s="4">
        <f>ABS(R54)</f>
        <v>21</v>
      </c>
      <c r="T54" s="4">
        <v>10</v>
      </c>
      <c r="U54" s="4">
        <f t="shared" si="4"/>
        <v>10</v>
      </c>
      <c r="V54" s="4">
        <f>IF(R54&lt;0, -U54, U54)</f>
        <v>10</v>
      </c>
      <c r="W54" s="9"/>
      <c r="X54" s="9"/>
      <c r="Y54" s="9"/>
      <c r="Z54" s="9"/>
      <c r="AA54" s="9"/>
      <c r="AB54" s="9"/>
      <c r="AC54" s="15"/>
      <c r="AD54" s="9"/>
    </row>
    <row r="55" spans="1:30" x14ac:dyDescent="0.25">
      <c r="A55" s="16">
        <v>10</v>
      </c>
      <c r="B55" s="4">
        <f t="shared" si="5"/>
        <v>1</v>
      </c>
      <c r="C55" s="9"/>
      <c r="D55" s="22" t="s">
        <v>32</v>
      </c>
      <c r="E55" s="22"/>
      <c r="F55" s="22"/>
      <c r="G55" s="22"/>
      <c r="H55" s="22"/>
      <c r="I55" s="22"/>
      <c r="J55" s="22"/>
      <c r="K55" s="9"/>
      <c r="L55" s="9"/>
      <c r="M55" s="15"/>
      <c r="O55" s="40">
        <v>99</v>
      </c>
      <c r="P55" s="4">
        <f t="shared" si="3"/>
        <v>1</v>
      </c>
      <c r="Q55" s="4">
        <v>96</v>
      </c>
      <c r="R55" s="8">
        <f>Q55-119</f>
        <v>-23</v>
      </c>
      <c r="S55" s="4">
        <f>ABS(R55)</f>
        <v>23</v>
      </c>
      <c r="T55" s="4">
        <v>11</v>
      </c>
      <c r="U55" s="4">
        <f>SUM($T$55:$T$56)/COUNTA($T$55:$T$56)</f>
        <v>11.5</v>
      </c>
      <c r="V55" s="4">
        <f>IF(R55&lt;0, -U55, U55)</f>
        <v>-11.5</v>
      </c>
      <c r="W55" s="9"/>
      <c r="X55" s="9"/>
      <c r="Y55" s="9"/>
      <c r="Z55" s="9"/>
      <c r="AA55" s="9"/>
      <c r="AB55" s="9"/>
      <c r="AC55" s="15"/>
      <c r="AD55" s="9"/>
    </row>
    <row r="56" spans="1:30" x14ac:dyDescent="0.25">
      <c r="A56" s="16">
        <v>9.6</v>
      </c>
      <c r="B56" s="4">
        <f t="shared" si="5"/>
        <v>1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15"/>
      <c r="O56" s="40">
        <v>125</v>
      </c>
      <c r="P56" s="4" t="str">
        <f t="shared" si="3"/>
        <v/>
      </c>
      <c r="Q56" s="4">
        <v>142</v>
      </c>
      <c r="R56" s="8">
        <f>Q56-119</f>
        <v>23</v>
      </c>
      <c r="S56" s="4">
        <f>ABS(R56)</f>
        <v>23</v>
      </c>
      <c r="T56" s="4">
        <v>12</v>
      </c>
      <c r="U56" s="4">
        <f>SUM($T$55:$T$56)/COUNTA($T$55:$T$56)</f>
        <v>11.5</v>
      </c>
      <c r="V56" s="4">
        <f>IF(R56&lt;0, -U56, U56)</f>
        <v>11.5</v>
      </c>
      <c r="W56" s="9"/>
      <c r="X56" s="9"/>
      <c r="Y56" s="9"/>
      <c r="Z56" s="9"/>
      <c r="AA56" s="9"/>
      <c r="AB56" s="9"/>
      <c r="AC56" s="15"/>
      <c r="AD56" s="9"/>
    </row>
    <row r="57" spans="1:30" x14ac:dyDescent="0.25">
      <c r="A57" s="16">
        <v>9.8000000000000007</v>
      </c>
      <c r="B57" s="4">
        <f t="shared" si="5"/>
        <v>1</v>
      </c>
      <c r="C57" s="9"/>
      <c r="D57" s="9"/>
      <c r="E57" s="9"/>
      <c r="F57" s="9"/>
      <c r="G57" s="8"/>
      <c r="H57" s="9"/>
      <c r="I57" s="9"/>
      <c r="J57" s="9"/>
      <c r="K57" s="9"/>
      <c r="L57" s="9"/>
      <c r="M57" s="15"/>
      <c r="O57" s="40">
        <v>91</v>
      </c>
      <c r="P57" s="4">
        <f t="shared" si="3"/>
        <v>1</v>
      </c>
      <c r="Q57" s="4">
        <v>145</v>
      </c>
      <c r="R57" s="8">
        <f>Q57-119</f>
        <v>26</v>
      </c>
      <c r="S57" s="4">
        <f>ABS(R57)</f>
        <v>26</v>
      </c>
      <c r="T57" s="4">
        <v>13</v>
      </c>
      <c r="U57" s="4">
        <f>T57</f>
        <v>13</v>
      </c>
      <c r="V57" s="4">
        <f>IF(R57&lt;0, -U57, U57)</f>
        <v>13</v>
      </c>
      <c r="W57" s="9"/>
      <c r="X57" s="9"/>
      <c r="Y57" s="9"/>
      <c r="Z57" s="9"/>
      <c r="AA57" s="9"/>
      <c r="AB57" s="9"/>
      <c r="AC57" s="15"/>
      <c r="AD57" s="9"/>
    </row>
    <row r="58" spans="1:30" x14ac:dyDescent="0.25">
      <c r="A58" s="16">
        <v>9.1999999999999993</v>
      </c>
      <c r="B58" s="4">
        <f t="shared" si="5"/>
        <v>1</v>
      </c>
      <c r="C58" s="9"/>
      <c r="D58" s="23" t="s">
        <v>16</v>
      </c>
      <c r="E58" s="9" t="s">
        <v>17</v>
      </c>
      <c r="F58" s="9" t="s">
        <v>18</v>
      </c>
      <c r="G58" s="9" t="s">
        <v>19</v>
      </c>
      <c r="H58" s="24" t="s">
        <v>20</v>
      </c>
      <c r="I58" s="9"/>
      <c r="J58" s="9"/>
      <c r="K58" s="9"/>
      <c r="L58" s="9"/>
      <c r="M58" s="15"/>
      <c r="O58" s="40">
        <v>142</v>
      </c>
      <c r="P58" s="4" t="str">
        <f t="shared" si="3"/>
        <v/>
      </c>
      <c r="Q58" s="4">
        <v>91</v>
      </c>
      <c r="R58" s="8">
        <f>Q58-119</f>
        <v>-28</v>
      </c>
      <c r="S58" s="4">
        <f>ABS(R58)</f>
        <v>28</v>
      </c>
      <c r="T58" s="4">
        <v>14</v>
      </c>
      <c r="U58" s="4">
        <f>SUM($T$58:$T$59)/COUNTA($T$58:$T$59)</f>
        <v>14.5</v>
      </c>
      <c r="V58" s="4">
        <f>IF(R58&lt;0, -U58, U58)</f>
        <v>-14.5</v>
      </c>
      <c r="W58" s="9"/>
      <c r="X58" s="9"/>
      <c r="Y58" s="9"/>
      <c r="Z58" s="9"/>
      <c r="AA58" s="9"/>
      <c r="AB58" s="9"/>
      <c r="AC58" s="15"/>
    </row>
    <row r="59" spans="1:30" x14ac:dyDescent="0.25">
      <c r="A59" s="16">
        <v>9.3000000000000007</v>
      </c>
      <c r="B59" s="4">
        <f t="shared" si="5"/>
        <v>1</v>
      </c>
      <c r="C59" s="9"/>
      <c r="D59" s="4">
        <v>0</v>
      </c>
      <c r="E59" s="28">
        <f>COMBIN($E$51,$D59)</f>
        <v>1</v>
      </c>
      <c r="F59" s="2">
        <f>$E$52^$D59</f>
        <v>1</v>
      </c>
      <c r="G59" s="2">
        <f>(1-$E$52)^($E$51-$D59)</f>
        <v>3.0517578125E-5</v>
      </c>
      <c r="H59" s="5">
        <f>E59*F59*G59</f>
        <v>3.0517578125E-5</v>
      </c>
      <c r="I59" s="6" t="s">
        <v>33</v>
      </c>
      <c r="J59" s="9"/>
      <c r="K59" s="9"/>
      <c r="L59" s="9"/>
      <c r="M59" s="15"/>
      <c r="O59" s="41">
        <v>119</v>
      </c>
      <c r="P59" s="4" t="str">
        <f t="shared" si="3"/>
        <v/>
      </c>
      <c r="Q59" s="4">
        <v>91</v>
      </c>
      <c r="R59" s="8">
        <f>Q59-119</f>
        <v>-28</v>
      </c>
      <c r="S59" s="4">
        <f>ABS(R59)</f>
        <v>28</v>
      </c>
      <c r="T59" s="4">
        <v>15</v>
      </c>
      <c r="U59" s="4">
        <f>SUM($T$58:$T$59)/COUNTA($T$58:$T$59)</f>
        <v>14.5</v>
      </c>
      <c r="V59" s="4">
        <f>IF(R59&lt;0, -U59, U59)</f>
        <v>-14.5</v>
      </c>
      <c r="W59" s="9"/>
      <c r="X59" s="9"/>
      <c r="Y59" s="9"/>
      <c r="Z59" s="9"/>
      <c r="AA59" s="9"/>
      <c r="AB59" s="9"/>
      <c r="AC59" s="15"/>
    </row>
    <row r="60" spans="1:30" ht="15.75" thickBot="1" x14ac:dyDescent="0.3">
      <c r="A60" s="14"/>
      <c r="B60" s="9"/>
      <c r="C60" s="9"/>
      <c r="D60" s="4">
        <v>1</v>
      </c>
      <c r="E60" s="28">
        <f t="shared" ref="E60:E62" si="6">COMBIN($E$51,$D60)</f>
        <v>15</v>
      </c>
      <c r="F60" s="2">
        <f t="shared" ref="F60:F62" si="7">$E$52^$D60</f>
        <v>0.5</v>
      </c>
      <c r="G60" s="2">
        <f t="shared" ref="G60:G62" si="8">(1-$E$52)^($E$51-$D60)</f>
        <v>6.103515625E-5</v>
      </c>
      <c r="H60" s="5">
        <f>E60*F60*G60</f>
        <v>4.57763671875E-4</v>
      </c>
      <c r="I60" s="6" t="s">
        <v>34</v>
      </c>
      <c r="J60" s="9"/>
      <c r="K60" s="9"/>
      <c r="L60" s="9"/>
      <c r="M60" s="15"/>
      <c r="O60" s="42">
        <v>137</v>
      </c>
      <c r="P60" s="38" t="str">
        <f t="shared" si="3"/>
        <v/>
      </c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7"/>
    </row>
    <row r="61" spans="1:30" x14ac:dyDescent="0.25">
      <c r="A61" s="14"/>
      <c r="B61" s="9"/>
      <c r="C61" s="9"/>
      <c r="D61" s="4">
        <v>2</v>
      </c>
      <c r="E61" s="28">
        <f t="shared" si="6"/>
        <v>105</v>
      </c>
      <c r="F61" s="2">
        <f t="shared" si="7"/>
        <v>0.25</v>
      </c>
      <c r="G61" s="2">
        <f t="shared" si="8"/>
        <v>1.220703125E-4</v>
      </c>
      <c r="H61" s="5">
        <f>E61*F61*G61</f>
        <v>3.204345703125E-3</v>
      </c>
      <c r="I61" s="7" t="s">
        <v>35</v>
      </c>
      <c r="J61" s="9"/>
      <c r="K61" s="9"/>
      <c r="L61" s="9"/>
      <c r="M61" s="15"/>
    </row>
    <row r="62" spans="1:30" x14ac:dyDescent="0.25">
      <c r="A62" s="14"/>
      <c r="B62" s="9"/>
      <c r="C62" s="9"/>
      <c r="D62" s="4">
        <v>3</v>
      </c>
      <c r="E62" s="28">
        <f t="shared" si="6"/>
        <v>455.00000000000006</v>
      </c>
      <c r="F62" s="2">
        <f t="shared" si="7"/>
        <v>0.125</v>
      </c>
      <c r="G62" s="2">
        <f t="shared" si="8"/>
        <v>2.44140625E-4</v>
      </c>
      <c r="H62" s="5">
        <f>E62*F62*G62</f>
        <v>1.3885498046875002E-2</v>
      </c>
      <c r="I62" s="6" t="s">
        <v>36</v>
      </c>
      <c r="J62" s="9"/>
      <c r="K62" s="9"/>
      <c r="L62" s="9"/>
      <c r="M62" s="15"/>
    </row>
    <row r="63" spans="1:30" ht="15.75" thickBot="1" x14ac:dyDescent="0.3">
      <c r="A63" s="25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7"/>
    </row>
    <row r="86" spans="4:10" x14ac:dyDescent="0.25">
      <c r="D86" s="10" t="s">
        <v>5</v>
      </c>
      <c r="E86" s="10"/>
      <c r="F86" s="10"/>
      <c r="G86" s="9"/>
      <c r="H86" s="10" t="s">
        <v>10</v>
      </c>
      <c r="I86" s="10"/>
      <c r="J86" s="9"/>
    </row>
    <row r="87" spans="4:10" x14ac:dyDescent="0.25">
      <c r="D87" s="8" t="s">
        <v>6</v>
      </c>
      <c r="E87" s="8" t="s">
        <v>12</v>
      </c>
      <c r="F87" s="8">
        <v>2</v>
      </c>
      <c r="G87" s="9"/>
      <c r="H87" s="9" t="str">
        <f>IF(E88 = "&lt;", "S = S+",  IF(E88 = "&gt;", "S = S-", "S = S' = min(S-, S+)"))</f>
        <v>S = S' = min(S-, S+)</v>
      </c>
      <c r="I87" s="9"/>
      <c r="J87" s="9"/>
    </row>
    <row r="88" spans="4:10" x14ac:dyDescent="0.25">
      <c r="D88" s="8" t="s">
        <v>8</v>
      </c>
      <c r="E88" s="8" t="s">
        <v>31</v>
      </c>
      <c r="F88" s="8">
        <v>2</v>
      </c>
      <c r="G88" s="9"/>
      <c r="H88" s="9"/>
      <c r="I88" s="9"/>
      <c r="J88" s="9"/>
    </row>
    <row r="89" spans="4:10" x14ac:dyDescent="0.25">
      <c r="D89" s="9"/>
      <c r="E89" s="9"/>
      <c r="F89" s="9"/>
      <c r="G89" s="10" t="s">
        <v>100</v>
      </c>
      <c r="H89" s="10"/>
      <c r="I89" s="33"/>
      <c r="J89" s="9"/>
    </row>
    <row r="90" spans="4:10" x14ac:dyDescent="0.25">
      <c r="D90" s="17" t="s">
        <v>1</v>
      </c>
      <c r="E90" s="2">
        <v>140</v>
      </c>
      <c r="F90" s="9"/>
      <c r="G90" s="9" t="str">
        <f>IF(E88 = "&lt;", "P(x &lt;= S+ | b(n ; 0.5 ) ) &lt;= alpha",  IF(E88 = "&gt;", "P(x &lt;= S- | b(n ; 0.5 ) ) &lt;= alpha", "P(x &lt;= S' | b(n ; 0.5 ) ) &lt;= alpha/2"))</f>
        <v>P(x &lt;= S' | b(n ; 0.5 ) ) &lt;= alpha/2</v>
      </c>
      <c r="H90" s="9"/>
      <c r="I90" s="9"/>
      <c r="J90" s="9"/>
    </row>
    <row r="91" spans="4:10" x14ac:dyDescent="0.25">
      <c r="D91" s="17" t="s">
        <v>2</v>
      </c>
      <c r="E91" s="2">
        <f>E93-E90</f>
        <v>110</v>
      </c>
      <c r="F91" s="9"/>
      <c r="G91" s="9"/>
      <c r="H91" s="9"/>
      <c r="I91" s="9"/>
      <c r="J91" s="9"/>
    </row>
    <row r="92" spans="4:10" x14ac:dyDescent="0.25">
      <c r="D92" s="17" t="s">
        <v>3</v>
      </c>
      <c r="E92" s="2">
        <v>0</v>
      </c>
      <c r="F92" s="9"/>
      <c r="G92" s="18" t="s">
        <v>24</v>
      </c>
      <c r="H92" s="19"/>
      <c r="I92" s="9"/>
      <c r="J92" s="9"/>
    </row>
    <row r="93" spans="4:10" x14ac:dyDescent="0.25">
      <c r="D93" s="17" t="s">
        <v>4</v>
      </c>
      <c r="E93" s="2">
        <v>250</v>
      </c>
      <c r="F93" s="9"/>
      <c r="G93" s="20">
        <f>SUM(H101:H102)</f>
        <v>1.9609375</v>
      </c>
      <c r="H93" s="9"/>
      <c r="I93" s="9"/>
      <c r="J93" s="9"/>
    </row>
    <row r="94" spans="4:10" x14ac:dyDescent="0.25">
      <c r="D94" s="17" t="s">
        <v>22</v>
      </c>
      <c r="E94" s="2">
        <v>0.5</v>
      </c>
      <c r="F94" s="9"/>
      <c r="G94" s="9" t="str">
        <f>IF(G93 &gt; E95, "P &gt; alpha", IF(G93 &lt; E95, "P  &lt; alpha","P  = alpha"))</f>
        <v>P &gt; alpha</v>
      </c>
      <c r="H94" s="9"/>
      <c r="I94" s="9"/>
      <c r="J94" s="9"/>
    </row>
    <row r="95" spans="4:10" x14ac:dyDescent="0.25">
      <c r="D95" s="17" t="s">
        <v>26</v>
      </c>
      <c r="E95" s="2">
        <f>5/100</f>
        <v>0.05</v>
      </c>
      <c r="F95" s="9"/>
      <c r="G95" s="21" t="str">
        <f>IF(G93 &gt; E95, "Tak Tolak H0", "Tolak H0")</f>
        <v>Tak Tolak H0</v>
      </c>
      <c r="H95" s="20"/>
      <c r="I95" s="9"/>
      <c r="J95" s="9"/>
    </row>
    <row r="96" spans="4:10" x14ac:dyDescent="0.25">
      <c r="D96" s="9"/>
      <c r="E96" s="9"/>
      <c r="F96" s="9"/>
      <c r="G96" s="9"/>
      <c r="H96" s="9"/>
      <c r="I96" s="9"/>
      <c r="J96" s="9"/>
    </row>
    <row r="97" spans="4:10" x14ac:dyDescent="0.25">
      <c r="D97" s="22" t="s">
        <v>218</v>
      </c>
      <c r="E97" s="22"/>
      <c r="F97" s="22"/>
      <c r="G97" s="22"/>
      <c r="H97" s="22"/>
      <c r="I97" s="22"/>
      <c r="J97" s="9"/>
    </row>
    <row r="98" spans="4:10" x14ac:dyDescent="0.25">
      <c r="D98" s="9"/>
      <c r="E98" s="9"/>
      <c r="F98" s="9"/>
      <c r="G98" s="9"/>
      <c r="H98" s="9"/>
      <c r="I98" s="9"/>
      <c r="J98" s="9"/>
    </row>
    <row r="99" spans="4:10" x14ac:dyDescent="0.25">
      <c r="D99" s="9"/>
      <c r="E99" s="9"/>
      <c r="F99" s="9"/>
      <c r="G99" s="8"/>
      <c r="H99" s="9"/>
      <c r="I99" s="9"/>
      <c r="J99" s="9"/>
    </row>
    <row r="100" spans="4:10" x14ac:dyDescent="0.25">
      <c r="D100" s="23" t="s">
        <v>16</v>
      </c>
      <c r="E100" s="9" t="s">
        <v>17</v>
      </c>
      <c r="F100" s="9" t="s">
        <v>18</v>
      </c>
      <c r="G100" s="9" t="s">
        <v>19</v>
      </c>
      <c r="H100" s="24" t="s">
        <v>20</v>
      </c>
      <c r="I100" s="9"/>
      <c r="J100" s="9"/>
    </row>
    <row r="101" spans="4:10" x14ac:dyDescent="0.25">
      <c r="D101" s="4">
        <v>0</v>
      </c>
      <c r="E101" s="2">
        <f>COMBIN($E$93,$D101)</f>
        <v>1</v>
      </c>
      <c r="F101" s="2">
        <f>$E$23^$D101</f>
        <v>1</v>
      </c>
      <c r="G101" s="2">
        <f>(1-$E$23)^($E$22-$D101)</f>
        <v>7.8125E-3</v>
      </c>
      <c r="H101" s="5">
        <f>E101*F101*G101</f>
        <v>7.8125E-3</v>
      </c>
      <c r="I101" s="6" t="s">
        <v>15</v>
      </c>
      <c r="J101" s="9">
        <f>_xlfn.BINOM.DIST(E91,E93,E94,FALSE)</f>
        <v>8.3571817249181949E-3</v>
      </c>
    </row>
    <row r="102" spans="4:10" x14ac:dyDescent="0.25">
      <c r="D102" s="4">
        <v>1</v>
      </c>
      <c r="E102" s="2">
        <f t="shared" ref="E102" si="9">COMBIN($E$93,$D102)</f>
        <v>250</v>
      </c>
      <c r="F102" s="2">
        <f>$E$23^$D102</f>
        <v>0.5</v>
      </c>
      <c r="G102" s="2">
        <f>(1-$E$23)^($E$22-$D102)</f>
        <v>1.5625E-2</v>
      </c>
      <c r="H102" s="5">
        <f>E102*F102*G102</f>
        <v>1.953125</v>
      </c>
      <c r="I102" s="6" t="s">
        <v>21</v>
      </c>
      <c r="J102" s="9"/>
    </row>
    <row r="103" spans="4:10" x14ac:dyDescent="0.25">
      <c r="J103" s="9"/>
    </row>
  </sheetData>
  <mergeCells count="18">
    <mergeCell ref="G89:I89"/>
    <mergeCell ref="Z2:AC8"/>
    <mergeCell ref="D86:F86"/>
    <mergeCell ref="H86:I86"/>
    <mergeCell ref="AB12:AC12"/>
    <mergeCell ref="AA15:AC15"/>
    <mergeCell ref="A1:I1"/>
    <mergeCell ref="D44:F44"/>
    <mergeCell ref="H44:I44"/>
    <mergeCell ref="G47:I47"/>
    <mergeCell ref="X12:Z12"/>
    <mergeCell ref="X38:Z38"/>
    <mergeCell ref="AB38:AC38"/>
    <mergeCell ref="AA41:AC41"/>
    <mergeCell ref="K2:L6"/>
    <mergeCell ref="D15:F15"/>
    <mergeCell ref="H15:I15"/>
    <mergeCell ref="G18:I18"/>
  </mergeCells>
  <conditionalFormatting sqref="S21:S34">
    <cfRule type="duplicateValues" priority="11"/>
    <cfRule type="duplicateValues" dxfId="13" priority="12"/>
  </conditionalFormatting>
  <conditionalFormatting sqref="S45:S59">
    <cfRule type="duplicateValues" priority="2"/>
    <cfRule type="duplicateValues" dxfId="12" priority="3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D63B0-2BDD-4436-9DDB-210EC3FFAFD2}">
  <dimension ref="A1:BW66"/>
  <sheetViews>
    <sheetView topLeftCell="X1" zoomScale="160" zoomScaleNormal="160" workbookViewId="0">
      <selection activeCell="BJ10" sqref="BJ10:BL15"/>
    </sheetView>
  </sheetViews>
  <sheetFormatPr defaultRowHeight="15" x14ac:dyDescent="0.25"/>
  <cols>
    <col min="1" max="8" width="9.140625" style="1"/>
    <col min="9" max="9" width="16.28515625" style="1" customWidth="1"/>
    <col min="10" max="17" width="9.140625" style="1"/>
    <col min="18" max="18" width="9.140625" style="53"/>
    <col min="19" max="29" width="9.140625" style="1"/>
    <col min="30" max="30" width="12" style="1" customWidth="1"/>
    <col min="31" max="35" width="9.140625" style="1"/>
    <col min="36" max="36" width="9.140625" style="53"/>
    <col min="37" max="37" width="10.5703125" style="1" customWidth="1"/>
    <col min="38" max="38" width="10.7109375" style="1" customWidth="1"/>
    <col min="39" max="54" width="9.140625" style="1"/>
    <col min="55" max="55" width="9.140625" style="53"/>
    <col min="56" max="56" width="12.85546875" style="1" customWidth="1"/>
    <col min="57" max="57" width="13.42578125" style="1" customWidth="1"/>
    <col min="58" max="66" width="9.140625" style="1"/>
    <col min="67" max="67" width="14.140625" style="1" customWidth="1"/>
    <col min="68" max="70" width="9.140625" style="1"/>
    <col min="71" max="71" width="11.5703125" style="1" customWidth="1"/>
    <col min="72" max="72" width="12.42578125" style="1" customWidth="1"/>
    <col min="73" max="16384" width="9.140625" style="1"/>
  </cols>
  <sheetData>
    <row r="1" spans="1:64" ht="15" customHeight="1" x14ac:dyDescent="0.25">
      <c r="AX1" s="55" t="s">
        <v>101</v>
      </c>
      <c r="AY1" s="55"/>
      <c r="AZ1" s="55"/>
      <c r="BA1" s="55"/>
    </row>
    <row r="2" spans="1:64" ht="15" customHeight="1" x14ac:dyDescent="0.25">
      <c r="N2" s="55" t="s">
        <v>84</v>
      </c>
      <c r="O2" s="55"/>
      <c r="P2" s="55"/>
      <c r="AF2" s="55" t="s">
        <v>91</v>
      </c>
      <c r="AG2" s="55"/>
      <c r="AH2" s="55"/>
      <c r="AX2" s="55"/>
      <c r="AY2" s="55"/>
      <c r="AZ2" s="55"/>
      <c r="BA2" s="55"/>
    </row>
    <row r="3" spans="1:64" ht="15" customHeight="1" x14ac:dyDescent="0.25">
      <c r="N3" s="55"/>
      <c r="O3" s="55"/>
      <c r="P3" s="55"/>
      <c r="AF3" s="55"/>
      <c r="AG3" s="55"/>
      <c r="AH3" s="55"/>
      <c r="AX3" s="55"/>
      <c r="AY3" s="55"/>
      <c r="AZ3" s="55"/>
      <c r="BA3" s="55"/>
    </row>
    <row r="4" spans="1:64" ht="15" customHeight="1" x14ac:dyDescent="0.25">
      <c r="N4" s="55"/>
      <c r="O4" s="55"/>
      <c r="P4" s="55"/>
      <c r="AF4" s="55"/>
      <c r="AG4" s="55"/>
      <c r="AH4" s="55"/>
      <c r="AX4" s="55"/>
      <c r="AY4" s="55"/>
      <c r="AZ4" s="55"/>
      <c r="BA4" s="55"/>
    </row>
    <row r="5" spans="1:64" ht="15" customHeight="1" x14ac:dyDescent="0.25">
      <c r="N5" s="55"/>
      <c r="O5" s="55"/>
      <c r="P5" s="55"/>
      <c r="AF5" s="55"/>
      <c r="AG5" s="55"/>
      <c r="AH5" s="55"/>
      <c r="AX5" s="55"/>
      <c r="AY5" s="55"/>
      <c r="AZ5" s="55"/>
      <c r="BA5" s="55"/>
    </row>
    <row r="6" spans="1:64" ht="15" customHeight="1" x14ac:dyDescent="0.25">
      <c r="N6" s="55"/>
      <c r="O6" s="55"/>
      <c r="P6" s="55"/>
      <c r="AF6" s="55"/>
      <c r="AG6" s="55"/>
      <c r="AH6" s="55"/>
      <c r="AX6" s="55"/>
      <c r="AY6" s="55"/>
      <c r="AZ6" s="55"/>
      <c r="BA6" s="55"/>
    </row>
    <row r="7" spans="1:64" ht="15" customHeight="1" x14ac:dyDescent="0.25">
      <c r="AF7" s="55"/>
      <c r="AG7" s="55"/>
      <c r="AH7" s="55"/>
      <c r="AX7" s="55"/>
      <c r="AY7" s="55"/>
      <c r="AZ7" s="55"/>
      <c r="BA7" s="55"/>
    </row>
    <row r="8" spans="1:64" x14ac:dyDescent="0.25">
      <c r="AX8" s="55"/>
      <c r="AY8" s="55"/>
      <c r="AZ8" s="55"/>
      <c r="BA8" s="55"/>
    </row>
    <row r="9" spans="1:64" ht="15.75" thickBot="1" x14ac:dyDescent="0.3">
      <c r="Y9" s="9"/>
      <c r="Z9" s="9"/>
      <c r="AA9" s="9"/>
      <c r="AB9" s="9"/>
      <c r="AC9" s="9"/>
      <c r="AD9" s="9"/>
    </row>
    <row r="10" spans="1:64" x14ac:dyDescent="0.25">
      <c r="A10" s="11" t="s">
        <v>27</v>
      </c>
      <c r="B10" s="12"/>
      <c r="C10" s="12"/>
      <c r="D10" s="12"/>
      <c r="E10" s="12"/>
      <c r="F10" s="12"/>
      <c r="G10" s="12"/>
      <c r="H10" s="12"/>
      <c r="I10" s="48" t="s">
        <v>5</v>
      </c>
      <c r="J10" s="48"/>
      <c r="K10" s="48"/>
      <c r="L10" s="12"/>
      <c r="M10" s="48" t="s">
        <v>10</v>
      </c>
      <c r="N10" s="48"/>
      <c r="O10" s="12"/>
      <c r="P10" s="13"/>
      <c r="S10" s="11" t="s">
        <v>27</v>
      </c>
      <c r="T10" s="12"/>
      <c r="U10" s="12"/>
      <c r="V10" s="12"/>
      <c r="W10" s="12"/>
      <c r="X10" s="12"/>
      <c r="Y10" s="48" t="s">
        <v>5</v>
      </c>
      <c r="Z10" s="48"/>
      <c r="AA10" s="48"/>
      <c r="AB10" s="12"/>
      <c r="AC10" s="48" t="s">
        <v>10</v>
      </c>
      <c r="AD10" s="48"/>
      <c r="AE10" s="12"/>
      <c r="AF10" s="12"/>
      <c r="AG10" s="13"/>
      <c r="AK10" s="11" t="s">
        <v>27</v>
      </c>
      <c r="AL10" s="12"/>
      <c r="AM10" s="12"/>
      <c r="AN10" s="12"/>
      <c r="AO10" s="12"/>
      <c r="AP10" s="12"/>
      <c r="AQ10" s="12"/>
      <c r="AR10" s="12"/>
      <c r="AS10" s="48" t="s">
        <v>5</v>
      </c>
      <c r="AT10" s="48"/>
      <c r="AU10" s="48"/>
      <c r="AV10" s="12"/>
      <c r="AW10" s="48" t="s">
        <v>10</v>
      </c>
      <c r="AX10" s="64"/>
      <c r="BJ10" s="55" t="s">
        <v>123</v>
      </c>
      <c r="BK10" s="55"/>
      <c r="BL10" s="55"/>
    </row>
    <row r="11" spans="1:64" x14ac:dyDescent="0.25">
      <c r="A11" s="14"/>
      <c r="B11" s="9"/>
      <c r="C11" s="9"/>
      <c r="D11" s="9"/>
      <c r="E11" s="9"/>
      <c r="F11" s="9"/>
      <c r="G11" s="9"/>
      <c r="H11" s="9"/>
      <c r="I11" s="8" t="s">
        <v>64</v>
      </c>
      <c r="J11" s="8" t="s">
        <v>60</v>
      </c>
      <c r="K11" s="8" t="s">
        <v>63</v>
      </c>
      <c r="L11" s="9"/>
      <c r="M11" s="9"/>
      <c r="N11" s="9"/>
      <c r="O11" s="9"/>
      <c r="P11" s="15"/>
      <c r="S11" s="14"/>
      <c r="T11" s="9"/>
      <c r="U11" s="9"/>
      <c r="V11" s="9"/>
      <c r="W11" s="9"/>
      <c r="X11" s="9"/>
      <c r="Y11" s="8" t="s">
        <v>64</v>
      </c>
      <c r="Z11" s="8" t="s">
        <v>60</v>
      </c>
      <c r="AA11" s="8" t="s">
        <v>63</v>
      </c>
      <c r="AB11" s="9"/>
      <c r="AC11" s="9" t="str">
        <f>IF(Z12 = "&lt;", "S = S+",  IF(Z12 = "&gt;", "S = S-", "S = S' = min(S-, S+)"))</f>
        <v>S = S-</v>
      </c>
      <c r="AD11" s="9"/>
      <c r="AE11" s="9"/>
      <c r="AF11" s="9"/>
      <c r="AG11" s="15"/>
      <c r="AK11" s="14"/>
      <c r="AL11" s="9"/>
      <c r="AM11" s="9"/>
      <c r="AN11" s="9"/>
      <c r="AO11" s="9"/>
      <c r="AP11" s="9"/>
      <c r="AQ11" s="9"/>
      <c r="AR11" s="9"/>
      <c r="AS11" s="8" t="s">
        <v>64</v>
      </c>
      <c r="AT11" s="8" t="s">
        <v>7</v>
      </c>
      <c r="AU11" s="8" t="s">
        <v>63</v>
      </c>
      <c r="AV11" s="9"/>
      <c r="AW11" s="9" t="str">
        <f>IF(AT12 = "&lt;", "T = T+",  IF(AT12 = "&gt;", "T = T-", "T = T' = min(T-, T+)"))</f>
        <v>T = T+</v>
      </c>
      <c r="AX11" s="15"/>
      <c r="BJ11" s="55"/>
      <c r="BK11" s="55"/>
      <c r="BL11" s="55"/>
    </row>
    <row r="12" spans="1:64" x14ac:dyDescent="0.25">
      <c r="A12" s="14"/>
      <c r="B12" s="9"/>
      <c r="C12" s="9"/>
      <c r="D12" s="9"/>
      <c r="E12" s="9"/>
      <c r="F12" s="9"/>
      <c r="G12" s="9"/>
      <c r="H12" s="9"/>
      <c r="I12" s="8" t="s">
        <v>65</v>
      </c>
      <c r="J12" s="8" t="s">
        <v>11</v>
      </c>
      <c r="K12" s="8" t="s">
        <v>63</v>
      </c>
      <c r="L12" s="9"/>
      <c r="M12" s="9"/>
      <c r="N12" s="9"/>
      <c r="O12" s="9"/>
      <c r="P12" s="15"/>
      <c r="S12" s="14"/>
      <c r="T12" s="9"/>
      <c r="U12" s="9"/>
      <c r="V12" s="9"/>
      <c r="W12" s="9"/>
      <c r="X12" s="9"/>
      <c r="Y12" s="8" t="s">
        <v>65</v>
      </c>
      <c r="Z12" s="8" t="s">
        <v>11</v>
      </c>
      <c r="AA12" s="8" t="s">
        <v>63</v>
      </c>
      <c r="AB12" s="9"/>
      <c r="AC12" s="9"/>
      <c r="AD12" s="9"/>
      <c r="AE12" s="9"/>
      <c r="AF12" s="9"/>
      <c r="AG12" s="15"/>
      <c r="AK12" s="14"/>
      <c r="AL12" s="9"/>
      <c r="AM12" s="9"/>
      <c r="AN12" s="9"/>
      <c r="AO12" s="9"/>
      <c r="AP12" s="9"/>
      <c r="AQ12" s="9"/>
      <c r="AR12" s="9"/>
      <c r="AS12" s="8" t="s">
        <v>65</v>
      </c>
      <c r="AT12" s="8" t="s">
        <v>9</v>
      </c>
      <c r="AU12" s="8" t="s">
        <v>63</v>
      </c>
      <c r="AV12" s="9"/>
      <c r="AW12" s="9"/>
      <c r="AX12" s="15"/>
      <c r="BJ12" s="55"/>
      <c r="BK12" s="55"/>
      <c r="BL12" s="55"/>
    </row>
    <row r="13" spans="1:64" x14ac:dyDescent="0.25">
      <c r="A13" s="14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15"/>
      <c r="S13" s="14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15"/>
      <c r="AK13" s="14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10" t="s">
        <v>100</v>
      </c>
      <c r="AW13" s="10"/>
      <c r="AX13" s="33"/>
      <c r="BJ13" s="55"/>
      <c r="BK13" s="55"/>
      <c r="BL13" s="55"/>
    </row>
    <row r="14" spans="1:64" x14ac:dyDescent="0.25">
      <c r="A14" s="14"/>
      <c r="B14" s="9"/>
      <c r="C14" s="9"/>
      <c r="D14" s="9"/>
      <c r="E14" s="9"/>
      <c r="F14" s="9"/>
      <c r="G14" s="9"/>
      <c r="H14" s="9"/>
      <c r="I14" s="17" t="s">
        <v>4</v>
      </c>
      <c r="J14" s="2">
        <f>COUNTA(G19:G66)</f>
        <v>48</v>
      </c>
      <c r="K14" s="9"/>
      <c r="L14" s="10" t="s">
        <v>100</v>
      </c>
      <c r="M14" s="10"/>
      <c r="N14" s="33"/>
      <c r="O14" s="9"/>
      <c r="P14" s="15"/>
      <c r="S14" s="14"/>
      <c r="T14" s="9"/>
      <c r="U14" s="9"/>
      <c r="V14" s="9"/>
      <c r="W14" s="9"/>
      <c r="X14" s="9"/>
      <c r="Y14" s="17" t="s">
        <v>4</v>
      </c>
      <c r="Z14" s="2">
        <f>COUNTIF(U21:U34,"&lt;&gt;0")</f>
        <v>9</v>
      </c>
      <c r="AA14" s="9"/>
      <c r="AB14" s="10" t="s">
        <v>100</v>
      </c>
      <c r="AC14" s="10"/>
      <c r="AD14" s="33"/>
      <c r="AE14" s="9"/>
      <c r="AF14" s="9"/>
      <c r="AG14" s="15"/>
      <c r="AK14" s="14"/>
      <c r="AL14" s="9"/>
      <c r="AM14" s="9"/>
      <c r="AN14" s="9"/>
      <c r="AO14" s="9"/>
      <c r="AP14" s="9"/>
      <c r="AQ14" s="9"/>
      <c r="AR14" s="9"/>
      <c r="AS14" s="17" t="s">
        <v>40</v>
      </c>
      <c r="AT14" s="2">
        <f>SUMIF(AQ21:AQ30, "&gt; 0")</f>
        <v>10</v>
      </c>
      <c r="AU14" s="9"/>
      <c r="AV14" s="9" t="str">
        <f>IF(AT12 = "&lt;", "T+ &lt;=T n (alpha)",  IF(AT12 = "&gt;", "T- &lt;=T n (alpha)", "T' &lt;=T n (alpha/2)"))</f>
        <v>T+ &lt;=T n (alpha)</v>
      </c>
      <c r="AW14" s="9"/>
      <c r="AX14" s="15"/>
      <c r="BJ14" s="55"/>
      <c r="BK14" s="55"/>
      <c r="BL14" s="55"/>
    </row>
    <row r="15" spans="1:64" x14ac:dyDescent="0.25">
      <c r="A15" s="14"/>
      <c r="B15" s="9"/>
      <c r="C15" s="9"/>
      <c r="D15" s="9"/>
      <c r="E15" s="9"/>
      <c r="F15" s="9"/>
      <c r="G15" s="9"/>
      <c r="H15" s="9"/>
      <c r="I15" s="22" t="s">
        <v>67</v>
      </c>
      <c r="J15" s="2">
        <f>COUNTIF(C19:C66, "Rendah")</f>
        <v>24</v>
      </c>
      <c r="K15" s="9"/>
      <c r="L15" s="9" t="str">
        <f>IF(OR(J15&gt;20,J16&gt;20), "Z.hit &gt; Z.tab",IF(J12 = "&lt;", "T &lt; w(alpha)",  IF(J12 = "&gt;", "T &gt; w(1-alpha)", "T &lt; w(alpha/2) atau T &gt; w(1-alpha/2)")))</f>
        <v>Z.hit &gt; Z.tab</v>
      </c>
      <c r="M15" s="9"/>
      <c r="N15" s="9"/>
      <c r="O15" s="9"/>
      <c r="P15" s="15"/>
      <c r="S15" s="14"/>
      <c r="T15" s="9"/>
      <c r="U15" s="9"/>
      <c r="V15" s="9"/>
      <c r="W15" s="9"/>
      <c r="X15" s="9"/>
      <c r="Y15" s="22" t="s">
        <v>1</v>
      </c>
      <c r="Z15" s="2">
        <f>COUNTIF(U21:U34, "&gt;0")</f>
        <v>6</v>
      </c>
      <c r="AA15" s="9"/>
      <c r="AB15" s="9" t="str">
        <f>IF(Z12 = "&lt;", "P(x &lt;= S+ | b(n ; 0.5 ) ) &lt;= alpha",  IF(Z12 = "&gt;", "P(x &lt;= S- | b(n ; 0.5 ) ) &lt;= alpha", "P(x &lt;= S' | b(n ; 0.5 ) ) &lt;= alpha/2"))</f>
        <v>P(x &lt;= S- | b(n ; 0.5 ) ) &lt;= alpha</v>
      </c>
      <c r="AC15" s="9"/>
      <c r="AD15" s="9"/>
      <c r="AE15" s="9"/>
      <c r="AF15" s="9"/>
      <c r="AG15" s="15"/>
      <c r="AK15" s="14"/>
      <c r="AL15" s="9"/>
      <c r="AM15" s="9"/>
      <c r="AN15" s="9"/>
      <c r="AO15" s="9"/>
      <c r="AP15" s="9"/>
      <c r="AQ15" s="9"/>
      <c r="AR15" s="9"/>
      <c r="AS15" s="17" t="s">
        <v>41</v>
      </c>
      <c r="AT15" s="2">
        <f>ABS(SUMIF(AQ21:AQ30, "&lt; 0"))</f>
        <v>45</v>
      </c>
      <c r="AU15" s="9"/>
      <c r="AV15" s="9"/>
      <c r="AW15" s="9"/>
      <c r="AX15" s="15"/>
      <c r="BJ15" s="55"/>
      <c r="BK15" s="55"/>
      <c r="BL15" s="55"/>
    </row>
    <row r="16" spans="1:64" ht="15.75" thickBot="1" x14ac:dyDescent="0.3">
      <c r="A16" s="14"/>
      <c r="B16" s="9"/>
      <c r="C16" s="9"/>
      <c r="D16" s="9"/>
      <c r="E16" s="9"/>
      <c r="F16" s="9"/>
      <c r="G16" s="9"/>
      <c r="H16" s="9"/>
      <c r="I16" s="22" t="s">
        <v>68</v>
      </c>
      <c r="J16" s="2">
        <f>J14-J15</f>
        <v>24</v>
      </c>
      <c r="K16" s="9"/>
      <c r="L16" s="9" t="s">
        <v>62</v>
      </c>
      <c r="M16" s="9"/>
      <c r="N16" s="9"/>
      <c r="O16" s="9"/>
      <c r="P16" s="15"/>
      <c r="S16" s="14"/>
      <c r="T16" s="9"/>
      <c r="U16" s="9"/>
      <c r="V16" s="9"/>
      <c r="W16" s="9"/>
      <c r="X16" s="9"/>
      <c r="Y16" s="22" t="s">
        <v>2</v>
      </c>
      <c r="Z16" s="2">
        <f>COUNTIF(U21:U34, "&lt;0")</f>
        <v>3</v>
      </c>
      <c r="AA16" s="9"/>
      <c r="AB16" s="9"/>
      <c r="AC16" s="9"/>
      <c r="AD16" s="9"/>
      <c r="AE16" s="9"/>
      <c r="AF16" s="9"/>
      <c r="AG16" s="15"/>
      <c r="AK16" s="14"/>
      <c r="AL16" s="9"/>
      <c r="AM16" s="9"/>
      <c r="AN16" s="9"/>
      <c r="AO16" s="9"/>
      <c r="AP16" s="9"/>
      <c r="AQ16" s="9"/>
      <c r="AR16" s="9"/>
      <c r="AS16" s="17" t="s">
        <v>4</v>
      </c>
      <c r="AT16" s="2">
        <f>COUNTA(AQ21:AQ30)</f>
        <v>10</v>
      </c>
      <c r="AU16" s="9"/>
      <c r="AV16" s="9"/>
      <c r="AW16" s="9"/>
      <c r="AX16" s="15"/>
    </row>
    <row r="17" spans="1:75" x14ac:dyDescent="0.25">
      <c r="A17" s="14"/>
      <c r="B17" s="9"/>
      <c r="C17" s="9"/>
      <c r="D17" s="9"/>
      <c r="E17" s="9"/>
      <c r="F17" s="9"/>
      <c r="G17" s="9"/>
      <c r="H17" s="9"/>
      <c r="I17" s="17" t="s">
        <v>26</v>
      </c>
      <c r="J17" s="2">
        <f>5/100</f>
        <v>0.05</v>
      </c>
      <c r="K17" s="9"/>
      <c r="L17" s="9" t="s">
        <v>61</v>
      </c>
      <c r="M17" s="9"/>
      <c r="N17" s="9"/>
      <c r="O17" s="9"/>
      <c r="P17" s="15"/>
      <c r="S17" s="14"/>
      <c r="T17" s="9"/>
      <c r="U17" s="9"/>
      <c r="V17" s="9"/>
      <c r="W17" s="9"/>
      <c r="X17" s="9"/>
      <c r="Y17" s="17" t="s">
        <v>26</v>
      </c>
      <c r="Z17" s="2">
        <f>10/100</f>
        <v>0.1</v>
      </c>
      <c r="AA17" s="9"/>
      <c r="AB17" s="18" t="s">
        <v>90</v>
      </c>
      <c r="AC17" s="19"/>
      <c r="AD17" s="9"/>
      <c r="AE17" s="9"/>
      <c r="AF17" s="9"/>
      <c r="AG17" s="15"/>
      <c r="AH17" s="9"/>
      <c r="AK17" s="14"/>
      <c r="AL17" s="9"/>
      <c r="AM17" s="9"/>
      <c r="AN17" s="9"/>
      <c r="AO17" s="9"/>
      <c r="AP17" s="9"/>
      <c r="AQ17" s="9"/>
      <c r="AR17" s="9"/>
      <c r="AS17" s="17" t="s">
        <v>26</v>
      </c>
      <c r="AT17" s="2">
        <f>5/100</f>
        <v>0.05</v>
      </c>
      <c r="AU17" s="9"/>
      <c r="AV17" s="9"/>
      <c r="AW17" s="9"/>
      <c r="AX17" s="15"/>
      <c r="BD17" s="11" t="s">
        <v>27</v>
      </c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3"/>
    </row>
    <row r="18" spans="1:75" x14ac:dyDescent="0.25">
      <c r="A18" s="57" t="s">
        <v>55</v>
      </c>
      <c r="B18" s="58" t="s">
        <v>56</v>
      </c>
      <c r="C18" s="6" t="s">
        <v>57</v>
      </c>
      <c r="D18" s="6" t="s">
        <v>58</v>
      </c>
      <c r="E18" s="4" t="s">
        <v>42</v>
      </c>
      <c r="F18" s="4" t="s">
        <v>59</v>
      </c>
      <c r="G18" s="6" t="s">
        <v>38</v>
      </c>
      <c r="H18" s="9"/>
      <c r="I18" s="9"/>
      <c r="J18" s="9"/>
      <c r="K18" s="9"/>
      <c r="L18" s="9"/>
      <c r="M18" s="9"/>
      <c r="N18" s="9"/>
      <c r="O18" s="9"/>
      <c r="P18" s="15"/>
      <c r="S18" s="14"/>
      <c r="T18" s="9"/>
      <c r="U18" s="9"/>
      <c r="V18" s="9"/>
      <c r="W18" s="9"/>
      <c r="X18" s="9"/>
      <c r="Y18" s="17" t="s">
        <v>22</v>
      </c>
      <c r="Z18" s="2">
        <v>0.5</v>
      </c>
      <c r="AA18" s="9"/>
      <c r="AB18" s="20">
        <f>SUM(AC26:AC29)</f>
        <v>0.25390625</v>
      </c>
      <c r="AC18" s="9"/>
      <c r="AD18" s="9"/>
      <c r="AE18" s="9"/>
      <c r="AF18" s="9"/>
      <c r="AG18" s="15"/>
      <c r="AH18" s="9"/>
      <c r="AK18" s="14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15"/>
      <c r="BD18" s="14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10" t="s">
        <v>5</v>
      </c>
      <c r="BP18" s="10"/>
      <c r="BQ18" s="10"/>
      <c r="BR18" s="9"/>
      <c r="BS18" s="10" t="s">
        <v>10</v>
      </c>
      <c r="BT18" s="10"/>
      <c r="BU18" s="9"/>
      <c r="BV18" s="9"/>
      <c r="BW18" s="15"/>
    </row>
    <row r="19" spans="1:75" x14ac:dyDescent="0.25">
      <c r="A19" s="40">
        <v>1200</v>
      </c>
      <c r="B19" s="4">
        <v>1100</v>
      </c>
      <c r="C19" s="4" t="s">
        <v>56</v>
      </c>
      <c r="D19" s="4">
        <v>900</v>
      </c>
      <c r="E19" s="4">
        <f>_xlfn.RANK.EQ(D19,$D$19:$D$66,1)</f>
        <v>1</v>
      </c>
      <c r="F19" s="32">
        <v>1</v>
      </c>
      <c r="G19" s="4">
        <f>E19</f>
        <v>1</v>
      </c>
      <c r="H19" s="9"/>
      <c r="I19" s="10" t="s">
        <v>10</v>
      </c>
      <c r="J19" s="10"/>
      <c r="K19" s="9"/>
      <c r="L19" s="4" t="s">
        <v>74</v>
      </c>
      <c r="M19" s="9"/>
      <c r="N19" s="47" t="s">
        <v>71</v>
      </c>
      <c r="O19" s="47"/>
      <c r="P19" s="49"/>
      <c r="S19" s="14"/>
      <c r="T19" s="9"/>
      <c r="U19" s="9"/>
      <c r="V19" s="9"/>
      <c r="W19" s="9"/>
      <c r="X19" s="9"/>
      <c r="Y19" s="9"/>
      <c r="Z19" s="9"/>
      <c r="AA19" s="9"/>
      <c r="AB19" s="9" t="str">
        <f>IF(AB18 &gt; Z17, "P &gt; alpha", "P &lt;= alpha")</f>
        <v>P &gt; alpha</v>
      </c>
      <c r="AC19" s="9"/>
      <c r="AD19" s="9"/>
      <c r="AE19" s="9"/>
      <c r="AF19" s="9"/>
      <c r="AG19" s="15"/>
      <c r="AH19" s="9"/>
      <c r="AK19" s="14"/>
      <c r="AL19" s="9"/>
      <c r="AM19" s="9"/>
      <c r="AN19" s="9"/>
      <c r="AO19" s="9"/>
      <c r="AP19" s="9"/>
      <c r="AQ19" s="9"/>
      <c r="AR19" s="9"/>
      <c r="AS19" s="34" t="s">
        <v>40</v>
      </c>
      <c r="AT19" s="19"/>
      <c r="AU19" s="9"/>
      <c r="AV19" s="9"/>
      <c r="AW19" s="9"/>
      <c r="AX19" s="15"/>
      <c r="BD19" s="14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8" t="s">
        <v>64</v>
      </c>
      <c r="BP19" s="8" t="s">
        <v>31</v>
      </c>
      <c r="BQ19" s="8" t="s">
        <v>63</v>
      </c>
      <c r="BR19" s="9"/>
      <c r="BS19" s="9" t="str" cm="1">
        <f t="array" ref="BS19">IF(OR(COUNTIF($BD$27:$BD$36,BD27:BD36)&gt;1,COUNTIF($BE$27:$BE$36,BE27:BE36)&gt;1), "Ada", "Tidak Ada")</f>
        <v>Ada</v>
      </c>
      <c r="BT19" s="9" t="s">
        <v>112</v>
      </c>
      <c r="BU19" s="9"/>
      <c r="BV19" s="9"/>
      <c r="BW19" s="15"/>
    </row>
    <row r="20" spans="1:75" x14ac:dyDescent="0.25">
      <c r="A20" s="40">
        <v>1350</v>
      </c>
      <c r="B20" s="4">
        <v>980</v>
      </c>
      <c r="C20" s="4" t="s">
        <v>55</v>
      </c>
      <c r="D20" s="4">
        <v>950</v>
      </c>
      <c r="E20" s="4">
        <f t="shared" ref="E20:E66" si="0">_xlfn.RANK.EQ(D20,$D$19:$D$66,1)</f>
        <v>2</v>
      </c>
      <c r="F20" s="32">
        <v>2</v>
      </c>
      <c r="G20" s="4">
        <f>E20</f>
        <v>2</v>
      </c>
      <c r="H20" s="9"/>
      <c r="I20" s="45" t="s">
        <v>13</v>
      </c>
      <c r="J20" s="2">
        <f>SUMIFS(G19:G66,C19:C66,"Rendah")</f>
        <v>716</v>
      </c>
      <c r="K20" s="9"/>
      <c r="L20" s="46" cm="1">
        <f t="array" ref="L20:L33">_xlfn.UNIQUE(E19:E66)</f>
        <v>1</v>
      </c>
      <c r="M20" s="9"/>
      <c r="N20" s="2" t="s">
        <v>72</v>
      </c>
      <c r="O20" s="2" t="s">
        <v>73</v>
      </c>
      <c r="P20" s="50" t="s">
        <v>76</v>
      </c>
      <c r="S20" s="59" t="s">
        <v>95</v>
      </c>
      <c r="T20" s="46" t="s">
        <v>94</v>
      </c>
      <c r="U20" s="2" t="s">
        <v>93</v>
      </c>
      <c r="V20" s="9"/>
      <c r="W20" s="9"/>
      <c r="X20" s="9"/>
      <c r="Y20" s="9"/>
      <c r="Z20" s="9"/>
      <c r="AA20" s="9"/>
      <c r="AB20" s="21" t="str">
        <f>IF(AB18 &gt; W32, "Tak Tolak H0", "Tolak H0")</f>
        <v>Tak Tolak H0</v>
      </c>
      <c r="AC20" s="20"/>
      <c r="AD20" s="9"/>
      <c r="AE20" s="9"/>
      <c r="AF20" s="9"/>
      <c r="AG20" s="15"/>
      <c r="AH20" s="9"/>
      <c r="AK20" s="57" t="s">
        <v>96</v>
      </c>
      <c r="AL20" s="58" t="s">
        <v>97</v>
      </c>
      <c r="AM20" s="63" t="s">
        <v>98</v>
      </c>
      <c r="AN20" s="4" t="s">
        <v>51</v>
      </c>
      <c r="AO20" s="4" t="s">
        <v>59</v>
      </c>
      <c r="AP20" s="4" t="s">
        <v>38</v>
      </c>
      <c r="AQ20" s="63" t="s">
        <v>39</v>
      </c>
      <c r="AR20" s="9"/>
      <c r="AS20" s="9">
        <f>MIN(AT14:AT15)</f>
        <v>10</v>
      </c>
      <c r="AT20" s="9"/>
      <c r="AU20" s="9"/>
      <c r="AV20" s="9"/>
      <c r="AW20" s="9"/>
      <c r="AX20" s="15"/>
      <c r="BD20" s="14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8" t="s">
        <v>65</v>
      </c>
      <c r="BP20" s="8" t="s">
        <v>12</v>
      </c>
      <c r="BQ20" s="8" t="s">
        <v>63</v>
      </c>
      <c r="BR20" s="9"/>
      <c r="BS20" s="9"/>
      <c r="BT20" s="9"/>
      <c r="BU20" s="9"/>
      <c r="BV20" s="9"/>
      <c r="BW20" s="15"/>
    </row>
    <row r="21" spans="1:75" x14ac:dyDescent="0.25">
      <c r="A21" s="40">
        <v>1115</v>
      </c>
      <c r="B21" s="4">
        <v>995</v>
      </c>
      <c r="C21" s="4" t="s">
        <v>55</v>
      </c>
      <c r="D21" s="4">
        <v>970</v>
      </c>
      <c r="E21" s="4">
        <f t="shared" si="0"/>
        <v>3</v>
      </c>
      <c r="F21" s="32">
        <v>3</v>
      </c>
      <c r="G21" s="4">
        <f>SUM($F$21:$F$23)/COUNTA($F$21:$F$23)</f>
        <v>4</v>
      </c>
      <c r="H21" s="9"/>
      <c r="I21" s="45" t="s">
        <v>66</v>
      </c>
      <c r="J21" s="2">
        <f>J15*(J15+1)/2</f>
        <v>300</v>
      </c>
      <c r="K21" s="9"/>
      <c r="L21" s="46">
        <v>2</v>
      </c>
      <c r="M21" s="9"/>
      <c r="N21" s="2">
        <v>3</v>
      </c>
      <c r="O21" s="2">
        <f>COUNTIFS($E$19:$E$66,N21)</f>
        <v>3</v>
      </c>
      <c r="P21" s="50">
        <f>O21^3</f>
        <v>27</v>
      </c>
      <c r="S21" s="16">
        <v>39</v>
      </c>
      <c r="T21" s="2">
        <v>38</v>
      </c>
      <c r="U21" s="2">
        <f>S21-T21</f>
        <v>1</v>
      </c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15"/>
      <c r="AH21" s="9"/>
      <c r="AK21" s="40">
        <v>69.989999999999995</v>
      </c>
      <c r="AL21" s="4">
        <v>69.73</v>
      </c>
      <c r="AM21" s="4">
        <f>AK21-AL21</f>
        <v>0.25999999999999091</v>
      </c>
      <c r="AN21" s="4">
        <f>ABS(AM21)</f>
        <v>0.25999999999999091</v>
      </c>
      <c r="AO21" s="4">
        <v>1</v>
      </c>
      <c r="AP21" s="4">
        <f>AO21</f>
        <v>1</v>
      </c>
      <c r="AQ21" s="4">
        <f>IF(AM21&lt;0, -AP21, AP21)</f>
        <v>1</v>
      </c>
      <c r="AR21" s="9"/>
      <c r="AS21" s="34" t="s">
        <v>99</v>
      </c>
      <c r="AT21" s="19"/>
      <c r="AU21" s="9"/>
      <c r="AV21" s="9"/>
      <c r="AW21" s="9"/>
      <c r="AX21" s="15"/>
      <c r="BD21" s="14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15"/>
    </row>
    <row r="22" spans="1:75" x14ac:dyDescent="0.25">
      <c r="A22" s="40">
        <v>1400</v>
      </c>
      <c r="B22" s="4">
        <v>1200</v>
      </c>
      <c r="C22" s="4" t="s">
        <v>56</v>
      </c>
      <c r="D22" s="4">
        <v>970</v>
      </c>
      <c r="E22" s="4">
        <f t="shared" si="0"/>
        <v>3</v>
      </c>
      <c r="F22" s="32">
        <v>4</v>
      </c>
      <c r="G22" s="4">
        <f>SUM($F$21:$F$23)/COUNTA($F$21:$F$23)</f>
        <v>4</v>
      </c>
      <c r="H22" s="9"/>
      <c r="I22" s="21" t="s">
        <v>69</v>
      </c>
      <c r="J22" s="2">
        <f>J20-J21</f>
        <v>416</v>
      </c>
      <c r="K22" s="9"/>
      <c r="L22" s="2">
        <v>3</v>
      </c>
      <c r="M22" s="9"/>
      <c r="N22" s="2">
        <v>6</v>
      </c>
      <c r="O22" s="2">
        <f>COUNTIFS($E$19:$E$66,N22)</f>
        <v>5</v>
      </c>
      <c r="P22" s="50">
        <f t="shared" ref="P22:P30" si="1">O22^3</f>
        <v>125</v>
      </c>
      <c r="S22" s="16">
        <v>38.5</v>
      </c>
      <c r="T22" s="2">
        <v>38.5</v>
      </c>
      <c r="U22" s="2">
        <f t="shared" ref="U22:U34" si="2">S22-T22</f>
        <v>0</v>
      </c>
      <c r="V22" s="9"/>
      <c r="W22" s="9"/>
      <c r="X22" s="9"/>
      <c r="Y22" s="22" t="s">
        <v>85</v>
      </c>
      <c r="Z22" s="22"/>
      <c r="AA22" s="22"/>
      <c r="AB22" s="22"/>
      <c r="AC22" s="22"/>
      <c r="AD22" s="22"/>
      <c r="AE22" s="22"/>
      <c r="AF22" s="9"/>
      <c r="AG22" s="15"/>
      <c r="AK22" s="40">
        <v>68.84</v>
      </c>
      <c r="AL22" s="4">
        <v>70.86</v>
      </c>
      <c r="AM22" s="4">
        <f t="shared" ref="AM22:AM30" si="3">AK22-AL22</f>
        <v>-2.019999999999996</v>
      </c>
      <c r="AN22" s="4">
        <f>ABS(AM22)</f>
        <v>2.019999999999996</v>
      </c>
      <c r="AO22" s="4">
        <v>2</v>
      </c>
      <c r="AP22" s="4">
        <f t="shared" ref="AP22:AP30" si="4">AO22</f>
        <v>2</v>
      </c>
      <c r="AQ22" s="4">
        <f t="shared" ref="AQ22:AQ30" si="5">IF(AM22&lt;0, -AP22, AP22)</f>
        <v>-2</v>
      </c>
      <c r="AR22" s="9"/>
      <c r="AS22" s="35">
        <v>10</v>
      </c>
      <c r="AT22" s="9"/>
      <c r="AU22" s="9"/>
      <c r="AV22" s="9"/>
      <c r="AW22" s="9"/>
      <c r="AX22" s="15"/>
      <c r="BD22" s="14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17" t="s">
        <v>40</v>
      </c>
      <c r="BP22" s="2">
        <f>SUMIF(BM29:BM38, "&gt; 0")</f>
        <v>90.5</v>
      </c>
      <c r="BQ22" s="9"/>
      <c r="BR22" s="9"/>
      <c r="BS22" s="9"/>
      <c r="BT22" s="9"/>
      <c r="BU22" s="9"/>
      <c r="BV22" s="9"/>
      <c r="BW22" s="15"/>
    </row>
    <row r="23" spans="1:75" x14ac:dyDescent="0.25">
      <c r="A23" s="40">
        <v>1000</v>
      </c>
      <c r="B23" s="4">
        <v>900</v>
      </c>
      <c r="C23" s="4" t="s">
        <v>56</v>
      </c>
      <c r="D23" s="4">
        <v>970</v>
      </c>
      <c r="E23" s="4">
        <f t="shared" si="0"/>
        <v>3</v>
      </c>
      <c r="F23" s="32">
        <v>5</v>
      </c>
      <c r="G23" s="4">
        <f>SUM($F$21:$F$23)/COUNTA($F$21:$F$23)</f>
        <v>4</v>
      </c>
      <c r="H23" s="9"/>
      <c r="I23" s="9"/>
      <c r="J23" s="9"/>
      <c r="K23" s="9"/>
      <c r="L23" s="2">
        <v>6</v>
      </c>
      <c r="M23" s="9"/>
      <c r="N23" s="2">
        <v>11</v>
      </c>
      <c r="O23" s="2">
        <f>COUNTIFS($E$19:$E$66,N23)</f>
        <v>3</v>
      </c>
      <c r="P23" s="50">
        <f t="shared" si="1"/>
        <v>27</v>
      </c>
      <c r="S23" s="16">
        <v>38.5</v>
      </c>
      <c r="T23" s="2">
        <v>37</v>
      </c>
      <c r="U23" s="2">
        <f t="shared" si="2"/>
        <v>1.5</v>
      </c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15"/>
      <c r="AK23" s="40">
        <v>66.61</v>
      </c>
      <c r="AL23" s="4">
        <v>69.459999999999994</v>
      </c>
      <c r="AM23" s="4">
        <f t="shared" si="3"/>
        <v>-2.8499999999999943</v>
      </c>
      <c r="AN23" s="4">
        <f>ABS(AM23)</f>
        <v>2.8499999999999943</v>
      </c>
      <c r="AO23" s="4">
        <v>3</v>
      </c>
      <c r="AP23" s="4">
        <f t="shared" si="4"/>
        <v>3</v>
      </c>
      <c r="AQ23" s="4">
        <f t="shared" si="5"/>
        <v>-3</v>
      </c>
      <c r="AR23" s="9"/>
      <c r="AS23" s="9" t="str">
        <f>IF(AS20 &gt; AS22, "T &gt; T.tab", IF(AS20 &lt; AS22, "T &lt; T.tab","T = T.tab"))</f>
        <v>T = T.tab</v>
      </c>
      <c r="AT23" s="9"/>
      <c r="AU23" s="9"/>
      <c r="AV23" s="9"/>
      <c r="AW23" s="9"/>
      <c r="AX23" s="15"/>
      <c r="BD23" s="14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17" t="s">
        <v>41</v>
      </c>
      <c r="BP23" s="2">
        <f>ABS(SUMIF(BM29:BM38, "&lt; 0"))</f>
        <v>0</v>
      </c>
      <c r="BQ23" s="9"/>
      <c r="BR23" s="9"/>
      <c r="BS23" s="9"/>
      <c r="BT23" s="9"/>
      <c r="BU23" s="9"/>
      <c r="BV23" s="9"/>
      <c r="BW23" s="15"/>
    </row>
    <row r="24" spans="1:75" x14ac:dyDescent="0.25">
      <c r="A24" s="40">
        <v>990</v>
      </c>
      <c r="B24" s="4">
        <v>1000</v>
      </c>
      <c r="C24" s="4" t="s">
        <v>55</v>
      </c>
      <c r="D24" s="4">
        <v>980</v>
      </c>
      <c r="E24" s="4">
        <f t="shared" si="0"/>
        <v>6</v>
      </c>
      <c r="F24" s="32">
        <v>6</v>
      </c>
      <c r="G24" s="4">
        <f>SUM($F$24:$F$28)/COUNTA($F$24:$F$28)</f>
        <v>8</v>
      </c>
      <c r="H24" s="9"/>
      <c r="I24" s="9" t="s">
        <v>70</v>
      </c>
      <c r="J24" s="2">
        <f>J15*J16</f>
        <v>576</v>
      </c>
      <c r="K24" s="9"/>
      <c r="L24" s="2">
        <v>11</v>
      </c>
      <c r="M24" s="9"/>
      <c r="N24" s="2">
        <v>15</v>
      </c>
      <c r="O24" s="2">
        <f>COUNTIFS($E$19:$E$66,N24)</f>
        <v>10</v>
      </c>
      <c r="P24" s="50">
        <f t="shared" si="1"/>
        <v>1000</v>
      </c>
      <c r="S24" s="16">
        <v>37</v>
      </c>
      <c r="T24" s="2">
        <v>39</v>
      </c>
      <c r="U24" s="2">
        <f t="shared" si="2"/>
        <v>-2</v>
      </c>
      <c r="V24" s="9"/>
      <c r="W24" s="9"/>
      <c r="X24" s="9"/>
      <c r="Y24" s="9"/>
      <c r="Z24" s="9"/>
      <c r="AA24" s="9"/>
      <c r="AB24" s="8"/>
      <c r="AC24" s="9"/>
      <c r="AD24" s="9"/>
      <c r="AE24" s="9"/>
      <c r="AF24" s="9"/>
      <c r="AG24" s="15"/>
      <c r="AK24" s="40">
        <v>72.2</v>
      </c>
      <c r="AL24" s="4">
        <v>68.88</v>
      </c>
      <c r="AM24" s="4">
        <f t="shared" si="3"/>
        <v>3.3200000000000074</v>
      </c>
      <c r="AN24" s="4">
        <f>ABS(AM24)</f>
        <v>3.3200000000000074</v>
      </c>
      <c r="AO24" s="4">
        <v>4</v>
      </c>
      <c r="AP24" s="4">
        <f t="shared" si="4"/>
        <v>4</v>
      </c>
      <c r="AQ24" s="4">
        <f t="shared" si="5"/>
        <v>4</v>
      </c>
      <c r="AR24" s="9"/>
      <c r="AS24" s="21" t="str">
        <f>IF(AS20 &gt; AS22, "Tak Tolak H0", "Tolak H0")</f>
        <v>Tolak H0</v>
      </c>
      <c r="AT24" s="20"/>
      <c r="AU24" s="9"/>
      <c r="AV24" s="9"/>
      <c r="AW24" s="9"/>
      <c r="AX24" s="15"/>
      <c r="BD24" s="14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17" t="s">
        <v>4</v>
      </c>
      <c r="BP24" s="2">
        <f>COUNTA(BM27:BM36)</f>
        <v>10</v>
      </c>
      <c r="BQ24" s="9"/>
      <c r="BR24" s="9"/>
      <c r="BS24" s="9"/>
      <c r="BT24" s="9"/>
      <c r="BU24" s="9"/>
      <c r="BV24" s="9"/>
      <c r="BW24" s="15"/>
    </row>
    <row r="25" spans="1:75" x14ac:dyDescent="0.25">
      <c r="A25" s="40">
        <v>1000</v>
      </c>
      <c r="B25" s="4">
        <v>980</v>
      </c>
      <c r="C25" s="4" t="s">
        <v>56</v>
      </c>
      <c r="D25" s="4">
        <v>980</v>
      </c>
      <c r="E25" s="4">
        <f t="shared" si="0"/>
        <v>6</v>
      </c>
      <c r="F25" s="32">
        <v>7</v>
      </c>
      <c r="G25" s="4">
        <f t="shared" ref="G25:G28" si="6">SUM($F$24:$F$28)/COUNTA($F$24:$F$28)</f>
        <v>8</v>
      </c>
      <c r="H25" s="9"/>
      <c r="I25" s="9" t="s">
        <v>78</v>
      </c>
      <c r="J25" s="9">
        <f>J22- (J24)/2</f>
        <v>128</v>
      </c>
      <c r="K25" s="9"/>
      <c r="L25" s="46">
        <v>14</v>
      </c>
      <c r="M25" s="9"/>
      <c r="N25" s="2">
        <v>25</v>
      </c>
      <c r="O25" s="2">
        <f>COUNTIFS($E$19:$E$66,N25)</f>
        <v>7</v>
      </c>
      <c r="P25" s="50">
        <f t="shared" si="1"/>
        <v>343</v>
      </c>
      <c r="S25" s="16">
        <v>37</v>
      </c>
      <c r="T25" s="2">
        <v>37</v>
      </c>
      <c r="U25" s="2">
        <f t="shared" si="2"/>
        <v>0</v>
      </c>
      <c r="V25" s="9"/>
      <c r="W25" s="9"/>
      <c r="X25" s="9"/>
      <c r="Y25" s="23" t="s">
        <v>16</v>
      </c>
      <c r="Z25" s="9" t="s">
        <v>17</v>
      </c>
      <c r="AA25" s="9" t="s">
        <v>18</v>
      </c>
      <c r="AB25" s="9" t="s">
        <v>19</v>
      </c>
      <c r="AC25" s="24" t="s">
        <v>20</v>
      </c>
      <c r="AD25" s="9"/>
      <c r="AE25" s="9"/>
      <c r="AF25" s="9"/>
      <c r="AG25" s="15"/>
      <c r="AK25" s="40">
        <v>70.44</v>
      </c>
      <c r="AL25" s="4">
        <v>67.099999999999994</v>
      </c>
      <c r="AM25" s="4">
        <f t="shared" si="3"/>
        <v>3.3400000000000034</v>
      </c>
      <c r="AN25" s="4">
        <f>ABS(AM25)</f>
        <v>3.3400000000000034</v>
      </c>
      <c r="AO25" s="4">
        <v>5</v>
      </c>
      <c r="AP25" s="4">
        <f t="shared" si="4"/>
        <v>5</v>
      </c>
      <c r="AQ25" s="4">
        <f t="shared" si="5"/>
        <v>5</v>
      </c>
      <c r="AR25" s="9"/>
      <c r="AS25" s="9"/>
      <c r="AT25" s="9"/>
      <c r="AU25" s="9"/>
      <c r="AV25" s="9"/>
      <c r="AW25" s="9"/>
      <c r="AX25" s="15"/>
      <c r="BD25" s="14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17" t="s">
        <v>26</v>
      </c>
      <c r="BP25" s="2">
        <f>5/100</f>
        <v>0.05</v>
      </c>
      <c r="BQ25" s="9"/>
      <c r="BR25" s="9"/>
      <c r="BS25" s="9"/>
      <c r="BT25" s="9"/>
      <c r="BU25" s="9"/>
      <c r="BV25" s="9"/>
      <c r="BW25" s="15"/>
    </row>
    <row r="26" spans="1:75" x14ac:dyDescent="0.25">
      <c r="A26" s="40">
        <v>970</v>
      </c>
      <c r="B26" s="4">
        <v>1100</v>
      </c>
      <c r="C26" s="4" t="s">
        <v>56</v>
      </c>
      <c r="D26" s="4">
        <v>980</v>
      </c>
      <c r="E26" s="4">
        <f t="shared" si="0"/>
        <v>6</v>
      </c>
      <c r="F26" s="32">
        <v>8</v>
      </c>
      <c r="G26" s="4">
        <f t="shared" si="6"/>
        <v>8</v>
      </c>
      <c r="H26" s="9"/>
      <c r="I26" s="9"/>
      <c r="J26" s="9"/>
      <c r="K26" s="9"/>
      <c r="L26" s="2">
        <v>15</v>
      </c>
      <c r="M26" s="9"/>
      <c r="N26" s="2">
        <v>32</v>
      </c>
      <c r="O26" s="2">
        <f>COUNTIFS($E$19:$E$66,N26)</f>
        <v>2</v>
      </c>
      <c r="P26" s="50">
        <f t="shared" si="1"/>
        <v>8</v>
      </c>
      <c r="S26" s="16">
        <v>38</v>
      </c>
      <c r="T26" s="2">
        <v>38</v>
      </c>
      <c r="U26" s="2">
        <f t="shared" si="2"/>
        <v>0</v>
      </c>
      <c r="V26" s="9"/>
      <c r="W26" s="9"/>
      <c r="X26" s="9"/>
      <c r="Y26" s="4">
        <v>0</v>
      </c>
      <c r="Z26" s="2">
        <f>COMBIN($Z$14,$Y26)</f>
        <v>1</v>
      </c>
      <c r="AA26" s="2">
        <f>$Z$18^$Y26</f>
        <v>1</v>
      </c>
      <c r="AB26" s="2">
        <f>(1-$Z$18)^($Z$14-$Y26)</f>
        <v>1.953125E-3</v>
      </c>
      <c r="AC26" s="5">
        <f>Z26*AA26*AB26</f>
        <v>1.953125E-3</v>
      </c>
      <c r="AD26" s="6" t="s">
        <v>89</v>
      </c>
      <c r="AE26" s="9"/>
      <c r="AF26" s="9"/>
      <c r="AG26" s="15"/>
      <c r="AK26" s="40">
        <v>71.87</v>
      </c>
      <c r="AL26" s="4">
        <v>76.099999999999994</v>
      </c>
      <c r="AM26" s="4">
        <f t="shared" si="3"/>
        <v>-4.2299999999999898</v>
      </c>
      <c r="AN26" s="4">
        <f>ABS(AM26)</f>
        <v>4.2299999999999898</v>
      </c>
      <c r="AO26" s="4">
        <v>6</v>
      </c>
      <c r="AP26" s="4">
        <f t="shared" si="4"/>
        <v>6</v>
      </c>
      <c r="AQ26" s="4">
        <f t="shared" si="5"/>
        <v>-6</v>
      </c>
      <c r="AR26" s="9"/>
      <c r="AS26" s="9"/>
      <c r="AT26" s="9"/>
      <c r="AU26" s="9"/>
      <c r="AV26" s="9"/>
      <c r="AW26" s="9"/>
      <c r="AX26" s="15"/>
      <c r="BD26" s="57" t="s">
        <v>102</v>
      </c>
      <c r="BE26" s="58" t="s">
        <v>103</v>
      </c>
      <c r="BF26" s="4" t="s">
        <v>108</v>
      </c>
      <c r="BG26" s="4" t="s">
        <v>110</v>
      </c>
      <c r="BH26" s="4" t="s">
        <v>109</v>
      </c>
      <c r="BI26" s="4" t="s">
        <v>111</v>
      </c>
      <c r="BJ26" s="31" t="s">
        <v>104</v>
      </c>
      <c r="BK26" s="31" t="s">
        <v>105</v>
      </c>
      <c r="BL26" s="65" t="s">
        <v>106</v>
      </c>
      <c r="BM26" s="65" t="s">
        <v>107</v>
      </c>
      <c r="BN26" s="9"/>
      <c r="BO26" s="9"/>
      <c r="BP26" s="9"/>
      <c r="BQ26" s="9"/>
      <c r="BR26" s="9"/>
      <c r="BS26" s="9"/>
      <c r="BT26" s="9"/>
      <c r="BU26" s="9"/>
      <c r="BV26" s="9"/>
      <c r="BW26" s="15"/>
    </row>
    <row r="27" spans="1:75" x14ac:dyDescent="0.25">
      <c r="A27" s="40">
        <v>1200</v>
      </c>
      <c r="B27" s="4">
        <v>1115</v>
      </c>
      <c r="C27" s="4" t="s">
        <v>56</v>
      </c>
      <c r="D27" s="4">
        <v>980</v>
      </c>
      <c r="E27" s="4">
        <f t="shared" si="0"/>
        <v>6</v>
      </c>
      <c r="F27" s="32">
        <v>9</v>
      </c>
      <c r="G27" s="4">
        <f t="shared" si="6"/>
        <v>8</v>
      </c>
      <c r="H27" s="9"/>
      <c r="I27" s="9" t="s">
        <v>79</v>
      </c>
      <c r="J27" s="2">
        <f>J24*(J14+1)/12</f>
        <v>2352</v>
      </c>
      <c r="K27" s="9"/>
      <c r="L27" s="2">
        <v>25</v>
      </c>
      <c r="M27" s="9"/>
      <c r="N27" s="2">
        <v>34</v>
      </c>
      <c r="O27" s="2">
        <f>COUNTIFS($E$19:$E$66,N27)</f>
        <v>7</v>
      </c>
      <c r="P27" s="50">
        <f t="shared" si="1"/>
        <v>343</v>
      </c>
      <c r="S27" s="16">
        <v>37</v>
      </c>
      <c r="T27" s="2">
        <v>38</v>
      </c>
      <c r="U27" s="2">
        <f t="shared" si="2"/>
        <v>-1</v>
      </c>
      <c r="V27" s="9"/>
      <c r="W27" s="9"/>
      <c r="X27" s="9"/>
      <c r="Y27" s="4">
        <v>1</v>
      </c>
      <c r="Z27" s="2">
        <f>COMBIN($Z$14,$Y27)</f>
        <v>9</v>
      </c>
      <c r="AA27" s="2">
        <f>$Z$18^$Y27</f>
        <v>0.5</v>
      </c>
      <c r="AB27" s="2">
        <f>(1-$Z$18)^($Z$14-$Y27)</f>
        <v>3.90625E-3</v>
      </c>
      <c r="AC27" s="5">
        <f>Z27*AA27*AB27</f>
        <v>1.7578125E-2</v>
      </c>
      <c r="AD27" s="6" t="s">
        <v>88</v>
      </c>
      <c r="AE27" s="9"/>
      <c r="AF27" s="9"/>
      <c r="AG27" s="15"/>
      <c r="AK27" s="40">
        <v>67.52</v>
      </c>
      <c r="AL27" s="4">
        <v>72.62</v>
      </c>
      <c r="AM27" s="4">
        <f t="shared" si="3"/>
        <v>-5.1000000000000085</v>
      </c>
      <c r="AN27" s="4">
        <f>ABS(AM27)</f>
        <v>5.1000000000000085</v>
      </c>
      <c r="AO27" s="4">
        <v>7</v>
      </c>
      <c r="AP27" s="4">
        <f t="shared" si="4"/>
        <v>7</v>
      </c>
      <c r="AQ27" s="4">
        <f t="shared" si="5"/>
        <v>-7</v>
      </c>
      <c r="AR27" s="9"/>
      <c r="AS27" s="9"/>
      <c r="AT27" s="9"/>
      <c r="AU27" s="9"/>
      <c r="AV27" s="9"/>
      <c r="AW27" s="9"/>
      <c r="AX27" s="15"/>
      <c r="BD27" s="40">
        <v>10</v>
      </c>
      <c r="BE27" s="4">
        <v>32</v>
      </c>
      <c r="BF27" s="4">
        <v>1</v>
      </c>
      <c r="BG27" s="4">
        <f>BF27</f>
        <v>1</v>
      </c>
      <c r="BH27" s="4">
        <v>1</v>
      </c>
      <c r="BI27" s="4">
        <f>BH27</f>
        <v>1</v>
      </c>
      <c r="BJ27" s="4">
        <v>1</v>
      </c>
      <c r="BK27" s="4">
        <v>1</v>
      </c>
      <c r="BL27" s="2">
        <f>BJ27-BK27</f>
        <v>0</v>
      </c>
      <c r="BM27" s="2">
        <f>BL27^2</f>
        <v>0</v>
      </c>
      <c r="BN27" s="9"/>
      <c r="BO27" s="10" t="s">
        <v>10</v>
      </c>
      <c r="BP27" s="10"/>
      <c r="BQ27" s="9"/>
      <c r="BR27" s="10" t="s">
        <v>100</v>
      </c>
      <c r="BS27" s="10"/>
      <c r="BT27" s="10"/>
      <c r="BU27" s="9"/>
      <c r="BV27" s="9"/>
      <c r="BW27" s="15"/>
    </row>
    <row r="28" spans="1:75" x14ac:dyDescent="0.25">
      <c r="A28" s="40">
        <v>1100</v>
      </c>
      <c r="B28" s="4">
        <v>990</v>
      </c>
      <c r="C28" s="4" t="s">
        <v>56</v>
      </c>
      <c r="D28" s="4">
        <v>980</v>
      </c>
      <c r="E28" s="4">
        <f t="shared" si="0"/>
        <v>6</v>
      </c>
      <c r="F28" s="32">
        <v>10</v>
      </c>
      <c r="G28" s="4">
        <f t="shared" si="6"/>
        <v>8</v>
      </c>
      <c r="H28" s="9"/>
      <c r="I28" s="9" t="s">
        <v>80</v>
      </c>
      <c r="J28" s="2">
        <f>J14*(J14-1)*12</f>
        <v>27072</v>
      </c>
      <c r="K28" s="9"/>
      <c r="L28" s="2">
        <v>32</v>
      </c>
      <c r="M28" s="9"/>
      <c r="N28" s="2">
        <v>41</v>
      </c>
      <c r="O28" s="2">
        <f>COUNTIFS($E$19:$E$66,N28)</f>
        <v>3</v>
      </c>
      <c r="P28" s="50">
        <f t="shared" si="1"/>
        <v>27</v>
      </c>
      <c r="S28" s="16">
        <v>38.5</v>
      </c>
      <c r="T28" s="2">
        <v>38</v>
      </c>
      <c r="U28" s="2">
        <f t="shared" si="2"/>
        <v>0.5</v>
      </c>
      <c r="V28" s="9"/>
      <c r="W28" s="9"/>
      <c r="X28" s="9"/>
      <c r="Y28" s="4">
        <v>2</v>
      </c>
      <c r="Z28" s="2">
        <f>COMBIN($Z$14,$Y28)</f>
        <v>36</v>
      </c>
      <c r="AA28" s="2">
        <f>$Z$18^$Y28</f>
        <v>0.25</v>
      </c>
      <c r="AB28" s="2">
        <f>(1-$Z$18)^($Z$14-$Y28)</f>
        <v>7.8125E-3</v>
      </c>
      <c r="AC28" s="5">
        <f>Z28*AA28*AB28</f>
        <v>7.03125E-2</v>
      </c>
      <c r="AD28" s="7" t="s">
        <v>87</v>
      </c>
      <c r="AE28" s="9"/>
      <c r="AF28" s="9"/>
      <c r="AG28" s="15"/>
      <c r="AK28" s="40">
        <v>71.16</v>
      </c>
      <c r="AL28" s="4">
        <v>76.66</v>
      </c>
      <c r="AM28" s="4">
        <f t="shared" si="3"/>
        <v>-5.5</v>
      </c>
      <c r="AN28" s="4">
        <f>ABS(AM28)</f>
        <v>5.5</v>
      </c>
      <c r="AO28" s="4">
        <v>8</v>
      </c>
      <c r="AP28" s="4">
        <f t="shared" si="4"/>
        <v>8</v>
      </c>
      <c r="AQ28" s="4">
        <f t="shared" si="5"/>
        <v>-8</v>
      </c>
      <c r="AR28" s="9"/>
      <c r="AS28" s="9"/>
      <c r="AT28" s="9"/>
      <c r="AU28" s="9"/>
      <c r="AV28" s="9"/>
      <c r="AW28" s="9"/>
      <c r="AX28" s="15"/>
      <c r="BD28" s="40">
        <v>12</v>
      </c>
      <c r="BE28" s="4">
        <v>42</v>
      </c>
      <c r="BF28" s="4">
        <v>2</v>
      </c>
      <c r="BG28" s="4">
        <f>BF28</f>
        <v>2</v>
      </c>
      <c r="BH28" s="4">
        <v>2</v>
      </c>
      <c r="BI28" s="4">
        <f t="shared" ref="BI28:BI36" si="7">BH28</f>
        <v>2</v>
      </c>
      <c r="BJ28" s="4">
        <v>2</v>
      </c>
      <c r="BK28" s="4">
        <v>2</v>
      </c>
      <c r="BL28" s="2">
        <f>BJ28-BK28</f>
        <v>0</v>
      </c>
      <c r="BM28" s="2">
        <f t="shared" ref="BM28:BM36" si="8">BL28^2</f>
        <v>0</v>
      </c>
      <c r="BN28" s="9"/>
      <c r="BO28" s="9" t="s">
        <v>114</v>
      </c>
      <c r="BP28" s="2">
        <f>(BP24^3-BP24)/12</f>
        <v>82.5</v>
      </c>
      <c r="BQ28" s="9"/>
      <c r="BR28" s="9" t="str">
        <f>IF(BP20 = "&lt;", "rs &lt; tab(n; alpha)",  IF(BP20 = "&gt;", "rs &gt; tab(n; alpha)", "|rs|&gt; tab(n; alpha/2)"))</f>
        <v>|rs|&gt; tab(n; alpha/2)</v>
      </c>
      <c r="BS28" s="9"/>
      <c r="BT28" s="9"/>
      <c r="BU28" s="9"/>
      <c r="BV28" s="9"/>
      <c r="BW28" s="15"/>
    </row>
    <row r="29" spans="1:75" x14ac:dyDescent="0.25">
      <c r="A29" s="40">
        <v>1500</v>
      </c>
      <c r="B29" s="4">
        <v>1000</v>
      </c>
      <c r="C29" s="4" t="s">
        <v>55</v>
      </c>
      <c r="D29" s="4">
        <v>990</v>
      </c>
      <c r="E29" s="4">
        <f t="shared" si="0"/>
        <v>11</v>
      </c>
      <c r="F29" s="32">
        <v>11</v>
      </c>
      <c r="G29" s="4">
        <f>SUM($F$29:$F$31)/COUNTA($F$29:$F$31)</f>
        <v>12</v>
      </c>
      <c r="H29" s="9"/>
      <c r="I29" s="9"/>
      <c r="J29" s="9"/>
      <c r="K29" s="9"/>
      <c r="L29" s="2">
        <v>34</v>
      </c>
      <c r="M29" s="9"/>
      <c r="N29" s="2">
        <v>44</v>
      </c>
      <c r="O29" s="2">
        <f>COUNTIFS($E$19:$E$66,N29)</f>
        <v>2</v>
      </c>
      <c r="P29" s="50">
        <f t="shared" si="1"/>
        <v>8</v>
      </c>
      <c r="S29" s="16">
        <v>38</v>
      </c>
      <c r="T29" s="2">
        <v>37.5</v>
      </c>
      <c r="U29" s="2">
        <f t="shared" si="2"/>
        <v>0.5</v>
      </c>
      <c r="V29" s="9"/>
      <c r="W29" s="9"/>
      <c r="X29" s="9"/>
      <c r="Y29" s="4">
        <v>3</v>
      </c>
      <c r="Z29" s="2">
        <f>COMBIN($Z$14,$Y29)</f>
        <v>83.999999999999986</v>
      </c>
      <c r="AA29" s="2">
        <f>$Z$18^$Y29</f>
        <v>0.125</v>
      </c>
      <c r="AB29" s="2">
        <f>(1-$Z$18)^($Z$14-$Y29)</f>
        <v>1.5625E-2</v>
      </c>
      <c r="AC29" s="5">
        <f>Z29*AA29*AB29</f>
        <v>0.16406249999999997</v>
      </c>
      <c r="AD29" s="6" t="s">
        <v>86</v>
      </c>
      <c r="AE29" s="9"/>
      <c r="AF29" s="9"/>
      <c r="AG29" s="15"/>
      <c r="AK29" s="40">
        <v>68.84</v>
      </c>
      <c r="AL29" s="4">
        <v>77.41</v>
      </c>
      <c r="AM29" s="4">
        <f t="shared" si="3"/>
        <v>-8.5699999999999932</v>
      </c>
      <c r="AN29" s="4">
        <f>ABS(AM29)</f>
        <v>8.5699999999999932</v>
      </c>
      <c r="AO29" s="4">
        <v>9</v>
      </c>
      <c r="AP29" s="4">
        <f t="shared" si="4"/>
        <v>9</v>
      </c>
      <c r="AQ29" s="4">
        <f t="shared" si="5"/>
        <v>-9</v>
      </c>
      <c r="AR29" s="9"/>
      <c r="AS29" s="9"/>
      <c r="AT29" s="9"/>
      <c r="AU29" s="9"/>
      <c r="AV29" s="9"/>
      <c r="AW29" s="9"/>
      <c r="AX29" s="15"/>
      <c r="BD29" s="40">
        <v>13</v>
      </c>
      <c r="BE29" s="4">
        <v>45</v>
      </c>
      <c r="BF29" s="4">
        <v>5</v>
      </c>
      <c r="BG29" s="4">
        <f>SUM($BF$29:$BF$31)/COUNTA($BF$29:$BF$31)</f>
        <v>6</v>
      </c>
      <c r="BH29" s="4">
        <v>3</v>
      </c>
      <c r="BI29" s="4">
        <f>SUM($BH$29:$BH$30)/COUNTA($BH$29:$BH$30)</f>
        <v>3.5</v>
      </c>
      <c r="BJ29" s="4">
        <v>4</v>
      </c>
      <c r="BK29" s="4">
        <v>3.5</v>
      </c>
      <c r="BL29" s="2">
        <f>BJ29-BK29</f>
        <v>0.5</v>
      </c>
      <c r="BM29" s="2">
        <f t="shared" si="8"/>
        <v>0.25</v>
      </c>
      <c r="BN29" s="9"/>
      <c r="BO29" s="9" t="s">
        <v>116</v>
      </c>
      <c r="BP29" s="2">
        <f>(SUM(BU32:BU34)-SUM(BT32:BT34))/12</f>
        <v>4.5</v>
      </c>
      <c r="BQ29" s="9"/>
      <c r="BR29" s="9"/>
      <c r="BS29" s="9"/>
      <c r="BT29" s="9"/>
      <c r="BU29" s="9"/>
      <c r="BV29" s="9"/>
      <c r="BW29" s="15"/>
    </row>
    <row r="30" spans="1:75" ht="15.75" thickBot="1" x14ac:dyDescent="0.3">
      <c r="A30" s="40">
        <v>1450</v>
      </c>
      <c r="B30" s="4">
        <v>1100</v>
      </c>
      <c r="C30" s="4" t="s">
        <v>56</v>
      </c>
      <c r="D30" s="4">
        <v>990</v>
      </c>
      <c r="E30" s="4">
        <f t="shared" si="0"/>
        <v>11</v>
      </c>
      <c r="F30" s="32">
        <v>12</v>
      </c>
      <c r="G30" s="4">
        <f t="shared" ref="G30" si="9">SUM($F$29:$F$31)/COUNTA($F$29:$F$31)</f>
        <v>12</v>
      </c>
      <c r="H30" s="9"/>
      <c r="I30" s="9" t="s">
        <v>81</v>
      </c>
      <c r="J30" s="2">
        <f>O33-O32</f>
        <v>1872</v>
      </c>
      <c r="K30" s="9"/>
      <c r="L30" s="2">
        <v>41</v>
      </c>
      <c r="M30" s="9"/>
      <c r="N30" s="2">
        <v>47</v>
      </c>
      <c r="O30" s="2">
        <f>COUNTIFS($E$19:$E$66,N30)</f>
        <v>2</v>
      </c>
      <c r="P30" s="50">
        <f t="shared" si="1"/>
        <v>8</v>
      </c>
      <c r="S30" s="16">
        <v>38</v>
      </c>
      <c r="T30" s="2">
        <v>37</v>
      </c>
      <c r="U30" s="2">
        <f t="shared" si="2"/>
        <v>1</v>
      </c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15"/>
      <c r="AK30" s="42">
        <v>68.08</v>
      </c>
      <c r="AL30" s="38">
        <v>77.39</v>
      </c>
      <c r="AM30" s="38">
        <f t="shared" si="3"/>
        <v>-9.3100000000000023</v>
      </c>
      <c r="AN30" s="38">
        <f>ABS(AM30)</f>
        <v>9.3100000000000023</v>
      </c>
      <c r="AO30" s="38">
        <v>10</v>
      </c>
      <c r="AP30" s="38">
        <f t="shared" si="4"/>
        <v>10</v>
      </c>
      <c r="AQ30" s="38">
        <f t="shared" si="5"/>
        <v>-10</v>
      </c>
      <c r="AR30" s="26"/>
      <c r="AS30" s="26"/>
      <c r="AT30" s="26"/>
      <c r="AU30" s="26"/>
      <c r="AV30" s="26"/>
      <c r="AW30" s="26"/>
      <c r="AX30" s="27"/>
      <c r="BD30" s="40">
        <v>16</v>
      </c>
      <c r="BE30" s="4">
        <v>45</v>
      </c>
      <c r="BF30" s="4">
        <v>10</v>
      </c>
      <c r="BG30" s="4">
        <f>SUM($BF$35:$BF$36)/COUNTA($BF$35:$BF$36)</f>
        <v>6</v>
      </c>
      <c r="BH30" s="4">
        <v>4</v>
      </c>
      <c r="BI30" s="4">
        <f>SUM($BH$29:$BH$30)/COUNTA($BH$29:$BH$30)</f>
        <v>3.5</v>
      </c>
      <c r="BJ30" s="4">
        <v>9.5</v>
      </c>
      <c r="BK30" s="4">
        <v>3.5</v>
      </c>
      <c r="BL30" s="2">
        <f>BJ30-BK30</f>
        <v>6</v>
      </c>
      <c r="BM30" s="2">
        <f t="shared" si="8"/>
        <v>36</v>
      </c>
      <c r="BN30" s="9"/>
      <c r="BO30" s="9" t="s">
        <v>117</v>
      </c>
      <c r="BP30" s="2">
        <f>(SUM(BU35)-SUM(BT35))/12</f>
        <v>0.5</v>
      </c>
      <c r="BQ30" s="9"/>
      <c r="BR30" s="9"/>
      <c r="BS30" s="47" t="s">
        <v>71</v>
      </c>
      <c r="BT30" s="47"/>
      <c r="BU30" s="47"/>
      <c r="BV30" s="8"/>
      <c r="BW30" s="67" t="s">
        <v>113</v>
      </c>
    </row>
    <row r="31" spans="1:75" x14ac:dyDescent="0.25">
      <c r="A31" s="40">
        <v>1350</v>
      </c>
      <c r="B31" s="4">
        <v>1200</v>
      </c>
      <c r="C31" s="4" t="s">
        <v>56</v>
      </c>
      <c r="D31" s="4">
        <v>990</v>
      </c>
      <c r="E31" s="4">
        <f t="shared" si="0"/>
        <v>11</v>
      </c>
      <c r="F31" s="32">
        <v>13</v>
      </c>
      <c r="G31" s="4">
        <f>SUM($F$29:$F$31)/COUNTA($F$29:$F$31)</f>
        <v>12</v>
      </c>
      <c r="H31" s="9"/>
      <c r="I31" s="9"/>
      <c r="J31" s="9"/>
      <c r="K31" s="9"/>
      <c r="L31" s="2">
        <v>44</v>
      </c>
      <c r="M31" s="9"/>
      <c r="N31" s="9"/>
      <c r="O31" s="9"/>
      <c r="P31" s="15"/>
      <c r="S31" s="16">
        <v>37</v>
      </c>
      <c r="T31" s="2">
        <v>37</v>
      </c>
      <c r="U31" s="2">
        <f t="shared" si="2"/>
        <v>0</v>
      </c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15"/>
      <c r="BD31" s="40">
        <v>13</v>
      </c>
      <c r="BE31" s="4">
        <v>53</v>
      </c>
      <c r="BF31" s="4">
        <v>3</v>
      </c>
      <c r="BG31" s="4">
        <f>SUM($BF$29:$BF$31)/COUNTA($BF$29:$BF$31)</f>
        <v>6</v>
      </c>
      <c r="BH31" s="4">
        <v>5</v>
      </c>
      <c r="BI31" s="4">
        <f t="shared" si="7"/>
        <v>5</v>
      </c>
      <c r="BJ31" s="4">
        <v>4</v>
      </c>
      <c r="BK31" s="4">
        <v>5</v>
      </c>
      <c r="BL31" s="2">
        <f>BJ31-BK31</f>
        <v>-1</v>
      </c>
      <c r="BM31" s="2">
        <f t="shared" si="8"/>
        <v>1</v>
      </c>
      <c r="BN31" s="9"/>
      <c r="BO31" s="9" t="s">
        <v>118</v>
      </c>
      <c r="BP31" s="2">
        <f>$BP$28-BP29</f>
        <v>78</v>
      </c>
      <c r="BQ31" s="9"/>
      <c r="BR31" s="9"/>
      <c r="BS31" s="4" t="s">
        <v>72</v>
      </c>
      <c r="BT31" s="4" t="s">
        <v>73</v>
      </c>
      <c r="BU31" s="4" t="s">
        <v>76</v>
      </c>
      <c r="BV31" s="8"/>
      <c r="BW31" s="68">
        <v>4</v>
      </c>
    </row>
    <row r="32" spans="1:75" x14ac:dyDescent="0.25">
      <c r="A32" s="40">
        <v>1200</v>
      </c>
      <c r="B32" s="4">
        <v>1000</v>
      </c>
      <c r="C32" s="4" t="s">
        <v>56</v>
      </c>
      <c r="D32" s="4">
        <v>995</v>
      </c>
      <c r="E32" s="4">
        <f t="shared" si="0"/>
        <v>14</v>
      </c>
      <c r="F32" s="32">
        <v>14</v>
      </c>
      <c r="G32" s="4">
        <f t="shared" ref="G25:G66" si="10">E32</f>
        <v>14</v>
      </c>
      <c r="H32" s="9"/>
      <c r="I32" s="51" t="s">
        <v>83</v>
      </c>
      <c r="J32" s="2">
        <f>J25/SQRT(J27-J24*J30/J28)</f>
        <v>2.6619510720544395</v>
      </c>
      <c r="K32" s="9"/>
      <c r="L32" s="46">
        <v>46</v>
      </c>
      <c r="M32" s="9"/>
      <c r="N32" s="20" t="s">
        <v>75</v>
      </c>
      <c r="O32" s="2">
        <f>SUM(O21:O30)</f>
        <v>44</v>
      </c>
      <c r="P32" s="15"/>
      <c r="S32" s="16">
        <v>38</v>
      </c>
      <c r="T32" s="2">
        <v>38.5</v>
      </c>
      <c r="U32" s="2">
        <f t="shared" si="2"/>
        <v>-0.5</v>
      </c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15"/>
      <c r="BD32" s="40">
        <v>16</v>
      </c>
      <c r="BE32" s="4">
        <v>58</v>
      </c>
      <c r="BF32" s="4">
        <v>9</v>
      </c>
      <c r="BG32" s="4">
        <f>SUM($BF$35:$BF$36)/COUNTA($BF$35:$BF$36)</f>
        <v>6</v>
      </c>
      <c r="BH32" s="4">
        <v>6</v>
      </c>
      <c r="BI32" s="4">
        <f t="shared" si="7"/>
        <v>6</v>
      </c>
      <c r="BJ32" s="4">
        <v>9.5</v>
      </c>
      <c r="BK32" s="4">
        <v>6</v>
      </c>
      <c r="BL32" s="2">
        <f>BJ32-BK32</f>
        <v>3.5</v>
      </c>
      <c r="BM32" s="2">
        <f t="shared" si="8"/>
        <v>12.25</v>
      </c>
      <c r="BN32" s="9"/>
      <c r="BO32" s="9" t="s">
        <v>119</v>
      </c>
      <c r="BP32" s="2">
        <f>$BP$28-BP30</f>
        <v>82</v>
      </c>
      <c r="BQ32" s="9"/>
      <c r="BR32" s="66" t="s">
        <v>16</v>
      </c>
      <c r="BS32" s="4" cm="1">
        <f t="array" ref="BS32:BS35">_xlfn.UNIQUE(BW31:BW40)</f>
        <v>4</v>
      </c>
      <c r="BT32" s="4">
        <f>COUNTIFS($BW$31:$BW$40,BS32)</f>
        <v>3</v>
      </c>
      <c r="BU32" s="4">
        <f>BT32^3</f>
        <v>27</v>
      </c>
      <c r="BV32" s="8"/>
      <c r="BW32" s="68">
        <v>9.5</v>
      </c>
    </row>
    <row r="33" spans="1:75" x14ac:dyDescent="0.25">
      <c r="A33" s="40">
        <v>950</v>
      </c>
      <c r="B33" s="4">
        <v>980</v>
      </c>
      <c r="C33" s="4" t="s">
        <v>55</v>
      </c>
      <c r="D33" s="4">
        <v>1000</v>
      </c>
      <c r="E33" s="4">
        <f t="shared" si="0"/>
        <v>15</v>
      </c>
      <c r="F33" s="32">
        <v>15</v>
      </c>
      <c r="G33" s="4">
        <f>SUM($F$33:$F$42)/COUNTA(F$33:F$42)</f>
        <v>19.5</v>
      </c>
      <c r="H33" s="9"/>
      <c r="I33" s="34" t="s">
        <v>82</v>
      </c>
      <c r="J33" s="9">
        <f>ABS(_xlfn.NORM.S.INV(J17))</f>
        <v>1.6448536269514726</v>
      </c>
      <c r="K33" s="9"/>
      <c r="L33" s="2">
        <v>47</v>
      </c>
      <c r="M33" s="9"/>
      <c r="N33" s="20" t="s">
        <v>77</v>
      </c>
      <c r="O33" s="2">
        <f>SUM(P21:P30)</f>
        <v>1916</v>
      </c>
      <c r="P33" s="15"/>
      <c r="S33" s="16">
        <v>39</v>
      </c>
      <c r="T33" s="2">
        <v>38</v>
      </c>
      <c r="U33" s="2">
        <f t="shared" si="2"/>
        <v>1</v>
      </c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15"/>
      <c r="BD33" s="40">
        <v>15</v>
      </c>
      <c r="BE33" s="4">
        <v>69</v>
      </c>
      <c r="BF33" s="4">
        <v>7</v>
      </c>
      <c r="BG33" s="4">
        <f>SUM($BF$32:$BF$34)/COUNTA($BF$32:$BF$34)</f>
        <v>7.333333333333333</v>
      </c>
      <c r="BH33" s="4">
        <v>7</v>
      </c>
      <c r="BI33" s="4">
        <f t="shared" si="7"/>
        <v>7</v>
      </c>
      <c r="BJ33" s="4">
        <v>7</v>
      </c>
      <c r="BK33" s="4">
        <v>7</v>
      </c>
      <c r="BL33" s="2">
        <f>BJ33-BK33</f>
        <v>0</v>
      </c>
      <c r="BM33" s="2">
        <f t="shared" si="8"/>
        <v>0</v>
      </c>
      <c r="BN33" s="9"/>
      <c r="BO33" s="9" t="s">
        <v>121</v>
      </c>
      <c r="BP33" s="2">
        <f>SUM(BM27:BM36)</f>
        <v>90.5</v>
      </c>
      <c r="BQ33" s="9"/>
      <c r="BR33" s="66"/>
      <c r="BS33" s="4">
        <v>9.5</v>
      </c>
      <c r="BT33" s="4">
        <f>COUNTIFS($BW$31:$BW$40,BS33)</f>
        <v>2</v>
      </c>
      <c r="BU33" s="4">
        <f t="shared" ref="BU33:BU35" si="11">BT33^3</f>
        <v>8</v>
      </c>
      <c r="BV33" s="8"/>
      <c r="BW33" s="68">
        <v>4</v>
      </c>
    </row>
    <row r="34" spans="1:75" ht="15.75" thickBot="1" x14ac:dyDescent="0.3">
      <c r="A34" s="40">
        <v>1100</v>
      </c>
      <c r="B34" s="4">
        <v>970</v>
      </c>
      <c r="C34" s="4" t="s">
        <v>55</v>
      </c>
      <c r="D34" s="4">
        <v>1000</v>
      </c>
      <c r="E34" s="4">
        <f t="shared" si="0"/>
        <v>15</v>
      </c>
      <c r="F34" s="32">
        <v>16</v>
      </c>
      <c r="G34" s="4">
        <f t="shared" ref="G34:G42" si="12">SUM($F$33:$F$42)/COUNTA(F$33:F$42)</f>
        <v>19.5</v>
      </c>
      <c r="H34" s="9"/>
      <c r="I34" s="9" t="str">
        <f>IF(J32&gt;J33, "Z.hit &gt; Z.tab", "T &lt;= T.tab")</f>
        <v>Z.hit &gt; Z.tab</v>
      </c>
      <c r="J34" s="9"/>
      <c r="K34" s="9"/>
      <c r="L34" s="9"/>
      <c r="M34" s="9"/>
      <c r="N34" s="9"/>
      <c r="O34" s="9"/>
      <c r="P34" s="15"/>
      <c r="S34" s="37">
        <v>37.5</v>
      </c>
      <c r="T34" s="54">
        <v>37.5</v>
      </c>
      <c r="U34" s="54">
        <f t="shared" si="2"/>
        <v>0</v>
      </c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7"/>
      <c r="BD34" s="40">
        <v>15</v>
      </c>
      <c r="BE34" s="4">
        <v>70</v>
      </c>
      <c r="BF34" s="4">
        <v>6</v>
      </c>
      <c r="BG34" s="4">
        <f>SUM($BF$32:$BF$34)/COUNTA($BF$32:$BF$34)</f>
        <v>7.333333333333333</v>
      </c>
      <c r="BH34" s="4">
        <v>8</v>
      </c>
      <c r="BI34" s="4">
        <f t="shared" si="7"/>
        <v>8</v>
      </c>
      <c r="BJ34" s="4">
        <v>7</v>
      </c>
      <c r="BK34" s="4">
        <v>8</v>
      </c>
      <c r="BL34" s="2">
        <f>BJ34-BK34</f>
        <v>-1</v>
      </c>
      <c r="BM34" s="2">
        <f t="shared" si="8"/>
        <v>1</v>
      </c>
      <c r="BN34" s="9"/>
      <c r="BO34" s="9"/>
      <c r="BP34" s="9"/>
      <c r="BQ34" s="9"/>
      <c r="BR34" s="66"/>
      <c r="BS34" s="4">
        <v>7</v>
      </c>
      <c r="BT34" s="4">
        <f>COUNTIFS($BW$31:$BW$40,BS34)</f>
        <v>3</v>
      </c>
      <c r="BU34" s="4">
        <f t="shared" si="11"/>
        <v>27</v>
      </c>
      <c r="BV34" s="8"/>
      <c r="BW34" s="68">
        <v>9.5</v>
      </c>
    </row>
    <row r="35" spans="1:75" x14ac:dyDescent="0.25">
      <c r="A35" s="40">
        <v>1000</v>
      </c>
      <c r="B35" s="4">
        <v>990</v>
      </c>
      <c r="C35" s="4" t="s">
        <v>55</v>
      </c>
      <c r="D35" s="4">
        <v>1000</v>
      </c>
      <c r="E35" s="4">
        <f t="shared" si="0"/>
        <v>15</v>
      </c>
      <c r="F35" s="32">
        <v>17</v>
      </c>
      <c r="G35" s="4">
        <f t="shared" si="12"/>
        <v>19.5</v>
      </c>
      <c r="H35" s="9"/>
      <c r="I35" s="21" t="str">
        <f>IF(J32&gt;J33, "Tolak H0", "Tak Tolak H0")</f>
        <v>Tolak H0</v>
      </c>
      <c r="J35" s="9"/>
      <c r="K35" s="9"/>
      <c r="L35" s="9"/>
      <c r="M35" s="9"/>
      <c r="N35" s="9"/>
      <c r="O35" s="9"/>
      <c r="P35" s="15"/>
      <c r="BD35" s="40">
        <v>15</v>
      </c>
      <c r="BE35" s="4">
        <v>73</v>
      </c>
      <c r="BF35" s="4">
        <v>8</v>
      </c>
      <c r="BG35" s="4">
        <f>SUM($BF$32:$BF$34)/COUNTA($BF$32:$BF$34)</f>
        <v>7.333333333333333</v>
      </c>
      <c r="BH35" s="4">
        <v>9</v>
      </c>
      <c r="BI35" s="4">
        <f t="shared" si="7"/>
        <v>9</v>
      </c>
      <c r="BJ35" s="4">
        <v>7</v>
      </c>
      <c r="BK35" s="4">
        <v>9</v>
      </c>
      <c r="BL35" s="2">
        <f>BJ35-BK35</f>
        <v>-2</v>
      </c>
      <c r="BM35" s="2">
        <f t="shared" si="8"/>
        <v>4</v>
      </c>
      <c r="BN35" s="9"/>
      <c r="BO35" s="51" t="s">
        <v>120</v>
      </c>
      <c r="BP35" s="2">
        <f>(BP31+BP32-BP33)/(2*SQRT(BP31*BP32))</f>
        <v>0.43451080584980867</v>
      </c>
      <c r="BQ35" s="9"/>
      <c r="BR35" s="4" t="s">
        <v>115</v>
      </c>
      <c r="BS35" s="4">
        <v>3.5</v>
      </c>
      <c r="BT35" s="4">
        <f>COUNTIFS($BW$31:$BW$40,BS35)</f>
        <v>2</v>
      </c>
      <c r="BU35" s="4">
        <f t="shared" si="11"/>
        <v>8</v>
      </c>
      <c r="BV35" s="8"/>
      <c r="BW35" s="68">
        <v>7</v>
      </c>
    </row>
    <row r="36" spans="1:75" x14ac:dyDescent="0.25">
      <c r="A36" s="40">
        <v>1500</v>
      </c>
      <c r="B36" s="4">
        <v>1200</v>
      </c>
      <c r="C36" s="4" t="s">
        <v>55</v>
      </c>
      <c r="D36" s="4">
        <v>1000</v>
      </c>
      <c r="E36" s="4">
        <f t="shared" si="0"/>
        <v>15</v>
      </c>
      <c r="F36" s="32">
        <v>18</v>
      </c>
      <c r="G36" s="4">
        <f t="shared" si="12"/>
        <v>19.5</v>
      </c>
      <c r="H36" s="9"/>
      <c r="I36" s="9"/>
      <c r="J36" s="9"/>
      <c r="K36" s="9"/>
      <c r="L36" s="9"/>
      <c r="M36" s="9"/>
      <c r="N36" s="9"/>
      <c r="O36" s="9"/>
      <c r="P36" s="15"/>
      <c r="BD36" s="40">
        <v>13</v>
      </c>
      <c r="BE36" s="4">
        <v>76</v>
      </c>
      <c r="BF36" s="4">
        <v>4</v>
      </c>
      <c r="BG36" s="4">
        <f>SUM($BF$29:$BF$31)/COUNTA($BF$29:$BF$31)</f>
        <v>6</v>
      </c>
      <c r="BH36" s="4">
        <v>10</v>
      </c>
      <c r="BI36" s="4">
        <f t="shared" si="7"/>
        <v>10</v>
      </c>
      <c r="BJ36" s="4">
        <v>4</v>
      </c>
      <c r="BK36" s="4">
        <v>10</v>
      </c>
      <c r="BL36" s="2">
        <f>BJ36-BK36</f>
        <v>-6</v>
      </c>
      <c r="BM36" s="2">
        <f t="shared" si="8"/>
        <v>36</v>
      </c>
      <c r="BN36" s="9"/>
      <c r="BO36" s="51" t="s">
        <v>122</v>
      </c>
      <c r="BP36" s="2">
        <v>0.64849999999999997</v>
      </c>
      <c r="BQ36" s="9"/>
      <c r="BR36" s="9"/>
      <c r="BS36" s="9"/>
      <c r="BT36" s="9"/>
      <c r="BU36" s="9"/>
      <c r="BV36" s="9"/>
      <c r="BW36" s="68">
        <v>7</v>
      </c>
    </row>
    <row r="37" spans="1:75" x14ac:dyDescent="0.25">
      <c r="A37" s="40">
        <v>1350</v>
      </c>
      <c r="B37" s="4">
        <v>1000</v>
      </c>
      <c r="C37" s="4" t="s">
        <v>55</v>
      </c>
      <c r="D37" s="4">
        <v>1000</v>
      </c>
      <c r="E37" s="4">
        <f t="shared" si="0"/>
        <v>15</v>
      </c>
      <c r="F37" s="32">
        <v>19</v>
      </c>
      <c r="G37" s="4">
        <f t="shared" si="12"/>
        <v>19.5</v>
      </c>
      <c r="H37" s="9"/>
      <c r="I37" s="9"/>
      <c r="J37" s="9"/>
      <c r="K37" s="9"/>
      <c r="L37" s="9"/>
      <c r="M37" s="9"/>
      <c r="N37" s="9"/>
      <c r="O37" s="9"/>
      <c r="P37" s="15"/>
      <c r="BD37" s="14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 t="str">
        <f>IF(BP35 &gt; BP36, "rs &gt; tab", IF(BP35 &lt; BP36, "rs &lt; tab","rs = tab"))</f>
        <v>rs &lt; tab</v>
      </c>
      <c r="BP37" s="9"/>
      <c r="BQ37" s="9"/>
      <c r="BR37" s="9"/>
      <c r="BS37" s="9"/>
      <c r="BT37" s="9"/>
      <c r="BU37" s="9"/>
      <c r="BV37" s="9"/>
      <c r="BW37" s="68">
        <v>7</v>
      </c>
    </row>
    <row r="38" spans="1:75" x14ac:dyDescent="0.25">
      <c r="A38" s="40">
        <v>980</v>
      </c>
      <c r="B38" s="4">
        <v>1100</v>
      </c>
      <c r="C38" s="4" t="s">
        <v>56</v>
      </c>
      <c r="D38" s="4">
        <v>1000</v>
      </c>
      <c r="E38" s="4">
        <f t="shared" si="0"/>
        <v>15</v>
      </c>
      <c r="F38" s="32">
        <v>20</v>
      </c>
      <c r="G38" s="4">
        <f t="shared" si="12"/>
        <v>19.5</v>
      </c>
      <c r="H38" s="9"/>
      <c r="I38" s="9"/>
      <c r="J38" s="9"/>
      <c r="K38" s="9"/>
      <c r="L38" s="9"/>
      <c r="M38" s="9"/>
      <c r="N38" s="9"/>
      <c r="O38" s="9"/>
      <c r="P38" s="15"/>
      <c r="BD38" s="14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21" t="str">
        <f>IF(BP35 &lt; BP36, "Tak Tolak H0", "Tolak H0")</f>
        <v>Tak Tolak H0</v>
      </c>
      <c r="BP38" s="20"/>
      <c r="BQ38" s="9"/>
      <c r="BR38" s="9"/>
      <c r="BS38" s="9"/>
      <c r="BT38" s="9"/>
      <c r="BU38" s="9"/>
      <c r="BV38" s="9"/>
      <c r="BW38" s="68">
        <v>4</v>
      </c>
    </row>
    <row r="39" spans="1:75" x14ac:dyDescent="0.25">
      <c r="A39" s="40">
        <v>1400</v>
      </c>
      <c r="B39" s="4">
        <v>1000</v>
      </c>
      <c r="C39" s="4" t="s">
        <v>56</v>
      </c>
      <c r="D39" s="4">
        <v>1000</v>
      </c>
      <c r="E39" s="4">
        <f t="shared" si="0"/>
        <v>15</v>
      </c>
      <c r="F39" s="32">
        <v>21</v>
      </c>
      <c r="G39" s="4">
        <f t="shared" si="12"/>
        <v>19.5</v>
      </c>
      <c r="H39" s="9"/>
      <c r="I39" s="9"/>
      <c r="J39" s="9"/>
      <c r="K39" s="9"/>
      <c r="L39" s="9"/>
      <c r="M39" s="9"/>
      <c r="N39" s="9"/>
      <c r="O39" s="9"/>
      <c r="P39" s="15"/>
      <c r="BD39" s="14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68">
        <v>3.5</v>
      </c>
    </row>
    <row r="40" spans="1:75" x14ac:dyDescent="0.25">
      <c r="A40" s="40">
        <v>1200</v>
      </c>
      <c r="B40" s="4">
        <v>1100</v>
      </c>
      <c r="C40" s="4" t="s">
        <v>56</v>
      </c>
      <c r="D40" s="4">
        <v>1000</v>
      </c>
      <c r="E40" s="4">
        <f t="shared" si="0"/>
        <v>15</v>
      </c>
      <c r="F40" s="32">
        <v>22</v>
      </c>
      <c r="G40" s="4">
        <f t="shared" si="12"/>
        <v>19.5</v>
      </c>
      <c r="H40" s="9"/>
      <c r="I40" s="9"/>
      <c r="J40" s="9"/>
      <c r="K40" s="9"/>
      <c r="L40" s="9"/>
      <c r="M40" s="9"/>
      <c r="N40" s="9"/>
      <c r="O40" s="9"/>
      <c r="P40" s="15"/>
      <c r="BD40" s="14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68">
        <v>3.5</v>
      </c>
    </row>
    <row r="41" spans="1:75" x14ac:dyDescent="0.25">
      <c r="A41" s="40">
        <v>1000</v>
      </c>
      <c r="B41" s="4">
        <v>980</v>
      </c>
      <c r="C41" s="4" t="s">
        <v>56</v>
      </c>
      <c r="D41" s="4">
        <v>1000</v>
      </c>
      <c r="E41" s="4">
        <f t="shared" si="0"/>
        <v>15</v>
      </c>
      <c r="F41" s="32">
        <v>23</v>
      </c>
      <c r="G41" s="4">
        <f t="shared" si="12"/>
        <v>19.5</v>
      </c>
      <c r="H41" s="9"/>
      <c r="I41" s="9"/>
      <c r="J41" s="9"/>
      <c r="K41" s="9"/>
      <c r="L41" s="9"/>
      <c r="M41" s="9"/>
      <c r="N41" s="9"/>
      <c r="O41" s="9"/>
      <c r="P41" s="15"/>
      <c r="BD41" s="14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15"/>
    </row>
    <row r="42" spans="1:75" x14ac:dyDescent="0.25">
      <c r="A42" s="40">
        <v>1000</v>
      </c>
      <c r="B42" s="4">
        <v>970</v>
      </c>
      <c r="C42" s="4" t="s">
        <v>56</v>
      </c>
      <c r="D42" s="4">
        <v>1000</v>
      </c>
      <c r="E42" s="4">
        <f t="shared" si="0"/>
        <v>15</v>
      </c>
      <c r="F42" s="32">
        <v>24</v>
      </c>
      <c r="G42" s="4">
        <f t="shared" si="12"/>
        <v>19.5</v>
      </c>
      <c r="H42" s="9"/>
      <c r="I42" s="9"/>
      <c r="J42" s="9"/>
      <c r="K42" s="9"/>
      <c r="L42" s="9"/>
      <c r="M42" s="9"/>
      <c r="N42" s="9"/>
      <c r="O42" s="9"/>
      <c r="P42" s="15"/>
      <c r="BD42" s="14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15"/>
    </row>
    <row r="43" spans="1:75" x14ac:dyDescent="0.25">
      <c r="A43" s="14"/>
      <c r="B43" s="9"/>
      <c r="C43" s="4" t="s">
        <v>55</v>
      </c>
      <c r="D43" s="4">
        <v>1100</v>
      </c>
      <c r="E43" s="4">
        <f t="shared" si="0"/>
        <v>25</v>
      </c>
      <c r="F43" s="32">
        <v>25</v>
      </c>
      <c r="G43" s="4">
        <f>SUM($F$43:$F$49)/COUNTA($F$43:$F$49)</f>
        <v>28</v>
      </c>
      <c r="H43" s="9"/>
      <c r="I43" s="9"/>
      <c r="J43" s="9"/>
      <c r="K43" s="9"/>
      <c r="L43" s="9"/>
      <c r="M43" s="9"/>
      <c r="N43" s="9"/>
      <c r="O43" s="9"/>
      <c r="P43" s="15"/>
      <c r="BD43" s="14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15"/>
    </row>
    <row r="44" spans="1:75" ht="15.75" thickBot="1" x14ac:dyDescent="0.3">
      <c r="A44" s="14"/>
      <c r="B44" s="9"/>
      <c r="C44" s="4" t="s">
        <v>55</v>
      </c>
      <c r="D44" s="4">
        <v>1100</v>
      </c>
      <c r="E44" s="4">
        <f t="shared" si="0"/>
        <v>25</v>
      </c>
      <c r="F44" s="32">
        <v>26</v>
      </c>
      <c r="G44" s="4">
        <f t="shared" ref="G44:G49" si="13">SUM($F$43:$F$49)/COUNTA($F$43:$F$49)</f>
        <v>28</v>
      </c>
      <c r="H44" s="9"/>
      <c r="I44" s="9"/>
      <c r="J44" s="9"/>
      <c r="K44" s="9"/>
      <c r="L44" s="9"/>
      <c r="M44" s="9"/>
      <c r="N44" s="9"/>
      <c r="O44" s="9"/>
      <c r="P44" s="15"/>
      <c r="BD44" s="25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7"/>
    </row>
    <row r="45" spans="1:75" x14ac:dyDescent="0.25">
      <c r="A45" s="14"/>
      <c r="B45" s="9"/>
      <c r="C45" s="4" t="s">
        <v>56</v>
      </c>
      <c r="D45" s="4">
        <v>1100</v>
      </c>
      <c r="E45" s="4">
        <f t="shared" si="0"/>
        <v>25</v>
      </c>
      <c r="F45" s="32">
        <v>27</v>
      </c>
      <c r="G45" s="4">
        <f t="shared" si="13"/>
        <v>28</v>
      </c>
      <c r="H45" s="9"/>
      <c r="I45" s="9"/>
      <c r="J45" s="9"/>
      <c r="K45" s="9"/>
      <c r="L45" s="9"/>
      <c r="M45" s="9"/>
      <c r="N45" s="9"/>
      <c r="O45" s="9"/>
      <c r="P45" s="15"/>
      <c r="BJ45" s="9"/>
      <c r="BK45" s="9"/>
    </row>
    <row r="46" spans="1:75" x14ac:dyDescent="0.25">
      <c r="A46" s="14"/>
      <c r="B46" s="9"/>
      <c r="C46" s="4" t="s">
        <v>56</v>
      </c>
      <c r="D46" s="4">
        <v>1100</v>
      </c>
      <c r="E46" s="4">
        <f t="shared" si="0"/>
        <v>25</v>
      </c>
      <c r="F46" s="32">
        <v>28</v>
      </c>
      <c r="G46" s="4">
        <f t="shared" si="13"/>
        <v>28</v>
      </c>
      <c r="H46" s="9"/>
      <c r="I46" s="9"/>
      <c r="J46" s="9"/>
      <c r="K46" s="9"/>
      <c r="L46" s="9"/>
      <c r="M46" s="9"/>
      <c r="N46" s="9"/>
      <c r="O46" s="9"/>
      <c r="P46" s="15"/>
      <c r="BJ46" s="9"/>
      <c r="BK46" s="9"/>
    </row>
    <row r="47" spans="1:75" x14ac:dyDescent="0.25">
      <c r="A47" s="14"/>
      <c r="B47" s="9"/>
      <c r="C47" s="4" t="s">
        <v>56</v>
      </c>
      <c r="D47" s="4">
        <v>1100</v>
      </c>
      <c r="E47" s="4">
        <f t="shared" si="0"/>
        <v>25</v>
      </c>
      <c r="F47" s="32">
        <v>29</v>
      </c>
      <c r="G47" s="4">
        <f t="shared" si="13"/>
        <v>28</v>
      </c>
      <c r="H47" s="9"/>
      <c r="I47" s="9"/>
      <c r="J47" s="9"/>
      <c r="K47" s="9"/>
      <c r="L47" s="9"/>
      <c r="M47" s="9"/>
      <c r="N47" s="9"/>
      <c r="O47" s="9"/>
      <c r="P47" s="15"/>
    </row>
    <row r="48" spans="1:75" x14ac:dyDescent="0.25">
      <c r="A48" s="14"/>
      <c r="B48" s="9"/>
      <c r="C48" s="4" t="s">
        <v>56</v>
      </c>
      <c r="D48" s="4">
        <v>1100</v>
      </c>
      <c r="E48" s="4">
        <f t="shared" si="0"/>
        <v>25</v>
      </c>
      <c r="F48" s="32">
        <v>30</v>
      </c>
      <c r="G48" s="4">
        <f t="shared" si="13"/>
        <v>28</v>
      </c>
      <c r="H48" s="9"/>
      <c r="I48" s="9"/>
      <c r="J48" s="9"/>
      <c r="K48" s="9"/>
      <c r="L48" s="9"/>
      <c r="M48" s="9"/>
      <c r="N48" s="9"/>
      <c r="O48" s="9"/>
      <c r="P48" s="15"/>
    </row>
    <row r="49" spans="1:16" x14ac:dyDescent="0.25">
      <c r="A49" s="14"/>
      <c r="B49" s="9"/>
      <c r="C49" s="4" t="s">
        <v>56</v>
      </c>
      <c r="D49" s="4">
        <v>1100</v>
      </c>
      <c r="E49" s="4">
        <f t="shared" si="0"/>
        <v>25</v>
      </c>
      <c r="F49" s="32">
        <v>31</v>
      </c>
      <c r="G49" s="4">
        <f t="shared" si="13"/>
        <v>28</v>
      </c>
      <c r="H49" s="9"/>
      <c r="I49" s="9"/>
      <c r="J49" s="9"/>
      <c r="K49" s="9"/>
      <c r="L49" s="9"/>
      <c r="M49" s="9"/>
      <c r="N49" s="9"/>
      <c r="O49" s="9"/>
      <c r="P49" s="15"/>
    </row>
    <row r="50" spans="1:16" x14ac:dyDescent="0.25">
      <c r="A50" s="14"/>
      <c r="B50" s="9"/>
      <c r="C50" s="4" t="s">
        <v>55</v>
      </c>
      <c r="D50" s="4">
        <v>1115</v>
      </c>
      <c r="E50" s="4">
        <f t="shared" si="0"/>
        <v>32</v>
      </c>
      <c r="F50" s="32">
        <v>32</v>
      </c>
      <c r="G50" s="4">
        <f>SUM($F$50:$F$51)/COUNTA($F$50:$F$51)</f>
        <v>32.5</v>
      </c>
      <c r="H50" s="9"/>
      <c r="I50" s="9"/>
      <c r="J50" s="9"/>
      <c r="K50" s="9"/>
      <c r="L50" s="9"/>
      <c r="M50" s="9"/>
      <c r="N50" s="9"/>
      <c r="O50" s="9"/>
      <c r="P50" s="15"/>
    </row>
    <row r="51" spans="1:16" x14ac:dyDescent="0.25">
      <c r="A51" s="14"/>
      <c r="B51" s="9"/>
      <c r="C51" s="4" t="s">
        <v>56</v>
      </c>
      <c r="D51" s="4">
        <v>1115</v>
      </c>
      <c r="E51" s="4">
        <f t="shared" si="0"/>
        <v>32</v>
      </c>
      <c r="F51" s="32">
        <v>33</v>
      </c>
      <c r="G51" s="4">
        <f>SUM($F$50:$F$51)/COUNTA($F$50:$F$51)</f>
        <v>32.5</v>
      </c>
      <c r="H51" s="9"/>
      <c r="I51" s="9"/>
      <c r="J51" s="9"/>
      <c r="K51" s="9"/>
      <c r="L51" s="9"/>
      <c r="M51" s="9"/>
      <c r="N51" s="9"/>
      <c r="O51" s="9"/>
      <c r="P51" s="15"/>
    </row>
    <row r="52" spans="1:16" x14ac:dyDescent="0.25">
      <c r="A52" s="14"/>
      <c r="B52" s="9"/>
      <c r="C52" s="4" t="s">
        <v>55</v>
      </c>
      <c r="D52" s="4">
        <v>1200</v>
      </c>
      <c r="E52" s="4">
        <f t="shared" si="0"/>
        <v>34</v>
      </c>
      <c r="F52" s="32">
        <v>34</v>
      </c>
      <c r="G52" s="4">
        <f>SUM($F$52:$F$58)/COUNTA($F$52:$F$58)</f>
        <v>37</v>
      </c>
      <c r="H52" s="9"/>
      <c r="I52" s="9"/>
      <c r="J52" s="9"/>
      <c r="K52" s="9"/>
      <c r="L52" s="9"/>
      <c r="M52" s="9"/>
      <c r="N52" s="9"/>
      <c r="O52" s="9"/>
      <c r="P52" s="15"/>
    </row>
    <row r="53" spans="1:16" x14ac:dyDescent="0.25">
      <c r="A53" s="14"/>
      <c r="B53" s="9"/>
      <c r="C53" s="4" t="s">
        <v>55</v>
      </c>
      <c r="D53" s="4">
        <v>1200</v>
      </c>
      <c r="E53" s="4">
        <f t="shared" si="0"/>
        <v>34</v>
      </c>
      <c r="F53" s="32">
        <v>35</v>
      </c>
      <c r="G53" s="4">
        <f t="shared" ref="G53:G58" si="14">SUM($F$52:$F$58)/COUNTA($F$52:$F$58)</f>
        <v>37</v>
      </c>
      <c r="H53" s="9"/>
      <c r="I53" s="9"/>
      <c r="J53" s="9"/>
      <c r="K53" s="9"/>
      <c r="L53" s="9"/>
      <c r="M53" s="9"/>
      <c r="N53" s="9"/>
      <c r="O53" s="9"/>
      <c r="P53" s="15"/>
    </row>
    <row r="54" spans="1:16" x14ac:dyDescent="0.25">
      <c r="A54" s="14"/>
      <c r="B54" s="9"/>
      <c r="C54" s="4" t="s">
        <v>55</v>
      </c>
      <c r="D54" s="4">
        <v>1200</v>
      </c>
      <c r="E54" s="4">
        <f t="shared" si="0"/>
        <v>34</v>
      </c>
      <c r="F54" s="32">
        <v>36</v>
      </c>
      <c r="G54" s="4">
        <f t="shared" si="14"/>
        <v>37</v>
      </c>
      <c r="H54" s="9"/>
      <c r="I54" s="9"/>
      <c r="J54" s="9"/>
      <c r="K54" s="9"/>
      <c r="L54" s="9"/>
      <c r="M54" s="9"/>
      <c r="N54" s="9"/>
      <c r="O54" s="9"/>
      <c r="P54" s="15"/>
    </row>
    <row r="55" spans="1:16" x14ac:dyDescent="0.25">
      <c r="A55" s="14"/>
      <c r="B55" s="9"/>
      <c r="C55" s="4" t="s">
        <v>55</v>
      </c>
      <c r="D55" s="4">
        <v>1200</v>
      </c>
      <c r="E55" s="4">
        <f t="shared" si="0"/>
        <v>34</v>
      </c>
      <c r="F55" s="32">
        <v>37</v>
      </c>
      <c r="G55" s="4">
        <f t="shared" si="14"/>
        <v>37</v>
      </c>
      <c r="H55" s="9"/>
      <c r="I55" s="9"/>
      <c r="J55" s="9"/>
      <c r="K55" s="9"/>
      <c r="L55" s="9"/>
      <c r="M55" s="9"/>
      <c r="N55" s="9"/>
      <c r="O55" s="9"/>
      <c r="P55" s="15"/>
    </row>
    <row r="56" spans="1:16" x14ac:dyDescent="0.25">
      <c r="A56" s="14"/>
      <c r="B56" s="9"/>
      <c r="C56" s="4" t="s">
        <v>56</v>
      </c>
      <c r="D56" s="4">
        <v>1200</v>
      </c>
      <c r="E56" s="4">
        <f t="shared" si="0"/>
        <v>34</v>
      </c>
      <c r="F56" s="32">
        <v>38</v>
      </c>
      <c r="G56" s="4">
        <f t="shared" si="14"/>
        <v>37</v>
      </c>
      <c r="H56" s="9"/>
      <c r="I56" s="9"/>
      <c r="J56" s="9"/>
      <c r="K56" s="9"/>
      <c r="L56" s="9"/>
      <c r="M56" s="9"/>
      <c r="N56" s="9"/>
      <c r="O56" s="9"/>
      <c r="P56" s="15"/>
    </row>
    <row r="57" spans="1:16" x14ac:dyDescent="0.25">
      <c r="A57" s="14"/>
      <c r="B57" s="9"/>
      <c r="C57" s="4" t="s">
        <v>56</v>
      </c>
      <c r="D57" s="4">
        <v>1200</v>
      </c>
      <c r="E57" s="4">
        <f t="shared" si="0"/>
        <v>34</v>
      </c>
      <c r="F57" s="32">
        <v>39</v>
      </c>
      <c r="G57" s="4">
        <f t="shared" si="14"/>
        <v>37</v>
      </c>
      <c r="H57" s="9"/>
      <c r="I57" s="9"/>
      <c r="J57" s="9"/>
      <c r="K57" s="9"/>
      <c r="L57" s="9"/>
      <c r="M57" s="9"/>
      <c r="N57" s="9"/>
      <c r="O57" s="9"/>
      <c r="P57" s="15"/>
    </row>
    <row r="58" spans="1:16" x14ac:dyDescent="0.25">
      <c r="A58" s="14"/>
      <c r="B58" s="9"/>
      <c r="C58" s="4" t="s">
        <v>56</v>
      </c>
      <c r="D58" s="4">
        <v>1200</v>
      </c>
      <c r="E58" s="4">
        <f t="shared" si="0"/>
        <v>34</v>
      </c>
      <c r="F58" s="32">
        <v>40</v>
      </c>
      <c r="G58" s="4">
        <f t="shared" si="14"/>
        <v>37</v>
      </c>
      <c r="H58" s="9"/>
      <c r="I58" s="9"/>
      <c r="J58" s="9"/>
      <c r="K58" s="9"/>
      <c r="L58" s="9"/>
      <c r="M58" s="9"/>
      <c r="N58" s="9"/>
      <c r="O58" s="9"/>
      <c r="P58" s="15"/>
    </row>
    <row r="59" spans="1:16" x14ac:dyDescent="0.25">
      <c r="A59" s="14"/>
      <c r="B59" s="9"/>
      <c r="C59" s="4" t="s">
        <v>55</v>
      </c>
      <c r="D59" s="4">
        <v>1350</v>
      </c>
      <c r="E59" s="4">
        <f t="shared" si="0"/>
        <v>41</v>
      </c>
      <c r="F59" s="32">
        <v>41</v>
      </c>
      <c r="G59" s="4">
        <f>SUM($F$59:$F$63)/COUNTA($F$59:$F$63)</f>
        <v>43</v>
      </c>
      <c r="H59" s="9"/>
      <c r="I59" s="9"/>
      <c r="J59" s="9"/>
      <c r="K59" s="9"/>
      <c r="L59" s="9"/>
      <c r="M59" s="9"/>
      <c r="N59" s="9"/>
      <c r="O59" s="9"/>
      <c r="P59" s="15"/>
    </row>
    <row r="60" spans="1:16" x14ac:dyDescent="0.25">
      <c r="A60" s="14"/>
      <c r="B60" s="9"/>
      <c r="C60" s="4" t="s">
        <v>55</v>
      </c>
      <c r="D60" s="4">
        <v>1350</v>
      </c>
      <c r="E60" s="4">
        <f t="shared" si="0"/>
        <v>41</v>
      </c>
      <c r="F60" s="32">
        <v>42</v>
      </c>
      <c r="G60" s="4">
        <f t="shared" ref="G60:G63" si="15">SUM($F$59:$F$63)/COUNTA($F$59:$F$63)</f>
        <v>43</v>
      </c>
      <c r="H60" s="9"/>
      <c r="I60" s="9"/>
      <c r="J60" s="9"/>
      <c r="K60" s="9"/>
      <c r="L60" s="9"/>
      <c r="M60" s="9"/>
      <c r="N60" s="9"/>
      <c r="O60" s="9"/>
      <c r="P60" s="15"/>
    </row>
    <row r="61" spans="1:16" x14ac:dyDescent="0.25">
      <c r="A61" s="14"/>
      <c r="B61" s="9"/>
      <c r="C61" s="4" t="s">
        <v>55</v>
      </c>
      <c r="D61" s="4">
        <v>1350</v>
      </c>
      <c r="E61" s="4">
        <f t="shared" si="0"/>
        <v>41</v>
      </c>
      <c r="F61" s="32">
        <v>43</v>
      </c>
      <c r="G61" s="4">
        <f t="shared" si="15"/>
        <v>43</v>
      </c>
      <c r="H61" s="9"/>
      <c r="I61" s="9"/>
      <c r="J61" s="9"/>
      <c r="K61" s="9"/>
      <c r="L61" s="9"/>
      <c r="M61" s="9"/>
      <c r="N61" s="9"/>
      <c r="O61" s="9"/>
      <c r="P61" s="15"/>
    </row>
    <row r="62" spans="1:16" x14ac:dyDescent="0.25">
      <c r="A62" s="14"/>
      <c r="B62" s="9"/>
      <c r="C62" s="4" t="s">
        <v>55</v>
      </c>
      <c r="D62" s="4">
        <v>1400</v>
      </c>
      <c r="E62" s="4">
        <f t="shared" si="0"/>
        <v>44</v>
      </c>
      <c r="F62" s="32">
        <v>44</v>
      </c>
      <c r="G62" s="4">
        <f t="shared" si="15"/>
        <v>43</v>
      </c>
      <c r="H62" s="9"/>
      <c r="I62" s="9"/>
      <c r="J62" s="9"/>
      <c r="K62" s="9"/>
      <c r="L62" s="9"/>
      <c r="M62" s="9"/>
      <c r="N62" s="9"/>
      <c r="O62" s="9"/>
      <c r="P62" s="15"/>
    </row>
    <row r="63" spans="1:16" x14ac:dyDescent="0.25">
      <c r="A63" s="14"/>
      <c r="B63" s="9"/>
      <c r="C63" s="4" t="s">
        <v>55</v>
      </c>
      <c r="D63" s="4">
        <v>1400</v>
      </c>
      <c r="E63" s="4">
        <f t="shared" si="0"/>
        <v>44</v>
      </c>
      <c r="F63" s="32">
        <v>45</v>
      </c>
      <c r="G63" s="4">
        <f t="shared" si="15"/>
        <v>43</v>
      </c>
      <c r="H63" s="9"/>
      <c r="I63" s="9"/>
      <c r="J63" s="9"/>
      <c r="K63" s="9"/>
      <c r="L63" s="9"/>
      <c r="M63" s="9"/>
      <c r="N63" s="9"/>
      <c r="O63" s="9"/>
      <c r="P63" s="15"/>
    </row>
    <row r="64" spans="1:16" x14ac:dyDescent="0.25">
      <c r="A64" s="14"/>
      <c r="B64" s="9"/>
      <c r="C64" s="4" t="s">
        <v>55</v>
      </c>
      <c r="D64" s="4">
        <v>1450</v>
      </c>
      <c r="E64" s="4">
        <f t="shared" si="0"/>
        <v>46</v>
      </c>
      <c r="F64" s="32">
        <v>46</v>
      </c>
      <c r="G64" s="4">
        <f t="shared" si="10"/>
        <v>46</v>
      </c>
      <c r="H64" s="9"/>
      <c r="I64" s="9"/>
      <c r="J64" s="9"/>
      <c r="K64" s="9"/>
      <c r="L64" s="9"/>
      <c r="M64" s="9"/>
      <c r="N64" s="9"/>
      <c r="O64" s="9"/>
      <c r="P64" s="15"/>
    </row>
    <row r="65" spans="1:16" x14ac:dyDescent="0.25">
      <c r="A65" s="14"/>
      <c r="B65" s="9"/>
      <c r="C65" s="4" t="s">
        <v>55</v>
      </c>
      <c r="D65" s="4">
        <v>1500</v>
      </c>
      <c r="E65" s="4">
        <f t="shared" si="0"/>
        <v>47</v>
      </c>
      <c r="F65" s="32">
        <v>47</v>
      </c>
      <c r="G65" s="4">
        <f>SUM($F$65:$F$66)/COUNTA($F$65:$F$66)</f>
        <v>47.5</v>
      </c>
      <c r="H65" s="9"/>
      <c r="I65" s="9"/>
      <c r="J65" s="9"/>
      <c r="K65" s="9"/>
      <c r="L65" s="9"/>
      <c r="M65" s="9"/>
      <c r="N65" s="9"/>
      <c r="O65" s="9"/>
      <c r="P65" s="15"/>
    </row>
    <row r="66" spans="1:16" ht="15.75" thickBot="1" x14ac:dyDescent="0.3">
      <c r="A66" s="25"/>
      <c r="B66" s="26"/>
      <c r="C66" s="38" t="s">
        <v>55</v>
      </c>
      <c r="D66" s="38">
        <v>1500</v>
      </c>
      <c r="E66" s="38">
        <f t="shared" si="0"/>
        <v>47</v>
      </c>
      <c r="F66" s="52">
        <v>48</v>
      </c>
      <c r="G66" s="38">
        <f>SUM($F$65:$F$66)/COUNTA($F$65:$F$66)</f>
        <v>47.5</v>
      </c>
      <c r="H66" s="26"/>
      <c r="I66" s="26"/>
      <c r="J66" s="26"/>
      <c r="K66" s="26"/>
      <c r="L66" s="26"/>
      <c r="M66" s="26"/>
      <c r="N66" s="26"/>
      <c r="O66" s="26"/>
      <c r="P66" s="27"/>
    </row>
  </sheetData>
  <sortState xmlns:xlrd2="http://schemas.microsoft.com/office/spreadsheetml/2017/richdata2" ref="BD27:BI36">
    <sortCondition ref="BE27:BE36"/>
  </sortState>
  <mergeCells count="21">
    <mergeCell ref="BS30:BU30"/>
    <mergeCell ref="BR32:BR34"/>
    <mergeCell ref="BJ10:BL15"/>
    <mergeCell ref="AX1:BA8"/>
    <mergeCell ref="BO18:BQ18"/>
    <mergeCell ref="BS18:BT18"/>
    <mergeCell ref="BR27:BT27"/>
    <mergeCell ref="BO27:BP27"/>
    <mergeCell ref="AS10:AU10"/>
    <mergeCell ref="AW10:AX10"/>
    <mergeCell ref="AV13:AX13"/>
    <mergeCell ref="N2:P6"/>
    <mergeCell ref="Y10:AA10"/>
    <mergeCell ref="AC10:AD10"/>
    <mergeCell ref="AB14:AD14"/>
    <mergeCell ref="AF2:AH7"/>
    <mergeCell ref="I10:K10"/>
    <mergeCell ref="M10:N10"/>
    <mergeCell ref="L14:N14"/>
    <mergeCell ref="I19:J19"/>
    <mergeCell ref="N19:P19"/>
  </mergeCells>
  <conditionalFormatting sqref="C19:C66">
    <cfRule type="containsText" dxfId="11" priority="13" operator="containsText" text="rendah">
      <formula>NOT(ISERROR(SEARCH("rendah",C19)))</formula>
    </cfRule>
  </conditionalFormatting>
  <conditionalFormatting sqref="E19:E66">
    <cfRule type="duplicateValues" dxfId="10" priority="12"/>
  </conditionalFormatting>
  <conditionalFormatting sqref="D19:D66 G19:G66">
    <cfRule type="expression" dxfId="9" priority="10">
      <formula>$C19 = "Rendah"</formula>
    </cfRule>
    <cfRule type="expression" priority="11">
      <formula>"C=""Rendah"</formula>
    </cfRule>
  </conditionalFormatting>
  <conditionalFormatting sqref="U21:U34">
    <cfRule type="cellIs" dxfId="8" priority="8" operator="lessThan">
      <formula>0</formula>
    </cfRule>
    <cfRule type="cellIs" dxfId="7" priority="9" operator="greaterThan">
      <formula>0</formula>
    </cfRule>
  </conditionalFormatting>
  <conditionalFormatting sqref="AN21:AN30">
    <cfRule type="duplicateValues" dxfId="6" priority="6"/>
    <cfRule type="duplicateValues" dxfId="5" priority="7"/>
  </conditionalFormatting>
  <conditionalFormatting sqref="BD27:BE36">
    <cfRule type="duplicateValues" dxfId="4" priority="5"/>
  </conditionalFormatting>
  <conditionalFormatting sqref="BJ27:BJ36">
    <cfRule type="duplicateValues" dxfId="3" priority="4"/>
  </conditionalFormatting>
  <conditionalFormatting sqref="BK27:BK36">
    <cfRule type="duplicateValues" dxfId="2" priority="3"/>
  </conditionalFormatting>
  <conditionalFormatting sqref="BW31:BW38">
    <cfRule type="duplicateValues" dxfId="1" priority="2"/>
  </conditionalFormatting>
  <conditionalFormatting sqref="BW39:BW40">
    <cfRule type="duplicateValues" dxfId="0" priority="1"/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AF89A-73AD-47F6-9A3D-7806FE4625C8}">
  <dimension ref="A1:BR63"/>
  <sheetViews>
    <sheetView topLeftCell="A5" zoomScale="164" zoomScaleNormal="310" workbookViewId="0">
      <selection activeCell="BK52" sqref="BK52"/>
    </sheetView>
  </sheetViews>
  <sheetFormatPr defaultRowHeight="15" x14ac:dyDescent="0.25"/>
  <cols>
    <col min="4" max="4" width="12.140625" customWidth="1"/>
    <col min="10" max="10" width="11.28515625" customWidth="1"/>
    <col min="12" max="12" width="9.140625" style="90"/>
    <col min="14" max="14" width="10.5703125" customWidth="1"/>
    <col min="16" max="16" width="10.28515625" customWidth="1"/>
    <col min="22" max="22" width="19.7109375" customWidth="1"/>
    <col min="24" max="24" width="12.42578125" customWidth="1"/>
    <col min="31" max="31" width="12.140625" customWidth="1"/>
    <col min="33" max="33" width="7.7109375" style="90" customWidth="1"/>
    <col min="34" max="35" width="10.5703125" bestFit="1" customWidth="1"/>
    <col min="37" max="37" width="13.5703125" bestFit="1" customWidth="1"/>
    <col min="42" max="42" width="18.42578125" customWidth="1"/>
    <col min="44" max="44" width="13.28515625" customWidth="1"/>
    <col min="45" max="45" width="12" bestFit="1" customWidth="1"/>
    <col min="50" max="52" width="9.28515625" bestFit="1" customWidth="1"/>
    <col min="55" max="55" width="9.28515625" bestFit="1" customWidth="1"/>
    <col min="58" max="58" width="9.140625" style="90"/>
    <col min="59" max="59" width="11.7109375" bestFit="1" customWidth="1"/>
    <col min="60" max="60" width="11.42578125" bestFit="1" customWidth="1"/>
    <col min="61" max="62" width="12" bestFit="1" customWidth="1"/>
    <col min="63" max="63" width="9.28515625" bestFit="1" customWidth="1"/>
    <col min="66" max="66" width="9.28515625" bestFit="1" customWidth="1"/>
  </cols>
  <sheetData>
    <row r="1" spans="1:70" ht="15" customHeight="1" x14ac:dyDescent="0.25">
      <c r="AZ1" s="55" t="s">
        <v>163</v>
      </c>
      <c r="BA1" s="55"/>
      <c r="BB1" s="55"/>
      <c r="BO1" s="55" t="s">
        <v>172</v>
      </c>
      <c r="BP1" s="55"/>
      <c r="BQ1" s="55"/>
      <c r="BR1" s="55"/>
    </row>
    <row r="2" spans="1:70" ht="15" customHeight="1" x14ac:dyDescent="0.25">
      <c r="E2" s="55" t="s">
        <v>148</v>
      </c>
      <c r="F2" s="55"/>
      <c r="G2" s="55"/>
      <c r="M2" s="55" t="s">
        <v>149</v>
      </c>
      <c r="N2" s="55"/>
      <c r="O2" s="55"/>
      <c r="AH2" s="55" t="s">
        <v>153</v>
      </c>
      <c r="AI2" s="55"/>
      <c r="AJ2" s="55"/>
      <c r="AZ2" s="55"/>
      <c r="BA2" s="55"/>
      <c r="BB2" s="55"/>
      <c r="BO2" s="55"/>
      <c r="BP2" s="55"/>
      <c r="BQ2" s="55"/>
      <c r="BR2" s="55"/>
    </row>
    <row r="3" spans="1:70" ht="15" customHeight="1" x14ac:dyDescent="0.25">
      <c r="E3" s="55"/>
      <c r="F3" s="55"/>
      <c r="G3" s="55"/>
      <c r="M3" s="55"/>
      <c r="N3" s="55"/>
      <c r="O3" s="55"/>
      <c r="AH3" s="55"/>
      <c r="AI3" s="55"/>
      <c r="AJ3" s="55"/>
      <c r="AZ3" s="55"/>
      <c r="BA3" s="55"/>
      <c r="BB3" s="55"/>
      <c r="BO3" s="55"/>
      <c r="BP3" s="55"/>
      <c r="BQ3" s="55"/>
      <c r="BR3" s="55"/>
    </row>
    <row r="4" spans="1:70" ht="15" customHeight="1" x14ac:dyDescent="0.25">
      <c r="E4" s="55"/>
      <c r="F4" s="55"/>
      <c r="G4" s="55"/>
      <c r="M4" s="55"/>
      <c r="N4" s="55"/>
      <c r="O4" s="55"/>
      <c r="AH4" s="55"/>
      <c r="AI4" s="55"/>
      <c r="AJ4" s="55"/>
      <c r="AZ4" s="55"/>
      <c r="BA4" s="55"/>
      <c r="BB4" s="55"/>
      <c r="BO4" s="55"/>
      <c r="BP4" s="55"/>
      <c r="BQ4" s="55"/>
      <c r="BR4" s="55"/>
    </row>
    <row r="5" spans="1:70" ht="15" customHeight="1" x14ac:dyDescent="0.25">
      <c r="E5" s="55"/>
      <c r="F5" s="55"/>
      <c r="G5" s="55"/>
      <c r="M5" s="55"/>
      <c r="N5" s="55"/>
      <c r="O5" s="55"/>
      <c r="AH5" s="55"/>
      <c r="AI5" s="55"/>
      <c r="AJ5" s="55"/>
      <c r="AZ5" s="55"/>
      <c r="BA5" s="55"/>
      <c r="BB5" s="55"/>
      <c r="BO5" s="55"/>
      <c r="BP5" s="55"/>
      <c r="BQ5" s="55"/>
      <c r="BR5" s="55"/>
    </row>
    <row r="6" spans="1:70" ht="15" customHeight="1" x14ac:dyDescent="0.25">
      <c r="E6" s="55"/>
      <c r="F6" s="55"/>
      <c r="G6" s="55"/>
      <c r="M6" s="55"/>
      <c r="N6" s="55"/>
      <c r="O6" s="55"/>
      <c r="AH6" s="55"/>
      <c r="AI6" s="55"/>
      <c r="AJ6" s="55"/>
      <c r="AZ6" s="55"/>
      <c r="BA6" s="55"/>
      <c r="BB6" s="55"/>
      <c r="BO6" s="55"/>
      <c r="BP6" s="55"/>
      <c r="BQ6" s="55"/>
      <c r="BR6" s="55"/>
    </row>
    <row r="7" spans="1:70" ht="15" customHeight="1" x14ac:dyDescent="0.25">
      <c r="E7" s="55"/>
      <c r="F7" s="55"/>
      <c r="G7" s="55"/>
      <c r="M7" s="55"/>
      <c r="N7" s="55"/>
      <c r="O7" s="55"/>
      <c r="AH7" s="55"/>
      <c r="AI7" s="55"/>
      <c r="AJ7" s="55"/>
    </row>
    <row r="8" spans="1:70" ht="15.75" customHeight="1" thickBot="1" x14ac:dyDescent="0.3"/>
    <row r="9" spans="1:70" ht="15" customHeight="1" x14ac:dyDescent="0.25">
      <c r="A9" s="71" t="s">
        <v>27</v>
      </c>
      <c r="B9" s="72"/>
      <c r="C9" s="72"/>
      <c r="D9" s="72"/>
      <c r="E9" s="72"/>
      <c r="F9" s="72"/>
      <c r="G9" s="72"/>
      <c r="H9" s="72"/>
      <c r="I9" s="72"/>
      <c r="J9" s="73"/>
      <c r="M9" s="71" t="s">
        <v>27</v>
      </c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3"/>
      <c r="AH9" s="71" t="s">
        <v>27</v>
      </c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3"/>
      <c r="AU9" s="71" t="s">
        <v>27</v>
      </c>
      <c r="AV9" s="72"/>
      <c r="AW9" s="72"/>
      <c r="AX9" s="72"/>
      <c r="AY9" s="72"/>
      <c r="AZ9" s="72"/>
      <c r="BA9" s="72"/>
      <c r="BB9" s="72"/>
      <c r="BC9" s="72"/>
      <c r="BD9" s="73"/>
      <c r="BG9" s="71" t="s">
        <v>27</v>
      </c>
      <c r="BH9" s="72"/>
      <c r="BI9" s="72"/>
      <c r="BJ9" s="72"/>
      <c r="BK9" s="72"/>
      <c r="BL9" s="72"/>
      <c r="BM9" s="72"/>
      <c r="BN9" s="73"/>
    </row>
    <row r="10" spans="1:70" ht="15" customHeight="1" x14ac:dyDescent="0.25">
      <c r="A10" s="74"/>
      <c r="B10" s="44"/>
      <c r="C10" s="44"/>
      <c r="D10" s="44"/>
      <c r="E10" s="44"/>
      <c r="F10" s="44"/>
      <c r="H10" s="44"/>
      <c r="I10" s="44"/>
      <c r="J10" s="75"/>
      <c r="M10" s="7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75"/>
      <c r="AH10" s="7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75"/>
      <c r="AU10" s="74"/>
      <c r="AV10" s="44"/>
      <c r="AW10" s="44"/>
      <c r="AX10" s="44"/>
      <c r="AY10" s="44"/>
      <c r="AZ10" s="44"/>
      <c r="BA10" s="44"/>
      <c r="BB10" s="44"/>
      <c r="BC10" s="44"/>
      <c r="BD10" s="75"/>
      <c r="BG10" s="74"/>
      <c r="BH10" s="44"/>
      <c r="BI10" s="44"/>
      <c r="BJ10" s="44"/>
      <c r="BK10" s="44"/>
      <c r="BL10" s="44"/>
      <c r="BM10" s="44"/>
      <c r="BN10" s="75"/>
    </row>
    <row r="11" spans="1:70" ht="15" customHeight="1" x14ac:dyDescent="0.25">
      <c r="A11" s="74"/>
      <c r="B11" s="44"/>
      <c r="C11" s="44"/>
      <c r="D11" s="44"/>
      <c r="E11" s="44"/>
      <c r="F11" s="44"/>
      <c r="G11" s="44"/>
      <c r="H11" s="44"/>
      <c r="I11" s="44"/>
      <c r="J11" s="75"/>
      <c r="M11" s="7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75"/>
      <c r="AH11" s="7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75"/>
      <c r="AU11" s="74"/>
      <c r="AV11" s="44"/>
      <c r="AW11" s="44"/>
      <c r="AX11" s="44"/>
      <c r="AY11" s="44"/>
      <c r="AZ11" s="44"/>
      <c r="BA11" s="44"/>
      <c r="BB11" s="44"/>
      <c r="BC11" s="44"/>
      <c r="BD11" s="75"/>
      <c r="BG11" s="74"/>
      <c r="BH11" s="44"/>
      <c r="BI11" s="44"/>
      <c r="BJ11" s="44"/>
      <c r="BK11" s="44"/>
      <c r="BL11" s="44"/>
      <c r="BM11" s="44"/>
      <c r="BN11" s="75"/>
    </row>
    <row r="12" spans="1:70" x14ac:dyDescent="0.25">
      <c r="A12" s="74"/>
      <c r="B12" s="44"/>
      <c r="C12" s="44"/>
      <c r="D12" s="44"/>
      <c r="E12" s="44"/>
      <c r="F12" s="44"/>
      <c r="G12" s="44"/>
      <c r="H12" s="44"/>
      <c r="I12" s="44"/>
      <c r="J12" s="75"/>
      <c r="M12" s="7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75"/>
      <c r="AH12" s="7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75"/>
      <c r="AU12" s="74"/>
      <c r="AV12" s="44"/>
      <c r="AW12" s="44"/>
      <c r="AX12" s="44"/>
      <c r="AY12" s="44"/>
      <c r="AZ12" s="44"/>
      <c r="BA12" s="44"/>
      <c r="BB12" s="44"/>
      <c r="BC12" s="44"/>
      <c r="BD12" s="75"/>
      <c r="BG12" s="74"/>
      <c r="BH12" s="44"/>
      <c r="BI12" s="44"/>
      <c r="BJ12" s="44"/>
      <c r="BK12" s="44"/>
      <c r="BL12" s="44"/>
      <c r="BM12" s="44"/>
      <c r="BN12" s="75"/>
    </row>
    <row r="13" spans="1:70" x14ac:dyDescent="0.25">
      <c r="A13" s="74"/>
      <c r="B13" s="44"/>
      <c r="C13" s="44"/>
      <c r="D13" s="44"/>
      <c r="E13" s="44"/>
      <c r="F13" s="44"/>
      <c r="G13" s="44"/>
      <c r="H13" s="44"/>
      <c r="I13" s="44"/>
      <c r="J13" s="75"/>
      <c r="M13" s="7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75"/>
      <c r="AH13" s="7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75"/>
      <c r="AU13" s="74"/>
      <c r="AV13" s="44"/>
      <c r="AW13" s="44"/>
      <c r="AX13" s="44"/>
      <c r="AY13" s="44"/>
      <c r="AZ13" s="44"/>
      <c r="BA13" s="44"/>
      <c r="BB13" s="44"/>
      <c r="BC13" s="44"/>
      <c r="BD13" s="75"/>
      <c r="BG13" s="74"/>
      <c r="BH13" s="44"/>
      <c r="BI13" s="44"/>
      <c r="BJ13" s="44"/>
      <c r="BK13" s="44"/>
      <c r="BL13" s="44"/>
      <c r="BM13" s="44"/>
      <c r="BN13" s="75"/>
    </row>
    <row r="14" spans="1:70" x14ac:dyDescent="0.25">
      <c r="A14" s="74"/>
      <c r="B14" s="44"/>
      <c r="C14" s="44"/>
      <c r="D14" s="44"/>
      <c r="E14" s="44"/>
      <c r="F14" s="44"/>
      <c r="G14" s="44"/>
      <c r="H14" s="44"/>
      <c r="I14" s="44"/>
      <c r="J14" s="75"/>
      <c r="M14" s="7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75"/>
      <c r="AH14" s="7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75"/>
      <c r="AU14" s="74"/>
      <c r="AV14" s="44"/>
      <c r="AW14" s="44"/>
      <c r="AX14" s="44"/>
      <c r="AY14" s="44"/>
      <c r="AZ14" s="44"/>
      <c r="BA14" s="44"/>
      <c r="BB14" s="44"/>
      <c r="BC14" s="44"/>
      <c r="BD14" s="75"/>
      <c r="BG14" s="74"/>
      <c r="BH14" s="44"/>
      <c r="BI14" s="44"/>
      <c r="BJ14" s="44"/>
      <c r="BK14" s="44"/>
      <c r="BL14" s="44"/>
      <c r="BM14" s="44"/>
      <c r="BN14" s="75"/>
    </row>
    <row r="15" spans="1:70" x14ac:dyDescent="0.25">
      <c r="A15" s="74"/>
      <c r="B15" s="44"/>
      <c r="C15" s="44"/>
      <c r="D15" s="44"/>
      <c r="E15" s="44"/>
      <c r="F15" s="44"/>
      <c r="G15" s="44"/>
      <c r="H15" s="44"/>
      <c r="I15" s="44"/>
      <c r="J15" s="75"/>
      <c r="M15" s="7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75"/>
      <c r="AH15" s="7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75"/>
      <c r="AU15" s="74"/>
      <c r="AV15" s="44"/>
      <c r="AW15" s="44"/>
      <c r="AX15" s="44"/>
      <c r="AY15" s="44"/>
      <c r="AZ15" s="44"/>
      <c r="BA15" s="44"/>
      <c r="BB15" s="44"/>
      <c r="BC15" s="44"/>
      <c r="BD15" s="75"/>
      <c r="BG15" s="74"/>
      <c r="BH15" s="44"/>
      <c r="BI15" s="44"/>
      <c r="BJ15" s="44"/>
      <c r="BK15" s="44"/>
      <c r="BL15" s="44"/>
      <c r="BM15" s="44"/>
      <c r="BN15" s="75"/>
    </row>
    <row r="16" spans="1:70" x14ac:dyDescent="0.25">
      <c r="A16" s="76" t="s">
        <v>58</v>
      </c>
      <c r="B16" s="70" t="s">
        <v>124</v>
      </c>
      <c r="C16" s="44"/>
      <c r="D16" s="69" t="s">
        <v>4</v>
      </c>
      <c r="E16" s="43">
        <f>SUM(B17:B21)</f>
        <v>60</v>
      </c>
      <c r="F16" s="44"/>
      <c r="G16" s="69" t="s">
        <v>58</v>
      </c>
      <c r="H16" s="69" t="s">
        <v>135</v>
      </c>
      <c r="I16" s="69" t="s">
        <v>132</v>
      </c>
      <c r="J16" s="77" t="s">
        <v>136</v>
      </c>
      <c r="M16" s="7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75"/>
      <c r="AH16" s="7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75"/>
      <c r="AU16" s="74"/>
      <c r="AV16" s="44"/>
      <c r="AW16" s="44"/>
      <c r="AX16" s="44"/>
      <c r="AY16" s="44"/>
      <c r="AZ16" s="44"/>
      <c r="BA16" s="44"/>
      <c r="BB16" s="44"/>
      <c r="BC16" s="44"/>
      <c r="BD16" s="75"/>
      <c r="BG16" s="74"/>
      <c r="BH16" s="44"/>
      <c r="BI16" s="44"/>
      <c r="BJ16" s="44"/>
      <c r="BK16" s="44"/>
      <c r="BL16" s="44"/>
      <c r="BM16" s="44"/>
      <c r="BN16" s="75"/>
    </row>
    <row r="17" spans="1:66" ht="30" customHeight="1" x14ac:dyDescent="0.25">
      <c r="A17" s="78" t="s">
        <v>125</v>
      </c>
      <c r="B17" s="43">
        <v>12</v>
      </c>
      <c r="C17" s="44"/>
      <c r="D17" s="69" t="s">
        <v>134</v>
      </c>
      <c r="E17" s="43">
        <f>COUNT(B17:B21)</f>
        <v>5</v>
      </c>
      <c r="F17" s="44"/>
      <c r="G17" s="43">
        <v>1</v>
      </c>
      <c r="H17" s="43">
        <v>12</v>
      </c>
      <c r="I17" s="43">
        <f>$E$19*G17</f>
        <v>12</v>
      </c>
      <c r="J17" s="79">
        <f>(H17-I17)^2/I17</f>
        <v>0</v>
      </c>
      <c r="M17" s="91" t="s">
        <v>138</v>
      </c>
      <c r="N17" s="85" t="s">
        <v>137</v>
      </c>
      <c r="O17" s="44"/>
      <c r="P17" s="85" t="s">
        <v>139</v>
      </c>
      <c r="Q17" s="43">
        <v>10</v>
      </c>
      <c r="R17" s="44"/>
      <c r="S17" s="69" t="s">
        <v>134</v>
      </c>
      <c r="T17" s="69" t="s">
        <v>135</v>
      </c>
      <c r="U17" s="69" t="s">
        <v>144</v>
      </c>
      <c r="V17" s="85" t="s">
        <v>145</v>
      </c>
      <c r="W17" s="86" t="s">
        <v>132</v>
      </c>
      <c r="X17" s="69" t="s">
        <v>136</v>
      </c>
      <c r="Y17" s="44"/>
      <c r="Z17" s="69" t="s">
        <v>134</v>
      </c>
      <c r="AA17" s="69" t="s">
        <v>135</v>
      </c>
      <c r="AB17" s="69" t="s">
        <v>144</v>
      </c>
      <c r="AC17" s="85" t="s">
        <v>146</v>
      </c>
      <c r="AD17" s="86" t="s">
        <v>132</v>
      </c>
      <c r="AE17" s="77" t="s">
        <v>136</v>
      </c>
      <c r="AH17" s="95" t="s">
        <v>150</v>
      </c>
      <c r="AI17" s="69" t="s">
        <v>124</v>
      </c>
      <c r="AJ17" s="44"/>
      <c r="AK17" s="85" t="s">
        <v>140</v>
      </c>
      <c r="AL17" s="43">
        <f>SUM(AI18:AI26)</f>
        <v>200</v>
      </c>
      <c r="AM17" s="44"/>
      <c r="AN17" s="69" t="s">
        <v>134</v>
      </c>
      <c r="AO17" s="69" t="s">
        <v>135</v>
      </c>
      <c r="AP17" s="69" t="s">
        <v>144</v>
      </c>
      <c r="AQ17" s="85" t="s">
        <v>152</v>
      </c>
      <c r="AR17" s="86" t="s">
        <v>132</v>
      </c>
      <c r="AS17" s="77" t="s">
        <v>136</v>
      </c>
      <c r="AU17" s="74"/>
      <c r="AV17" s="44"/>
      <c r="AW17" s="44"/>
      <c r="AX17" s="44"/>
      <c r="AY17" s="44"/>
      <c r="AZ17" s="44"/>
      <c r="BA17" s="44"/>
      <c r="BB17" s="44"/>
      <c r="BC17" s="44"/>
      <c r="BD17" s="75"/>
      <c r="BG17" s="119" t="s">
        <v>164</v>
      </c>
      <c r="BH17" s="107"/>
      <c r="BI17" s="108" t="s">
        <v>154</v>
      </c>
      <c r="BJ17" s="109"/>
      <c r="BK17" s="110"/>
      <c r="BL17" s="8"/>
      <c r="BM17" s="97" t="s">
        <v>26</v>
      </c>
      <c r="BN17" s="50">
        <f>5/100</f>
        <v>0.05</v>
      </c>
    </row>
    <row r="18" spans="1:66" x14ac:dyDescent="0.25">
      <c r="A18" s="78" t="s">
        <v>126</v>
      </c>
      <c r="B18" s="43">
        <v>15</v>
      </c>
      <c r="C18" s="44"/>
      <c r="D18" s="69" t="s">
        <v>133</v>
      </c>
      <c r="E18" s="43">
        <f>1/E17</f>
        <v>0.2</v>
      </c>
      <c r="F18" s="44"/>
      <c r="G18" s="43">
        <v>1</v>
      </c>
      <c r="H18" s="43">
        <v>15</v>
      </c>
      <c r="I18" s="43">
        <f t="shared" ref="I18:I21" si="0">$E$19*G18</f>
        <v>12</v>
      </c>
      <c r="J18" s="79">
        <f t="shared" ref="J18:J21" si="1">(H18-I18)^2/I18</f>
        <v>0.75</v>
      </c>
      <c r="M18" s="78">
        <v>0</v>
      </c>
      <c r="N18" s="43">
        <v>334</v>
      </c>
      <c r="O18" s="44"/>
      <c r="P18" s="85" t="s">
        <v>140</v>
      </c>
      <c r="Q18" s="43">
        <f>SUM(N18:N24)</f>
        <v>1000</v>
      </c>
      <c r="R18" s="44"/>
      <c r="S18" s="43">
        <f>M18</f>
        <v>0</v>
      </c>
      <c r="T18" s="43">
        <f>N18</f>
        <v>334</v>
      </c>
      <c r="U18" s="43">
        <f>T18*S18</f>
        <v>0</v>
      </c>
      <c r="V18" s="43">
        <f>_xlfn.BINOM.DIST(S18,$Q$17,$Q$21,FALSE)</f>
        <v>0.29741081664233981</v>
      </c>
      <c r="W18" s="87">
        <f>V18*$Q$18</f>
        <v>297.4108166423398</v>
      </c>
      <c r="X18" s="43">
        <f t="shared" ref="X18:X24" si="2">(T18-W18)^2/W18</f>
        <v>4.5014110579254893</v>
      </c>
      <c r="Y18" s="44"/>
      <c r="Z18" s="43">
        <v>0</v>
      </c>
      <c r="AA18" s="43">
        <v>334</v>
      </c>
      <c r="AB18" s="43">
        <v>0</v>
      </c>
      <c r="AC18" s="43">
        <v>0.29741081664233981</v>
      </c>
      <c r="AD18" s="87">
        <v>297.4108166423398</v>
      </c>
      <c r="AE18" s="79">
        <v>4.5014110579254893</v>
      </c>
      <c r="AH18" s="78">
        <v>0</v>
      </c>
      <c r="AI18" s="43">
        <v>14</v>
      </c>
      <c r="AJ18" s="44"/>
      <c r="AK18" s="69" t="s">
        <v>134</v>
      </c>
      <c r="AL18" s="43">
        <f>COUNTA(AO18:AO26)</f>
        <v>9</v>
      </c>
      <c r="AM18" s="44"/>
      <c r="AN18" s="43">
        <f>AH18</f>
        <v>0</v>
      </c>
      <c r="AO18" s="43">
        <f>AI18</f>
        <v>14</v>
      </c>
      <c r="AP18" s="43">
        <f>AO18*AN18</f>
        <v>0</v>
      </c>
      <c r="AQ18" s="43">
        <f>_xlfn.POISSON.DIST(AN18,$AL$20,FALSE)</f>
        <v>5.5023220056407231E-2</v>
      </c>
      <c r="AR18" s="87">
        <f>AQ18*$AL$17</f>
        <v>11.004644011281446</v>
      </c>
      <c r="AS18" s="79">
        <f t="shared" ref="AS18:AS26" si="3">(AO18-AR18)^2/AR18</f>
        <v>0.81530647333564554</v>
      </c>
      <c r="AU18" s="101" t="s">
        <v>154</v>
      </c>
      <c r="AV18" s="96"/>
      <c r="AW18" s="96" t="s">
        <v>155</v>
      </c>
      <c r="AX18" s="96"/>
      <c r="AY18" s="96"/>
      <c r="AZ18" s="96"/>
      <c r="BA18" s="9"/>
      <c r="BB18" s="97" t="s">
        <v>26</v>
      </c>
      <c r="BC18" s="2">
        <f>5/100</f>
        <v>0.05</v>
      </c>
      <c r="BD18" s="75"/>
      <c r="BG18" s="119"/>
      <c r="BH18" s="107"/>
      <c r="BI18" s="111" t="s">
        <v>158</v>
      </c>
      <c r="BJ18" s="111" t="s">
        <v>161</v>
      </c>
      <c r="BK18" s="112" t="s">
        <v>157</v>
      </c>
      <c r="BL18" s="8"/>
      <c r="BM18" s="97" t="s">
        <v>134</v>
      </c>
      <c r="BN18" s="50">
        <f>COUNTA(BH19,BH21,BH23,BH25,BH27,BH29)</f>
        <v>6</v>
      </c>
    </row>
    <row r="19" spans="1:66" x14ac:dyDescent="0.25">
      <c r="A19" s="78" t="s">
        <v>127</v>
      </c>
      <c r="B19" s="43">
        <v>13</v>
      </c>
      <c r="C19" s="44"/>
      <c r="D19" s="69" t="s">
        <v>132</v>
      </c>
      <c r="E19" s="43">
        <f>E16*E18</f>
        <v>12</v>
      </c>
      <c r="F19" s="44"/>
      <c r="G19" s="43">
        <v>1</v>
      </c>
      <c r="H19" s="43">
        <v>13</v>
      </c>
      <c r="I19" s="43">
        <f t="shared" si="0"/>
        <v>12</v>
      </c>
      <c r="J19" s="79">
        <f t="shared" si="1"/>
        <v>8.3333333333333329E-2</v>
      </c>
      <c r="M19" s="78">
        <v>1</v>
      </c>
      <c r="N19" s="43">
        <v>369</v>
      </c>
      <c r="O19" s="44"/>
      <c r="P19" s="69" t="s">
        <v>134</v>
      </c>
      <c r="Q19" s="43">
        <f>COUNTA(Z18:Z23)</f>
        <v>6</v>
      </c>
      <c r="R19" s="44"/>
      <c r="S19" s="43">
        <f>M19</f>
        <v>1</v>
      </c>
      <c r="T19" s="43">
        <f>N19</f>
        <v>369</v>
      </c>
      <c r="U19" s="43">
        <f t="shared" ref="U19:U24" si="4">T19*S19</f>
        <v>369</v>
      </c>
      <c r="V19" s="43">
        <f t="shared" ref="V19:V24" si="5">_xlfn.BINOM.DIST(S19,$Q$17,$Q$21,FALSE)</f>
        <v>0.38343096929956205</v>
      </c>
      <c r="W19" s="87">
        <f t="shared" ref="W19:W24" si="6">V19*$Q$18</f>
        <v>383.43096929956204</v>
      </c>
      <c r="X19" s="43">
        <f t="shared" si="2"/>
        <v>0.54313003278094862</v>
      </c>
      <c r="Y19" s="44"/>
      <c r="Z19" s="43">
        <v>1</v>
      </c>
      <c r="AA19" s="43">
        <v>369</v>
      </c>
      <c r="AB19" s="43">
        <v>369</v>
      </c>
      <c r="AC19" s="43">
        <v>0.38343096929956205</v>
      </c>
      <c r="AD19" s="87">
        <v>383.43096929956204</v>
      </c>
      <c r="AE19" s="79">
        <v>0.54313003278094862</v>
      </c>
      <c r="AH19" s="78">
        <v>1</v>
      </c>
      <c r="AI19" s="43">
        <v>31</v>
      </c>
      <c r="AJ19" s="44"/>
      <c r="AK19" s="69" t="s">
        <v>26</v>
      </c>
      <c r="AL19" s="43">
        <f>5/100</f>
        <v>0.05</v>
      </c>
      <c r="AM19" s="44"/>
      <c r="AN19" s="43">
        <f t="shared" ref="AN19:AO26" si="7">AH19</f>
        <v>1</v>
      </c>
      <c r="AO19" s="43">
        <f t="shared" si="7"/>
        <v>31</v>
      </c>
      <c r="AP19" s="43">
        <f t="shared" ref="AP19:AP26" si="8">AO19*AN19</f>
        <v>31</v>
      </c>
      <c r="AQ19" s="43">
        <f>_xlfn.POISSON.DIST(AN19,$AL$20,FALSE)</f>
        <v>0.15956733816358096</v>
      </c>
      <c r="AR19" s="87">
        <f>AQ19*$AL$17</f>
        <v>31.913467632716191</v>
      </c>
      <c r="AS19" s="79">
        <f t="shared" si="3"/>
        <v>2.6146425879609241E-2</v>
      </c>
      <c r="AU19" s="101"/>
      <c r="AV19" s="96"/>
      <c r="AW19" s="3" t="s">
        <v>56</v>
      </c>
      <c r="AX19" s="3" t="s">
        <v>156</v>
      </c>
      <c r="AY19" s="3" t="s">
        <v>55</v>
      </c>
      <c r="AZ19" s="5" t="s">
        <v>157</v>
      </c>
      <c r="BA19" s="9"/>
      <c r="BB19" s="97" t="s">
        <v>134</v>
      </c>
      <c r="BC19" s="2">
        <f>COUNTA(AW20:AY20)</f>
        <v>3</v>
      </c>
      <c r="BD19" s="75"/>
      <c r="BG19" s="120" t="s">
        <v>165</v>
      </c>
      <c r="BH19" s="113" t="s">
        <v>166</v>
      </c>
      <c r="BI19" s="114">
        <v>118</v>
      </c>
      <c r="BJ19" s="114">
        <v>321</v>
      </c>
      <c r="BK19" s="115">
        <f>SUM(BI19:BJ19)</f>
        <v>439</v>
      </c>
      <c r="BL19" s="8"/>
      <c r="BM19" s="9"/>
      <c r="BN19" s="15"/>
    </row>
    <row r="20" spans="1:66" x14ac:dyDescent="0.25">
      <c r="A20" s="78" t="s">
        <v>128</v>
      </c>
      <c r="B20" s="43">
        <v>11</v>
      </c>
      <c r="C20" s="44"/>
      <c r="D20" s="69" t="s">
        <v>26</v>
      </c>
      <c r="E20" s="43">
        <f>5/100</f>
        <v>0.05</v>
      </c>
      <c r="F20" s="44"/>
      <c r="G20" s="43">
        <v>1</v>
      </c>
      <c r="H20" s="43">
        <v>11</v>
      </c>
      <c r="I20" s="43">
        <f t="shared" si="0"/>
        <v>12</v>
      </c>
      <c r="J20" s="79">
        <f t="shared" si="1"/>
        <v>8.3333333333333329E-2</v>
      </c>
      <c r="M20" s="78">
        <v>2</v>
      </c>
      <c r="N20" s="43">
        <v>191</v>
      </c>
      <c r="O20" s="44"/>
      <c r="P20" s="69" t="s">
        <v>26</v>
      </c>
      <c r="Q20" s="43">
        <f>5/100</f>
        <v>0.05</v>
      </c>
      <c r="R20" s="44"/>
      <c r="S20" s="43">
        <f>M20</f>
        <v>2</v>
      </c>
      <c r="T20" s="43">
        <f>N20</f>
        <v>191</v>
      </c>
      <c r="U20" s="43">
        <f t="shared" si="4"/>
        <v>382</v>
      </c>
      <c r="V20" s="43">
        <f t="shared" si="5"/>
        <v>0.22244883170359558</v>
      </c>
      <c r="W20" s="87">
        <f t="shared" si="6"/>
        <v>222.44883170359557</v>
      </c>
      <c r="X20" s="43">
        <f t="shared" si="2"/>
        <v>4.4460966953466441</v>
      </c>
      <c r="Y20" s="44"/>
      <c r="Z20" s="43">
        <v>2</v>
      </c>
      <c r="AA20" s="43">
        <v>191</v>
      </c>
      <c r="AB20" s="43">
        <v>382</v>
      </c>
      <c r="AC20" s="43">
        <v>0.22244883170359558</v>
      </c>
      <c r="AD20" s="87">
        <v>222.44883170359557</v>
      </c>
      <c r="AE20" s="79">
        <v>4.4460966953466441</v>
      </c>
      <c r="AH20" s="78">
        <v>2</v>
      </c>
      <c r="AI20" s="43">
        <v>47</v>
      </c>
      <c r="AJ20" s="44"/>
      <c r="AK20" s="69" t="s">
        <v>151</v>
      </c>
      <c r="AL20" s="43">
        <f>SUM(AP18:AP26)/(AL17)</f>
        <v>2.9</v>
      </c>
      <c r="AM20" s="44"/>
      <c r="AN20" s="43">
        <f t="shared" si="7"/>
        <v>2</v>
      </c>
      <c r="AO20" s="43">
        <f t="shared" si="7"/>
        <v>47</v>
      </c>
      <c r="AP20" s="43">
        <f t="shared" si="8"/>
        <v>94</v>
      </c>
      <c r="AQ20" s="43">
        <f>_xlfn.POISSON.DIST(AN20,$AL$20,FALSE)</f>
        <v>0.23137264033719246</v>
      </c>
      <c r="AR20" s="87">
        <f>AQ20*$AL$17</f>
        <v>46.274528067438489</v>
      </c>
      <c r="AS20" s="79">
        <f t="shared" si="3"/>
        <v>1.1373633549920019E-2</v>
      </c>
      <c r="AU20" s="102" t="s">
        <v>158</v>
      </c>
      <c r="AV20" s="2" t="s">
        <v>159</v>
      </c>
      <c r="AW20" s="2">
        <v>5</v>
      </c>
      <c r="AX20" s="2">
        <v>26</v>
      </c>
      <c r="AY20" s="2">
        <v>4</v>
      </c>
      <c r="AZ20" s="98">
        <f>SUM(AW20:AY20)</f>
        <v>35</v>
      </c>
      <c r="BA20" s="9"/>
      <c r="BB20" s="9"/>
      <c r="BC20" s="9"/>
      <c r="BD20" s="75"/>
      <c r="BG20" s="121"/>
      <c r="BH20" s="116" t="s">
        <v>129</v>
      </c>
      <c r="BI20" s="117">
        <f>$BK19*BI$31/$BK$31</f>
        <v>140.39172467130703</v>
      </c>
      <c r="BJ20" s="117">
        <f>$BK19*BJ$31/$BK$31</f>
        <v>298.60827532869297</v>
      </c>
      <c r="BK20" s="114"/>
      <c r="BL20" s="8"/>
      <c r="BM20" s="97" t="s">
        <v>131</v>
      </c>
      <c r="BN20" s="50">
        <f>SUM(BI33:BJ38)</f>
        <v>14.813879043955259</v>
      </c>
    </row>
    <row r="21" spans="1:66" x14ac:dyDescent="0.25">
      <c r="A21" s="78" t="s">
        <v>129</v>
      </c>
      <c r="B21" s="43">
        <v>9</v>
      </c>
      <c r="C21" s="44"/>
      <c r="D21" s="44"/>
      <c r="E21" s="44"/>
      <c r="F21" s="44"/>
      <c r="G21" s="43">
        <v>1</v>
      </c>
      <c r="H21" s="43">
        <v>9</v>
      </c>
      <c r="I21" s="43">
        <f t="shared" si="0"/>
        <v>12</v>
      </c>
      <c r="J21" s="79">
        <f t="shared" si="1"/>
        <v>0.75</v>
      </c>
      <c r="M21" s="78">
        <v>3</v>
      </c>
      <c r="N21" s="43">
        <v>63</v>
      </c>
      <c r="O21" s="44"/>
      <c r="P21" s="69" t="s">
        <v>141</v>
      </c>
      <c r="Q21" s="43">
        <f>SUM(U18:U24)/(Q18*Q17)</f>
        <v>0.1142</v>
      </c>
      <c r="R21" s="44"/>
      <c r="S21" s="43">
        <f>M21</f>
        <v>3</v>
      </c>
      <c r="T21" s="43">
        <f>N21</f>
        <v>63</v>
      </c>
      <c r="U21" s="43">
        <f t="shared" si="4"/>
        <v>189</v>
      </c>
      <c r="V21" s="43">
        <f t="shared" si="5"/>
        <v>7.6476726365772851E-2</v>
      </c>
      <c r="W21" s="87">
        <f t="shared" si="6"/>
        <v>76.476726365772848</v>
      </c>
      <c r="X21" s="43">
        <f t="shared" si="2"/>
        <v>2.3748683052835537</v>
      </c>
      <c r="Y21" s="44"/>
      <c r="Z21" s="43">
        <v>3</v>
      </c>
      <c r="AA21" s="43">
        <v>63</v>
      </c>
      <c r="AB21" s="43">
        <v>189</v>
      </c>
      <c r="AC21" s="43">
        <v>7.6476726365772851E-2</v>
      </c>
      <c r="AD21" s="87">
        <v>76.476726365772848</v>
      </c>
      <c r="AE21" s="79">
        <v>2.3748683052835537</v>
      </c>
      <c r="AH21" s="78">
        <v>3</v>
      </c>
      <c r="AI21" s="43">
        <v>41</v>
      </c>
      <c r="AJ21" s="44"/>
      <c r="AK21" s="69" t="s">
        <v>142</v>
      </c>
      <c r="AL21" s="43">
        <f>COUNTA(AH17)</f>
        <v>1</v>
      </c>
      <c r="AM21" s="44"/>
      <c r="AN21" s="43">
        <f t="shared" si="7"/>
        <v>3</v>
      </c>
      <c r="AO21" s="43">
        <f t="shared" si="7"/>
        <v>41</v>
      </c>
      <c r="AP21" s="43">
        <f t="shared" si="8"/>
        <v>123</v>
      </c>
      <c r="AQ21" s="43">
        <f>_xlfn.POISSON.DIST(AN21,$AL$20,FALSE)</f>
        <v>0.22366021899261934</v>
      </c>
      <c r="AR21" s="87">
        <f>AQ21*$AL$17</f>
        <v>44.732043798523868</v>
      </c>
      <c r="AS21" s="79">
        <f t="shared" si="3"/>
        <v>0.31136853430694539</v>
      </c>
      <c r="AU21" s="102"/>
      <c r="AV21" s="99" t="s">
        <v>160</v>
      </c>
      <c r="AW21" s="99">
        <f>$AZ20*AW$24/$AZ$24</f>
        <v>8.0769230769230766</v>
      </c>
      <c r="AX21" s="99">
        <f t="shared" ref="AX21:AY21" si="9">$AZ20*AX$24/$AZ$24</f>
        <v>23.46153846153846</v>
      </c>
      <c r="AY21" s="99">
        <f t="shared" si="9"/>
        <v>3.4615384615384617</v>
      </c>
      <c r="AZ21" s="2"/>
      <c r="BA21" s="9"/>
      <c r="BB21" s="97" t="s">
        <v>131</v>
      </c>
      <c r="BC21" s="2">
        <f>SUM(AW26:AY27)</f>
        <v>2.4871844912828518</v>
      </c>
      <c r="BD21" s="75"/>
      <c r="BG21" s="120" t="s">
        <v>167</v>
      </c>
      <c r="BH21" s="113" t="s">
        <v>166</v>
      </c>
      <c r="BI21" s="114">
        <v>281</v>
      </c>
      <c r="BJ21" s="114">
        <v>523</v>
      </c>
      <c r="BK21" s="115">
        <f>SUM(BI21:BJ21)</f>
        <v>804</v>
      </c>
      <c r="BL21" s="8"/>
      <c r="BM21" s="9"/>
      <c r="BN21" s="15"/>
    </row>
    <row r="22" spans="1:66" x14ac:dyDescent="0.25">
      <c r="A22" s="74"/>
      <c r="B22" s="44"/>
      <c r="C22" s="44"/>
      <c r="D22" s="69" t="s">
        <v>131</v>
      </c>
      <c r="E22" s="43">
        <f>SUM(J17:J21)</f>
        <v>1.6666666666666667</v>
      </c>
      <c r="F22" s="44"/>
      <c r="G22" s="44"/>
      <c r="H22" s="44"/>
      <c r="I22" s="44"/>
      <c r="J22" s="75"/>
      <c r="M22" s="78">
        <v>4</v>
      </c>
      <c r="N22" s="43">
        <v>22</v>
      </c>
      <c r="O22" s="44"/>
      <c r="P22" s="69" t="s">
        <v>142</v>
      </c>
      <c r="Q22" s="43">
        <f>COUNTA(N17)</f>
        <v>1</v>
      </c>
      <c r="R22" s="44"/>
      <c r="S22" s="43">
        <f>M22</f>
        <v>4</v>
      </c>
      <c r="T22" s="43">
        <f>N22</f>
        <v>22</v>
      </c>
      <c r="U22" s="43">
        <f t="shared" si="4"/>
        <v>88</v>
      </c>
      <c r="V22" s="43">
        <f t="shared" si="5"/>
        <v>1.7254316735380127E-2</v>
      </c>
      <c r="W22" s="87">
        <f t="shared" si="6"/>
        <v>17.254316735380126</v>
      </c>
      <c r="X22" s="43">
        <f t="shared" si="2"/>
        <v>1.3052681246955782</v>
      </c>
      <c r="Y22" s="44"/>
      <c r="Z22" s="43">
        <v>4</v>
      </c>
      <c r="AA22" s="43">
        <v>22</v>
      </c>
      <c r="AB22" s="43">
        <v>88</v>
      </c>
      <c r="AC22" s="43">
        <v>1.7254316735380127E-2</v>
      </c>
      <c r="AD22" s="87">
        <v>17.254316735380126</v>
      </c>
      <c r="AE22" s="79">
        <v>1.3052681246955782</v>
      </c>
      <c r="AH22" s="78">
        <v>4</v>
      </c>
      <c r="AI22" s="43">
        <v>29</v>
      </c>
      <c r="AJ22" s="44"/>
      <c r="AK22" s="44"/>
      <c r="AL22" s="44"/>
      <c r="AM22" s="44"/>
      <c r="AN22" s="43">
        <f t="shared" si="7"/>
        <v>4</v>
      </c>
      <c r="AO22" s="43">
        <f t="shared" si="7"/>
        <v>29</v>
      </c>
      <c r="AP22" s="43">
        <f t="shared" si="8"/>
        <v>116</v>
      </c>
      <c r="AQ22" s="43">
        <f>_xlfn.POISSON.DIST(AN22,$AL$20,FALSE)</f>
        <v>0.16215365876964902</v>
      </c>
      <c r="AR22" s="87">
        <f>AQ22*$AL$17</f>
        <v>32.430731753929805</v>
      </c>
      <c r="AS22" s="79">
        <f t="shared" si="3"/>
        <v>0.36292490890206491</v>
      </c>
      <c r="AU22" s="102" t="s">
        <v>161</v>
      </c>
      <c r="AV22" s="2" t="s">
        <v>159</v>
      </c>
      <c r="AW22" s="2">
        <v>16</v>
      </c>
      <c r="AX22" s="2">
        <v>35</v>
      </c>
      <c r="AY22" s="2">
        <v>5</v>
      </c>
      <c r="AZ22" s="98">
        <f>SUM(AW22:AY22)</f>
        <v>56</v>
      </c>
      <c r="BA22" s="9"/>
      <c r="BB22" s="9"/>
      <c r="BC22" s="9"/>
      <c r="BD22" s="75"/>
      <c r="BG22" s="121"/>
      <c r="BH22" s="116" t="s">
        <v>129</v>
      </c>
      <c r="BI22" s="117">
        <f>$BK21*BI$31/$BK$31</f>
        <v>257.1183294663573</v>
      </c>
      <c r="BJ22" s="117">
        <f>$BK21*BJ$31/$BK$31</f>
        <v>546.8816705336427</v>
      </c>
      <c r="BK22" s="114"/>
      <c r="BL22" s="8"/>
      <c r="BM22" s="97" t="s">
        <v>130</v>
      </c>
      <c r="BN22" s="50">
        <f>_xlfn.CHISQ.INV.RT(BN17,BN18-1)</f>
        <v>11.070497693516353</v>
      </c>
    </row>
    <row r="23" spans="1:66" x14ac:dyDescent="0.25">
      <c r="A23" s="74"/>
      <c r="B23" s="44"/>
      <c r="C23" s="44"/>
      <c r="D23" s="44"/>
      <c r="E23" s="44"/>
      <c r="F23" s="44"/>
      <c r="G23" s="44"/>
      <c r="H23" s="44"/>
      <c r="I23" s="44"/>
      <c r="J23" s="75"/>
      <c r="M23" s="78">
        <v>5</v>
      </c>
      <c r="N23" s="43">
        <v>12</v>
      </c>
      <c r="O23" s="44"/>
      <c r="P23" s="44"/>
      <c r="Q23" s="44"/>
      <c r="R23" s="44"/>
      <c r="S23" s="43">
        <f>M23</f>
        <v>5</v>
      </c>
      <c r="T23" s="43">
        <f>N23</f>
        <v>12</v>
      </c>
      <c r="U23" s="43">
        <f t="shared" si="4"/>
        <v>60</v>
      </c>
      <c r="V23" s="43">
        <f t="shared" si="5"/>
        <v>2.6693740860425528E-3</v>
      </c>
      <c r="W23" s="87">
        <f t="shared" si="6"/>
        <v>2.669374086042553</v>
      </c>
      <c r="X23" s="43">
        <f t="shared" si="2"/>
        <v>32.614604450320726</v>
      </c>
      <c r="Y23" s="44"/>
      <c r="Z23" s="88" t="s">
        <v>147</v>
      </c>
      <c r="AA23" s="88">
        <f>T23+T24</f>
        <v>21</v>
      </c>
      <c r="AB23" s="88">
        <f>SUM(U23:U24)</f>
        <v>114</v>
      </c>
      <c r="AC23" s="88">
        <f>SUM(V23:V24)</f>
        <v>2.9561605320292872E-3</v>
      </c>
      <c r="AD23" s="88">
        <f t="shared" ref="AD23" si="10">SUM(W23:W24)</f>
        <v>2.9561605320292874</v>
      </c>
      <c r="AE23" s="92">
        <f>(AA23-AD23)^2/AD23</f>
        <v>110.13615100340972</v>
      </c>
      <c r="AH23" s="78">
        <v>5</v>
      </c>
      <c r="AI23" s="43">
        <v>21</v>
      </c>
      <c r="AJ23" s="44"/>
      <c r="AK23" s="69" t="s">
        <v>131</v>
      </c>
      <c r="AL23" s="43">
        <f>SUM(AS18:AS26)</f>
        <v>2.5719652233797086</v>
      </c>
      <c r="AM23" s="44"/>
      <c r="AN23" s="43">
        <f t="shared" si="7"/>
        <v>5</v>
      </c>
      <c r="AO23" s="43">
        <f t="shared" si="7"/>
        <v>21</v>
      </c>
      <c r="AP23" s="43">
        <f t="shared" si="8"/>
        <v>105</v>
      </c>
      <c r="AQ23" s="43">
        <f>_xlfn.POISSON.DIST(AN23,$AL$20,FALSE)</f>
        <v>9.4049122086396361E-2</v>
      </c>
      <c r="AR23" s="87">
        <f>AQ23*$AL$17</f>
        <v>18.809824417279273</v>
      </c>
      <c r="AS23" s="79">
        <f t="shared" si="3"/>
        <v>0.25501934397322318</v>
      </c>
      <c r="AU23" s="102"/>
      <c r="AV23" s="99" t="s">
        <v>160</v>
      </c>
      <c r="AW23" s="99">
        <f>$AZ22*AW$24/$AZ$24</f>
        <v>12.923076923076923</v>
      </c>
      <c r="AX23" s="99">
        <f t="shared" ref="AX23:AY23" si="11">$AZ22*AX$24/$AZ$24</f>
        <v>37.53846153846154</v>
      </c>
      <c r="AY23" s="99">
        <f t="shared" si="11"/>
        <v>5.5384615384615383</v>
      </c>
      <c r="AZ23" s="2"/>
      <c r="BA23" s="9"/>
      <c r="BB23" s="97" t="s">
        <v>130</v>
      </c>
      <c r="BC23" s="2">
        <f>_xlfn.CHISQ.INV.RT(BC18,BC19-1)</f>
        <v>5.9914645471079817</v>
      </c>
      <c r="BD23" s="75"/>
      <c r="BG23" s="120" t="s">
        <v>168</v>
      </c>
      <c r="BH23" s="113" t="s">
        <v>166</v>
      </c>
      <c r="BI23" s="114">
        <v>6</v>
      </c>
      <c r="BJ23" s="114">
        <v>23</v>
      </c>
      <c r="BK23" s="115">
        <f>SUM(BI23:BJ23)</f>
        <v>29</v>
      </c>
      <c r="BL23" s="8"/>
      <c r="BM23" s="9"/>
      <c r="BN23" s="15"/>
    </row>
    <row r="24" spans="1:66" x14ac:dyDescent="0.25">
      <c r="A24" s="74"/>
      <c r="B24" s="44"/>
      <c r="C24" s="44"/>
      <c r="D24" s="69" t="s">
        <v>130</v>
      </c>
      <c r="E24" s="43">
        <f>_xlfn.CHISQ.INV.RT(E20,E17-1)</f>
        <v>9.4877290367811575</v>
      </c>
      <c r="F24" s="44"/>
      <c r="G24" s="44"/>
      <c r="H24" s="44"/>
      <c r="I24" s="44"/>
      <c r="J24" s="75"/>
      <c r="M24" s="78">
        <v>6</v>
      </c>
      <c r="N24" s="43">
        <v>9</v>
      </c>
      <c r="O24" s="44"/>
      <c r="P24" s="69" t="s">
        <v>131</v>
      </c>
      <c r="Q24" s="43">
        <f>SUM(AE18:AE23)</f>
        <v>123.30692521944194</v>
      </c>
      <c r="R24" s="44"/>
      <c r="S24" s="88">
        <f>M24</f>
        <v>6</v>
      </c>
      <c r="T24" s="88">
        <f>N24</f>
        <v>9</v>
      </c>
      <c r="U24" s="88">
        <f t="shared" si="4"/>
        <v>54</v>
      </c>
      <c r="V24" s="88">
        <f t="shared" si="5"/>
        <v>2.8678644598673428E-4</v>
      </c>
      <c r="W24" s="89">
        <f t="shared" si="6"/>
        <v>0.28678644598673431</v>
      </c>
      <c r="X24" s="88">
        <f t="shared" si="2"/>
        <v>264.72691265664719</v>
      </c>
      <c r="Y24" s="44"/>
      <c r="Z24" s="44"/>
      <c r="AA24" s="44"/>
      <c r="AB24" s="44"/>
      <c r="AC24" s="44"/>
      <c r="AD24" s="44"/>
      <c r="AE24" s="75"/>
      <c r="AH24" s="78">
        <v>6</v>
      </c>
      <c r="AI24" s="43">
        <v>10</v>
      </c>
      <c r="AJ24" s="44"/>
      <c r="AK24" s="44"/>
      <c r="AL24" s="44"/>
      <c r="AM24" s="44"/>
      <c r="AN24" s="43">
        <f t="shared" si="7"/>
        <v>6</v>
      </c>
      <c r="AO24" s="43">
        <f t="shared" si="7"/>
        <v>10</v>
      </c>
      <c r="AP24" s="43">
        <f t="shared" si="8"/>
        <v>60</v>
      </c>
      <c r="AQ24" s="43">
        <f>_xlfn.POISSON.DIST(AN24,$AL$20,FALSE)</f>
        <v>4.5457075675091593E-2</v>
      </c>
      <c r="AR24" s="87">
        <f>AQ24*$AL$17</f>
        <v>9.0914151350183179</v>
      </c>
      <c r="AS24" s="79">
        <f t="shared" si="3"/>
        <v>9.0802855728589302E-2</v>
      </c>
      <c r="AU24" s="103" t="s">
        <v>157</v>
      </c>
      <c r="AV24" s="100"/>
      <c r="AW24" s="98">
        <f>SUM(AW20,AW22)</f>
        <v>21</v>
      </c>
      <c r="AX24" s="98">
        <f t="shared" ref="AX24:AZ24" si="12">SUM(AX20,AX22)</f>
        <v>61</v>
      </c>
      <c r="AY24" s="98">
        <f t="shared" si="12"/>
        <v>9</v>
      </c>
      <c r="AZ24" s="98">
        <f t="shared" si="12"/>
        <v>91</v>
      </c>
      <c r="BA24" s="9"/>
      <c r="BB24" s="9"/>
      <c r="BC24" s="9"/>
      <c r="BD24" s="75"/>
      <c r="BG24" s="121"/>
      <c r="BH24" s="116" t="s">
        <v>129</v>
      </c>
      <c r="BI24" s="117">
        <f>$BK23*BI$31/$BK$31</f>
        <v>9.2741686001546793</v>
      </c>
      <c r="BJ24" s="117">
        <f>$BK23*BJ$31/$BK$31</f>
        <v>19.725831399845323</v>
      </c>
      <c r="BK24" s="114"/>
      <c r="BL24" s="8"/>
      <c r="BM24" s="80" t="s">
        <v>25</v>
      </c>
      <c r="BN24" s="122"/>
    </row>
    <row r="25" spans="1:66" x14ac:dyDescent="0.25">
      <c r="A25" s="74"/>
      <c r="B25" s="44"/>
      <c r="C25" s="44"/>
      <c r="D25" s="44"/>
      <c r="E25" s="44"/>
      <c r="F25" s="44"/>
      <c r="G25" s="44"/>
      <c r="H25" s="44"/>
      <c r="I25" s="44"/>
      <c r="J25" s="75"/>
      <c r="M25" s="7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75"/>
      <c r="AH25" s="78">
        <v>7</v>
      </c>
      <c r="AI25" s="43">
        <v>5</v>
      </c>
      <c r="AJ25" s="44"/>
      <c r="AK25" s="69" t="s">
        <v>143</v>
      </c>
      <c r="AL25" s="43">
        <f>_xlfn.CHISQ.INV.RT(AL19,AL18-1-AL21)</f>
        <v>14.067140449340167</v>
      </c>
      <c r="AM25" s="44"/>
      <c r="AN25" s="43">
        <f>AH25</f>
        <v>7</v>
      </c>
      <c r="AO25" s="43">
        <f>AI25</f>
        <v>5</v>
      </c>
      <c r="AP25" s="43">
        <f>AO25*AN25</f>
        <v>35</v>
      </c>
      <c r="AQ25" s="43">
        <f>_xlfn.POISSON.DIST(AN25,$AL$20,FALSE)</f>
        <v>1.8832217065395083E-2</v>
      </c>
      <c r="AR25" s="87">
        <f>AQ25*$AL$17</f>
        <v>3.7664434130790165</v>
      </c>
      <c r="AS25" s="79">
        <f t="shared" si="3"/>
        <v>0.40400496868004393</v>
      </c>
      <c r="AU25" s="14"/>
      <c r="AV25" s="9"/>
      <c r="AW25" s="9"/>
      <c r="AX25" s="9"/>
      <c r="AY25" s="9"/>
      <c r="AZ25" s="9"/>
      <c r="BA25" s="9"/>
      <c r="BB25" s="80" t="s">
        <v>25</v>
      </c>
      <c r="BC25" s="80"/>
      <c r="BD25" s="75"/>
      <c r="BG25" s="123" t="s">
        <v>169</v>
      </c>
      <c r="BH25" s="113" t="s">
        <v>166</v>
      </c>
      <c r="BI25" s="114">
        <v>286</v>
      </c>
      <c r="BJ25" s="114">
        <v>551</v>
      </c>
      <c r="BK25" s="115">
        <f>SUM(BI25:BJ25)</f>
        <v>837</v>
      </c>
      <c r="BL25" s="8"/>
      <c r="BM25" s="44" t="str">
        <f>IF(BN20 &lt; BN22, "X^2 &lt; X^2(r-1)", "X^2 &gt; X^2(r-1)")</f>
        <v>X^2 &gt; X^2(r-1)</v>
      </c>
      <c r="BN25" s="75"/>
    </row>
    <row r="26" spans="1:66" x14ac:dyDescent="0.25">
      <c r="A26" s="74"/>
      <c r="B26" s="44"/>
      <c r="C26" s="44"/>
      <c r="D26" s="80" t="s">
        <v>25</v>
      </c>
      <c r="E26" s="80"/>
      <c r="F26" s="44"/>
      <c r="G26" s="44"/>
      <c r="H26" s="44"/>
      <c r="I26" s="44"/>
      <c r="J26" s="75"/>
      <c r="M26" s="74"/>
      <c r="N26" s="44"/>
      <c r="O26" s="44"/>
      <c r="P26" s="69" t="s">
        <v>143</v>
      </c>
      <c r="Q26" s="43">
        <f>_xlfn.CHISQ.INV.RT(Q20,Q19-1-Q22)</f>
        <v>9.4877290367811575</v>
      </c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75"/>
      <c r="AH26" s="78">
        <v>8</v>
      </c>
      <c r="AI26" s="43">
        <v>2</v>
      </c>
      <c r="AJ26" s="44"/>
      <c r="AK26" s="44"/>
      <c r="AL26" s="44"/>
      <c r="AM26" s="44"/>
      <c r="AN26" s="43">
        <f>AH26</f>
        <v>8</v>
      </c>
      <c r="AO26" s="43">
        <f t="shared" si="7"/>
        <v>2</v>
      </c>
      <c r="AP26" s="43">
        <f t="shared" si="8"/>
        <v>16</v>
      </c>
      <c r="AQ26" s="43">
        <f>_xlfn.POISSON.DIST(AN26,$AL$20,FALSE)</f>
        <v>6.826678686205713E-3</v>
      </c>
      <c r="AR26" s="87">
        <f>AQ26*$AL$17</f>
        <v>1.3653357372411425</v>
      </c>
      <c r="AS26" s="79">
        <f t="shared" si="3"/>
        <v>0.295018079023667</v>
      </c>
      <c r="AU26" s="104" t="s">
        <v>158</v>
      </c>
      <c r="AV26" s="3" t="s">
        <v>162</v>
      </c>
      <c r="AW26" s="2">
        <f>(AW20-AW21)^2/AW21</f>
        <v>1.172161172161172</v>
      </c>
      <c r="AX26" s="2">
        <f t="shared" ref="AX26" si="13">(AX20-AX21)^2/AX21</f>
        <v>0.27465321563682255</v>
      </c>
      <c r="AY26" s="2">
        <f>(AY20-AY21)^2/AY21</f>
        <v>8.3760683760683727E-2</v>
      </c>
      <c r="AZ26" s="9"/>
      <c r="BA26" s="9"/>
      <c r="BB26" s="44" t="str">
        <f>IF(BC21 &lt; BC23, "X^2 &lt; X^2(r-1)", "X^2 &gt; X^2(r-1)")</f>
        <v>X^2 &lt; X^2(r-1)</v>
      </c>
      <c r="BC26" s="44"/>
      <c r="BD26" s="75"/>
      <c r="BG26" s="123"/>
      <c r="BH26" s="116" t="s">
        <v>129</v>
      </c>
      <c r="BI26" s="117">
        <f>$BK25*BI$31/$BK$31</f>
        <v>267.67169373549882</v>
      </c>
      <c r="BJ26" s="117">
        <f>$BK25*BJ$31/$BK$31</f>
        <v>569.32830626450118</v>
      </c>
      <c r="BK26" s="114"/>
      <c r="BL26" s="8"/>
      <c r="BM26" s="94" t="str">
        <f>IF(BM25="X^2 &lt; X^2(r-1)","Tak Tolak H0","Tolak H0")</f>
        <v>Tolak H0</v>
      </c>
      <c r="BN26" s="75"/>
    </row>
    <row r="27" spans="1:66" ht="15.75" thickBot="1" x14ac:dyDescent="0.3">
      <c r="A27" s="74"/>
      <c r="B27" s="44"/>
      <c r="C27" s="44"/>
      <c r="D27" s="44" t="str">
        <f>IF(E22 &lt; E24, "X^2 &lt; X^2(r-1)", "X^2 &gt; X^2(r-1)")</f>
        <v>X^2 &lt; X^2(r-1)</v>
      </c>
      <c r="E27" s="44"/>
      <c r="F27" s="44"/>
      <c r="G27" s="44"/>
      <c r="H27" s="44"/>
      <c r="I27" s="44"/>
      <c r="J27" s="75"/>
      <c r="M27" s="7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75"/>
      <c r="AH27" s="74"/>
      <c r="AI27" s="44"/>
      <c r="AJ27" s="44"/>
      <c r="AK27" s="93" t="s">
        <v>25</v>
      </c>
      <c r="AL27" s="93"/>
      <c r="AM27" s="44"/>
      <c r="AN27" s="44"/>
      <c r="AO27" s="44"/>
      <c r="AP27" s="44"/>
      <c r="AQ27" s="44"/>
      <c r="AR27" s="44"/>
      <c r="AS27" s="75"/>
      <c r="AU27" s="105" t="s">
        <v>161</v>
      </c>
      <c r="AV27" s="106" t="s">
        <v>162</v>
      </c>
      <c r="AW27" s="54">
        <f>(AW22-AW23)^2/AW23</f>
        <v>0.73260073260073244</v>
      </c>
      <c r="AX27" s="54">
        <f>(AX22-AX23)^2/AX23</f>
        <v>0.17165825977301408</v>
      </c>
      <c r="AY27" s="54">
        <f>(AY22-AY23)^2/AY23</f>
        <v>5.2350427350427331E-2</v>
      </c>
      <c r="AZ27" s="26"/>
      <c r="BA27" s="26"/>
      <c r="BB27" s="83" t="str">
        <f>IF(BB26="X^2 &lt; X^2(r-1)","Tak Tolak H0","Tolak H0")</f>
        <v>Tak Tolak H0</v>
      </c>
      <c r="BC27" s="82"/>
      <c r="BD27" s="84"/>
      <c r="BG27" s="123" t="s">
        <v>170</v>
      </c>
      <c r="BH27" s="113" t="s">
        <v>166</v>
      </c>
      <c r="BI27" s="114">
        <v>40</v>
      </c>
      <c r="BJ27" s="114">
        <v>106</v>
      </c>
      <c r="BK27" s="115">
        <f>SUM(BI27:BJ27)</f>
        <v>146</v>
      </c>
      <c r="BL27" s="8"/>
      <c r="BM27" s="8"/>
      <c r="BN27" s="124"/>
    </row>
    <row r="28" spans="1:66" ht="15.75" thickBot="1" x14ac:dyDescent="0.3">
      <c r="A28" s="81"/>
      <c r="B28" s="82"/>
      <c r="C28" s="82"/>
      <c r="D28" s="83" t="str">
        <f>IF(D27="X^2 &lt; X^2(r-1)","Tak Tolak H0","Tolak H0")</f>
        <v>Tak Tolak H0</v>
      </c>
      <c r="E28" s="82"/>
      <c r="F28" s="82"/>
      <c r="G28" s="82"/>
      <c r="H28" s="82"/>
      <c r="I28" s="82"/>
      <c r="J28" s="84"/>
      <c r="M28" s="74"/>
      <c r="N28" s="44"/>
      <c r="O28" s="44"/>
      <c r="P28" s="93" t="s">
        <v>25</v>
      </c>
      <c r="Q28" s="93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75"/>
      <c r="AH28" s="74"/>
      <c r="AI28" s="44"/>
      <c r="AJ28" s="44"/>
      <c r="AK28" s="44" t="str">
        <f>IF(AL23 &lt; AL25, "X^2 &lt; X^2(r-1)", "X^2 &gt; X^2(r-1)")</f>
        <v>X^2 &lt; X^2(r-1)</v>
      </c>
      <c r="AL28" s="44"/>
      <c r="AM28" s="44"/>
      <c r="AN28" s="44"/>
      <c r="AO28" s="44"/>
      <c r="AP28" s="44"/>
      <c r="AQ28" s="44"/>
      <c r="AR28" s="44"/>
      <c r="AS28" s="75"/>
      <c r="BG28" s="123"/>
      <c r="BH28" s="116" t="s">
        <v>129</v>
      </c>
      <c r="BI28" s="117">
        <f>$BK27*BI$31/$BK$31</f>
        <v>46.690641918020106</v>
      </c>
      <c r="BJ28" s="117">
        <f>$BK27*BJ$31/$BK$31</f>
        <v>99.309358081979894</v>
      </c>
      <c r="BK28" s="114"/>
      <c r="BL28" s="8"/>
      <c r="BM28" s="8"/>
      <c r="BN28" s="124"/>
    </row>
    <row r="29" spans="1:66" x14ac:dyDescent="0.25">
      <c r="M29" s="74"/>
      <c r="N29" s="44"/>
      <c r="O29" s="44"/>
      <c r="P29" s="44" t="str">
        <f>IF(Q24 &lt; Q26, "X^2 &lt; X^2(r-1)", "X^2 &gt; X^2(r-1)")</f>
        <v>X^2 &gt; X^2(r-1)</v>
      </c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75"/>
      <c r="AH29" s="74"/>
      <c r="AI29" s="44"/>
      <c r="AJ29" s="44"/>
      <c r="AK29" s="94" t="str">
        <f>IF(AK28="X^2 &lt; X^2(r-1)","Tak Tolak H0","Tolak H0")</f>
        <v>Tak Tolak H0</v>
      </c>
      <c r="AL29" s="44"/>
      <c r="AM29" s="44"/>
      <c r="AN29" s="44"/>
      <c r="AO29" s="44"/>
      <c r="AP29" s="44"/>
      <c r="AQ29" s="44"/>
      <c r="AR29" s="44"/>
      <c r="AS29" s="75"/>
      <c r="BG29" s="123" t="s">
        <v>171</v>
      </c>
      <c r="BH29" s="113" t="s">
        <v>166</v>
      </c>
      <c r="BI29" s="114">
        <v>96</v>
      </c>
      <c r="BJ29" s="114">
        <v>235</v>
      </c>
      <c r="BK29" s="115">
        <f>SUM(BI29:BJ29)</f>
        <v>331</v>
      </c>
      <c r="BL29" s="8"/>
      <c r="BM29" s="8"/>
      <c r="BN29" s="124"/>
    </row>
    <row r="30" spans="1:66" ht="15.75" thickBot="1" x14ac:dyDescent="0.3">
      <c r="G30">
        <v>7.89</v>
      </c>
      <c r="M30" s="74"/>
      <c r="N30" s="44"/>
      <c r="O30" s="44"/>
      <c r="P30" s="94" t="str">
        <f>IF(P29="X^2 &lt; X^2(r-1)","Tak Tolak H0","Tolak H0")</f>
        <v>Tolak H0</v>
      </c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75"/>
      <c r="AH30" s="81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4"/>
      <c r="AU30" s="101" t="s">
        <v>154</v>
      </c>
      <c r="AV30" s="96"/>
      <c r="AW30" s="96" t="s">
        <v>155</v>
      </c>
      <c r="AX30" s="96"/>
      <c r="AY30" s="96"/>
      <c r="AZ30" s="96"/>
      <c r="BA30" s="9"/>
      <c r="BB30" s="97" t="s">
        <v>26</v>
      </c>
      <c r="BC30" s="2">
        <f>5/100</f>
        <v>0.05</v>
      </c>
      <c r="BD30" s="75"/>
      <c r="BG30" s="123"/>
      <c r="BH30" s="116" t="s">
        <v>129</v>
      </c>
      <c r="BI30" s="117">
        <f>$BK29*BI$31/$BK$31</f>
        <v>105.85344160866202</v>
      </c>
      <c r="BJ30" s="117">
        <f>$BK29*BJ$31/$BK$31</f>
        <v>225.14655839133798</v>
      </c>
      <c r="BK30" s="114"/>
      <c r="BL30" s="8"/>
      <c r="BM30" s="8"/>
      <c r="BN30" s="124"/>
    </row>
    <row r="31" spans="1:66" ht="15.75" thickBot="1" x14ac:dyDescent="0.3">
      <c r="G31">
        <f>_xlfn.CHISQ.INV.RT(E20,5)</f>
        <v>11.070497693516353</v>
      </c>
      <c r="M31" s="81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4"/>
      <c r="AU31" s="101"/>
      <c r="AV31" s="96"/>
      <c r="AW31" s="3" t="s">
        <v>212</v>
      </c>
      <c r="AX31" s="3" t="s">
        <v>213</v>
      </c>
      <c r="AZ31" s="5" t="s">
        <v>157</v>
      </c>
      <c r="BA31" s="9"/>
      <c r="BB31" s="97" t="s">
        <v>134</v>
      </c>
      <c r="BC31" s="2">
        <f>COUNTA(AW32:AX32)</f>
        <v>2</v>
      </c>
      <c r="BD31" s="75"/>
      <c r="BG31" s="125" t="s">
        <v>157</v>
      </c>
      <c r="BH31" s="118"/>
      <c r="BI31" s="115">
        <f>SUM(BI19,BI21,BI23,BI25,BI27,BI29)</f>
        <v>827</v>
      </c>
      <c r="BJ31" s="115">
        <f>SUM(BJ19,BJ21,BJ23,BJ25,BJ27,BJ29)</f>
        <v>1759</v>
      </c>
      <c r="BK31" s="115">
        <f>SUM(BI31:BJ31)</f>
        <v>2586</v>
      </c>
      <c r="BL31" s="8"/>
      <c r="BM31" s="8"/>
      <c r="BN31" s="124"/>
    </row>
    <row r="32" spans="1:66" x14ac:dyDescent="0.25">
      <c r="AU32" s="102" t="s">
        <v>210</v>
      </c>
      <c r="AV32" s="2" t="s">
        <v>159</v>
      </c>
      <c r="AW32" s="2">
        <v>109</v>
      </c>
      <c r="AX32" s="2">
        <v>1211</v>
      </c>
      <c r="AZ32" s="98">
        <f>SUM(AW32:AX32)</f>
        <v>1320</v>
      </c>
      <c r="BA32" s="9"/>
      <c r="BB32" s="9"/>
      <c r="BC32" s="9"/>
      <c r="BD32" s="75"/>
      <c r="BG32" s="126"/>
      <c r="BH32" s="8"/>
      <c r="BI32" s="8"/>
      <c r="BJ32" s="8"/>
      <c r="BK32" s="8"/>
      <c r="BL32" s="8"/>
      <c r="BM32" s="8"/>
      <c r="BN32" s="124"/>
    </row>
    <row r="33" spans="7:66" x14ac:dyDescent="0.25">
      <c r="G33" s="44" t="str">
        <f>IF(G30 &lt; G31, "X^2 &lt; X^2(r-1)", "X^2 &gt; X^2(r-1)")</f>
        <v>X^2 &lt; X^2(r-1)</v>
      </c>
      <c r="AU33" s="102"/>
      <c r="AV33" s="99" t="s">
        <v>160</v>
      </c>
      <c r="AW33" s="99">
        <f>$AZ32*AW$24/$AZ$24</f>
        <v>304.61538461538464</v>
      </c>
      <c r="AX33" s="99">
        <f t="shared" ref="AX33" si="14">$AZ32*AX$24/$AZ$24</f>
        <v>884.83516483516485</v>
      </c>
      <c r="AZ33" s="2"/>
      <c r="BA33" s="9"/>
      <c r="BB33" s="97" t="s">
        <v>131</v>
      </c>
      <c r="BC33" s="2">
        <f>SUM(AW38:AX39)</f>
        <v>4274.2205875766949</v>
      </c>
      <c r="BD33" s="75"/>
      <c r="BG33" s="127" t="s">
        <v>165</v>
      </c>
      <c r="BH33" s="3" t="s">
        <v>162</v>
      </c>
      <c r="BI33" s="4">
        <f>(BI19-BI20)^2/BI20</f>
        <v>3.5713596006424222</v>
      </c>
      <c r="BJ33" s="4">
        <f>(BJ19-BJ20)^2/BJ20</f>
        <v>1.6790872028034582</v>
      </c>
      <c r="BK33" s="8"/>
      <c r="BL33" s="8"/>
      <c r="BM33" s="8"/>
      <c r="BN33" s="124"/>
    </row>
    <row r="34" spans="7:66" ht="15.75" thickBot="1" x14ac:dyDescent="0.3">
      <c r="G34" s="83" t="str">
        <f>IF(G33="X^2 &lt; X^2(r-1)","Tak Tolak H0","Tolak H0")</f>
        <v>Tak Tolak H0</v>
      </c>
      <c r="AU34" s="102" t="s">
        <v>211</v>
      </c>
      <c r="AV34" s="2" t="s">
        <v>159</v>
      </c>
      <c r="AW34" s="2">
        <v>81</v>
      </c>
      <c r="AX34" s="2">
        <v>10778</v>
      </c>
      <c r="AZ34" s="98">
        <f>SUM(AW34:AX34)</f>
        <v>10859</v>
      </c>
      <c r="BA34" s="9"/>
      <c r="BB34" s="9"/>
      <c r="BC34" s="9"/>
      <c r="BD34" s="75"/>
      <c r="BG34" s="127" t="s">
        <v>167</v>
      </c>
      <c r="BH34" s="3" t="s">
        <v>162</v>
      </c>
      <c r="BI34" s="4">
        <f>(BI21-BI22)^2/BI22</f>
        <v>2.2181778664367209</v>
      </c>
      <c r="BJ34" s="4">
        <f>(BJ21-BJ22)^2/BJ22</f>
        <v>1.0428840793309653</v>
      </c>
      <c r="BK34" s="8"/>
      <c r="BL34" s="8"/>
      <c r="BM34" s="8"/>
      <c r="BN34" s="124"/>
    </row>
    <row r="35" spans="7:66" x14ac:dyDescent="0.25">
      <c r="AU35" s="102"/>
      <c r="AV35" s="99" t="s">
        <v>160</v>
      </c>
      <c r="AW35" s="99">
        <f>$AZ34*AW$24/$AZ$24</f>
        <v>2505.9230769230771</v>
      </c>
      <c r="AX35" s="99">
        <f t="shared" ref="AX35" si="15">$AZ34*AX$24/$AZ$24</f>
        <v>7279.1098901098903</v>
      </c>
      <c r="AZ35" s="2"/>
      <c r="BA35" s="9"/>
      <c r="BB35" s="97" t="s">
        <v>130</v>
      </c>
      <c r="BC35" s="2">
        <f>_xlfn.CHISQ.INV.RT(BC30,BC31-1)</f>
        <v>3.8414588206941236</v>
      </c>
      <c r="BD35" s="75"/>
      <c r="BG35" s="127" t="s">
        <v>168</v>
      </c>
      <c r="BH35" s="3" t="s">
        <v>162</v>
      </c>
      <c r="BI35" s="4">
        <f>(BI23-BI24)^2/BI24</f>
        <v>1.1559181727686141</v>
      </c>
      <c r="BJ35" s="4">
        <f>(BJ23-BJ24)^2/BJ24</f>
        <v>0.54345897036932511</v>
      </c>
      <c r="BK35" s="8"/>
      <c r="BL35" s="8"/>
      <c r="BM35" s="8"/>
      <c r="BN35" s="124"/>
    </row>
    <row r="36" spans="7:66" x14ac:dyDescent="0.25">
      <c r="AU36" s="103" t="s">
        <v>157</v>
      </c>
      <c r="AV36" s="100"/>
      <c r="AW36" s="98">
        <f>SUM(AW32,AW34)</f>
        <v>190</v>
      </c>
      <c r="AX36" s="98">
        <f t="shared" ref="AX36:AZ36" si="16">SUM(AX32,AX34)</f>
        <v>11989</v>
      </c>
      <c r="AZ36" s="98">
        <f t="shared" si="16"/>
        <v>12179</v>
      </c>
      <c r="BA36" s="9"/>
      <c r="BB36" s="9"/>
      <c r="BC36" s="9"/>
      <c r="BD36" s="75"/>
      <c r="BG36" s="127" t="s">
        <v>169</v>
      </c>
      <c r="BH36" s="3" t="s">
        <v>162</v>
      </c>
      <c r="BI36" s="4">
        <f>(BI25-BI26)^2/BI26</f>
        <v>1.254995647232318</v>
      </c>
      <c r="BJ36" s="4">
        <f>(BJ25-BJ26)^2/BJ26</f>
        <v>0.59004059139347753</v>
      </c>
      <c r="BK36" s="8"/>
      <c r="BL36" s="8"/>
      <c r="BM36" s="8"/>
      <c r="BN36" s="124"/>
    </row>
    <row r="37" spans="7:66" x14ac:dyDescent="0.25">
      <c r="AU37" s="14"/>
      <c r="AV37" s="9"/>
      <c r="AW37" s="9"/>
      <c r="AX37" s="9"/>
      <c r="AZ37" s="9"/>
      <c r="BA37" s="9"/>
      <c r="BB37" s="80" t="s">
        <v>25</v>
      </c>
      <c r="BC37" s="80"/>
      <c r="BD37" s="75"/>
      <c r="BG37" s="127" t="s">
        <v>170</v>
      </c>
      <c r="BH37" s="3" t="s">
        <v>162</v>
      </c>
      <c r="BI37" s="4">
        <f>(BI27-BI28)^2/BI28</f>
        <v>0.95875077823444876</v>
      </c>
      <c r="BJ37" s="4">
        <f>(BJ27-BJ28)^2/BJ28</f>
        <v>0.45076003047179597</v>
      </c>
      <c r="BK37" s="8"/>
      <c r="BL37" s="8"/>
      <c r="BM37" s="8"/>
      <c r="BN37" s="124"/>
    </row>
    <row r="38" spans="7:66" ht="15.75" thickBot="1" x14ac:dyDescent="0.3">
      <c r="AU38" s="104" t="s">
        <v>158</v>
      </c>
      <c r="AV38" s="3" t="s">
        <v>162</v>
      </c>
      <c r="AW38" s="2">
        <f>(AW32-AW33)^2/AW33</f>
        <v>125.61866744366748</v>
      </c>
      <c r="AX38" s="2">
        <f>(AX32-AX33)^2/AX33</f>
        <v>120.22973761211466</v>
      </c>
      <c r="AZ38" s="9"/>
      <c r="BA38" s="9"/>
      <c r="BB38" s="44" t="str">
        <f>IF(BC33 &lt; BC35, "X^2 &lt; X^2(r-1)", "X^2 &gt; X^2(r-1)")</f>
        <v>X^2 &gt; X^2(r-1)</v>
      </c>
      <c r="BC38" s="44"/>
      <c r="BD38" s="75"/>
      <c r="BG38" s="128" t="s">
        <v>171</v>
      </c>
      <c r="BH38" s="106" t="s">
        <v>162</v>
      </c>
      <c r="BI38" s="38">
        <f>(BI29-BI30)^2/BI30</f>
        <v>0.91721450016006967</v>
      </c>
      <c r="BJ38" s="38">
        <f>(BJ29-BJ30)^2/BJ30</f>
        <v>0.43123160411164158</v>
      </c>
      <c r="BK38" s="129"/>
      <c r="BL38" s="129"/>
      <c r="BM38" s="129"/>
      <c r="BN38" s="130"/>
    </row>
    <row r="39" spans="7:66" ht="15.75" thickBot="1" x14ac:dyDescent="0.3">
      <c r="AU39" s="105" t="s">
        <v>161</v>
      </c>
      <c r="AV39" s="106" t="s">
        <v>162</v>
      </c>
      <c r="AW39" s="54">
        <f>(AW34-AW35)^2/AW35</f>
        <v>2346.5412738104515</v>
      </c>
      <c r="AX39" s="54">
        <f>(AX34-AX35)^2/AX35</f>
        <v>1681.8309087104615</v>
      </c>
      <c r="AZ39" s="26"/>
      <c r="BA39" s="26"/>
      <c r="BB39" s="83" t="str">
        <f>IF(BB38="X^2 &lt; X^2(r-1)","Tak Tolak H0","Tolak H0")</f>
        <v>Tolak H0</v>
      </c>
      <c r="BC39" s="82"/>
      <c r="BD39" s="84"/>
    </row>
    <row r="42" spans="7:66" x14ac:dyDescent="0.25">
      <c r="BG42" s="119" t="s">
        <v>164</v>
      </c>
      <c r="BH42" s="107"/>
      <c r="BI42" s="108" t="s">
        <v>154</v>
      </c>
      <c r="BJ42" s="109"/>
      <c r="BK42" s="110"/>
      <c r="BL42" s="8"/>
      <c r="BM42" s="97" t="s">
        <v>26</v>
      </c>
      <c r="BN42" s="50">
        <f>5/100</f>
        <v>0.05</v>
      </c>
    </row>
    <row r="43" spans="7:66" x14ac:dyDescent="0.25">
      <c r="BG43" s="119"/>
      <c r="BH43" s="107"/>
      <c r="BI43" s="111" t="s">
        <v>210</v>
      </c>
      <c r="BJ43" s="111" t="s">
        <v>214</v>
      </c>
      <c r="BK43" s="112" t="s">
        <v>157</v>
      </c>
      <c r="BL43" s="8"/>
      <c r="BM43" s="97" t="s">
        <v>134</v>
      </c>
      <c r="BN43" s="50">
        <f>COUNTA(BH44,BH46,#REF!,#REF!,#REF!,#REF!)</f>
        <v>6</v>
      </c>
    </row>
    <row r="44" spans="7:66" x14ac:dyDescent="0.25">
      <c r="BG44" s="120" t="s">
        <v>212</v>
      </c>
      <c r="BH44" s="113" t="s">
        <v>166</v>
      </c>
      <c r="BI44" s="114">
        <v>109</v>
      </c>
      <c r="BJ44" s="114">
        <v>81</v>
      </c>
      <c r="BK44" s="115">
        <f>SUM(BI44:BJ44)</f>
        <v>190</v>
      </c>
      <c r="BL44" s="8"/>
      <c r="BM44" s="9"/>
      <c r="BN44" s="15"/>
    </row>
    <row r="45" spans="7:66" x14ac:dyDescent="0.25">
      <c r="BG45" s="121"/>
      <c r="BH45" s="116" t="s">
        <v>129</v>
      </c>
      <c r="BI45" s="117">
        <f>$BK44*BI$31/$BK$31</f>
        <v>60.761794276875484</v>
      </c>
      <c r="BJ45" s="117">
        <f>$BK44*BJ$31/$BK$31</f>
        <v>129.23820572312451</v>
      </c>
      <c r="BK45" s="114"/>
      <c r="BL45" s="8"/>
      <c r="BM45" s="97" t="s">
        <v>131</v>
      </c>
      <c r="BN45" s="50">
        <f>SUM(BI50:BJ51)</f>
        <v>2694.5889705604241</v>
      </c>
    </row>
    <row r="46" spans="7:66" x14ac:dyDescent="0.25">
      <c r="BG46" s="120" t="s">
        <v>208</v>
      </c>
      <c r="BH46" s="113" t="s">
        <v>166</v>
      </c>
      <c r="BI46" s="114">
        <v>1211</v>
      </c>
      <c r="BJ46" s="114">
        <v>10778</v>
      </c>
      <c r="BK46" s="115">
        <f>SUM(BI46:BJ46)</f>
        <v>11989</v>
      </c>
      <c r="BL46" s="8"/>
      <c r="BM46" s="9"/>
      <c r="BN46" s="15"/>
    </row>
    <row r="47" spans="7:66" x14ac:dyDescent="0.25">
      <c r="BG47" s="121"/>
      <c r="BH47" s="116" t="s">
        <v>129</v>
      </c>
      <c r="BI47" s="117">
        <f>$BK46*BI$31/$BK$31</f>
        <v>3834.0692188708431</v>
      </c>
      <c r="BJ47" s="117">
        <f>$BK46*BJ$31/$BK$31</f>
        <v>8154.9307811291574</v>
      </c>
      <c r="BK47" s="114"/>
      <c r="BL47" s="8"/>
      <c r="BM47" s="97" t="s">
        <v>130</v>
      </c>
      <c r="BN47" s="50">
        <f>_xlfn.CHISQ.INV.RT(BN42,BN43-1)</f>
        <v>11.070497693516353</v>
      </c>
    </row>
    <row r="48" spans="7:66" x14ac:dyDescent="0.25">
      <c r="BG48" s="125" t="s">
        <v>157</v>
      </c>
      <c r="BH48" s="118"/>
      <c r="BI48" s="115">
        <f>SUM(BI44,BI46)</f>
        <v>1320</v>
      </c>
      <c r="BJ48" s="115">
        <f>SUM(BJ44,BJ46)</f>
        <v>10859</v>
      </c>
      <c r="BK48" s="115">
        <f>SUM(BI48:BJ48)</f>
        <v>12179</v>
      </c>
      <c r="BL48" s="8"/>
      <c r="BM48" s="9"/>
      <c r="BN48" s="15"/>
    </row>
    <row r="49" spans="59:66" x14ac:dyDescent="0.25">
      <c r="BG49" s="126"/>
      <c r="BH49" s="8"/>
      <c r="BI49" s="8"/>
      <c r="BJ49" s="8"/>
      <c r="BK49" s="8"/>
      <c r="BL49" s="8"/>
      <c r="BM49" s="80" t="s">
        <v>25</v>
      </c>
      <c r="BN49" s="122"/>
    </row>
    <row r="50" spans="59:66" x14ac:dyDescent="0.25">
      <c r="BG50" s="127" t="s">
        <v>165</v>
      </c>
      <c r="BH50" s="3" t="s">
        <v>162</v>
      </c>
      <c r="BI50" s="4">
        <f>(BI44-BI45)^2/BI45</f>
        <v>38.295848881343119</v>
      </c>
      <c r="BJ50" s="4">
        <f>(BJ44-BJ45)^2/BJ45</f>
        <v>18.004927245520612</v>
      </c>
      <c r="BK50" s="8"/>
      <c r="BL50" s="8"/>
      <c r="BM50" s="44" t="str">
        <f>IF(BN45 &lt; BN47, "X^2 &lt; X^2(r-1)", "X^2 &gt; X^2(r-1)")</f>
        <v>X^2 &gt; X^2(r-1)</v>
      </c>
      <c r="BN50" s="75"/>
    </row>
    <row r="51" spans="59:66" x14ac:dyDescent="0.25">
      <c r="BG51" s="127" t="s">
        <v>167</v>
      </c>
      <c r="BH51" s="3" t="s">
        <v>162</v>
      </c>
      <c r="BI51" s="4">
        <f>(BI46-BI47)^2/BI47</f>
        <v>1794.5664864689224</v>
      </c>
      <c r="BJ51" s="4">
        <f>(BJ46-BJ47)^2/BJ47</f>
        <v>843.72170796463809</v>
      </c>
      <c r="BK51" s="8"/>
      <c r="BL51" s="8"/>
      <c r="BM51" s="94" t="str">
        <f>IF(BM50="X^2 &lt; X^2(r-1)","Tak Tolak H0","Tolak H0")</f>
        <v>Tolak H0</v>
      </c>
      <c r="BN51" s="75"/>
    </row>
    <row r="52" spans="59:66" x14ac:dyDescent="0.25">
      <c r="BL52" s="8"/>
      <c r="BM52" s="8"/>
      <c r="BN52" s="124"/>
    </row>
    <row r="53" spans="59:66" x14ac:dyDescent="0.25">
      <c r="BL53" s="8"/>
      <c r="BM53" s="8"/>
      <c r="BN53" s="124"/>
    </row>
    <row r="54" spans="59:66" x14ac:dyDescent="0.25">
      <c r="BL54" s="8"/>
      <c r="BM54" s="8"/>
      <c r="BN54" s="124"/>
    </row>
    <row r="55" spans="59:66" x14ac:dyDescent="0.25">
      <c r="BL55" s="8"/>
      <c r="BM55" s="8"/>
      <c r="BN55" s="124"/>
    </row>
    <row r="56" spans="59:66" x14ac:dyDescent="0.25">
      <c r="BL56" s="8"/>
      <c r="BM56" s="8"/>
      <c r="BN56" s="124"/>
    </row>
    <row r="57" spans="59:66" x14ac:dyDescent="0.25">
      <c r="BL57" s="8"/>
      <c r="BM57" s="8"/>
      <c r="BN57" s="124"/>
    </row>
    <row r="58" spans="59:66" x14ac:dyDescent="0.25">
      <c r="BL58" s="8"/>
      <c r="BM58" s="8"/>
      <c r="BN58" s="124"/>
    </row>
    <row r="59" spans="59:66" x14ac:dyDescent="0.25">
      <c r="BL59" s="8"/>
      <c r="BM59" s="8"/>
      <c r="BN59" s="124"/>
    </row>
    <row r="60" spans="59:66" x14ac:dyDescent="0.25">
      <c r="BL60" s="8"/>
      <c r="BM60" s="8"/>
      <c r="BN60" s="124"/>
    </row>
    <row r="61" spans="59:66" x14ac:dyDescent="0.25">
      <c r="BL61" s="8"/>
      <c r="BM61" s="8"/>
      <c r="BN61" s="124"/>
    </row>
    <row r="62" spans="59:66" x14ac:dyDescent="0.25">
      <c r="BL62" s="8"/>
      <c r="BM62" s="8"/>
      <c r="BN62" s="124"/>
    </row>
    <row r="63" spans="59:66" ht="15.75" thickBot="1" x14ac:dyDescent="0.3">
      <c r="BL63" s="129"/>
      <c r="BM63" s="129"/>
      <c r="BN63" s="130"/>
    </row>
  </sheetData>
  <mergeCells count="34">
    <mergeCell ref="BG48:BH48"/>
    <mergeCell ref="BI42:BK42"/>
    <mergeCell ref="BG44:BG45"/>
    <mergeCell ref="BG46:BG47"/>
    <mergeCell ref="BM49:BN49"/>
    <mergeCell ref="AW30:AZ30"/>
    <mergeCell ref="AU32:AU33"/>
    <mergeCell ref="AU34:AU35"/>
    <mergeCell ref="AU36:AV36"/>
    <mergeCell ref="BB37:BC37"/>
    <mergeCell ref="BG42:BH43"/>
    <mergeCell ref="BG25:BG26"/>
    <mergeCell ref="BG27:BG28"/>
    <mergeCell ref="BG29:BG30"/>
    <mergeCell ref="BG31:BH31"/>
    <mergeCell ref="BO1:BR6"/>
    <mergeCell ref="BG17:BH18"/>
    <mergeCell ref="BI17:BK17"/>
    <mergeCell ref="BG19:BG20"/>
    <mergeCell ref="BG21:BG22"/>
    <mergeCell ref="BG23:BG24"/>
    <mergeCell ref="BM24:BN24"/>
    <mergeCell ref="AW18:AZ18"/>
    <mergeCell ref="AU20:AU21"/>
    <mergeCell ref="AU22:AU23"/>
    <mergeCell ref="AU24:AV24"/>
    <mergeCell ref="BB25:BC25"/>
    <mergeCell ref="AZ1:BB6"/>
    <mergeCell ref="D26:E26"/>
    <mergeCell ref="E2:G7"/>
    <mergeCell ref="M2:O7"/>
    <mergeCell ref="AH2:AJ7"/>
    <mergeCell ref="AU18:AV19"/>
    <mergeCell ref="AU30:AV3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6FCD1-BF0F-4C63-A4CF-B0BA5057FD60}">
  <dimension ref="A11:Q41"/>
  <sheetViews>
    <sheetView zoomScale="174" zoomScaleNormal="130" workbookViewId="0">
      <selection activeCell="H25" sqref="H25"/>
    </sheetView>
  </sheetViews>
  <sheetFormatPr defaultRowHeight="15" x14ac:dyDescent="0.25"/>
  <cols>
    <col min="6" max="6" width="11" bestFit="1" customWidth="1"/>
    <col min="7" max="7" width="10.5703125" bestFit="1" customWidth="1"/>
    <col min="10" max="10" width="9.140625" style="90"/>
  </cols>
  <sheetData>
    <row r="11" spans="11:17" x14ac:dyDescent="0.25">
      <c r="K11" t="s">
        <v>27</v>
      </c>
    </row>
    <row r="12" spans="11:17" x14ac:dyDescent="0.25">
      <c r="P12" t="s">
        <v>4</v>
      </c>
      <c r="Q12">
        <v>20</v>
      </c>
    </row>
    <row r="13" spans="11:17" x14ac:dyDescent="0.25">
      <c r="P13" t="s">
        <v>67</v>
      </c>
      <c r="Q13">
        <v>15</v>
      </c>
    </row>
    <row r="14" spans="11:17" x14ac:dyDescent="0.25">
      <c r="P14" t="s">
        <v>68</v>
      </c>
      <c r="Q14">
        <v>3</v>
      </c>
    </row>
    <row r="15" spans="11:17" x14ac:dyDescent="0.25">
      <c r="P15" t="s">
        <v>174</v>
      </c>
      <c r="Q15">
        <v>2</v>
      </c>
    </row>
    <row r="16" spans="11:17" x14ac:dyDescent="0.25">
      <c r="P16" t="s">
        <v>175</v>
      </c>
      <c r="Q16">
        <v>0.7</v>
      </c>
    </row>
    <row r="17" spans="1:17" x14ac:dyDescent="0.25">
      <c r="H17">
        <v>140</v>
      </c>
      <c r="P17" t="s">
        <v>176</v>
      </c>
      <c r="Q17">
        <v>0.25</v>
      </c>
    </row>
    <row r="18" spans="1:17" x14ac:dyDescent="0.25">
      <c r="H18">
        <f>H21-H17</f>
        <v>110</v>
      </c>
      <c r="I18">
        <f>H17-H18</f>
        <v>30</v>
      </c>
      <c r="P18" t="s">
        <v>177</v>
      </c>
      <c r="Q18">
        <v>0.05</v>
      </c>
    </row>
    <row r="19" spans="1:17" x14ac:dyDescent="0.25">
      <c r="A19" t="s">
        <v>27</v>
      </c>
    </row>
    <row r="20" spans="1:17" x14ac:dyDescent="0.25">
      <c r="E20" t="s">
        <v>115</v>
      </c>
      <c r="F20">
        <v>3</v>
      </c>
      <c r="H20">
        <v>110</v>
      </c>
    </row>
    <row r="21" spans="1:17" x14ac:dyDescent="0.25">
      <c r="E21" t="s">
        <v>4</v>
      </c>
      <c r="F21">
        <v>5</v>
      </c>
      <c r="H21">
        <v>250</v>
      </c>
    </row>
    <row r="22" spans="1:17" x14ac:dyDescent="0.25">
      <c r="E22" t="s">
        <v>22</v>
      </c>
      <c r="F22">
        <f>1/6</f>
        <v>0.16666666666666666</v>
      </c>
      <c r="H22">
        <f>1/2</f>
        <v>0.5</v>
      </c>
      <c r="K22" t="s">
        <v>28</v>
      </c>
    </row>
    <row r="23" spans="1:17" x14ac:dyDescent="0.25">
      <c r="P23" t="s">
        <v>4</v>
      </c>
      <c r="Q23">
        <v>10</v>
      </c>
    </row>
    <row r="24" spans="1:17" x14ac:dyDescent="0.25">
      <c r="A24" s="9"/>
      <c r="B24" s="9"/>
      <c r="C24" s="9"/>
      <c r="D24" s="9"/>
      <c r="E24" s="9"/>
      <c r="F24" s="9"/>
      <c r="H24" s="43">
        <f>_xlfn.BINOM.DIST(H20,H21,H22,FALSE)</f>
        <v>8.3571817249181949E-3</v>
      </c>
      <c r="P24" t="s">
        <v>67</v>
      </c>
      <c r="Q24">
        <v>4</v>
      </c>
    </row>
    <row r="25" spans="1:17" x14ac:dyDescent="0.25">
      <c r="A25" s="9"/>
      <c r="B25" s="9"/>
      <c r="C25" s="9"/>
      <c r="D25" s="8"/>
      <c r="E25" s="9"/>
      <c r="F25" s="9"/>
      <c r="P25" t="s">
        <v>68</v>
      </c>
      <c r="Q25">
        <v>1</v>
      </c>
    </row>
    <row r="26" spans="1:17" x14ac:dyDescent="0.25">
      <c r="A26" s="23" t="s">
        <v>16</v>
      </c>
      <c r="B26" s="9" t="s">
        <v>17</v>
      </c>
      <c r="C26" s="9" t="s">
        <v>18</v>
      </c>
      <c r="D26" s="9" t="s">
        <v>19</v>
      </c>
      <c r="E26" s="24" t="s">
        <v>20</v>
      </c>
      <c r="F26" s="9"/>
      <c r="G26" s="132" t="s">
        <v>173</v>
      </c>
      <c r="P26" t="s">
        <v>174</v>
      </c>
      <c r="Q26">
        <v>5</v>
      </c>
    </row>
    <row r="27" spans="1:17" x14ac:dyDescent="0.25">
      <c r="A27" s="4">
        <v>0</v>
      </c>
      <c r="B27" s="2">
        <f ca="1">COMBIN($E$22,$D27)</f>
        <v>1</v>
      </c>
      <c r="C27" s="2">
        <f ca="1">$E$23^$D27</f>
        <v>1</v>
      </c>
      <c r="D27" s="2">
        <f ca="1">(1-$E$23)^($E$22-$D27)</f>
        <v>7.8125E-3</v>
      </c>
      <c r="E27" s="5">
        <f ca="1">B27*C27*D27</f>
        <v>7.8125E-3</v>
      </c>
      <c r="F27" s="131" t="s">
        <v>15</v>
      </c>
      <c r="G27" s="43">
        <f>_xlfn.BINOM.DIST(F20,F21,F22,FALSE)</f>
        <v>3.2150205761316865E-2</v>
      </c>
      <c r="P27" t="s">
        <v>175</v>
      </c>
      <c r="Q27">
        <v>0.4</v>
      </c>
    </row>
    <row r="28" spans="1:17" x14ac:dyDescent="0.25">
      <c r="A28" s="4">
        <v>1</v>
      </c>
      <c r="B28" s="2">
        <f t="shared" ref="B28:B29" ca="1" si="0">COMBIN($E$22,$D28)</f>
        <v>7</v>
      </c>
      <c r="C28" s="2">
        <f ca="1">$E$23^$D28</f>
        <v>0.5</v>
      </c>
      <c r="D28" s="2">
        <f ca="1">(1-$E$23)^($E$22-$D28)</f>
        <v>1.5625E-2</v>
      </c>
      <c r="E28" s="5">
        <f ca="1">B28*C28*D28</f>
        <v>5.46875E-2</v>
      </c>
      <c r="F28" s="6" t="s">
        <v>21</v>
      </c>
      <c r="P28" t="s">
        <v>176</v>
      </c>
      <c r="Q28">
        <v>0.1</v>
      </c>
    </row>
    <row r="29" spans="1:17" x14ac:dyDescent="0.25">
      <c r="A29" s="4">
        <v>2</v>
      </c>
      <c r="B29" s="2">
        <f t="shared" ca="1" si="0"/>
        <v>21</v>
      </c>
      <c r="C29" s="2">
        <f ca="1">$E$23^$D29</f>
        <v>0.25</v>
      </c>
      <c r="D29" s="2">
        <f ca="1">(1-$E$23)^($E$22-$D29)</f>
        <v>3.125E-2</v>
      </c>
      <c r="E29" s="5">
        <f ca="1">B29*C29*D29</f>
        <v>0.1640625</v>
      </c>
      <c r="F29" s="7" t="s">
        <v>23</v>
      </c>
      <c r="P29" t="s">
        <v>177</v>
      </c>
      <c r="Q29">
        <v>0.5</v>
      </c>
    </row>
    <row r="31" spans="1:17" x14ac:dyDescent="0.25">
      <c r="A31" t="s">
        <v>28</v>
      </c>
    </row>
    <row r="32" spans="1:17" x14ac:dyDescent="0.25">
      <c r="E32" t="s">
        <v>115</v>
      </c>
      <c r="F32">
        <v>2</v>
      </c>
    </row>
    <row r="33" spans="1:7" x14ac:dyDescent="0.25">
      <c r="E33" t="s">
        <v>4</v>
      </c>
      <c r="F33">
        <v>4</v>
      </c>
    </row>
    <row r="34" spans="1:7" x14ac:dyDescent="0.25">
      <c r="E34" t="s">
        <v>22</v>
      </c>
      <c r="F34">
        <f>3/4</f>
        <v>0.75</v>
      </c>
    </row>
    <row r="38" spans="1:7" x14ac:dyDescent="0.25">
      <c r="A38" s="23" t="s">
        <v>16</v>
      </c>
      <c r="B38" s="9" t="s">
        <v>17</v>
      </c>
      <c r="C38" s="9" t="s">
        <v>18</v>
      </c>
      <c r="D38" s="9" t="s">
        <v>19</v>
      </c>
      <c r="E38" s="24" t="s">
        <v>20</v>
      </c>
      <c r="F38" s="9"/>
      <c r="G38" s="132" t="s">
        <v>173</v>
      </c>
    </row>
    <row r="39" spans="1:7" x14ac:dyDescent="0.25">
      <c r="A39" s="4">
        <v>0</v>
      </c>
      <c r="B39" s="2">
        <f ca="1">COMBIN($E$22,$D39)</f>
        <v>1</v>
      </c>
      <c r="C39" s="2">
        <f ca="1">$E$23^$D39</f>
        <v>1</v>
      </c>
      <c r="D39" s="2">
        <f ca="1">(1-$E$23)^($E$22-$D39)</f>
        <v>7.8125E-3</v>
      </c>
      <c r="E39" s="5">
        <f ca="1">B39*C39*D39</f>
        <v>7.8125E-3</v>
      </c>
      <c r="F39" s="131" t="s">
        <v>15</v>
      </c>
      <c r="G39" s="43">
        <f>_xlfn.BINOM.DIST(F32,F33,F34,FALSE)</f>
        <v>0.21093749999999997</v>
      </c>
    </row>
    <row r="40" spans="1:7" x14ac:dyDescent="0.25">
      <c r="A40" s="4">
        <v>1</v>
      </c>
      <c r="B40" s="2">
        <f t="shared" ref="B40:B41" ca="1" si="1">COMBIN($E$22,$D40)</f>
        <v>7</v>
      </c>
      <c r="C40" s="2">
        <f ca="1">$E$23^$D40</f>
        <v>0.5</v>
      </c>
      <c r="D40" s="2">
        <f ca="1">(1-$E$23)^($E$22-$D40)</f>
        <v>1.5625E-2</v>
      </c>
      <c r="E40" s="5">
        <f ca="1">B40*C40*D40</f>
        <v>5.46875E-2</v>
      </c>
      <c r="F40" s="6" t="s">
        <v>21</v>
      </c>
    </row>
    <row r="41" spans="1:7" x14ac:dyDescent="0.25">
      <c r="A41" s="4">
        <v>2</v>
      </c>
      <c r="B41" s="2">
        <f t="shared" ca="1" si="1"/>
        <v>21</v>
      </c>
      <c r="C41" s="2">
        <f ca="1">$E$23^$D41</f>
        <v>0.25</v>
      </c>
      <c r="D41" s="2">
        <f ca="1">(1-$E$23)^($E$22-$D41)</f>
        <v>3.125E-2</v>
      </c>
      <c r="E41" s="5">
        <f ca="1">B41*C41*D41</f>
        <v>0.1640625</v>
      </c>
      <c r="F41" s="7" t="s">
        <v>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D6BD0-BA6B-4DC4-8DE6-6B36BD951A9B}">
  <dimension ref="A8:O85"/>
  <sheetViews>
    <sheetView tabSelected="1" topLeftCell="I2" zoomScale="173" zoomScaleNormal="145" workbookViewId="0">
      <selection activeCell="N4" sqref="N4"/>
    </sheetView>
  </sheetViews>
  <sheetFormatPr defaultRowHeight="15" x14ac:dyDescent="0.25"/>
  <cols>
    <col min="14" max="14" width="13.140625" customWidth="1"/>
    <col min="15" max="15" width="11.85546875" customWidth="1"/>
  </cols>
  <sheetData>
    <row r="8" spans="11:15" x14ac:dyDescent="0.25">
      <c r="K8" t="s">
        <v>215</v>
      </c>
      <c r="L8" t="s">
        <v>216</v>
      </c>
      <c r="M8">
        <v>1.4E-3</v>
      </c>
      <c r="N8">
        <v>1.402E-3</v>
      </c>
    </row>
    <row r="9" spans="11:15" x14ac:dyDescent="0.25">
      <c r="L9" t="s">
        <v>214</v>
      </c>
      <c r="M9">
        <v>1E-4</v>
      </c>
      <c r="N9">
        <f>M9*14</f>
        <v>1.4E-3</v>
      </c>
      <c r="O9">
        <f>M9*14.02</f>
        <v>1.402E-3</v>
      </c>
    </row>
    <row r="10" spans="11:15" x14ac:dyDescent="0.25">
      <c r="K10" t="s">
        <v>217</v>
      </c>
      <c r="L10" t="s">
        <v>216</v>
      </c>
      <c r="M10">
        <v>6.6899999999999998E-3</v>
      </c>
    </row>
    <row r="11" spans="11:15" x14ac:dyDescent="0.25">
      <c r="L11" t="s">
        <v>214</v>
      </c>
      <c r="M11">
        <v>4.13E-3</v>
      </c>
      <c r="N11">
        <f>M11*3</f>
        <v>1.239E-2</v>
      </c>
      <c r="O11">
        <f>M11*1.62</f>
        <v>6.6906000000000005E-3</v>
      </c>
    </row>
    <row r="13" spans="11:15" x14ac:dyDescent="0.25">
      <c r="L13" t="s">
        <v>212</v>
      </c>
    </row>
    <row r="14" spans="11:15" x14ac:dyDescent="0.25">
      <c r="L14" t="s">
        <v>219</v>
      </c>
      <c r="M14" t="s">
        <v>217</v>
      </c>
      <c r="N14" t="s">
        <v>220</v>
      </c>
    </row>
    <row r="15" spans="11:15" x14ac:dyDescent="0.25">
      <c r="K15" t="s">
        <v>216</v>
      </c>
      <c r="L15">
        <v>1.4E-3</v>
      </c>
      <c r="M15">
        <v>6.6899999999999998E-3</v>
      </c>
      <c r="N15">
        <f>SUM(L15:M15)</f>
        <v>8.09E-3</v>
      </c>
    </row>
    <row r="16" spans="11:15" x14ac:dyDescent="0.25">
      <c r="K16" t="s">
        <v>214</v>
      </c>
      <c r="L16">
        <v>1E-4</v>
      </c>
      <c r="M16">
        <v>4.13E-3</v>
      </c>
      <c r="N16">
        <f>SUM(L16:M16)</f>
        <v>4.2300000000000003E-3</v>
      </c>
    </row>
    <row r="17" spans="1:11" x14ac:dyDescent="0.25">
      <c r="K17" t="s">
        <v>220</v>
      </c>
    </row>
    <row r="29" spans="1:11" x14ac:dyDescent="0.25">
      <c r="A29" t="s">
        <v>27</v>
      </c>
    </row>
    <row r="45" spans="1:1" x14ac:dyDescent="0.25">
      <c r="A45" t="s">
        <v>28</v>
      </c>
    </row>
    <row r="64" spans="1:1" x14ac:dyDescent="0.25">
      <c r="A64" t="s">
        <v>178</v>
      </c>
    </row>
    <row r="85" spans="1:1" x14ac:dyDescent="0.25">
      <c r="A85" t="s">
        <v>179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ED262-A176-4B78-A4E4-E46FB40A99BD}">
  <dimension ref="A9:M115"/>
  <sheetViews>
    <sheetView topLeftCell="H1" zoomScale="95" zoomScaleNormal="115" workbookViewId="0">
      <selection activeCell="V26" sqref="V26"/>
    </sheetView>
  </sheetViews>
  <sheetFormatPr defaultRowHeight="15" x14ac:dyDescent="0.25"/>
  <cols>
    <col min="13" max="13" width="9.140625" style="90"/>
  </cols>
  <sheetData>
    <row r="9" spans="1:11" x14ac:dyDescent="0.25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</row>
    <row r="10" spans="1:11" x14ac:dyDescent="0.25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</row>
    <row r="11" spans="1:11" x14ac:dyDescent="0.25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</row>
    <row r="12" spans="1:11" x14ac:dyDescent="0.25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</row>
    <row r="13" spans="1:11" x14ac:dyDescent="0.25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</row>
    <row r="14" spans="1:11" x14ac:dyDescent="0.25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</row>
    <row r="15" spans="1:11" x14ac:dyDescent="0.2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</row>
    <row r="16" spans="1:11" ht="15.75" thickBot="1" x14ac:dyDescent="0.3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</row>
    <row r="17" spans="1:11" x14ac:dyDescent="0.25">
      <c r="A17" s="71" t="s">
        <v>27</v>
      </c>
      <c r="B17" s="72"/>
      <c r="C17" s="72"/>
      <c r="D17" s="72"/>
      <c r="E17" s="72"/>
      <c r="F17" s="72"/>
      <c r="G17" s="72"/>
      <c r="H17" s="72"/>
      <c r="I17" s="72"/>
      <c r="J17" s="72"/>
      <c r="K17" s="73"/>
    </row>
    <row r="18" spans="1:11" x14ac:dyDescent="0.25">
      <c r="A18" s="74"/>
      <c r="B18" s="44"/>
      <c r="C18" s="44"/>
      <c r="D18" s="44"/>
      <c r="E18" s="44"/>
      <c r="F18" s="44"/>
      <c r="G18" s="44"/>
      <c r="H18" s="44"/>
      <c r="I18" s="44"/>
      <c r="J18" s="44"/>
      <c r="K18" s="75"/>
    </row>
    <row r="19" spans="1:11" x14ac:dyDescent="0.25">
      <c r="A19" s="74"/>
      <c r="B19" s="44"/>
      <c r="C19" s="44"/>
      <c r="D19" s="44"/>
      <c r="E19" s="44"/>
      <c r="F19" s="44"/>
      <c r="G19" s="44"/>
      <c r="H19" s="44"/>
      <c r="I19" s="44"/>
      <c r="J19" s="44"/>
      <c r="K19" s="75"/>
    </row>
    <row r="20" spans="1:11" x14ac:dyDescent="0.25">
      <c r="A20" s="74"/>
      <c r="B20" s="44"/>
      <c r="C20" s="44"/>
      <c r="D20" s="44"/>
      <c r="E20" s="44"/>
      <c r="F20" s="44"/>
      <c r="G20" s="44"/>
      <c r="H20" s="44"/>
      <c r="I20" s="44"/>
      <c r="J20" s="44"/>
      <c r="K20" s="75"/>
    </row>
    <row r="21" spans="1:11" x14ac:dyDescent="0.25">
      <c r="A21" s="74"/>
      <c r="B21" s="44"/>
      <c r="C21" s="44"/>
      <c r="D21" s="44"/>
      <c r="E21" s="44"/>
      <c r="F21" s="44"/>
      <c r="G21" s="44"/>
      <c r="H21" s="44"/>
      <c r="I21" s="44"/>
      <c r="J21" s="44"/>
      <c r="K21" s="75"/>
    </row>
    <row r="22" spans="1:11" x14ac:dyDescent="0.25">
      <c r="A22" s="74"/>
      <c r="B22" s="44"/>
      <c r="C22" s="44"/>
      <c r="D22" s="44"/>
      <c r="E22" s="44"/>
      <c r="F22" s="44"/>
      <c r="G22" s="44"/>
      <c r="H22" s="44"/>
      <c r="I22" s="44"/>
      <c r="J22" s="44"/>
      <c r="K22" s="75"/>
    </row>
    <row r="23" spans="1:11" x14ac:dyDescent="0.25">
      <c r="A23" s="74"/>
      <c r="B23" s="44"/>
      <c r="C23" s="44"/>
      <c r="D23" s="44"/>
      <c r="E23" s="44"/>
      <c r="F23" s="44"/>
      <c r="G23" s="44"/>
      <c r="H23" s="44"/>
      <c r="I23" s="44"/>
      <c r="J23" s="44"/>
      <c r="K23" s="75"/>
    </row>
    <row r="24" spans="1:11" x14ac:dyDescent="0.25">
      <c r="A24" s="74"/>
      <c r="B24" s="44"/>
      <c r="C24" s="44"/>
      <c r="D24" s="44"/>
      <c r="E24" s="44"/>
      <c r="F24" s="44"/>
      <c r="G24" s="44"/>
      <c r="H24" s="44"/>
      <c r="I24" s="44"/>
      <c r="J24" s="44"/>
      <c r="K24" s="75"/>
    </row>
    <row r="25" spans="1:11" x14ac:dyDescent="0.25">
      <c r="A25" s="74"/>
      <c r="B25" s="44"/>
      <c r="C25" s="44"/>
      <c r="D25" s="44"/>
      <c r="E25" s="44"/>
      <c r="F25" s="44"/>
      <c r="G25" s="44"/>
      <c r="H25" s="44"/>
      <c r="I25" s="44"/>
      <c r="J25" s="44"/>
      <c r="K25" s="75"/>
    </row>
    <row r="26" spans="1:11" x14ac:dyDescent="0.25">
      <c r="A26" s="74"/>
      <c r="B26" s="44"/>
      <c r="C26" s="44"/>
      <c r="D26" s="44"/>
      <c r="E26" s="44"/>
      <c r="F26" s="44"/>
      <c r="G26" s="44"/>
      <c r="H26" s="44"/>
      <c r="I26" s="44"/>
      <c r="J26" s="44"/>
      <c r="K26" s="75"/>
    </row>
    <row r="27" spans="1:11" x14ac:dyDescent="0.25">
      <c r="A27" s="74"/>
      <c r="B27" s="44"/>
      <c r="C27" s="44"/>
      <c r="D27" s="44"/>
      <c r="E27" s="44"/>
      <c r="F27" s="44"/>
      <c r="G27" s="44"/>
      <c r="H27" s="44"/>
      <c r="I27" s="44"/>
      <c r="J27" s="44"/>
      <c r="K27" s="75"/>
    </row>
    <row r="28" spans="1:11" x14ac:dyDescent="0.25">
      <c r="A28" s="133"/>
      <c r="B28" s="66"/>
      <c r="C28" s="66" t="s">
        <v>180</v>
      </c>
      <c r="D28" s="66"/>
      <c r="E28" s="66" t="s">
        <v>157</v>
      </c>
      <c r="F28" s="44"/>
      <c r="G28" s="44"/>
      <c r="H28" s="44"/>
      <c r="I28" s="44"/>
      <c r="J28" s="44"/>
      <c r="K28" s="75"/>
    </row>
    <row r="29" spans="1:11" x14ac:dyDescent="0.25">
      <c r="A29" s="133"/>
      <c r="B29" s="66"/>
      <c r="C29" s="4" t="s">
        <v>181</v>
      </c>
      <c r="D29" s="4" t="s">
        <v>182</v>
      </c>
      <c r="E29" s="66"/>
      <c r="F29" s="44"/>
      <c r="G29" s="44"/>
      <c r="H29" s="44"/>
      <c r="I29" s="44"/>
      <c r="J29" s="44"/>
      <c r="K29" s="75"/>
    </row>
    <row r="30" spans="1:11" x14ac:dyDescent="0.25">
      <c r="A30" s="134" t="s">
        <v>183</v>
      </c>
      <c r="B30" s="4" t="s">
        <v>184</v>
      </c>
      <c r="C30" s="4">
        <v>238</v>
      </c>
      <c r="D30" s="4">
        <v>87</v>
      </c>
      <c r="E30" s="4">
        <f>SUM(C30:D30)</f>
        <v>325</v>
      </c>
      <c r="F30" s="44"/>
      <c r="G30" s="44"/>
      <c r="H30" s="44"/>
      <c r="I30" s="44"/>
      <c r="J30" s="44"/>
      <c r="K30" s="75"/>
    </row>
    <row r="31" spans="1:11" x14ac:dyDescent="0.25">
      <c r="A31" s="134"/>
      <c r="B31" s="4" t="s">
        <v>185</v>
      </c>
      <c r="C31" s="4">
        <v>198</v>
      </c>
      <c r="D31" s="4">
        <v>117</v>
      </c>
      <c r="E31" s="4">
        <f>SUM(C31:D31)</f>
        <v>315</v>
      </c>
      <c r="F31" s="44"/>
      <c r="G31" s="44"/>
      <c r="H31" s="44"/>
      <c r="I31" s="44"/>
      <c r="J31" s="44"/>
      <c r="K31" s="75"/>
    </row>
    <row r="32" spans="1:11" x14ac:dyDescent="0.25">
      <c r="A32" s="133" t="s">
        <v>157</v>
      </c>
      <c r="B32" s="66"/>
      <c r="C32" s="4">
        <f>SUM(C30:C31)</f>
        <v>436</v>
      </c>
      <c r="D32" s="4">
        <f>SUM(D30:D31)</f>
        <v>204</v>
      </c>
      <c r="E32" s="4">
        <f>SUM(C30:D31)</f>
        <v>640</v>
      </c>
      <c r="F32" s="44"/>
      <c r="G32" s="44"/>
      <c r="H32" s="44"/>
      <c r="I32" s="44"/>
      <c r="J32" s="44"/>
      <c r="K32" s="75"/>
    </row>
    <row r="33" spans="1:11" x14ac:dyDescent="0.25">
      <c r="A33" s="74"/>
      <c r="B33" s="44"/>
      <c r="C33" s="44"/>
      <c r="D33" s="44"/>
      <c r="E33" s="44"/>
      <c r="F33" s="44"/>
      <c r="G33" s="44"/>
      <c r="H33" s="44"/>
      <c r="I33" s="44"/>
      <c r="J33" s="44"/>
      <c r="K33" s="75"/>
    </row>
    <row r="34" spans="1:11" x14ac:dyDescent="0.25">
      <c r="A34" s="135" t="s">
        <v>186</v>
      </c>
      <c r="B34" s="44"/>
      <c r="C34" s="44"/>
      <c r="D34" s="44"/>
      <c r="E34" s="44"/>
      <c r="F34" s="44"/>
      <c r="G34" s="44"/>
      <c r="H34" s="44"/>
      <c r="I34" s="44"/>
      <c r="J34" s="44"/>
      <c r="K34" s="75"/>
    </row>
    <row r="35" spans="1:11" x14ac:dyDescent="0.25">
      <c r="A35" s="74" t="s">
        <v>187</v>
      </c>
      <c r="B35" s="44"/>
      <c r="C35" s="44"/>
      <c r="D35" s="44"/>
      <c r="E35" s="44"/>
      <c r="F35" s="44"/>
      <c r="G35" s="44"/>
      <c r="H35" s="44"/>
      <c r="I35" s="44"/>
      <c r="J35" s="44"/>
      <c r="K35" s="75"/>
    </row>
    <row r="36" spans="1:11" x14ac:dyDescent="0.25">
      <c r="A36" s="136">
        <f>D31/(D30+D31)</f>
        <v>0.57352941176470584</v>
      </c>
      <c r="B36" s="44"/>
      <c r="C36" s="44"/>
      <c r="D36" s="44"/>
      <c r="E36" s="44"/>
      <c r="F36" s="44"/>
      <c r="G36" s="44"/>
      <c r="H36" s="44"/>
      <c r="I36" s="44"/>
      <c r="J36" s="44"/>
      <c r="K36" s="75"/>
    </row>
    <row r="37" spans="1:11" x14ac:dyDescent="0.25">
      <c r="A37" s="74" t="s">
        <v>188</v>
      </c>
      <c r="B37" s="44"/>
      <c r="C37" s="44"/>
      <c r="D37" s="44"/>
      <c r="E37" s="44"/>
      <c r="F37" s="44"/>
      <c r="G37" s="44"/>
      <c r="H37" s="44"/>
      <c r="I37" s="44"/>
      <c r="J37" s="44"/>
      <c r="K37" s="75"/>
    </row>
    <row r="38" spans="1:11" x14ac:dyDescent="0.25">
      <c r="A38" s="74" t="s">
        <v>189</v>
      </c>
      <c r="B38" s="44"/>
      <c r="C38" s="44"/>
      <c r="D38" s="44"/>
      <c r="E38" s="44"/>
      <c r="F38" s="44"/>
      <c r="G38" s="44"/>
      <c r="H38" s="44"/>
      <c r="I38" s="44"/>
      <c r="J38" s="44"/>
      <c r="K38" s="75"/>
    </row>
    <row r="39" spans="1:11" x14ac:dyDescent="0.25">
      <c r="A39" s="74" t="s">
        <v>190</v>
      </c>
      <c r="B39" s="94">
        <f>40-_xlfn.CEILING.MATH(40*A36)</f>
        <v>17</v>
      </c>
      <c r="C39" s="94" t="s">
        <v>191</v>
      </c>
      <c r="D39" s="44"/>
      <c r="E39" s="44"/>
      <c r="F39" s="44"/>
      <c r="G39" s="44"/>
      <c r="H39" s="44"/>
      <c r="I39" s="44"/>
      <c r="J39" s="44"/>
      <c r="K39" s="75"/>
    </row>
    <row r="40" spans="1:11" x14ac:dyDescent="0.25">
      <c r="A40" s="74"/>
      <c r="B40" s="44"/>
      <c r="C40" s="44"/>
      <c r="D40" s="44"/>
      <c r="E40" s="44"/>
      <c r="F40" s="44"/>
      <c r="G40" s="44"/>
      <c r="H40" s="44"/>
      <c r="I40" s="44"/>
      <c r="J40" s="44"/>
      <c r="K40" s="75"/>
    </row>
    <row r="41" spans="1:11" x14ac:dyDescent="0.25">
      <c r="A41" s="74"/>
      <c r="B41" s="44"/>
      <c r="C41" s="44"/>
      <c r="D41" s="44"/>
      <c r="E41" s="44"/>
      <c r="F41" s="44"/>
      <c r="G41" s="44"/>
      <c r="H41" s="44"/>
      <c r="I41" s="44"/>
      <c r="J41" s="44"/>
      <c r="K41" s="75"/>
    </row>
    <row r="42" spans="1:11" x14ac:dyDescent="0.25">
      <c r="A42" s="135" t="s">
        <v>192</v>
      </c>
      <c r="B42" s="44"/>
      <c r="C42" s="44"/>
      <c r="D42" s="44"/>
      <c r="E42" s="44"/>
      <c r="F42" s="44"/>
      <c r="G42" s="44"/>
      <c r="H42" s="44"/>
      <c r="I42" s="44"/>
      <c r="J42" s="44"/>
      <c r="K42" s="75"/>
    </row>
    <row r="43" spans="1:11" x14ac:dyDescent="0.25">
      <c r="A43" s="74" t="s">
        <v>193</v>
      </c>
      <c r="B43" s="44"/>
      <c r="C43" s="44"/>
      <c r="D43" s="44"/>
      <c r="E43" s="44"/>
      <c r="F43" s="44"/>
      <c r="G43" s="44"/>
      <c r="H43" s="44"/>
      <c r="I43" s="44"/>
      <c r="J43" s="44"/>
      <c r="K43" s="75"/>
    </row>
    <row r="44" spans="1:11" x14ac:dyDescent="0.25">
      <c r="A44" s="136">
        <f>C30/(C30+C31)</f>
        <v>0.54587155963302747</v>
      </c>
      <c r="B44" s="44"/>
      <c r="C44" s="44"/>
      <c r="D44" s="44"/>
      <c r="E44" s="44"/>
      <c r="F44" s="44"/>
      <c r="G44" s="44"/>
      <c r="H44" s="44"/>
      <c r="I44" s="44"/>
      <c r="J44" s="44"/>
      <c r="K44" s="75"/>
    </row>
    <row r="45" spans="1:11" x14ac:dyDescent="0.25">
      <c r="A45" s="74" t="s">
        <v>194</v>
      </c>
      <c r="B45" s="44"/>
      <c r="C45" s="44"/>
      <c r="D45" s="44"/>
      <c r="E45" s="44"/>
      <c r="F45" s="44"/>
      <c r="G45" s="44"/>
      <c r="H45" s="44"/>
      <c r="I45" s="44"/>
      <c r="J45" s="44"/>
      <c r="K45" s="75"/>
    </row>
    <row r="46" spans="1:11" x14ac:dyDescent="0.25">
      <c r="A46" s="74" t="s">
        <v>190</v>
      </c>
      <c r="B46" s="94">
        <f>50-_xlfn.CEILING.MATH(50*A44)</f>
        <v>22</v>
      </c>
      <c r="C46" s="94" t="s">
        <v>191</v>
      </c>
      <c r="D46" s="44"/>
      <c r="E46" s="44"/>
      <c r="F46" s="44"/>
      <c r="G46" s="44"/>
      <c r="H46" s="44"/>
      <c r="I46" s="44"/>
      <c r="J46" s="44"/>
      <c r="K46" s="75"/>
    </row>
    <row r="47" spans="1:11" x14ac:dyDescent="0.25">
      <c r="A47" s="74"/>
      <c r="B47" s="44"/>
      <c r="C47" s="44"/>
      <c r="D47" s="44"/>
      <c r="E47" s="44"/>
      <c r="F47" s="44"/>
      <c r="G47" s="44"/>
      <c r="H47" s="44"/>
      <c r="I47" s="44"/>
      <c r="J47" s="44"/>
      <c r="K47" s="75"/>
    </row>
    <row r="48" spans="1:11" x14ac:dyDescent="0.25">
      <c r="A48" s="74"/>
      <c r="B48" s="44"/>
      <c r="C48" s="44"/>
      <c r="D48" s="44"/>
      <c r="E48" s="44"/>
      <c r="F48" s="44"/>
      <c r="G48" s="44"/>
      <c r="H48" s="44"/>
      <c r="I48" s="44"/>
      <c r="J48" s="44"/>
      <c r="K48" s="75"/>
    </row>
    <row r="49" spans="1:11" x14ac:dyDescent="0.25">
      <c r="A49" s="135" t="s">
        <v>195</v>
      </c>
      <c r="B49" s="44"/>
      <c r="C49" s="44"/>
      <c r="D49" s="44"/>
      <c r="E49" s="44"/>
      <c r="F49" s="44"/>
      <c r="G49" s="44"/>
      <c r="H49" s="44"/>
      <c r="I49" s="44"/>
      <c r="J49" s="44"/>
      <c r="K49" s="75"/>
    </row>
    <row r="50" spans="1:11" x14ac:dyDescent="0.25">
      <c r="A50" s="74" t="s">
        <v>196</v>
      </c>
      <c r="B50" s="44"/>
      <c r="C50" s="44"/>
      <c r="D50" s="44"/>
      <c r="E50" s="44"/>
      <c r="F50" s="44"/>
      <c r="G50" s="44"/>
      <c r="H50" s="44"/>
      <c r="I50" s="44"/>
      <c r="J50" s="44"/>
      <c r="K50" s="75"/>
    </row>
    <row r="51" spans="1:11" x14ac:dyDescent="0.25">
      <c r="A51" s="136">
        <f>(C30+D31)/SUM(C30:D31)</f>
        <v>0.5546875</v>
      </c>
      <c r="B51" s="44"/>
      <c r="C51" s="44"/>
      <c r="D51" s="44"/>
      <c r="E51" s="44"/>
      <c r="F51" s="44"/>
      <c r="G51" s="44"/>
      <c r="H51" s="44"/>
      <c r="I51" s="44"/>
      <c r="J51" s="44"/>
      <c r="K51" s="75"/>
    </row>
    <row r="52" spans="1:11" x14ac:dyDescent="0.25">
      <c r="A52" s="74" t="s">
        <v>197</v>
      </c>
      <c r="B52" s="44"/>
      <c r="C52" s="44"/>
      <c r="D52" s="44"/>
      <c r="E52" s="44"/>
      <c r="F52" s="44"/>
      <c r="G52" s="44"/>
      <c r="H52" s="44"/>
      <c r="I52" s="44"/>
      <c r="J52" s="44"/>
      <c r="K52" s="75"/>
    </row>
    <row r="53" spans="1:11" x14ac:dyDescent="0.25">
      <c r="A53" s="74" t="s">
        <v>198</v>
      </c>
      <c r="B53" s="44"/>
      <c r="C53" s="44"/>
      <c r="D53" s="44"/>
      <c r="E53" s="44"/>
      <c r="F53" s="44"/>
      <c r="G53" s="44"/>
      <c r="H53" s="44"/>
      <c r="I53" s="44"/>
      <c r="J53" s="44"/>
      <c r="K53" s="75"/>
    </row>
    <row r="54" spans="1:11" x14ac:dyDescent="0.25">
      <c r="A54" s="74" t="s">
        <v>190</v>
      </c>
      <c r="B54" s="94">
        <f>100-_xlfn.CEILING.MATH(100*A51)</f>
        <v>44</v>
      </c>
      <c r="C54" s="94" t="s">
        <v>191</v>
      </c>
      <c r="D54" s="44"/>
      <c r="E54" s="44"/>
      <c r="F54" s="44"/>
      <c r="G54" s="44"/>
      <c r="H54" s="44"/>
      <c r="I54" s="44"/>
      <c r="J54" s="44"/>
      <c r="K54" s="75"/>
    </row>
    <row r="55" spans="1:11" x14ac:dyDescent="0.25">
      <c r="A55" s="74"/>
      <c r="B55" s="44"/>
      <c r="C55" s="44"/>
      <c r="D55" s="44"/>
      <c r="E55" s="44"/>
      <c r="F55" s="44"/>
      <c r="G55" s="44"/>
      <c r="H55" s="44"/>
      <c r="I55" s="44"/>
      <c r="J55" s="44"/>
      <c r="K55" s="75"/>
    </row>
    <row r="56" spans="1:11" x14ac:dyDescent="0.25">
      <c r="A56" s="74"/>
      <c r="B56" s="44"/>
      <c r="C56" s="44"/>
      <c r="D56" s="44"/>
      <c r="E56" s="44"/>
      <c r="F56" s="44"/>
      <c r="G56" s="44"/>
      <c r="H56" s="44"/>
      <c r="I56" s="44"/>
      <c r="J56" s="44"/>
      <c r="K56" s="75"/>
    </row>
    <row r="57" spans="1:11" x14ac:dyDescent="0.25">
      <c r="A57" s="135" t="s">
        <v>199</v>
      </c>
      <c r="B57" s="44"/>
      <c r="C57" s="44"/>
      <c r="D57" s="44"/>
      <c r="E57" s="44"/>
      <c r="F57" s="44"/>
      <c r="G57" s="44"/>
      <c r="H57" s="44"/>
      <c r="I57" s="44"/>
      <c r="J57" s="44"/>
      <c r="K57" s="75"/>
    </row>
    <row r="58" spans="1:11" x14ac:dyDescent="0.25">
      <c r="A58" s="74" t="s">
        <v>200</v>
      </c>
      <c r="B58" s="44"/>
      <c r="C58" s="44"/>
      <c r="D58" s="44"/>
      <c r="E58" s="44"/>
      <c r="F58" s="44"/>
      <c r="G58" s="44"/>
      <c r="H58" s="44"/>
      <c r="I58" s="44"/>
      <c r="J58" s="44"/>
      <c r="K58" s="75"/>
    </row>
    <row r="59" spans="1:11" x14ac:dyDescent="0.25">
      <c r="A59" s="136">
        <f>C30/(C30+D30)</f>
        <v>0.73230769230769233</v>
      </c>
      <c r="B59" s="44"/>
      <c r="C59" s="44"/>
      <c r="D59" s="44"/>
      <c r="E59" s="44"/>
      <c r="F59" s="44"/>
      <c r="G59" s="44"/>
      <c r="H59" s="44"/>
      <c r="I59" s="44"/>
      <c r="J59" s="44"/>
      <c r="K59" s="75"/>
    </row>
    <row r="60" spans="1:11" x14ac:dyDescent="0.25">
      <c r="A60" s="74" t="s">
        <v>201</v>
      </c>
      <c r="B60" s="44"/>
      <c r="C60" s="44"/>
      <c r="D60" s="44"/>
      <c r="E60" s="44"/>
      <c r="F60" s="44"/>
      <c r="G60" s="44"/>
      <c r="H60" s="44"/>
      <c r="I60" s="44"/>
      <c r="J60" s="44"/>
      <c r="K60" s="75"/>
    </row>
    <row r="61" spans="1:11" x14ac:dyDescent="0.25">
      <c r="A61" s="74" t="s">
        <v>202</v>
      </c>
      <c r="B61" s="44"/>
      <c r="C61" s="44"/>
      <c r="D61" s="44"/>
      <c r="E61" s="44"/>
      <c r="F61" s="44"/>
      <c r="G61" s="44"/>
      <c r="H61" s="44"/>
      <c r="I61" s="44"/>
      <c r="J61" s="44"/>
      <c r="K61" s="75"/>
    </row>
    <row r="62" spans="1:11" x14ac:dyDescent="0.25">
      <c r="A62" s="74" t="s">
        <v>203</v>
      </c>
      <c r="B62" s="44"/>
      <c r="C62" s="44"/>
      <c r="D62" s="44"/>
      <c r="E62" s="44"/>
      <c r="F62" s="44"/>
      <c r="G62" s="44"/>
      <c r="H62" s="44"/>
      <c r="I62" s="44"/>
      <c r="J62" s="44"/>
      <c r="K62" s="75"/>
    </row>
    <row r="63" spans="1:11" ht="15.75" thickBot="1" x14ac:dyDescent="0.3">
      <c r="A63" s="81"/>
      <c r="B63" s="82"/>
      <c r="C63" s="82"/>
      <c r="D63" s="82"/>
      <c r="E63" s="82"/>
      <c r="F63" s="82"/>
      <c r="G63" s="82"/>
      <c r="H63" s="82"/>
      <c r="I63" s="82"/>
      <c r="J63" s="82"/>
      <c r="K63" s="84"/>
    </row>
    <row r="81" spans="1:5" x14ac:dyDescent="0.25">
      <c r="A81" s="133"/>
      <c r="B81" s="66"/>
      <c r="C81" s="66" t="s">
        <v>204</v>
      </c>
      <c r="D81" s="66"/>
      <c r="E81" s="66" t="s">
        <v>157</v>
      </c>
    </row>
    <row r="82" spans="1:5" x14ac:dyDescent="0.25">
      <c r="A82" s="133"/>
      <c r="B82" s="66"/>
      <c r="C82" s="4" t="s">
        <v>207</v>
      </c>
      <c r="D82" s="4" t="s">
        <v>208</v>
      </c>
      <c r="E82" s="66"/>
    </row>
    <row r="83" spans="1:5" x14ac:dyDescent="0.25">
      <c r="A83" s="134" t="s">
        <v>209</v>
      </c>
      <c r="B83" s="4" t="s">
        <v>205</v>
      </c>
      <c r="C83" s="4">
        <v>16</v>
      </c>
      <c r="D83" s="4">
        <v>3</v>
      </c>
      <c r="E83" s="4">
        <v>20</v>
      </c>
    </row>
    <row r="84" spans="1:5" x14ac:dyDescent="0.25">
      <c r="A84" s="134"/>
      <c r="B84" s="4" t="s">
        <v>206</v>
      </c>
      <c r="C84">
        <f>C85-C83</f>
        <v>4</v>
      </c>
      <c r="D84">
        <f>D85-D83</f>
        <v>17</v>
      </c>
      <c r="E84" s="4">
        <v>20</v>
      </c>
    </row>
    <row r="85" spans="1:5" x14ac:dyDescent="0.25">
      <c r="A85" s="133" t="s">
        <v>157</v>
      </c>
      <c r="B85" s="66"/>
      <c r="C85" s="4">
        <v>20</v>
      </c>
      <c r="D85" s="4">
        <v>20</v>
      </c>
      <c r="E85" s="4">
        <f>SUM(C83:D84)</f>
        <v>40</v>
      </c>
    </row>
    <row r="87" spans="1:5" x14ac:dyDescent="0.25">
      <c r="A87" s="135" t="s">
        <v>186</v>
      </c>
      <c r="B87" s="44"/>
      <c r="C87" s="44"/>
    </row>
    <row r="88" spans="1:5" x14ac:dyDescent="0.25">
      <c r="A88" s="74" t="s">
        <v>187</v>
      </c>
      <c r="B88" s="44"/>
      <c r="C88" s="44"/>
    </row>
    <row r="89" spans="1:5" x14ac:dyDescent="0.25">
      <c r="A89" s="136">
        <f>D84/(D83+D84)</f>
        <v>0.85</v>
      </c>
      <c r="B89" s="44"/>
      <c r="C89" s="44"/>
    </row>
    <row r="90" spans="1:5" x14ac:dyDescent="0.25">
      <c r="A90" s="74" t="s">
        <v>188</v>
      </c>
      <c r="B90" s="44"/>
      <c r="C90" s="44"/>
    </row>
    <row r="91" spans="1:5" x14ac:dyDescent="0.25">
      <c r="A91" s="74" t="s">
        <v>189</v>
      </c>
      <c r="B91" s="44"/>
      <c r="C91" s="44"/>
    </row>
    <row r="92" spans="1:5" x14ac:dyDescent="0.25">
      <c r="A92" s="74" t="s">
        <v>190</v>
      </c>
      <c r="B92" s="94">
        <f>40-_xlfn.CEILING.MATH(40*A89)</f>
        <v>6</v>
      </c>
      <c r="C92" s="94" t="s">
        <v>191</v>
      </c>
    </row>
    <row r="95" spans="1:5" x14ac:dyDescent="0.25">
      <c r="A95" s="135" t="s">
        <v>192</v>
      </c>
      <c r="B95" s="44"/>
      <c r="C95" s="44"/>
    </row>
    <row r="96" spans="1:5" x14ac:dyDescent="0.25">
      <c r="A96" s="74" t="s">
        <v>193</v>
      </c>
      <c r="B96" s="44"/>
      <c r="C96" s="44"/>
    </row>
    <row r="97" spans="1:3" x14ac:dyDescent="0.25">
      <c r="A97" s="136">
        <f>C83/(C83+C84)</f>
        <v>0.8</v>
      </c>
      <c r="B97" s="44"/>
      <c r="C97" s="44"/>
    </row>
    <row r="98" spans="1:3" x14ac:dyDescent="0.25">
      <c r="A98" s="74" t="s">
        <v>194</v>
      </c>
      <c r="B98" s="44"/>
      <c r="C98" s="44"/>
    </row>
    <row r="99" spans="1:3" x14ac:dyDescent="0.25">
      <c r="A99" s="74" t="s">
        <v>190</v>
      </c>
      <c r="B99" s="94">
        <f>50-_xlfn.CEILING.MATH(50*A97)</f>
        <v>10</v>
      </c>
      <c r="C99" s="94" t="s">
        <v>191</v>
      </c>
    </row>
    <row r="100" spans="1:3" x14ac:dyDescent="0.25">
      <c r="A100" s="74"/>
      <c r="B100" s="44"/>
      <c r="C100" s="44"/>
    </row>
    <row r="101" spans="1:3" x14ac:dyDescent="0.25">
      <c r="A101" s="74"/>
      <c r="B101" s="44"/>
      <c r="C101" s="44"/>
    </row>
    <row r="102" spans="1:3" x14ac:dyDescent="0.25">
      <c r="A102" s="135" t="s">
        <v>195</v>
      </c>
      <c r="B102" s="44"/>
      <c r="C102" s="44"/>
    </row>
    <row r="103" spans="1:3" x14ac:dyDescent="0.25">
      <c r="A103" s="74" t="s">
        <v>196</v>
      </c>
      <c r="B103" s="44"/>
      <c r="C103" s="44"/>
    </row>
    <row r="104" spans="1:3" x14ac:dyDescent="0.25">
      <c r="A104" s="136">
        <f>(C83+D84)/SUM(C83:D84)</f>
        <v>0.82499999999999996</v>
      </c>
      <c r="B104" s="44"/>
      <c r="C104" s="44"/>
    </row>
    <row r="105" spans="1:3" x14ac:dyDescent="0.25">
      <c r="A105" s="74" t="s">
        <v>197</v>
      </c>
      <c r="B105" s="44"/>
      <c r="C105" s="44"/>
    </row>
    <row r="106" spans="1:3" x14ac:dyDescent="0.25">
      <c r="A106" s="74" t="s">
        <v>198</v>
      </c>
      <c r="B106" s="44"/>
      <c r="C106" s="44"/>
    </row>
    <row r="107" spans="1:3" x14ac:dyDescent="0.25">
      <c r="A107" s="74" t="s">
        <v>190</v>
      </c>
      <c r="B107" s="94">
        <f>100-_xlfn.CEILING.MATH(100*A104)</f>
        <v>17</v>
      </c>
      <c r="C107" s="94" t="s">
        <v>191</v>
      </c>
    </row>
    <row r="108" spans="1:3" x14ac:dyDescent="0.25">
      <c r="A108" s="74"/>
      <c r="B108" s="44"/>
      <c r="C108" s="44"/>
    </row>
    <row r="109" spans="1:3" x14ac:dyDescent="0.25">
      <c r="A109" s="74"/>
      <c r="B109" s="44"/>
      <c r="C109" s="44"/>
    </row>
    <row r="110" spans="1:3" x14ac:dyDescent="0.25">
      <c r="A110" s="135" t="s">
        <v>199</v>
      </c>
      <c r="B110" s="44"/>
      <c r="C110" s="44"/>
    </row>
    <row r="111" spans="1:3" x14ac:dyDescent="0.25">
      <c r="A111" s="74" t="s">
        <v>200</v>
      </c>
      <c r="B111" s="44"/>
      <c r="C111" s="44"/>
    </row>
    <row r="112" spans="1:3" x14ac:dyDescent="0.25">
      <c r="A112" s="136">
        <f>C83/(C83+D83)</f>
        <v>0.84210526315789469</v>
      </c>
      <c r="B112" s="44"/>
      <c r="C112" s="44"/>
    </row>
    <row r="113" spans="1:3" x14ac:dyDescent="0.25">
      <c r="A113" s="74" t="s">
        <v>201</v>
      </c>
      <c r="B113" s="44"/>
      <c r="C113" s="44"/>
    </row>
    <row r="114" spans="1:3" x14ac:dyDescent="0.25">
      <c r="A114" s="74" t="s">
        <v>202</v>
      </c>
      <c r="B114" s="44"/>
      <c r="C114" s="44"/>
    </row>
    <row r="115" spans="1:3" x14ac:dyDescent="0.25">
      <c r="A115" s="74" t="s">
        <v>203</v>
      </c>
      <c r="B115" s="44"/>
      <c r="C115" s="44"/>
    </row>
  </sheetData>
  <mergeCells count="10">
    <mergeCell ref="A81:B82"/>
    <mergeCell ref="C81:D81"/>
    <mergeCell ref="E81:E82"/>
    <mergeCell ref="A83:A84"/>
    <mergeCell ref="A85:B85"/>
    <mergeCell ref="A28:B29"/>
    <mergeCell ref="C28:D28"/>
    <mergeCell ref="E28:E29"/>
    <mergeCell ref="A30:A31"/>
    <mergeCell ref="A32:B3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 Uji Tanda &amp; Wilcoxon</vt:lpstr>
      <vt:lpstr>2. Mann-Whitney, Berpasangan, r</vt:lpstr>
      <vt:lpstr>3. Kebaikan Suai, Bebas, Homoge</vt:lpstr>
      <vt:lpstr>4. Sebaran Binom &amp; Multi</vt:lpstr>
      <vt:lpstr>5. Likelihood, MLE, Pro binom</vt:lpstr>
      <vt:lpstr>6 7. Tab.Kontingensi, uji diag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一号</dc:creator>
  <cp:lastModifiedBy>Zen Rofiqy</cp:lastModifiedBy>
  <cp:lastPrinted>2023-10-05T02:54:55Z</cp:lastPrinted>
  <dcterms:created xsi:type="dcterms:W3CDTF">2015-06-05T18:17:20Z</dcterms:created>
  <dcterms:modified xsi:type="dcterms:W3CDTF">2023-10-05T03:00:13Z</dcterms:modified>
</cp:coreProperties>
</file>