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6. Optimasi Statistika\"/>
    </mc:Choice>
  </mc:AlternateContent>
  <xr:revisionPtr revIDLastSave="0" documentId="13_ncr:1_{E9CEB166-7882-4177-A3AA-3CC1EAD86226}" xr6:coauthVersionLast="47" xr6:coauthVersionMax="47" xr10:uidLastSave="{00000000-0000-0000-0000-000000000000}"/>
  <bookViews>
    <workbookView xWindow="28680" yWindow="1725" windowWidth="29040" windowHeight="15720" activeTab="3" xr2:uid="{8B8E5651-2235-4668-BF70-ABBB7362AC89}"/>
  </bookViews>
  <sheets>
    <sheet name="02" sheetId="1" r:id="rId1"/>
    <sheet name="03" sheetId="2" r:id="rId2"/>
    <sheet name="Tugas 1" sheetId="4" r:id="rId3"/>
    <sheet name="05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5" l="1"/>
  <c r="E39" i="5" s="1"/>
  <c r="K39" i="5" s="1"/>
  <c r="B38" i="5"/>
  <c r="B40" i="5" s="1"/>
  <c r="F29" i="5"/>
  <c r="D29" i="5"/>
  <c r="B29" i="5"/>
  <c r="E15" i="5"/>
  <c r="K15" i="5" s="1"/>
  <c r="B15" i="5"/>
  <c r="E14" i="5"/>
  <c r="K14" i="5" s="1"/>
  <c r="K16" i="5" s="1"/>
  <c r="B14" i="5"/>
  <c r="B16" i="5" s="1"/>
  <c r="F5" i="5"/>
  <c r="D5" i="5"/>
  <c r="B5" i="5"/>
  <c r="E38" i="5" l="1"/>
  <c r="F20" i="5"/>
  <c r="F21" i="5" s="1"/>
  <c r="F22" i="5" s="1"/>
  <c r="E16" i="5"/>
  <c r="K38" i="5" l="1"/>
  <c r="K40" i="5" s="1"/>
  <c r="F44" i="5" s="1"/>
  <c r="F45" i="5" s="1"/>
  <c r="F46" i="5" s="1"/>
  <c r="E40" i="5"/>
  <c r="S26" i="4"/>
  <c r="S14" i="4"/>
  <c r="V10" i="4"/>
  <c r="V26" i="4" s="1"/>
  <c r="Y10" i="4" s="1"/>
  <c r="Y26" i="4" s="1"/>
  <c r="AB10" i="4" s="1"/>
  <c r="AB26" i="4" s="1"/>
  <c r="AE10" i="4" s="1"/>
  <c r="AE26" i="4" s="1"/>
  <c r="U6" i="4"/>
  <c r="T6" i="4"/>
  <c r="J20" i="4"/>
  <c r="C17" i="4"/>
  <c r="C18" i="4" s="1"/>
  <c r="D16" i="4"/>
  <c r="D15" i="4"/>
  <c r="H11" i="4"/>
  <c r="I11" i="4" s="1"/>
  <c r="I10" i="4"/>
  <c r="B6" i="2"/>
  <c r="B7" i="2" s="1"/>
  <c r="B8" i="2" s="1"/>
  <c r="B9" i="2" s="1"/>
  <c r="B5" i="2"/>
  <c r="B24" i="1"/>
  <c r="B23" i="1"/>
  <c r="A23" i="1"/>
  <c r="A22" i="1"/>
  <c r="A20" i="1"/>
  <c r="A19" i="1"/>
  <c r="A18" i="1"/>
  <c r="B28" i="1"/>
  <c r="C28" i="1"/>
  <c r="D28" i="1"/>
  <c r="A28" i="1"/>
  <c r="B27" i="1"/>
  <c r="C27" i="1"/>
  <c r="D27" i="1"/>
  <c r="A27" i="1"/>
  <c r="B26" i="1"/>
  <c r="C26" i="1"/>
  <c r="D26" i="1"/>
  <c r="A26" i="1"/>
  <c r="B22" i="1"/>
  <c r="C22" i="1"/>
  <c r="D22" i="1"/>
  <c r="C18" i="1"/>
  <c r="D18" i="1"/>
  <c r="B18" i="1"/>
  <c r="D23" i="1"/>
  <c r="C23" i="1"/>
  <c r="A24" i="1"/>
  <c r="C24" i="1"/>
  <c r="D24" i="1"/>
  <c r="B20" i="1"/>
  <c r="C20" i="1"/>
  <c r="D20" i="1"/>
  <c r="B19" i="1"/>
  <c r="C19" i="1"/>
  <c r="D19" i="1"/>
  <c r="A9" i="1"/>
  <c r="B10" i="1"/>
  <c r="C10" i="1"/>
  <c r="D10" i="1"/>
  <c r="A10" i="1"/>
  <c r="A11" i="1"/>
  <c r="C11" i="1"/>
  <c r="D11" i="1"/>
  <c r="G9" i="1" s="1"/>
  <c r="B11" i="1"/>
  <c r="B5" i="1"/>
  <c r="B9" i="1" s="1"/>
  <c r="C5" i="1"/>
  <c r="C9" i="1" s="1"/>
  <c r="D5" i="1"/>
  <c r="D9" i="1" s="1"/>
  <c r="A5" i="1"/>
  <c r="B6" i="1"/>
  <c r="C6" i="1"/>
  <c r="D6" i="1"/>
  <c r="A6" i="1"/>
  <c r="B7" i="1"/>
  <c r="C7" i="1"/>
  <c r="D7" i="1"/>
  <c r="A7" i="1"/>
  <c r="V6" i="4" l="1"/>
  <c r="C19" i="4"/>
  <c r="D18" i="4"/>
  <c r="C20" i="4"/>
  <c r="H12" i="4"/>
  <c r="H13" i="4" s="1"/>
  <c r="D17" i="4"/>
  <c r="G10" i="1"/>
  <c r="G11" i="1" s="1"/>
  <c r="W6" i="4" l="1"/>
  <c r="X6" i="4" s="1"/>
  <c r="I13" i="4"/>
  <c r="H14" i="4"/>
  <c r="H15" i="4" s="1"/>
  <c r="I15" i="4" s="1"/>
  <c r="I12" i="4"/>
  <c r="D20" i="4"/>
  <c r="D19" i="4"/>
  <c r="C21" i="4"/>
  <c r="C22" i="4" s="1"/>
  <c r="AE31" i="4" l="1"/>
  <c r="S8" i="4"/>
  <c r="S25" i="4"/>
  <c r="V11" i="4" s="1"/>
  <c r="S11" i="4"/>
  <c r="S16" i="4" s="1"/>
  <c r="D22" i="4"/>
  <c r="C23" i="4"/>
  <c r="D21" i="4"/>
  <c r="I14" i="4"/>
  <c r="H16" i="4"/>
  <c r="S18" i="4" l="1"/>
  <c r="S20" i="4" s="1"/>
  <c r="S22" i="4" s="1"/>
  <c r="S17" i="4"/>
  <c r="S19" i="4" s="1"/>
  <c r="K78" i="4"/>
  <c r="I16" i="4"/>
  <c r="J12" i="4"/>
  <c r="H32" i="4"/>
  <c r="D23" i="4"/>
  <c r="C24" i="4"/>
  <c r="S24" i="4" l="1"/>
  <c r="V13" i="4" s="1"/>
  <c r="V14" i="4" s="1"/>
  <c r="S23" i="4"/>
  <c r="V12" i="4" s="1"/>
  <c r="D24" i="4"/>
  <c r="C25" i="4"/>
  <c r="K11" i="4"/>
  <c r="H39" i="4"/>
  <c r="H38" i="4"/>
  <c r="V25" i="4" l="1"/>
  <c r="Y11" i="4" s="1"/>
  <c r="V16" i="4"/>
  <c r="K12" i="4"/>
  <c r="H41" i="4"/>
  <c r="L11" i="4"/>
  <c r="D25" i="4"/>
  <c r="C26" i="4"/>
  <c r="C27" i="4" s="1"/>
  <c r="V17" i="4" l="1"/>
  <c r="V19" i="4" s="1"/>
  <c r="V18" i="4"/>
  <c r="V20" i="4" s="1"/>
  <c r="V22" i="4" s="1"/>
  <c r="D27" i="4"/>
  <c r="C28" i="4"/>
  <c r="D26" i="4"/>
  <c r="K13" i="4"/>
  <c r="L12" i="4"/>
  <c r="H49" i="4"/>
  <c r="H42" i="4"/>
  <c r="V24" i="4" l="1"/>
  <c r="Y13" i="4" s="1"/>
  <c r="V23" i="4"/>
  <c r="Y12" i="4" s="1"/>
  <c r="D28" i="4"/>
  <c r="L13" i="4"/>
  <c r="H51" i="4"/>
  <c r="H57" i="4"/>
  <c r="K14" i="4"/>
  <c r="L14" i="4" s="1"/>
  <c r="C29" i="4"/>
  <c r="Y14" i="4" l="1"/>
  <c r="D29" i="4"/>
  <c r="K15" i="4"/>
  <c r="H63" i="4"/>
  <c r="C30" i="4"/>
  <c r="Y25" i="4" l="1"/>
  <c r="AB11" i="4" s="1"/>
  <c r="Y16" i="4"/>
  <c r="D30" i="4"/>
  <c r="H69" i="4"/>
  <c r="K16" i="4"/>
  <c r="L15" i="4"/>
  <c r="C31" i="4"/>
  <c r="Y18" i="4" l="1"/>
  <c r="Y20" i="4" s="1"/>
  <c r="Y17" i="4"/>
  <c r="Y19" i="4" s="1"/>
  <c r="H76" i="4"/>
  <c r="L16" i="4"/>
  <c r="D31" i="4"/>
  <c r="C32" i="4"/>
  <c r="Y22" i="4" l="1"/>
  <c r="D32" i="4"/>
  <c r="C33" i="4"/>
  <c r="Y23" i="4" l="1"/>
  <c r="AB12" i="4" s="1"/>
  <c r="Y24" i="4"/>
  <c r="AB13" i="4" s="1"/>
  <c r="AB14" i="4" s="1"/>
  <c r="D33" i="4"/>
  <c r="C34" i="4"/>
  <c r="D34" i="4" s="1"/>
  <c r="AB25" i="4" l="1"/>
  <c r="AE11" i="4" s="1"/>
  <c r="AB16" i="4"/>
  <c r="C35" i="4"/>
  <c r="D35" i="4" s="1"/>
  <c r="AB17" i="4" l="1"/>
  <c r="AB19" i="4" s="1"/>
  <c r="AB18" i="4"/>
  <c r="AB20" i="4" s="1"/>
  <c r="AB22" i="4" s="1"/>
  <c r="AB24" i="4" l="1"/>
  <c r="AE13" i="4" s="1"/>
  <c r="AB23" i="4"/>
  <c r="AE12" i="4" s="1"/>
  <c r="AE14" i="4" l="1"/>
  <c r="AE25" i="4" l="1"/>
  <c r="AE16" i="4"/>
  <c r="AE17" i="4" l="1"/>
  <c r="AE19" i="4" s="1"/>
  <c r="AE18" i="4"/>
  <c r="AE20" i="4" s="1"/>
  <c r="AE22" i="4" s="1"/>
  <c r="AE23" i="4" l="1"/>
  <c r="AE24" i="4"/>
  <c r="AE28" i="4" s="1"/>
  <c r="AE30" i="4" s="1"/>
</calcChain>
</file>

<file path=xl/sharedStrings.xml><?xml version="1.0" encoding="utf-8"?>
<sst xmlns="http://schemas.openxmlformats.org/spreadsheetml/2006/main" count="230" uniqueCount="130">
  <si>
    <t>B2 + 2B1</t>
  </si>
  <si>
    <t>B3 + B1</t>
  </si>
  <si>
    <t>B3-B2</t>
  </si>
  <si>
    <t xml:space="preserve">X3 </t>
  </si>
  <si>
    <t>X2</t>
  </si>
  <si>
    <t>X1</t>
  </si>
  <si>
    <t>X3</t>
  </si>
  <si>
    <t>B1+B2</t>
  </si>
  <si>
    <t>B2 + 2B3</t>
  </si>
  <si>
    <t>B3+B1</t>
  </si>
  <si>
    <t>B1 /3</t>
  </si>
  <si>
    <t>B2- 5B3</t>
  </si>
  <si>
    <t>B3- B2</t>
  </si>
  <si>
    <t>B2 /-12</t>
  </si>
  <si>
    <t>B3 /-4</t>
  </si>
  <si>
    <t>i</t>
  </si>
  <si>
    <t>Fi</t>
  </si>
  <si>
    <t>Xi</t>
  </si>
  <si>
    <t>Fibbonacci</t>
  </si>
  <si>
    <t>Angga Fathan Rofiqy</t>
  </si>
  <si>
    <t>G1401211006</t>
  </si>
  <si>
    <t>Syifa Khairunnisa</t>
  </si>
  <si>
    <t>G1401211012</t>
  </si>
  <si>
    <t>Salsabila Dwi Rahmi</t>
  </si>
  <si>
    <t>G1401211026</t>
  </si>
  <si>
    <t>Muhammad Luthfi Al Gifari</t>
  </si>
  <si>
    <t>G1401211031</t>
  </si>
  <si>
    <t>Oktavia Galih Pratiwi</t>
  </si>
  <si>
    <t>G1401211066</t>
  </si>
  <si>
    <t>Latihan</t>
  </si>
  <si>
    <t>Solusi</t>
  </si>
  <si>
    <t>n</t>
  </si>
  <si>
    <t>Fn</t>
  </si>
  <si>
    <t>Ln/L0</t>
  </si>
  <si>
    <t>L*</t>
  </si>
  <si>
    <t>x</t>
  </si>
  <si>
    <t>f(x)</t>
  </si>
  <si>
    <t>Table 5.2 Reduction Ratios</t>
  </si>
  <si>
    <t>Value of n</t>
  </si>
  <si>
    <t>Fibonacci
number (Fn)</t>
  </si>
  <si>
    <t>Reduction
ratio (Ln/L0)</t>
  </si>
  <si>
    <t>Diketahui:</t>
  </si>
  <si>
    <t>Grafik</t>
  </si>
  <si>
    <t>A1</t>
  </si>
  <si>
    <t>B1</t>
  </si>
  <si>
    <t>L0 = B1 - A1</t>
  </si>
  <si>
    <t>Ditanya:</t>
  </si>
  <si>
    <t>Nilai minimum fungsi dengan metode Fibonnaci</t>
  </si>
  <si>
    <t>Jawab:</t>
  </si>
  <si>
    <t>1. Menentukan nilai L2*</t>
  </si>
  <si>
    <t>L2*=</t>
  </si>
  <si>
    <t>F(6-2)/F(6)*L0</t>
  </si>
  <si>
    <t>Interpretasi:</t>
  </si>
  <si>
    <t>2. Menentukan nilai x1, x2, f(x1), dan f(x2)</t>
  </si>
  <si>
    <t>x1=</t>
  </si>
  <si>
    <t>x2=</t>
  </si>
  <si>
    <t>f(x1)=</t>
  </si>
  <si>
    <t>f(x2)=</t>
  </si>
  <si>
    <t>f(x2) &gt; f(x1) sehingga batas interval [x2, 3] dipersempit menjadi [0,x2]</t>
  </si>
  <si>
    <t>3. Menentukan nilai x3 dan f(x3)</t>
  </si>
  <si>
    <t>x3=</t>
  </si>
  <si>
    <t>0 + (x2-x1)</t>
  </si>
  <si>
    <t>f(x3)=</t>
  </si>
  <si>
    <t>f(x1) &gt; f(x3) sehingga batas interval [x1, x2] dipersempit menjadi [0,x1]</t>
  </si>
  <si>
    <t>4. Menentukan nilai x4 dan f(x4)</t>
  </si>
  <si>
    <t>x4=</t>
  </si>
  <si>
    <t>0 + (x1-x3)</t>
  </si>
  <si>
    <t>f(x3) &gt; f(x4) sehingga batas interval [x3, x1] dipersempit menjadi [0,x3]</t>
  </si>
  <si>
    <t>5. Menentukan nilai x5 dan f(x5)</t>
  </si>
  <si>
    <t>x5=</t>
  </si>
  <si>
    <t>0 + (x3-x4)</t>
  </si>
  <si>
    <t>f(x5) &gt; f(x4) sehingga batas interval [0, x5] dipersempit menjadi [x5,x3]</t>
  </si>
  <si>
    <t>6. Menentukan nilai x6 dan f(x6)</t>
  </si>
  <si>
    <t>x6=</t>
  </si>
  <si>
    <t>x5 + (x3-x4)</t>
  </si>
  <si>
    <t>f(x6) &gt; f(x4) sehingga batas interval [x6, x3] dipersempit menjadi [x5,x6]</t>
  </si>
  <si>
    <t>Hasil tabel Fibonacci</t>
  </si>
  <si>
    <t>L6/L0= (x6-x5)/3</t>
  </si>
  <si>
    <t>L6/L0 = 1/F6 =</t>
  </si>
  <si>
    <t>Kesimpulan</t>
  </si>
  <si>
    <t xml:space="preserve">Kelompok 8 P2 </t>
  </si>
  <si>
    <r>
      <rPr>
        <sz val="11"/>
        <color theme="1"/>
        <rFont val="Poppins"/>
      </rPr>
      <t>"Titik koordinat</t>
    </r>
    <r>
      <rPr>
        <b/>
        <sz val="11"/>
        <color rgb="FF990000"/>
        <rFont val="Poppins"/>
      </rPr>
      <t xml:space="preserve"> x (0.4615384615)</t>
    </r>
    <r>
      <rPr>
        <sz val="11"/>
        <color theme="1"/>
        <rFont val="Poppins"/>
      </rPr>
      <t xml:space="preserve"> dan </t>
    </r>
    <r>
      <rPr>
        <b/>
        <sz val="11"/>
        <color rgb="FF990000"/>
        <rFont val="Poppins"/>
      </rPr>
      <t>f(x) (-0.3098092483)</t>
    </r>
    <r>
      <rPr>
        <sz val="11"/>
        <color theme="1"/>
        <rFont val="Poppins"/>
      </rPr>
      <t xml:space="preserve"> merupakan </t>
    </r>
    <r>
      <rPr>
        <b/>
        <sz val="11"/>
        <color theme="1"/>
        <rFont val="Poppins"/>
      </rPr>
      <t>titik optimum</t>
    </r>
    <r>
      <rPr>
        <sz val="11"/>
        <color theme="1"/>
        <rFont val="Poppins"/>
      </rPr>
      <t xml:space="preserve">,dikarenakan titik tersebut mencapai titik minimum (terendah) dibandingkan titik-titik lainnya, setelah pada titik selanjutnya bergerak menaik ke arah kiri atas (lebih tinggi dari titik sebelumnya."                                        </t>
    </r>
  </si>
  <si>
    <r>
      <rPr>
        <sz val="11"/>
        <color theme="1"/>
        <rFont val="Poppins"/>
      </rPr>
      <t xml:space="preserve">Terbukti bahwa </t>
    </r>
    <r>
      <rPr>
        <b/>
        <sz val="11"/>
        <color theme="1"/>
        <rFont val="Poppins"/>
      </rPr>
      <t xml:space="preserve">rasio akhir </t>
    </r>
    <r>
      <rPr>
        <sz val="11"/>
        <color theme="1"/>
        <rFont val="Poppins"/>
      </rPr>
      <t xml:space="preserve">yang didaptkan saat n=6 </t>
    </r>
    <r>
      <rPr>
        <b/>
        <sz val="11"/>
        <color theme="1"/>
        <rFont val="Poppins"/>
      </rPr>
      <t>sama hasilnya</t>
    </r>
    <r>
      <rPr>
        <sz val="11"/>
        <color theme="1"/>
        <rFont val="Poppins"/>
      </rPr>
      <t xml:space="preserve"> antara tabel dan </t>
    </r>
    <r>
      <rPr>
        <b/>
        <sz val="11"/>
        <color theme="1"/>
        <rFont val="Poppins"/>
      </rPr>
      <t>persamaan 5.15</t>
    </r>
    <r>
      <rPr>
        <sz val="11"/>
        <color theme="1"/>
        <rFont val="Poppins"/>
      </rPr>
      <t xml:space="preserve">. Ini menandakan bahwa </t>
    </r>
    <r>
      <rPr>
        <b/>
        <sz val="11"/>
        <color theme="1"/>
        <rFont val="Poppins"/>
      </rPr>
      <t>iterasi</t>
    </r>
    <r>
      <rPr>
        <sz val="11"/>
        <color theme="1"/>
        <rFont val="Poppins"/>
      </rPr>
      <t xml:space="preserve">/proses penyelesaian kami </t>
    </r>
    <r>
      <rPr>
        <b/>
        <sz val="11"/>
        <color theme="1"/>
        <rFont val="Poppins"/>
      </rPr>
      <t>dalam mencari titik optimum sudah benar</t>
    </r>
    <r>
      <rPr>
        <sz val="11"/>
        <color theme="1"/>
        <rFont val="Poppins"/>
      </rPr>
      <t xml:space="preserve">, yakni pada koordinat </t>
    </r>
    <r>
      <rPr>
        <b/>
        <sz val="11"/>
        <color theme="1"/>
        <rFont val="Poppins"/>
      </rPr>
      <t>x (0.4615384615)</t>
    </r>
    <r>
      <rPr>
        <sz val="11"/>
        <color theme="1"/>
        <rFont val="Poppins"/>
      </rPr>
      <t xml:space="preserve"> dan </t>
    </r>
    <r>
      <rPr>
        <b/>
        <sz val="11"/>
        <color theme="1"/>
        <rFont val="Poppins"/>
      </rPr>
      <t>f(x) (-0.3098092483)</t>
    </r>
    <r>
      <rPr>
        <sz val="11"/>
        <color theme="1"/>
        <rFont val="Poppins"/>
      </rPr>
      <t>.</t>
    </r>
  </si>
  <si>
    <t>N</t>
  </si>
  <si>
    <t>Kelompok 5 Paralel 2</t>
  </si>
  <si>
    <t>1. G1401211008 - Nabil Naufal</t>
  </si>
  <si>
    <t>2. G1401211016 - Aida Darajati</t>
  </si>
  <si>
    <t>3. G1401211037 - Zulfa Hafizhoh</t>
  </si>
  <si>
    <t>F0</t>
  </si>
  <si>
    <t>F1</t>
  </si>
  <si>
    <t>F2</t>
  </si>
  <si>
    <t>F3</t>
  </si>
  <si>
    <t>F4</t>
  </si>
  <si>
    <t>F5</t>
  </si>
  <si>
    <t>F6</t>
  </si>
  <si>
    <t>4. G1401211041 - Andi Fatihatul Fuadiyah A</t>
  </si>
  <si>
    <t>5. G1401211046 - Azizah Amalia Azra</t>
  </si>
  <si>
    <t>L2*</t>
  </si>
  <si>
    <t>J</t>
  </si>
  <si>
    <t>L1</t>
  </si>
  <si>
    <t>L2* &gt; (L1/2) ?</t>
  </si>
  <si>
    <t>x1</t>
  </si>
  <si>
    <t>x2</t>
  </si>
  <si>
    <t>f(x1)</t>
  </si>
  <si>
    <t>f(x2)</t>
  </si>
  <si>
    <t>f2&gt;f1 ?</t>
  </si>
  <si>
    <t>L6</t>
  </si>
  <si>
    <t>L0</t>
  </si>
  <si>
    <t>Terbukti bahwa Ln/L0 = 1/Fn</t>
  </si>
  <si>
    <t>L6/L0</t>
  </si>
  <si>
    <t>1/F6</t>
  </si>
  <si>
    <t>alfa</t>
  </si>
  <si>
    <t>beta</t>
  </si>
  <si>
    <t>gamma</t>
  </si>
  <si>
    <t>f(X1)</t>
  </si>
  <si>
    <t>f(X2)</t>
  </si>
  <si>
    <t>f(X3)</t>
  </si>
  <si>
    <t>f(Xl)</t>
  </si>
  <si>
    <t>f(Xh)</t>
  </si>
  <si>
    <t>X0</t>
  </si>
  <si>
    <t>Xr</t>
  </si>
  <si>
    <t>Xe</t>
  </si>
  <si>
    <t>f(X0)</t>
  </si>
  <si>
    <t>f(Xr)</t>
  </si>
  <si>
    <t>f(Xr)&lt;f(Xl) maka diekspansi</t>
  </si>
  <si>
    <t>f(Xe)</t>
  </si>
  <si>
    <t>menghitung kekonvergenan</t>
  </si>
  <si>
    <t>Q</t>
  </si>
  <si>
    <t>Iterasi 2</t>
  </si>
  <si>
    <t>karena f(Xe)&lt;f(Xl) mka Xh diganti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</si>
</sst>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Poppins"/>
    </font>
    <font>
      <sz val="11"/>
      <color theme="1"/>
      <name val="Poppins"/>
    </font>
    <font>
      <b/>
      <sz val="10"/>
      <color theme="1"/>
      <name val="Poppins"/>
    </font>
    <font>
      <sz val="10"/>
      <color theme="1"/>
      <name val="Poppins"/>
    </font>
    <font>
      <b/>
      <sz val="11"/>
      <color rgb="FF8B1541"/>
      <name val="Poppins"/>
    </font>
    <font>
      <b/>
      <sz val="11"/>
      <color rgb="FF990000"/>
      <name val="Poppins"/>
    </font>
    <font>
      <sz val="11"/>
      <color rgb="FF1F1F1F"/>
      <name val="Poppins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Poppins"/>
    </font>
    <font>
      <b/>
      <sz val="11"/>
      <color rgb="FF000000"/>
      <name val="Poppins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&quot;Google Sans Mono&quot;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784AC"/>
        <bgColor rgb="FFE784AC"/>
      </patternFill>
    </fill>
    <fill>
      <patternFill patternType="solid">
        <fgColor rgb="FFFFF0F6"/>
        <bgColor rgb="FFFFF0F6"/>
      </patternFill>
    </fill>
    <fill>
      <patternFill patternType="solid">
        <fgColor rgb="FF8B1541"/>
        <bgColor rgb="FF8B1541"/>
      </patternFill>
    </fill>
    <fill>
      <patternFill patternType="solid">
        <fgColor rgb="FFF7DBFF"/>
        <bgColor rgb="FFF7DB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B1541"/>
      </left>
      <right/>
      <top style="thin">
        <color rgb="FF8B1541"/>
      </top>
      <bottom/>
      <diagonal/>
    </border>
    <border>
      <left/>
      <right/>
      <top style="thin">
        <color rgb="FF8B1541"/>
      </top>
      <bottom/>
      <diagonal/>
    </border>
    <border>
      <left/>
      <right style="thin">
        <color rgb="FF8B1541"/>
      </right>
      <top style="thin">
        <color rgb="FF8B1541"/>
      </top>
      <bottom/>
      <diagonal/>
    </border>
    <border>
      <left style="thin">
        <color rgb="FF8B1541"/>
      </left>
      <right/>
      <top/>
      <bottom/>
      <diagonal/>
    </border>
    <border>
      <left/>
      <right style="thin">
        <color rgb="FF8B1541"/>
      </right>
      <top/>
      <bottom/>
      <diagonal/>
    </border>
    <border>
      <left style="thin">
        <color rgb="FF8B1541"/>
      </left>
      <right/>
      <top/>
      <bottom style="thin">
        <color rgb="FF8B1541"/>
      </bottom>
      <diagonal/>
    </border>
    <border>
      <left/>
      <right/>
      <top/>
      <bottom style="thin">
        <color rgb="FF8B1541"/>
      </bottom>
      <diagonal/>
    </border>
    <border>
      <left/>
      <right style="thin">
        <color rgb="FF8B1541"/>
      </right>
      <top/>
      <bottom style="thin">
        <color rgb="FF8B154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0" applyFont="1"/>
    <xf numFmtId="0" fontId="0" fillId="0" borderId="0" xfId="0" applyBorder="1"/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4" xfId="0" applyFont="1" applyBorder="1"/>
    <xf numFmtId="0" fontId="4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0" xfId="0" applyFont="1"/>
    <xf numFmtId="0" fontId="11" fillId="4" borderId="0" xfId="0" applyFont="1" applyFill="1"/>
    <xf numFmtId="0" fontId="0" fillId="0" borderId="0" xfId="0"/>
    <xf numFmtId="0" fontId="3" fillId="5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/>
    <xf numFmtId="0" fontId="4" fillId="0" borderId="0" xfId="0" applyFont="1" applyAlignment="1">
      <alignment horizontal="right"/>
    </xf>
    <xf numFmtId="0" fontId="2" fillId="3" borderId="0" xfId="0" applyFont="1" applyFill="1"/>
    <xf numFmtId="0" fontId="4" fillId="5" borderId="8" xfId="0" applyFont="1" applyFill="1" applyBorder="1" applyAlignment="1">
      <alignment vertical="center" wrapText="1"/>
    </xf>
    <xf numFmtId="0" fontId="10" fillId="0" borderId="9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2" fillId="6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6" borderId="0" xfId="0" applyFont="1" applyFill="1" applyAlignment="1">
      <alignment horizontal="right"/>
    </xf>
    <xf numFmtId="0" fontId="9" fillId="5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9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6" fillId="0" borderId="19" xfId="0" applyFont="1" applyBorder="1"/>
    <xf numFmtId="0" fontId="10" fillId="0" borderId="20" xfId="0" applyFont="1" applyBorder="1"/>
    <xf numFmtId="0" fontId="14" fillId="7" borderId="7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6" fillId="0" borderId="21" xfId="0" applyFont="1" applyBorder="1"/>
    <xf numFmtId="0" fontId="10" fillId="0" borderId="22" xfId="0" applyFont="1" applyBorder="1"/>
    <xf numFmtId="0" fontId="10" fillId="0" borderId="6" xfId="0" applyFont="1" applyBorder="1"/>
    <xf numFmtId="0" fontId="14" fillId="0" borderId="0" xfId="0" applyFont="1"/>
    <xf numFmtId="0" fontId="15" fillId="0" borderId="0" xfId="0" applyFont="1"/>
    <xf numFmtId="0" fontId="15" fillId="7" borderId="7" xfId="0" applyFont="1" applyFill="1" applyBorder="1"/>
    <xf numFmtId="0" fontId="15" fillId="0" borderId="7" xfId="0" applyFont="1" applyBorder="1"/>
    <xf numFmtId="0" fontId="14" fillId="0" borderId="7" xfId="0" applyFont="1" applyBorder="1"/>
    <xf numFmtId="0" fontId="17" fillId="6" borderId="7" xfId="0" applyFont="1" applyFill="1" applyBorder="1"/>
    <xf numFmtId="0" fontId="18" fillId="0" borderId="16" xfId="0" applyFont="1" applyBorder="1" applyAlignment="1">
      <alignment horizontal="center" wrapText="1"/>
    </xf>
    <xf numFmtId="0" fontId="15" fillId="7" borderId="0" xfId="0" applyFont="1" applyFill="1"/>
    <xf numFmtId="0" fontId="10" fillId="0" borderId="19" xfId="0" applyFont="1" applyBorder="1"/>
    <xf numFmtId="0" fontId="10" fillId="0" borderId="21" xfId="0" applyFont="1" applyBorder="1"/>
    <xf numFmtId="0" fontId="1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19" fillId="0" borderId="0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id-ID" b="1">
                <a:solidFill>
                  <a:srgbClr val="000000"/>
                </a:solidFill>
                <a:latin typeface="+mn-lt"/>
              </a:rPr>
              <a:t>Titik Optimum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8B1541"/>
              </a:solidFill>
              <a:ln cmpd="sng">
                <a:solidFill>
                  <a:srgbClr val="8B1541"/>
                </a:solidFill>
              </a:ln>
            </c:spPr>
          </c:marker>
          <c:xVal>
            <c:numRef>
              <c:f>[1]Sheet1!$L$11:$L$16</c:f>
              <c:numCache>
                <c:formatCode>General</c:formatCode>
                <c:ptCount val="6"/>
                <c:pt idx="0">
                  <c:v>1.153846153846154</c:v>
                </c:pt>
                <c:pt idx="1">
                  <c:v>1.846153846153846</c:v>
                </c:pt>
                <c:pt idx="2">
                  <c:v>0.69230769230769207</c:v>
                </c:pt>
                <c:pt idx="3">
                  <c:v>0.4615384615384619</c:v>
                </c:pt>
                <c:pt idx="4">
                  <c:v>0.23076923076923017</c:v>
                </c:pt>
                <c:pt idx="5">
                  <c:v>0.46153846153846034</c:v>
                </c:pt>
              </c:numCache>
            </c:numRef>
          </c:xVal>
          <c:yVal>
            <c:numRef>
              <c:f>[1]Sheet1!$M$11:$M$16</c:f>
              <c:numCache>
                <c:formatCode>General</c:formatCode>
                <c:ptCount val="6"/>
                <c:pt idx="0">
                  <c:v>-0.20726853157333164</c:v>
                </c:pt>
                <c:pt idx="1">
                  <c:v>-0.1158415322737778</c:v>
                </c:pt>
                <c:pt idx="2">
                  <c:v>-0.29136324843546696</c:v>
                </c:pt>
                <c:pt idx="3">
                  <c:v>-0.30980924829413686</c:v>
                </c:pt>
                <c:pt idx="4">
                  <c:v>-0.2636782734965446</c:v>
                </c:pt>
                <c:pt idx="5">
                  <c:v>-0.30980924829413681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A-485F-98C6-1846068A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694935"/>
        <c:axId val="285541059"/>
      </c:scatterChart>
      <c:valAx>
        <c:axId val="13336949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285541059"/>
        <c:crosses val="autoZero"/>
        <c:crossBetween val="midCat"/>
      </c:valAx>
      <c:valAx>
        <c:axId val="285541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id-ID"/>
          </a:p>
        </c:txPr>
        <c:crossAx val="13336949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id-ID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155863</xdr:colOff>
      <xdr:row>6</xdr:row>
      <xdr:rowOff>139945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728A5-A37A-2128-D56E-F29326EF3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55" y="0"/>
          <a:ext cx="1974272" cy="12829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1</xdr:rowOff>
    </xdr:from>
    <xdr:to>
      <xdr:col>10</xdr:col>
      <xdr:colOff>363681</xdr:colOff>
      <xdr:row>20</xdr:row>
      <xdr:rowOff>65089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3B6DE7-D58A-EB31-8844-54C9BA2D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2955" y="2476501"/>
          <a:ext cx="2182090" cy="1398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18</xdr:row>
      <xdr:rowOff>0</xdr:rowOff>
    </xdr:from>
    <xdr:ext cx="4457700" cy="27527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CEE24DC9-D1EC-402B-A9B1-4BD9D2AFF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800100</xdr:colOff>
      <xdr:row>26</xdr:row>
      <xdr:rowOff>57150</xdr:rowOff>
    </xdr:from>
    <xdr:ext cx="400050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8586B09-17B6-4C6D-ABED-F85A9FCE3A16}"/>
            </a:ext>
          </a:extLst>
        </xdr:cNvPr>
        <xdr:cNvSpPr/>
      </xdr:nvSpPr>
      <xdr:spPr>
        <a:xfrm>
          <a:off x="12258675" y="7391400"/>
          <a:ext cx="400050" cy="400050"/>
        </a:xfrm>
        <a:prstGeom prst="ellipse">
          <a:avLst/>
        </a:prstGeom>
        <a:noFill/>
        <a:ln w="76200" cap="flat" cmpd="sng">
          <a:solidFill>
            <a:srgbClr val="FF00F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66675</xdr:colOff>
      <xdr:row>8</xdr:row>
      <xdr:rowOff>238125</xdr:rowOff>
    </xdr:from>
    <xdr:ext cx="4048125" cy="609600"/>
    <xdr:pic>
      <xdr:nvPicPr>
        <xdr:cNvPr id="4" name="image4.png" title="Image">
          <a:extLst>
            <a:ext uri="{FF2B5EF4-FFF2-40B4-BE49-F238E27FC236}">
              <a16:creationId xmlns:a16="http://schemas.microsoft.com/office/drawing/2014/main" id="{810C4559-8514-4DE9-B3E0-87A5D96DA73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4875" y="2447925"/>
          <a:ext cx="4048125" cy="6096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42182</xdr:colOff>
      <xdr:row>25</xdr:row>
      <xdr:rowOff>202746</xdr:rowOff>
    </xdr:from>
    <xdr:ext cx="1695450" cy="762000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AB5C7769-AF13-44F7-BB75-76F7C0355BD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376432" y="7169603"/>
          <a:ext cx="1695450" cy="7620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32</xdr:row>
      <xdr:rowOff>76200</xdr:rowOff>
    </xdr:from>
    <xdr:ext cx="2200275" cy="67627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639BA04F-7832-4193-B748-EA635A2E1CC4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43775" y="8948057"/>
          <a:ext cx="2200275" cy="676275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571500</xdr:colOff>
      <xdr:row>74</xdr:row>
      <xdr:rowOff>47625</xdr:rowOff>
    </xdr:from>
    <xdr:ext cx="1076325" cy="495300"/>
    <xdr:pic>
      <xdr:nvPicPr>
        <xdr:cNvPr id="7" name="image2.png" title="Image">
          <a:extLst>
            <a:ext uri="{FF2B5EF4-FFF2-40B4-BE49-F238E27FC236}">
              <a16:creationId xmlns:a16="http://schemas.microsoft.com/office/drawing/2014/main" id="{55A851A2-AAB1-4249-98B3-35FEF047E69A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144250" y="20593050"/>
          <a:ext cx="1076325" cy="49530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161925</xdr:colOff>
      <xdr:row>28</xdr:row>
      <xdr:rowOff>57150</xdr:rowOff>
    </xdr:from>
    <xdr:ext cx="666750" cy="48577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634BC556-20D3-4A9C-A662-957DE3D92792}"/>
            </a:ext>
          </a:extLst>
        </xdr:cNvPr>
        <xdr:cNvSpPr/>
      </xdr:nvSpPr>
      <xdr:spPr>
        <a:xfrm>
          <a:off x="11896725" y="5657850"/>
          <a:ext cx="666750" cy="485775"/>
        </a:xfrm>
        <a:prstGeom prst="rightArrow">
          <a:avLst>
            <a:gd name="adj1" fmla="val 50000"/>
            <a:gd name="adj2" fmla="val 50000"/>
          </a:avLst>
        </a:prstGeom>
        <a:solidFill>
          <a:srgbClr val="00FF00"/>
        </a:solidFill>
        <a:ln w="9525" cap="flat" cmpd="sng">
          <a:solidFill>
            <a:srgbClr val="00FF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69850</xdr:rowOff>
    </xdr:from>
    <xdr:ext cx="3238666" cy="311165"/>
    <xdr:pic>
      <xdr:nvPicPr>
        <xdr:cNvPr id="2" name="Picture 1">
          <a:extLst>
            <a:ext uri="{FF2B5EF4-FFF2-40B4-BE49-F238E27FC236}">
              <a16:creationId xmlns:a16="http://schemas.microsoft.com/office/drawing/2014/main" id="{CCE9947C-AE0B-4BDE-B004-C6BD4AF9A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9850"/>
          <a:ext cx="3238666" cy="311165"/>
        </a:xfrm>
        <a:prstGeom prst="rect">
          <a:avLst/>
        </a:prstGeom>
      </xdr:spPr>
    </xdr:pic>
    <xdr:clientData/>
  </xdr:oneCellAnchor>
  <xdr:oneCellAnchor>
    <xdr:from>
      <xdr:col>0</xdr:col>
      <xdr:colOff>114301</xdr:colOff>
      <xdr:row>8</xdr:row>
      <xdr:rowOff>76200</xdr:rowOff>
    </xdr:from>
    <xdr:ext cx="1206500" cy="787400"/>
    <xdr:pic>
      <xdr:nvPicPr>
        <xdr:cNvPr id="3" name="Picture 2">
          <a:extLst>
            <a:ext uri="{FF2B5EF4-FFF2-40B4-BE49-F238E27FC236}">
              <a16:creationId xmlns:a16="http://schemas.microsoft.com/office/drawing/2014/main" id="{78557C61-EE13-4423-BB06-506A3B1DD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1600200"/>
          <a:ext cx="1206500" cy="787400"/>
        </a:xfrm>
        <a:prstGeom prst="rect">
          <a:avLst/>
        </a:prstGeom>
      </xdr:spPr>
    </xdr:pic>
    <xdr:clientData/>
  </xdr:oneCellAnchor>
  <xdr:oneCellAnchor>
    <xdr:from>
      <xdr:col>2</xdr:col>
      <xdr:colOff>575802</xdr:colOff>
      <xdr:row>8</xdr:row>
      <xdr:rowOff>152400</xdr:rowOff>
    </xdr:from>
    <xdr:ext cx="2516656" cy="500632"/>
    <xdr:pic>
      <xdr:nvPicPr>
        <xdr:cNvPr id="4" name="Picture 3">
          <a:extLst>
            <a:ext uri="{FF2B5EF4-FFF2-40B4-BE49-F238E27FC236}">
              <a16:creationId xmlns:a16="http://schemas.microsoft.com/office/drawing/2014/main" id="{3CDC5018-0626-42F3-9329-4D5DD99E1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002" y="1676400"/>
          <a:ext cx="2516656" cy="500632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9</xdr:row>
      <xdr:rowOff>0</xdr:rowOff>
    </xdr:from>
    <xdr:ext cx="3525520" cy="439420"/>
    <xdr:pic>
      <xdr:nvPicPr>
        <xdr:cNvPr id="5" name="Picture 4">
          <a:extLst>
            <a:ext uri="{FF2B5EF4-FFF2-40B4-BE49-F238E27FC236}">
              <a16:creationId xmlns:a16="http://schemas.microsoft.com/office/drawing/2014/main" id="{04F50CA7-540A-41F7-9735-45E4377A12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389" b="8163"/>
        <a:stretch/>
      </xdr:blipFill>
      <xdr:spPr>
        <a:xfrm>
          <a:off x="5486400" y="1714500"/>
          <a:ext cx="3525520" cy="43942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18</xdr:row>
      <xdr:rowOff>1</xdr:rowOff>
    </xdr:from>
    <xdr:ext cx="2260600" cy="676356"/>
    <xdr:pic>
      <xdr:nvPicPr>
        <xdr:cNvPr id="6" name="Picture 5">
          <a:extLst>
            <a:ext uri="{FF2B5EF4-FFF2-40B4-BE49-F238E27FC236}">
              <a16:creationId xmlns:a16="http://schemas.microsoft.com/office/drawing/2014/main" id="{E2D2CB58-A10E-4F2C-AF4E-50F6D45DA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429001"/>
          <a:ext cx="2260600" cy="676356"/>
        </a:xfrm>
        <a:prstGeom prst="rect">
          <a:avLst/>
        </a:prstGeom>
      </xdr:spPr>
    </xdr:pic>
    <xdr:clientData/>
  </xdr:oneCellAnchor>
  <xdr:twoCellAnchor editAs="oneCell">
    <xdr:from>
      <xdr:col>0</xdr:col>
      <xdr:colOff>177800</xdr:colOff>
      <xdr:row>24</xdr:row>
      <xdr:rowOff>69850</xdr:rowOff>
    </xdr:from>
    <xdr:to>
      <xdr:col>5</xdr:col>
      <xdr:colOff>368466</xdr:colOff>
      <xdr:row>26</xdr:row>
      <xdr:rowOff>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17456E-BE95-4738-BC00-945B2B481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69850"/>
          <a:ext cx="3238666" cy="31116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32</xdr:row>
      <xdr:rowOff>76200</xdr:rowOff>
    </xdr:from>
    <xdr:to>
      <xdr:col>2</xdr:col>
      <xdr:colOff>101601</xdr:colOff>
      <xdr:row>36</xdr:row>
      <xdr:rowOff>101600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C22DFC-8D8F-4515-8E86-FC158D843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1600200"/>
          <a:ext cx="1206500" cy="787400"/>
        </a:xfrm>
        <a:prstGeom prst="rect">
          <a:avLst/>
        </a:prstGeom>
      </xdr:spPr>
    </xdr:pic>
    <xdr:clientData/>
  </xdr:twoCellAnchor>
  <xdr:twoCellAnchor editAs="oneCell">
    <xdr:from>
      <xdr:col>2</xdr:col>
      <xdr:colOff>575802</xdr:colOff>
      <xdr:row>32</xdr:row>
      <xdr:rowOff>152400</xdr:rowOff>
    </xdr:from>
    <xdr:to>
      <xdr:col>7</xdr:col>
      <xdr:colOff>44458</xdr:colOff>
      <xdr:row>35</xdr:row>
      <xdr:rowOff>81532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E03F1C-912C-41ED-9F87-1271F7A51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5002" y="1676400"/>
          <a:ext cx="2516656" cy="50063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14</xdr:col>
      <xdr:colOff>477520</xdr:colOff>
      <xdr:row>35</xdr:row>
      <xdr:rowOff>58420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419B-2B9F-44BC-AD83-2AD1523F84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8389" b="8163"/>
        <a:stretch/>
      </xdr:blipFill>
      <xdr:spPr>
        <a:xfrm>
          <a:off x="5486400" y="1714500"/>
          <a:ext cx="3525520" cy="43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</xdr:rowOff>
    </xdr:from>
    <xdr:to>
      <xdr:col>3</xdr:col>
      <xdr:colOff>431800</xdr:colOff>
      <xdr:row>45</xdr:row>
      <xdr:rowOff>104857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6552BA-9A4E-4F46-9499-12EFF8CC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429001"/>
          <a:ext cx="2260600" cy="6763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than\Downloads\Kel8_P2_Tugas%20Opstat.xlsx" TargetMode="External"/><Relationship Id="rId1" Type="http://schemas.openxmlformats.org/officeDocument/2006/relationships/externalLinkPath" Target="/Users/Fathan/Downloads/Kel8_P2_Tugas%20Op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">
          <cell r="L11">
            <v>1.153846153846154</v>
          </cell>
          <cell r="M11">
            <v>-0.20726853157333164</v>
          </cell>
        </row>
        <row r="12">
          <cell r="L12">
            <v>1.846153846153846</v>
          </cell>
          <cell r="M12">
            <v>-0.1158415322737778</v>
          </cell>
        </row>
        <row r="13">
          <cell r="L13">
            <v>0.69230769230769207</v>
          </cell>
          <cell r="M13">
            <v>-0.29136324843546696</v>
          </cell>
        </row>
        <row r="14">
          <cell r="L14">
            <v>0.4615384615384619</v>
          </cell>
          <cell r="M14">
            <v>-0.30980924829413686</v>
          </cell>
        </row>
        <row r="15">
          <cell r="L15">
            <v>0.23076923076923017</v>
          </cell>
          <cell r="M15">
            <v>-0.2636782734965446</v>
          </cell>
        </row>
        <row r="16">
          <cell r="L16">
            <v>0.46153846153846034</v>
          </cell>
          <cell r="M16">
            <v>-0.30980924829413681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321E-529B-4DE9-92AA-E3140A54FE2D}">
  <dimension ref="A1:G28"/>
  <sheetViews>
    <sheetView zoomScale="110" workbookViewId="0">
      <selection activeCell="J27" sqref="J27"/>
    </sheetView>
  </sheetViews>
  <sheetFormatPr defaultRowHeight="15" x14ac:dyDescent="0.25"/>
  <sheetData>
    <row r="1" spans="1:7" x14ac:dyDescent="0.25">
      <c r="A1">
        <v>-3</v>
      </c>
      <c r="B1">
        <v>2</v>
      </c>
      <c r="C1">
        <v>-1</v>
      </c>
      <c r="D1">
        <v>-1</v>
      </c>
    </row>
    <row r="2" spans="1:7" x14ac:dyDescent="0.25">
      <c r="A2">
        <v>6</v>
      </c>
      <c r="B2">
        <v>-6</v>
      </c>
      <c r="C2">
        <v>7</v>
      </c>
      <c r="D2">
        <v>-7</v>
      </c>
      <c r="F2" t="s">
        <v>0</v>
      </c>
    </row>
    <row r="3" spans="1:7" x14ac:dyDescent="0.25">
      <c r="A3">
        <v>3</v>
      </c>
      <c r="B3">
        <v>-4</v>
      </c>
      <c r="C3">
        <v>4</v>
      </c>
      <c r="D3">
        <v>-6</v>
      </c>
      <c r="F3" t="s">
        <v>1</v>
      </c>
    </row>
    <row r="5" spans="1:7" x14ac:dyDescent="0.25">
      <c r="A5">
        <f>A1</f>
        <v>-3</v>
      </c>
      <c r="B5">
        <f t="shared" ref="B5:D5" si="0">B1</f>
        <v>2</v>
      </c>
      <c r="C5">
        <f t="shared" si="0"/>
        <v>-1</v>
      </c>
      <c r="D5">
        <f t="shared" si="0"/>
        <v>-1</v>
      </c>
    </row>
    <row r="6" spans="1:7" x14ac:dyDescent="0.25">
      <c r="A6">
        <f>A2+2*A1</f>
        <v>0</v>
      </c>
      <c r="B6">
        <f t="shared" ref="B6:D6" si="1">B2+2*B1</f>
        <v>-2</v>
      </c>
      <c r="C6">
        <f t="shared" si="1"/>
        <v>5</v>
      </c>
      <c r="D6">
        <f t="shared" si="1"/>
        <v>-9</v>
      </c>
    </row>
    <row r="7" spans="1:7" x14ac:dyDescent="0.25">
      <c r="A7">
        <f>A3+A1</f>
        <v>0</v>
      </c>
      <c r="B7">
        <f t="shared" ref="B7:D7" si="2">B3+B1</f>
        <v>-2</v>
      </c>
      <c r="C7">
        <f t="shared" si="2"/>
        <v>3</v>
      </c>
      <c r="D7">
        <f t="shared" si="2"/>
        <v>-7</v>
      </c>
      <c r="F7" t="s">
        <v>2</v>
      </c>
    </row>
    <row r="9" spans="1:7" x14ac:dyDescent="0.25">
      <c r="A9">
        <f>A5</f>
        <v>-3</v>
      </c>
      <c r="B9">
        <f t="shared" ref="B9:D9" si="3">B5</f>
        <v>2</v>
      </c>
      <c r="C9">
        <f t="shared" si="3"/>
        <v>-1</v>
      </c>
      <c r="D9">
        <f t="shared" si="3"/>
        <v>-1</v>
      </c>
      <c r="F9" s="1" t="s">
        <v>3</v>
      </c>
      <c r="G9" s="1">
        <f>D11/C11</f>
        <v>-1</v>
      </c>
    </row>
    <row r="10" spans="1:7" x14ac:dyDescent="0.25">
      <c r="A10">
        <f>A6</f>
        <v>0</v>
      </c>
      <c r="B10">
        <f t="shared" ref="B10:D10" si="4">B6</f>
        <v>-2</v>
      </c>
      <c r="C10">
        <f t="shared" si="4"/>
        <v>5</v>
      </c>
      <c r="D10">
        <f t="shared" si="4"/>
        <v>-9</v>
      </c>
      <c r="F10" s="1" t="s">
        <v>4</v>
      </c>
      <c r="G10" s="1">
        <f>(D10-C10*G9)/B10</f>
        <v>2</v>
      </c>
    </row>
    <row r="11" spans="1:7" x14ac:dyDescent="0.25">
      <c r="A11">
        <f t="shared" ref="A11:D11" si="5">A7-A6</f>
        <v>0</v>
      </c>
      <c r="B11">
        <f>B7-B6</f>
        <v>0</v>
      </c>
      <c r="C11">
        <f t="shared" si="5"/>
        <v>-2</v>
      </c>
      <c r="D11">
        <f t="shared" si="5"/>
        <v>2</v>
      </c>
      <c r="F11" s="1" t="s">
        <v>5</v>
      </c>
      <c r="G11" s="1">
        <f>(D9-C9*G9-B9*G10)/A9</f>
        <v>2</v>
      </c>
    </row>
    <row r="14" spans="1:7" x14ac:dyDescent="0.25">
      <c r="A14">
        <v>1</v>
      </c>
      <c r="B14">
        <v>1</v>
      </c>
      <c r="C14">
        <v>-1</v>
      </c>
      <c r="D14">
        <v>-2</v>
      </c>
      <c r="F14" t="s">
        <v>7</v>
      </c>
    </row>
    <row r="15" spans="1:7" x14ac:dyDescent="0.25">
      <c r="A15">
        <v>2</v>
      </c>
      <c r="B15">
        <v>-1</v>
      </c>
      <c r="C15">
        <v>1</v>
      </c>
      <c r="D15">
        <v>5</v>
      </c>
      <c r="F15" t="s">
        <v>8</v>
      </c>
    </row>
    <row r="16" spans="1:7" x14ac:dyDescent="0.25">
      <c r="A16">
        <v>-1</v>
      </c>
      <c r="B16">
        <v>2</v>
      </c>
      <c r="C16">
        <v>2</v>
      </c>
      <c r="D16">
        <v>1</v>
      </c>
      <c r="F16" t="s">
        <v>9</v>
      </c>
    </row>
    <row r="18" spans="1:6" x14ac:dyDescent="0.25">
      <c r="A18">
        <f>A14+A15</f>
        <v>3</v>
      </c>
      <c r="B18">
        <f>B14+B15</f>
        <v>0</v>
      </c>
      <c r="C18">
        <f t="shared" ref="C18:D18" si="6">C14+C15</f>
        <v>0</v>
      </c>
      <c r="D18">
        <f t="shared" si="6"/>
        <v>3</v>
      </c>
      <c r="F18" t="s">
        <v>10</v>
      </c>
    </row>
    <row r="19" spans="1:6" x14ac:dyDescent="0.25">
      <c r="A19">
        <f>A15+A16*2</f>
        <v>0</v>
      </c>
      <c r="B19">
        <f t="shared" ref="B19:D19" si="7">B15+B16*2</f>
        <v>3</v>
      </c>
      <c r="C19">
        <f t="shared" si="7"/>
        <v>5</v>
      </c>
      <c r="D19">
        <f t="shared" si="7"/>
        <v>7</v>
      </c>
      <c r="F19" t="s">
        <v>11</v>
      </c>
    </row>
    <row r="20" spans="1:6" x14ac:dyDescent="0.25">
      <c r="A20">
        <f>A16+A14</f>
        <v>0</v>
      </c>
      <c r="B20">
        <f t="shared" ref="B20:D20" si="8">B16+B14</f>
        <v>3</v>
      </c>
      <c r="C20">
        <f t="shared" si="8"/>
        <v>1</v>
      </c>
      <c r="D20">
        <f t="shared" si="8"/>
        <v>-1</v>
      </c>
      <c r="F20" t="s">
        <v>12</v>
      </c>
    </row>
    <row r="22" spans="1:6" x14ac:dyDescent="0.25">
      <c r="A22">
        <f>A18/3</f>
        <v>1</v>
      </c>
      <c r="B22">
        <f t="shared" ref="B22:D22" si="9">B18/3</f>
        <v>0</v>
      </c>
      <c r="C22">
        <f t="shared" si="9"/>
        <v>0</v>
      </c>
      <c r="D22">
        <f t="shared" si="9"/>
        <v>1</v>
      </c>
    </row>
    <row r="23" spans="1:6" x14ac:dyDescent="0.25">
      <c r="A23">
        <f>A19-A20*5</f>
        <v>0</v>
      </c>
      <c r="B23">
        <f>B19-B20*5</f>
        <v>-12</v>
      </c>
      <c r="C23">
        <f>C19-C20*5</f>
        <v>0</v>
      </c>
      <c r="D23">
        <f>D19-D20*5</f>
        <v>12</v>
      </c>
      <c r="F23" t="s">
        <v>13</v>
      </c>
    </row>
    <row r="24" spans="1:6" x14ac:dyDescent="0.25">
      <c r="A24">
        <f t="shared" ref="A24:D24" si="10">A20-A19</f>
        <v>0</v>
      </c>
      <c r="B24">
        <f>B20-B19</f>
        <v>0</v>
      </c>
      <c r="C24">
        <f t="shared" si="10"/>
        <v>-4</v>
      </c>
      <c r="D24">
        <f t="shared" si="10"/>
        <v>-8</v>
      </c>
      <c r="F24" t="s">
        <v>14</v>
      </c>
    </row>
    <row r="26" spans="1:6" x14ac:dyDescent="0.25">
      <c r="A26">
        <f>A22</f>
        <v>1</v>
      </c>
      <c r="B26">
        <f t="shared" ref="B26:D26" si="11">B22</f>
        <v>0</v>
      </c>
      <c r="C26">
        <f t="shared" si="11"/>
        <v>0</v>
      </c>
      <c r="D26" s="1">
        <f t="shared" si="11"/>
        <v>1</v>
      </c>
      <c r="E26" s="1" t="s">
        <v>5</v>
      </c>
    </row>
    <row r="27" spans="1:6" x14ac:dyDescent="0.25">
      <c r="A27">
        <f>A23/-12</f>
        <v>0</v>
      </c>
      <c r="B27">
        <f t="shared" ref="B27:D27" si="12">B23/-12</f>
        <v>1</v>
      </c>
      <c r="C27">
        <f t="shared" si="12"/>
        <v>0</v>
      </c>
      <c r="D27" s="1">
        <f t="shared" si="12"/>
        <v>-1</v>
      </c>
      <c r="E27" s="1" t="s">
        <v>4</v>
      </c>
    </row>
    <row r="28" spans="1:6" x14ac:dyDescent="0.25">
      <c r="A28">
        <f>A24/-4</f>
        <v>0</v>
      </c>
      <c r="B28">
        <f t="shared" ref="B28:D28" si="13">B24/-4</f>
        <v>0</v>
      </c>
      <c r="C28">
        <f t="shared" si="13"/>
        <v>1</v>
      </c>
      <c r="D28" s="1">
        <f t="shared" si="13"/>
        <v>2</v>
      </c>
      <c r="E28" s="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5799-EC2B-4C89-ABB5-684AE13A0B86}">
  <dimension ref="A1:C9"/>
  <sheetViews>
    <sheetView zoomScale="205" zoomScaleNormal="205" workbookViewId="0">
      <selection activeCell="H4" sqref="H4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15</v>
      </c>
      <c r="B2" t="s">
        <v>16</v>
      </c>
      <c r="C2" t="s">
        <v>17</v>
      </c>
    </row>
    <row r="3" spans="1:3" x14ac:dyDescent="0.25">
      <c r="A3">
        <v>0</v>
      </c>
      <c r="B3">
        <v>1</v>
      </c>
    </row>
    <row r="4" spans="1:3" x14ac:dyDescent="0.25">
      <c r="A4">
        <v>1</v>
      </c>
      <c r="B4">
        <v>1</v>
      </c>
    </row>
    <row r="5" spans="1:3" x14ac:dyDescent="0.25">
      <c r="A5">
        <v>2</v>
      </c>
      <c r="B5">
        <f>B4+B3</f>
        <v>2</v>
      </c>
    </row>
    <row r="6" spans="1:3" x14ac:dyDescent="0.25">
      <c r="A6">
        <v>3</v>
      </c>
      <c r="B6">
        <f t="shared" ref="B6:B9" si="0">B5+B4</f>
        <v>3</v>
      </c>
    </row>
    <row r="7" spans="1:3" x14ac:dyDescent="0.25">
      <c r="A7">
        <v>4</v>
      </c>
      <c r="B7">
        <f t="shared" si="0"/>
        <v>5</v>
      </c>
    </row>
    <row r="8" spans="1:3" x14ac:dyDescent="0.25">
      <c r="A8">
        <v>5</v>
      </c>
      <c r="B8">
        <f t="shared" si="0"/>
        <v>8</v>
      </c>
    </row>
    <row r="9" spans="1:3" x14ac:dyDescent="0.25">
      <c r="A9">
        <v>6</v>
      </c>
      <c r="B9">
        <f t="shared" si="0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8735-815E-484D-977E-C50178796240}">
  <dimension ref="A1:AH1000"/>
  <sheetViews>
    <sheetView topLeftCell="D1" zoomScale="70" zoomScaleNormal="70" workbookViewId="0">
      <selection activeCell="Q5" sqref="Q5"/>
    </sheetView>
  </sheetViews>
  <sheetFormatPr defaultColWidth="12.5703125" defaultRowHeight="15.75" customHeight="1" x14ac:dyDescent="0.25"/>
  <cols>
    <col min="2" max="2" width="17.85546875" customWidth="1"/>
    <col min="3" max="3" width="26.7109375" customWidth="1"/>
    <col min="4" max="4" width="27.42578125" bestFit="1" customWidth="1"/>
    <col min="8" max="8" width="21.42578125" customWidth="1"/>
    <col min="9" max="9" width="15.7109375" customWidth="1"/>
    <col min="10" max="10" width="15.42578125" customWidth="1"/>
    <col min="11" max="11" width="13.28515625" customWidth="1"/>
    <col min="12" max="12" width="16.42578125" customWidth="1"/>
    <col min="13" max="13" width="17.42578125" customWidth="1"/>
    <col min="17" max="17" width="20.140625" customWidth="1"/>
  </cols>
  <sheetData>
    <row r="1" spans="1:31" ht="21.75" x14ac:dyDescent="0.6">
      <c r="A1" s="5"/>
      <c r="B1" s="6" t="s">
        <v>80</v>
      </c>
      <c r="C1" s="7"/>
      <c r="D1" s="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50" t="s">
        <v>83</v>
      </c>
      <c r="S1" s="51">
        <v>6</v>
      </c>
      <c r="Z1" s="52" t="s">
        <v>84</v>
      </c>
      <c r="AA1" s="53"/>
      <c r="AB1" s="54"/>
    </row>
    <row r="2" spans="1:31" ht="21.75" x14ac:dyDescent="0.6">
      <c r="A2" s="9"/>
      <c r="B2" s="10">
        <v>1</v>
      </c>
      <c r="C2" s="11" t="s">
        <v>19</v>
      </c>
      <c r="D2" s="12" t="s">
        <v>20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50" t="s">
        <v>43</v>
      </c>
      <c r="S2" s="51">
        <v>0</v>
      </c>
      <c r="Z2" s="55" t="s">
        <v>85</v>
      </c>
      <c r="AA2" s="15"/>
      <c r="AB2" s="56"/>
    </row>
    <row r="3" spans="1:31" ht="21.75" x14ac:dyDescent="0.6">
      <c r="A3" s="9"/>
      <c r="B3" s="10">
        <v>2</v>
      </c>
      <c r="C3" s="11" t="s">
        <v>21</v>
      </c>
      <c r="D3" s="12" t="s">
        <v>22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50" t="s">
        <v>44</v>
      </c>
      <c r="S3" s="51">
        <v>3</v>
      </c>
      <c r="Z3" s="55" t="s">
        <v>86</v>
      </c>
      <c r="AA3" s="15"/>
      <c r="AB3" s="56"/>
    </row>
    <row r="4" spans="1:31" ht="21.75" x14ac:dyDescent="0.6">
      <c r="A4" s="9"/>
      <c r="B4" s="10">
        <v>3</v>
      </c>
      <c r="C4" s="11" t="s">
        <v>23</v>
      </c>
      <c r="D4" s="12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Z4" s="55" t="s">
        <v>87</v>
      </c>
      <c r="AA4" s="15"/>
      <c r="AB4" s="56"/>
    </row>
    <row r="5" spans="1:31" ht="21.75" x14ac:dyDescent="0.6">
      <c r="A5" s="9"/>
      <c r="B5" s="10">
        <v>4</v>
      </c>
      <c r="C5" s="11" t="s">
        <v>25</v>
      </c>
      <c r="D5" s="12" t="s">
        <v>26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7" t="s">
        <v>88</v>
      </c>
      <c r="S5" s="57" t="s">
        <v>89</v>
      </c>
      <c r="T5" s="57" t="s">
        <v>90</v>
      </c>
      <c r="U5" s="57" t="s">
        <v>91</v>
      </c>
      <c r="V5" s="57" t="s">
        <v>92</v>
      </c>
      <c r="W5" s="57" t="s">
        <v>93</v>
      </c>
      <c r="X5" s="57" t="s">
        <v>94</v>
      </c>
      <c r="Z5" s="55" t="s">
        <v>95</v>
      </c>
      <c r="AA5" s="15"/>
      <c r="AB5" s="56"/>
    </row>
    <row r="6" spans="1:31" ht="21.75" x14ac:dyDescent="0.6">
      <c r="A6" s="9"/>
      <c r="B6" s="10">
        <v>5</v>
      </c>
      <c r="C6" s="11" t="s">
        <v>27</v>
      </c>
      <c r="D6" s="12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8">
        <v>1</v>
      </c>
      <c r="S6" s="58">
        <v>1</v>
      </c>
      <c r="T6" s="58">
        <f t="shared" ref="T6:X6" si="0">R6+S6</f>
        <v>2</v>
      </c>
      <c r="U6" s="58">
        <f t="shared" si="0"/>
        <v>3</v>
      </c>
      <c r="V6" s="58">
        <f t="shared" si="0"/>
        <v>5</v>
      </c>
      <c r="W6" s="58">
        <f t="shared" si="0"/>
        <v>8</v>
      </c>
      <c r="X6" s="58">
        <f t="shared" si="0"/>
        <v>13</v>
      </c>
      <c r="Z6" s="59" t="s">
        <v>96</v>
      </c>
      <c r="AA6" s="60"/>
      <c r="AB6" s="61"/>
    </row>
    <row r="7" spans="1:31" ht="21.75" x14ac:dyDescent="0.6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31" ht="21.75" x14ac:dyDescent="0.6">
      <c r="A8" s="3"/>
      <c r="B8" s="13" t="s">
        <v>29</v>
      </c>
      <c r="C8" s="3"/>
      <c r="D8" s="3"/>
      <c r="E8" s="3"/>
      <c r="F8" s="3"/>
      <c r="G8" s="13" t="s">
        <v>30</v>
      </c>
      <c r="H8" s="3"/>
      <c r="I8" s="3"/>
      <c r="J8" s="3"/>
      <c r="K8" s="3"/>
      <c r="L8" s="3"/>
      <c r="M8" s="3"/>
      <c r="N8" s="3"/>
      <c r="O8" s="3"/>
      <c r="P8" s="3"/>
      <c r="R8" s="62" t="s">
        <v>97</v>
      </c>
      <c r="S8" s="63">
        <f>V6/X6*(S3-S2)</f>
        <v>1.153846153846154</v>
      </c>
    </row>
    <row r="9" spans="1:31" ht="21.75" x14ac:dyDescent="0.6">
      <c r="A9" s="3"/>
      <c r="B9" s="14"/>
      <c r="C9" s="15"/>
      <c r="D9" s="15"/>
      <c r="E9" s="3"/>
      <c r="F9" s="3"/>
      <c r="G9" s="16" t="s">
        <v>31</v>
      </c>
      <c r="H9" s="17" t="s">
        <v>32</v>
      </c>
      <c r="I9" s="17" t="s">
        <v>33</v>
      </c>
      <c r="J9" s="17" t="s">
        <v>34</v>
      </c>
      <c r="K9" s="17" t="s">
        <v>35</v>
      </c>
      <c r="L9" s="17" t="s">
        <v>36</v>
      </c>
      <c r="M9" s="3"/>
      <c r="N9" s="3"/>
      <c r="O9" s="3"/>
      <c r="P9" s="3"/>
    </row>
    <row r="10" spans="1:31" ht="21.75" x14ac:dyDescent="0.6">
      <c r="A10" s="3"/>
      <c r="B10" s="15"/>
      <c r="C10" s="15"/>
      <c r="D10" s="15"/>
      <c r="E10" s="3"/>
      <c r="F10" s="3"/>
      <c r="G10" s="10">
        <v>0</v>
      </c>
      <c r="H10" s="12">
        <v>1</v>
      </c>
      <c r="I10" s="12">
        <f t="shared" ref="I10:I16" si="1">1/H10</f>
        <v>1</v>
      </c>
      <c r="J10" s="18"/>
      <c r="K10" s="18"/>
      <c r="L10" s="18"/>
      <c r="M10" s="3"/>
      <c r="N10" s="3"/>
      <c r="O10" s="3"/>
      <c r="P10" s="3"/>
      <c r="R10" s="64" t="s">
        <v>98</v>
      </c>
      <c r="S10" s="64">
        <v>2</v>
      </c>
      <c r="U10" s="64" t="s">
        <v>98</v>
      </c>
      <c r="V10" s="64">
        <f>S26</f>
        <v>3</v>
      </c>
      <c r="X10" s="64" t="s">
        <v>98</v>
      </c>
      <c r="Y10" s="64">
        <f>V26</f>
        <v>4</v>
      </c>
      <c r="AA10" s="64" t="s">
        <v>98</v>
      </c>
      <c r="AB10" s="64">
        <f>Y26</f>
        <v>5</v>
      </c>
      <c r="AD10" s="64" t="s">
        <v>98</v>
      </c>
      <c r="AE10" s="64">
        <f>AB26</f>
        <v>6</v>
      </c>
    </row>
    <row r="11" spans="1:31" ht="21.75" x14ac:dyDescent="0.6">
      <c r="A11" s="3"/>
      <c r="B11" s="15"/>
      <c r="C11" s="15"/>
      <c r="D11" s="15"/>
      <c r="E11" s="3"/>
      <c r="F11" s="3"/>
      <c r="G11" s="10">
        <v>1</v>
      </c>
      <c r="H11" s="12">
        <f>0+H10</f>
        <v>1</v>
      </c>
      <c r="I11" s="12">
        <f t="shared" si="1"/>
        <v>1</v>
      </c>
      <c r="J11" s="18"/>
      <c r="K11" s="12">
        <f>0+J12</f>
        <v>1.153846153846154</v>
      </c>
      <c r="L11" s="12">
        <f t="shared" ref="L11:L16" si="2">0.65-(0.75/(1+K11^2))-0.65*K11*ATAN(1/K11)</f>
        <v>-0.20726853157333164</v>
      </c>
      <c r="M11" s="3"/>
      <c r="N11" s="3"/>
      <c r="O11" s="3"/>
      <c r="P11" s="3"/>
      <c r="R11" s="65" t="s">
        <v>97</v>
      </c>
      <c r="S11" s="65">
        <f>V6/X6*(S3-S2)</f>
        <v>1.153846153846154</v>
      </c>
      <c r="U11" s="65" t="s">
        <v>97</v>
      </c>
      <c r="V11" s="65">
        <f>S25</f>
        <v>1.1538461538461537</v>
      </c>
      <c r="X11" s="65" t="s">
        <v>97</v>
      </c>
      <c r="Y11" s="65">
        <f>V25</f>
        <v>0.69230769230769229</v>
      </c>
      <c r="AA11" s="65" t="s">
        <v>97</v>
      </c>
      <c r="AB11" s="65">
        <f>Y25</f>
        <v>0.46153846153846151</v>
      </c>
      <c r="AD11" s="65" t="s">
        <v>97</v>
      </c>
      <c r="AE11" s="65">
        <f>AB25</f>
        <v>0.23076923076923075</v>
      </c>
    </row>
    <row r="12" spans="1:31" ht="21.75" x14ac:dyDescent="0.6">
      <c r="A12" s="3"/>
      <c r="B12" s="15"/>
      <c r="C12" s="15"/>
      <c r="D12" s="15"/>
      <c r="E12" s="3"/>
      <c r="F12" s="3"/>
      <c r="G12" s="10">
        <v>2</v>
      </c>
      <c r="H12" s="12">
        <f t="shared" ref="H12:H16" si="3">H10+H11</f>
        <v>2</v>
      </c>
      <c r="I12" s="12">
        <f t="shared" si="1"/>
        <v>0.5</v>
      </c>
      <c r="J12" s="12">
        <f>H14/H16*3</f>
        <v>1.153846153846154</v>
      </c>
      <c r="K12" s="12">
        <f>3-K11</f>
        <v>1.846153846153846</v>
      </c>
      <c r="L12" s="12">
        <f t="shared" si="2"/>
        <v>-0.1158415322737778</v>
      </c>
      <c r="M12" s="3"/>
      <c r="N12" s="3"/>
      <c r="O12" s="3"/>
      <c r="P12" s="3"/>
      <c r="R12" s="65" t="s">
        <v>43</v>
      </c>
      <c r="S12" s="65">
        <v>0</v>
      </c>
      <c r="U12" s="65" t="s">
        <v>43</v>
      </c>
      <c r="V12" s="65">
        <f t="shared" ref="V12:V13" si="4">S23</f>
        <v>0</v>
      </c>
      <c r="X12" s="65" t="s">
        <v>43</v>
      </c>
      <c r="Y12" s="65">
        <f t="shared" ref="Y12:Y13" si="5">V23</f>
        <v>0</v>
      </c>
      <c r="AA12" s="65" t="s">
        <v>43</v>
      </c>
      <c r="AB12" s="65">
        <f t="shared" ref="AB12:AB13" si="6">Y23</f>
        <v>0</v>
      </c>
      <c r="AD12" s="65" t="s">
        <v>43</v>
      </c>
      <c r="AE12" s="65">
        <f t="shared" ref="AE12:AE13" si="7">AB23</f>
        <v>0.23076923076923078</v>
      </c>
    </row>
    <row r="13" spans="1:31" ht="21.75" x14ac:dyDescent="0.6">
      <c r="A13" s="3"/>
      <c r="B13" s="13" t="s">
        <v>37</v>
      </c>
      <c r="C13" s="3"/>
      <c r="D13" s="3"/>
      <c r="E13" s="3"/>
      <c r="F13" s="3"/>
      <c r="G13" s="10">
        <v>3</v>
      </c>
      <c r="H13" s="12">
        <f t="shared" si="3"/>
        <v>3</v>
      </c>
      <c r="I13" s="12">
        <f t="shared" si="1"/>
        <v>0.33333333333333331</v>
      </c>
      <c r="J13" s="18"/>
      <c r="K13" s="12">
        <f>0+(K12-K11)</f>
        <v>0.69230769230769207</v>
      </c>
      <c r="L13" s="12">
        <f t="shared" si="2"/>
        <v>-0.29136324843546696</v>
      </c>
      <c r="M13" s="3"/>
      <c r="N13" s="3"/>
      <c r="O13" s="3"/>
      <c r="P13" s="3"/>
      <c r="R13" s="65" t="s">
        <v>44</v>
      </c>
      <c r="S13" s="65">
        <v>3</v>
      </c>
      <c r="U13" s="65" t="s">
        <v>44</v>
      </c>
      <c r="V13" s="65">
        <f t="shared" si="4"/>
        <v>1.846153846153846</v>
      </c>
      <c r="X13" s="65" t="s">
        <v>44</v>
      </c>
      <c r="Y13" s="65">
        <f t="shared" si="5"/>
        <v>1.1538461538461537</v>
      </c>
      <c r="AA13" s="65" t="s">
        <v>44</v>
      </c>
      <c r="AB13" s="65">
        <f t="shared" si="6"/>
        <v>0.69230769230769229</v>
      </c>
      <c r="AD13" s="65" t="s">
        <v>44</v>
      </c>
      <c r="AE13" s="65">
        <f t="shared" si="7"/>
        <v>0.69230769230769229</v>
      </c>
    </row>
    <row r="14" spans="1:31" ht="33.75" customHeight="1" x14ac:dyDescent="0.6">
      <c r="A14" s="3"/>
      <c r="B14" s="19" t="s">
        <v>38</v>
      </c>
      <c r="C14" s="19" t="s">
        <v>39</v>
      </c>
      <c r="D14" s="19" t="s">
        <v>40</v>
      </c>
      <c r="E14" s="3"/>
      <c r="F14" s="3"/>
      <c r="G14" s="10">
        <v>4</v>
      </c>
      <c r="H14" s="12">
        <f t="shared" si="3"/>
        <v>5</v>
      </c>
      <c r="I14" s="12">
        <f t="shared" si="1"/>
        <v>0.2</v>
      </c>
      <c r="J14" s="18"/>
      <c r="K14" s="20">
        <f>0+(K11-K13)</f>
        <v>0.4615384615384619</v>
      </c>
      <c r="L14" s="20">
        <f t="shared" si="2"/>
        <v>-0.30980924829413686</v>
      </c>
      <c r="M14" s="3"/>
      <c r="N14" s="3"/>
      <c r="O14" s="3"/>
      <c r="P14" s="3"/>
      <c r="R14" s="65" t="s">
        <v>99</v>
      </c>
      <c r="S14" s="65">
        <f>S13-S12</f>
        <v>3</v>
      </c>
      <c r="U14" s="65" t="s">
        <v>99</v>
      </c>
      <c r="V14" s="65">
        <f>V13-V12</f>
        <v>1.846153846153846</v>
      </c>
      <c r="X14" s="65" t="s">
        <v>99</v>
      </c>
      <c r="Y14" s="65">
        <f>Y13-Y12</f>
        <v>1.1538461538461537</v>
      </c>
      <c r="AA14" s="65" t="s">
        <v>99</v>
      </c>
      <c r="AB14" s="65">
        <f>AB13-AB12</f>
        <v>0.69230769230769229</v>
      </c>
      <c r="AD14" s="65" t="s">
        <v>99</v>
      </c>
      <c r="AE14" s="65">
        <f>AE13-AE12</f>
        <v>0.46153846153846151</v>
      </c>
    </row>
    <row r="15" spans="1:31" ht="21.75" x14ac:dyDescent="0.6">
      <c r="A15" s="3"/>
      <c r="B15" s="21">
        <v>0</v>
      </c>
      <c r="C15" s="21">
        <v>1</v>
      </c>
      <c r="D15" s="21">
        <f t="shared" ref="D15:D35" si="8">1/C15</f>
        <v>1</v>
      </c>
      <c r="E15" s="3"/>
      <c r="F15" s="3"/>
      <c r="G15" s="10">
        <v>5</v>
      </c>
      <c r="H15" s="12">
        <f t="shared" si="3"/>
        <v>8</v>
      </c>
      <c r="I15" s="12">
        <f t="shared" si="1"/>
        <v>0.125</v>
      </c>
      <c r="J15" s="18"/>
      <c r="K15" s="12">
        <f>0+(K13-K14)</f>
        <v>0.23076923076923017</v>
      </c>
      <c r="L15" s="12">
        <f t="shared" si="2"/>
        <v>-0.2636782734965446</v>
      </c>
      <c r="M15" s="3"/>
      <c r="N15" s="3"/>
      <c r="O15" s="3"/>
      <c r="P15" s="3"/>
      <c r="R15" s="65"/>
      <c r="S15" s="65"/>
      <c r="U15" s="65"/>
      <c r="V15" s="65"/>
      <c r="X15" s="65"/>
      <c r="Y15" s="65"/>
      <c r="AA15" s="65"/>
      <c r="AB15" s="65"/>
      <c r="AD15" s="65"/>
      <c r="AE15" s="65"/>
    </row>
    <row r="16" spans="1:31" ht="21.75" x14ac:dyDescent="0.6">
      <c r="A16" s="3"/>
      <c r="B16" s="21">
        <v>1</v>
      </c>
      <c r="C16" s="21">
        <v>1</v>
      </c>
      <c r="D16" s="21">
        <f t="shared" si="8"/>
        <v>1</v>
      </c>
      <c r="E16" s="3"/>
      <c r="F16" s="3"/>
      <c r="G16" s="10">
        <v>6</v>
      </c>
      <c r="H16" s="12">
        <f t="shared" si="3"/>
        <v>13</v>
      </c>
      <c r="I16" s="12">
        <f t="shared" si="1"/>
        <v>7.6923076923076927E-2</v>
      </c>
      <c r="J16" s="18"/>
      <c r="K16" s="12">
        <f>K15+(K13-K14)</f>
        <v>0.46153846153846034</v>
      </c>
      <c r="L16" s="12">
        <f t="shared" si="2"/>
        <v>-0.30980924829413681</v>
      </c>
      <c r="M16" s="3"/>
      <c r="N16" s="3"/>
      <c r="O16" s="3"/>
      <c r="P16" s="3"/>
      <c r="R16" s="66" t="s">
        <v>100</v>
      </c>
      <c r="S16" s="65" t="str">
        <f>IF(S11&gt;(S14/2),"YA","TIDAK")</f>
        <v>TIDAK</v>
      </c>
      <c r="U16" s="66" t="s">
        <v>100</v>
      </c>
      <c r="V16" s="65" t="str">
        <f>IF(V11&gt;(V14/2),"YA","TIDAK")</f>
        <v>YA</v>
      </c>
      <c r="X16" s="66" t="s">
        <v>100</v>
      </c>
      <c r="Y16" s="65" t="str">
        <f>IF(Y11&gt;(Y14/2),"YA","TIDAK")</f>
        <v>YA</v>
      </c>
      <c r="AA16" s="66" t="s">
        <v>100</v>
      </c>
      <c r="AB16" s="65" t="str">
        <f>IF(AB11&gt;(AB14/2),"YA","TIDAK")</f>
        <v>YA</v>
      </c>
      <c r="AD16" s="66" t="s">
        <v>100</v>
      </c>
      <c r="AE16" s="65" t="str">
        <f>IF(AE11&gt;(AE14/2),"YA","TIDAK")</f>
        <v>TIDAK</v>
      </c>
    </row>
    <row r="17" spans="1:34" ht="21.75" x14ac:dyDescent="0.6">
      <c r="A17" s="3"/>
      <c r="B17" s="21">
        <v>2</v>
      </c>
      <c r="C17" s="21">
        <f t="shared" ref="C17:C35" si="9">C15+C16</f>
        <v>2</v>
      </c>
      <c r="D17" s="21">
        <f t="shared" si="8"/>
        <v>0.5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65" t="s">
        <v>101</v>
      </c>
      <c r="S17" s="65">
        <f>IF(S16="YA",S13-S11,S12+S11)</f>
        <v>1.153846153846154</v>
      </c>
      <c r="U17" s="65" t="s">
        <v>101</v>
      </c>
      <c r="V17" s="65">
        <f>IF(V16="YA",V13-V11,V12+V11)</f>
        <v>0.69230769230769229</v>
      </c>
      <c r="X17" s="65" t="s">
        <v>101</v>
      </c>
      <c r="Y17" s="65">
        <f>IF(Y16="YA",Y13-Y11,Y12+Y11)</f>
        <v>0.46153846153846145</v>
      </c>
      <c r="AA17" s="65" t="s">
        <v>101</v>
      </c>
      <c r="AB17" s="65">
        <f>IF(AB16="YA",AB13-AB11,AB12+AB11)</f>
        <v>0.23076923076923078</v>
      </c>
      <c r="AD17" s="65" t="s">
        <v>101</v>
      </c>
      <c r="AE17" s="65">
        <f>IF(AE16="YA",AE13-AE11,AE12+AE11)</f>
        <v>0.46153846153846156</v>
      </c>
    </row>
    <row r="18" spans="1:34" ht="21.75" x14ac:dyDescent="0.6">
      <c r="A18" s="3"/>
      <c r="B18" s="21">
        <v>3</v>
      </c>
      <c r="C18" s="21">
        <f t="shared" si="9"/>
        <v>3</v>
      </c>
      <c r="D18" s="21">
        <f t="shared" si="8"/>
        <v>0.33333333333333331</v>
      </c>
      <c r="E18" s="3"/>
      <c r="F18" s="3"/>
      <c r="G18" s="13" t="s">
        <v>41</v>
      </c>
      <c r="H18" s="2"/>
      <c r="I18" s="2"/>
      <c r="J18" s="2"/>
      <c r="K18" s="13" t="s">
        <v>42</v>
      </c>
      <c r="L18" s="3"/>
      <c r="M18" s="3"/>
      <c r="N18" s="3"/>
      <c r="O18" s="3"/>
      <c r="P18" s="3"/>
      <c r="R18" s="65" t="s">
        <v>102</v>
      </c>
      <c r="S18" s="65">
        <f>IF(S16="YA",S12+S11,S13-S11)</f>
        <v>1.846153846153846</v>
      </c>
      <c r="U18" s="65" t="s">
        <v>102</v>
      </c>
      <c r="V18" s="65">
        <f>IF(V16="YA",V12+V11,V13-V11)</f>
        <v>1.1538461538461537</v>
      </c>
      <c r="X18" s="65" t="s">
        <v>102</v>
      </c>
      <c r="Y18" s="65">
        <f>IF(Y16="YA",Y12+Y11,Y13-Y11)</f>
        <v>0.69230769230769229</v>
      </c>
      <c r="AA18" s="65" t="s">
        <v>102</v>
      </c>
      <c r="AB18" s="65">
        <f>IF(AB16="YA",AB12+AB11,AB13-AB11)</f>
        <v>0.46153846153846151</v>
      </c>
      <c r="AD18" s="65" t="s">
        <v>102</v>
      </c>
      <c r="AE18" s="65">
        <f>IF(AE16="YA",AE12+AE11,AE13-AE11)</f>
        <v>0.46153846153846156</v>
      </c>
    </row>
    <row r="19" spans="1:34" ht="21.75" x14ac:dyDescent="0.6">
      <c r="A19" s="3"/>
      <c r="B19" s="21">
        <v>4</v>
      </c>
      <c r="C19" s="21">
        <f t="shared" si="9"/>
        <v>5</v>
      </c>
      <c r="D19" s="21">
        <f t="shared" si="8"/>
        <v>0.2</v>
      </c>
      <c r="E19" s="3"/>
      <c r="G19" s="22" t="s">
        <v>43</v>
      </c>
      <c r="H19" s="23">
        <v>0</v>
      </c>
      <c r="I19" s="24" t="s">
        <v>31</v>
      </c>
      <c r="J19" s="25">
        <v>6</v>
      </c>
      <c r="K19" s="2"/>
      <c r="L19" s="3"/>
      <c r="M19" s="3"/>
      <c r="N19" s="3"/>
      <c r="O19" s="3"/>
      <c r="P19" s="3"/>
      <c r="R19" s="65" t="s">
        <v>103</v>
      </c>
      <c r="S19" s="65">
        <f t="shared" ref="S19:S20" si="10">0.65-(0.75/(1+S17^2))-0.65*S17*ATAN(1/S17)</f>
        <v>-0.20726853157333164</v>
      </c>
      <c r="U19" s="65" t="s">
        <v>103</v>
      </c>
      <c r="V19" s="65">
        <f t="shared" ref="V19:V20" si="11">0.65-(0.75/(1+V17^2))-0.65*V17*ATAN(1/V17)</f>
        <v>-0.29136324843546696</v>
      </c>
      <c r="X19" s="65" t="s">
        <v>103</v>
      </c>
      <c r="Y19" s="65">
        <f t="shared" ref="Y19:Y20" si="12">0.65-(0.75/(1+Y17^2))-0.65*Y17*ATAN(1/Y17)</f>
        <v>-0.30980924829413681</v>
      </c>
      <c r="AA19" s="65" t="s">
        <v>103</v>
      </c>
      <c r="AB19" s="65">
        <f t="shared" ref="AB19:AB20" si="13">0.65-(0.75/(1+AB17^2))-0.65*AB17*ATAN(1/AB17)</f>
        <v>-0.26367827349654482</v>
      </c>
      <c r="AD19" s="65" t="s">
        <v>103</v>
      </c>
      <c r="AE19" s="65">
        <f t="shared" ref="AE19:AE20" si="14">0.65-(0.75/(1+AE17^2))-0.65*AE17*ATAN(1/AE17)</f>
        <v>-0.30980924829413692</v>
      </c>
    </row>
    <row r="20" spans="1:34" ht="21.75" x14ac:dyDescent="0.6">
      <c r="A20" s="3"/>
      <c r="B20" s="21">
        <v>5</v>
      </c>
      <c r="C20" s="21">
        <f t="shared" si="9"/>
        <v>8</v>
      </c>
      <c r="D20" s="21">
        <f t="shared" si="8"/>
        <v>0.125</v>
      </c>
      <c r="E20" s="3"/>
      <c r="G20" s="22" t="s">
        <v>44</v>
      </c>
      <c r="H20" s="23">
        <v>3</v>
      </c>
      <c r="I20" s="24" t="s">
        <v>45</v>
      </c>
      <c r="J20" s="25">
        <f>H20-H19</f>
        <v>3</v>
      </c>
      <c r="K20" s="2"/>
      <c r="L20" s="3"/>
      <c r="M20" s="3"/>
      <c r="N20" s="3"/>
      <c r="O20" s="3"/>
      <c r="P20" s="3"/>
      <c r="R20" s="65" t="s">
        <v>104</v>
      </c>
      <c r="S20" s="67">
        <f t="shared" si="10"/>
        <v>-0.1158415322737778</v>
      </c>
      <c r="U20" s="65" t="s">
        <v>104</v>
      </c>
      <c r="V20" s="67">
        <f t="shared" si="11"/>
        <v>-0.20726853157333169</v>
      </c>
      <c r="X20" s="65" t="s">
        <v>104</v>
      </c>
      <c r="Y20" s="67">
        <f t="shared" si="12"/>
        <v>-0.29136324843546696</v>
      </c>
      <c r="AA20" s="65" t="s">
        <v>104</v>
      </c>
      <c r="AB20" s="67">
        <f t="shared" si="13"/>
        <v>-0.30980924829413686</v>
      </c>
      <c r="AD20" s="65" t="s">
        <v>104</v>
      </c>
      <c r="AE20" s="67">
        <f t="shared" si="14"/>
        <v>-0.30980924829413692</v>
      </c>
    </row>
    <row r="21" spans="1:34" ht="21.75" x14ac:dyDescent="0.6">
      <c r="A21" s="3"/>
      <c r="B21" s="21">
        <v>6</v>
      </c>
      <c r="C21" s="21">
        <f t="shared" si="9"/>
        <v>13</v>
      </c>
      <c r="D21" s="21">
        <f t="shared" si="8"/>
        <v>7.6923076923076927E-2</v>
      </c>
      <c r="E21" s="3"/>
      <c r="F21" s="3"/>
      <c r="G21" s="2"/>
      <c r="H21" s="2"/>
      <c r="I21" s="2"/>
      <c r="J21" s="2"/>
      <c r="K21" s="2"/>
      <c r="L21" s="3"/>
      <c r="M21" s="3"/>
      <c r="N21" s="3"/>
      <c r="O21" s="3"/>
      <c r="P21" s="3"/>
      <c r="R21" s="65"/>
      <c r="S21" s="65"/>
      <c r="U21" s="65"/>
      <c r="V21" s="65"/>
      <c r="X21" s="65"/>
      <c r="Y21" s="65"/>
      <c r="AA21" s="65"/>
      <c r="AB21" s="65"/>
      <c r="AD21" s="65"/>
      <c r="AE21" s="65"/>
    </row>
    <row r="22" spans="1:34" ht="21.75" x14ac:dyDescent="0.6">
      <c r="A22" s="3"/>
      <c r="B22" s="21">
        <v>7</v>
      </c>
      <c r="C22" s="21">
        <f t="shared" si="9"/>
        <v>21</v>
      </c>
      <c r="D22" s="21">
        <f t="shared" si="8"/>
        <v>4.7619047619047616E-2</v>
      </c>
      <c r="E22" s="3"/>
      <c r="F22" s="3"/>
      <c r="G22" s="13" t="s">
        <v>46</v>
      </c>
      <c r="H22" s="2"/>
      <c r="I22" s="2"/>
      <c r="J22" s="2"/>
      <c r="K22" s="2"/>
      <c r="L22" s="3"/>
      <c r="M22" s="3"/>
      <c r="N22" s="3"/>
      <c r="O22" s="3"/>
      <c r="P22" s="3"/>
      <c r="R22" s="65" t="s">
        <v>105</v>
      </c>
      <c r="S22" s="65" t="str">
        <f>IF(S20&gt;S19,"YA","TIDAK")</f>
        <v>YA</v>
      </c>
      <c r="U22" s="65" t="s">
        <v>105</v>
      </c>
      <c r="V22" s="65" t="str">
        <f>IF(V20&gt;V19,"YA","TIDAK")</f>
        <v>YA</v>
      </c>
      <c r="X22" s="65" t="s">
        <v>105</v>
      </c>
      <c r="Y22" s="65" t="str">
        <f>IF(Y20&gt;Y19,"YA","TIDAK")</f>
        <v>YA</v>
      </c>
      <c r="AA22" s="65" t="s">
        <v>105</v>
      </c>
      <c r="AB22" s="65" t="str">
        <f>IF(AB20&gt;AB19,"YA","TIDAK")</f>
        <v>TIDAK</v>
      </c>
      <c r="AD22" s="65" t="s">
        <v>105</v>
      </c>
      <c r="AE22" s="65" t="str">
        <f>IF(AE20&gt;AE19,"YA","TIDAK")</f>
        <v>TIDAK</v>
      </c>
    </row>
    <row r="23" spans="1:34" ht="21.75" x14ac:dyDescent="0.6">
      <c r="A23" s="3"/>
      <c r="B23" s="21">
        <v>8</v>
      </c>
      <c r="C23" s="21">
        <f t="shared" si="9"/>
        <v>34</v>
      </c>
      <c r="D23" s="21">
        <f t="shared" si="8"/>
        <v>2.9411764705882353E-2</v>
      </c>
      <c r="E23" s="3"/>
      <c r="F23" s="3"/>
      <c r="G23" s="26" t="s">
        <v>47</v>
      </c>
      <c r="H23" s="15"/>
      <c r="I23" s="15"/>
      <c r="J23" s="2"/>
      <c r="K23" s="2"/>
      <c r="L23" s="3"/>
      <c r="M23" s="3"/>
      <c r="N23" s="3"/>
      <c r="O23" s="3"/>
      <c r="P23" s="3"/>
      <c r="R23" s="65" t="s">
        <v>43</v>
      </c>
      <c r="S23" s="65">
        <f>IF(S22="TIDAK",S17,S12)</f>
        <v>0</v>
      </c>
      <c r="U23" s="65" t="s">
        <v>43</v>
      </c>
      <c r="V23" s="65">
        <f>IF(V22="TIDAK",V17,V12)</f>
        <v>0</v>
      </c>
      <c r="X23" s="65" t="s">
        <v>43</v>
      </c>
      <c r="Y23" s="65">
        <f>IF(Y22="TIDAK",Y17,Y12)</f>
        <v>0</v>
      </c>
      <c r="AA23" s="65" t="s">
        <v>43</v>
      </c>
      <c r="AB23" s="65">
        <f>IF(AB22="TIDAK",AB17,AB12)</f>
        <v>0.23076923076923078</v>
      </c>
      <c r="AD23" s="65" t="s">
        <v>43</v>
      </c>
      <c r="AE23" s="65">
        <f>IF(AE22="TIDAK",AE17,AE12)</f>
        <v>0.46153846153846156</v>
      </c>
    </row>
    <row r="24" spans="1:34" ht="21.75" x14ac:dyDescent="0.6">
      <c r="A24" s="3"/>
      <c r="B24" s="21">
        <v>9</v>
      </c>
      <c r="C24" s="21">
        <f t="shared" si="9"/>
        <v>55</v>
      </c>
      <c r="D24" s="21">
        <f t="shared" si="8"/>
        <v>1.8181818181818181E-2</v>
      </c>
      <c r="E24" s="3"/>
      <c r="F24" s="3"/>
      <c r="G24" s="2"/>
      <c r="H24" s="2"/>
      <c r="I24" s="2"/>
      <c r="J24" s="2"/>
      <c r="K24" s="2"/>
      <c r="L24" s="3"/>
      <c r="M24" s="3"/>
      <c r="N24" s="3"/>
      <c r="O24" s="3"/>
      <c r="P24" s="3"/>
      <c r="R24" s="65" t="s">
        <v>44</v>
      </c>
      <c r="S24" s="65">
        <f>IF(S22="YA",S18,S13)</f>
        <v>1.846153846153846</v>
      </c>
      <c r="U24" s="65" t="s">
        <v>44</v>
      </c>
      <c r="V24" s="65">
        <f>IF(V22="YA",V18,V13)</f>
        <v>1.1538461538461537</v>
      </c>
      <c r="X24" s="65" t="s">
        <v>44</v>
      </c>
      <c r="Y24" s="65">
        <f>IF(Y22="YA",Y18,Y13)</f>
        <v>0.69230769230769229</v>
      </c>
      <c r="AA24" s="65" t="s">
        <v>44</v>
      </c>
      <c r="AB24" s="65">
        <f>IF(AB22="YA",AB18,AB13)</f>
        <v>0.69230769230769229</v>
      </c>
      <c r="AD24" s="65" t="s">
        <v>44</v>
      </c>
      <c r="AE24" s="65">
        <f>IF(AE22="YA",AE18,AE13)</f>
        <v>0.69230769230769229</v>
      </c>
    </row>
    <row r="25" spans="1:34" ht="21.75" x14ac:dyDescent="0.6">
      <c r="A25" s="3"/>
      <c r="B25" s="21">
        <v>10</v>
      </c>
      <c r="C25" s="21">
        <f t="shared" si="9"/>
        <v>89</v>
      </c>
      <c r="D25" s="21">
        <f t="shared" si="8"/>
        <v>1.1235955056179775E-2</v>
      </c>
      <c r="E25" s="3"/>
      <c r="F25" s="3"/>
      <c r="G25" s="13" t="s">
        <v>48</v>
      </c>
      <c r="H25" s="2"/>
      <c r="I25" s="2"/>
      <c r="J25" s="2"/>
      <c r="K25" s="2"/>
      <c r="L25" s="3"/>
      <c r="M25" s="3"/>
      <c r="N25" s="13"/>
      <c r="O25" s="3"/>
      <c r="P25" s="3"/>
      <c r="R25" s="65" t="s">
        <v>97</v>
      </c>
      <c r="S25" s="65">
        <f>V6*S14/X6</f>
        <v>1.1538461538461537</v>
      </c>
      <c r="U25" s="65" t="s">
        <v>97</v>
      </c>
      <c r="V25" s="65">
        <f>U6*V14/W6</f>
        <v>0.69230769230769229</v>
      </c>
      <c r="X25" s="65" t="s">
        <v>97</v>
      </c>
      <c r="Y25" s="65">
        <f>T6*Y14/V6</f>
        <v>0.46153846153846151</v>
      </c>
      <c r="AA25" s="65" t="s">
        <v>97</v>
      </c>
      <c r="AB25" s="65">
        <f>S6*AB14/U6</f>
        <v>0.23076923076923075</v>
      </c>
      <c r="AD25" s="65" t="s">
        <v>97</v>
      </c>
      <c r="AE25" s="65">
        <f>V6*AE14/X6</f>
        <v>0.17751479289940827</v>
      </c>
    </row>
    <row r="26" spans="1:34" ht="21.75" x14ac:dyDescent="0.6">
      <c r="A26" s="3"/>
      <c r="B26" s="21">
        <v>11</v>
      </c>
      <c r="C26" s="21">
        <f t="shared" si="9"/>
        <v>144</v>
      </c>
      <c r="D26" s="21">
        <f t="shared" si="8"/>
        <v>6.9444444444444441E-3</v>
      </c>
      <c r="E26" s="3"/>
      <c r="F26" s="3"/>
      <c r="G26" s="27"/>
      <c r="H26" s="15"/>
      <c r="I26" s="28"/>
      <c r="J26" s="2"/>
      <c r="K26" s="2"/>
      <c r="L26" s="3"/>
      <c r="M26" s="3"/>
      <c r="N26" s="3"/>
      <c r="O26" s="3"/>
      <c r="P26" s="3"/>
      <c r="R26" s="65" t="s">
        <v>98</v>
      </c>
      <c r="S26" s="65">
        <f>S10+1</f>
        <v>3</v>
      </c>
      <c r="U26" s="65" t="s">
        <v>98</v>
      </c>
      <c r="V26" s="65">
        <f>V10+1</f>
        <v>4</v>
      </c>
      <c r="X26" s="65" t="s">
        <v>98</v>
      </c>
      <c r="Y26" s="65">
        <f>Y10+1</f>
        <v>5</v>
      </c>
      <c r="AA26" s="65" t="s">
        <v>98</v>
      </c>
      <c r="AB26" s="65">
        <f>AB10+1</f>
        <v>6</v>
      </c>
      <c r="AD26" s="65" t="s">
        <v>98</v>
      </c>
      <c r="AE26" s="65">
        <f>AE10+1</f>
        <v>7</v>
      </c>
    </row>
    <row r="27" spans="1:34" ht="21.75" x14ac:dyDescent="0.6">
      <c r="A27" s="3"/>
      <c r="B27" s="21">
        <v>12</v>
      </c>
      <c r="C27" s="21">
        <f t="shared" si="9"/>
        <v>233</v>
      </c>
      <c r="D27" s="21">
        <f t="shared" si="8"/>
        <v>4.2918454935622317E-3</v>
      </c>
      <c r="E27" s="3"/>
      <c r="F27" s="3"/>
      <c r="G27" s="15"/>
      <c r="H27" s="15"/>
      <c r="I27" s="28"/>
      <c r="J27" s="2"/>
      <c r="K27" s="2"/>
      <c r="L27" s="3"/>
      <c r="M27" s="3"/>
      <c r="N27" s="3"/>
      <c r="O27" s="3"/>
      <c r="P27" s="3"/>
    </row>
    <row r="28" spans="1:34" ht="21.75" x14ac:dyDescent="0.6">
      <c r="A28" s="3"/>
      <c r="B28" s="21">
        <v>13</v>
      </c>
      <c r="C28" s="21">
        <f t="shared" si="9"/>
        <v>377</v>
      </c>
      <c r="D28" s="21">
        <f t="shared" si="8"/>
        <v>2.6525198938992041E-3</v>
      </c>
      <c r="E28" s="3"/>
      <c r="F28" s="3"/>
      <c r="G28" s="15"/>
      <c r="H28" s="15"/>
      <c r="I28" s="28"/>
      <c r="J28" s="2"/>
      <c r="K28" s="2"/>
      <c r="L28" s="3"/>
      <c r="M28" s="3"/>
      <c r="N28" s="3"/>
      <c r="O28" s="3"/>
      <c r="P28" s="3"/>
      <c r="AD28" s="63" t="s">
        <v>106</v>
      </c>
      <c r="AE28" s="63">
        <f>AE24-AE23</f>
        <v>0.23076923076923073</v>
      </c>
    </row>
    <row r="29" spans="1:34" ht="21.75" x14ac:dyDescent="0.6">
      <c r="A29" s="3"/>
      <c r="B29" s="21">
        <v>14</v>
      </c>
      <c r="C29" s="21">
        <f t="shared" si="9"/>
        <v>610</v>
      </c>
      <c r="D29" s="21">
        <f t="shared" si="8"/>
        <v>1.639344262295082E-3</v>
      </c>
      <c r="E29" s="3"/>
      <c r="F29" s="3"/>
      <c r="G29" s="15"/>
      <c r="H29" s="15"/>
      <c r="I29" s="28"/>
      <c r="J29" s="2"/>
      <c r="K29" s="2"/>
      <c r="L29" s="3"/>
      <c r="M29" s="3"/>
      <c r="N29" s="3"/>
      <c r="O29" s="3"/>
      <c r="P29" s="3"/>
      <c r="AD29" s="63" t="s">
        <v>107</v>
      </c>
      <c r="AE29" s="63">
        <v>3</v>
      </c>
      <c r="AG29" s="68" t="s">
        <v>108</v>
      </c>
      <c r="AH29" s="54"/>
    </row>
    <row r="30" spans="1:34" ht="21.75" x14ac:dyDescent="0.6">
      <c r="A30" s="3"/>
      <c r="B30" s="21">
        <v>15</v>
      </c>
      <c r="C30" s="21">
        <f t="shared" si="9"/>
        <v>987</v>
      </c>
      <c r="D30" s="21">
        <f t="shared" si="8"/>
        <v>1.0131712259371835E-3</v>
      </c>
      <c r="E30" s="3"/>
      <c r="F30" s="3"/>
      <c r="G30" s="29" t="s">
        <v>49</v>
      </c>
      <c r="H30" s="2"/>
      <c r="I30" s="2"/>
      <c r="J30" s="2"/>
      <c r="K30" s="2"/>
      <c r="L30" s="3"/>
      <c r="M30" s="3"/>
      <c r="N30" s="3"/>
      <c r="O30" s="3"/>
      <c r="P30" s="3"/>
      <c r="AD30" s="69" t="s">
        <v>109</v>
      </c>
      <c r="AE30" s="69">
        <f>AE28/AE29</f>
        <v>7.6923076923076913E-2</v>
      </c>
      <c r="AG30" s="70"/>
      <c r="AH30" s="56"/>
    </row>
    <row r="31" spans="1:34" ht="21.75" x14ac:dyDescent="0.6">
      <c r="A31" s="3"/>
      <c r="B31" s="21">
        <v>16</v>
      </c>
      <c r="C31" s="21">
        <f t="shared" si="9"/>
        <v>1597</v>
      </c>
      <c r="D31" s="21">
        <f t="shared" si="8"/>
        <v>6.2617407639323729E-4</v>
      </c>
      <c r="E31" s="3"/>
      <c r="F31" s="3"/>
      <c r="G31" s="3" t="s">
        <v>50</v>
      </c>
      <c r="H31" s="3" t="s">
        <v>51</v>
      </c>
      <c r="I31" s="2"/>
      <c r="J31" s="2"/>
      <c r="K31" s="13"/>
      <c r="L31" s="3"/>
      <c r="M31" s="3"/>
      <c r="N31" s="3"/>
      <c r="O31" s="3"/>
      <c r="P31" s="3"/>
      <c r="AD31" s="63" t="s">
        <v>110</v>
      </c>
      <c r="AE31" s="63">
        <f>1/X6</f>
        <v>7.6923076923076927E-2</v>
      </c>
      <c r="AG31" s="71"/>
      <c r="AH31" s="61"/>
    </row>
    <row r="32" spans="1:34" ht="21.75" x14ac:dyDescent="0.6">
      <c r="A32" s="3"/>
      <c r="B32" s="21">
        <v>17</v>
      </c>
      <c r="C32" s="21">
        <f t="shared" si="9"/>
        <v>2584</v>
      </c>
      <c r="D32" s="21">
        <f t="shared" si="8"/>
        <v>3.8699690402476783E-4</v>
      </c>
      <c r="E32" s="3"/>
      <c r="F32" s="3"/>
      <c r="G32" s="3" t="s">
        <v>50</v>
      </c>
      <c r="H32" s="30">
        <f>H14/H16*J20</f>
        <v>1.153846153846154</v>
      </c>
      <c r="I32" s="2"/>
      <c r="J32" s="2"/>
      <c r="K32" s="13" t="s">
        <v>52</v>
      </c>
      <c r="L32" s="3"/>
      <c r="M32" s="3"/>
      <c r="N32" s="3"/>
      <c r="O32" s="3"/>
      <c r="P32" s="3"/>
      <c r="R32" s="3"/>
      <c r="S32" s="3"/>
      <c r="T32" s="3"/>
      <c r="U32" s="3"/>
      <c r="V32" s="3"/>
    </row>
    <row r="33" spans="1:22" ht="21.75" x14ac:dyDescent="0.6">
      <c r="A33" s="3"/>
      <c r="B33" s="21">
        <v>18</v>
      </c>
      <c r="C33" s="21">
        <f t="shared" si="9"/>
        <v>4181</v>
      </c>
      <c r="D33" s="21">
        <f t="shared" si="8"/>
        <v>2.3917723032767282E-4</v>
      </c>
      <c r="E33" s="3"/>
      <c r="F33" s="3"/>
      <c r="G33" s="31"/>
      <c r="H33" s="15"/>
      <c r="I33" s="2"/>
      <c r="J33" s="2"/>
      <c r="K33" s="32" t="s">
        <v>81</v>
      </c>
      <c r="L33" s="33"/>
      <c r="M33" s="33"/>
      <c r="N33" s="33"/>
      <c r="O33" s="33"/>
      <c r="P33" s="34"/>
      <c r="R33" s="3"/>
      <c r="S33" s="3"/>
      <c r="T33" s="3"/>
      <c r="U33" s="3"/>
      <c r="V33" s="3"/>
    </row>
    <row r="34" spans="1:22" ht="21.75" x14ac:dyDescent="0.6">
      <c r="A34" s="3"/>
      <c r="B34" s="21">
        <v>19</v>
      </c>
      <c r="C34" s="21">
        <f t="shared" si="9"/>
        <v>6765</v>
      </c>
      <c r="D34" s="21">
        <f t="shared" si="8"/>
        <v>1.4781966001478197E-4</v>
      </c>
      <c r="E34" s="3"/>
      <c r="F34" s="3"/>
      <c r="G34" s="15"/>
      <c r="H34" s="15"/>
      <c r="K34" s="35"/>
      <c r="L34" s="15"/>
      <c r="M34" s="15"/>
      <c r="N34" s="15"/>
      <c r="O34" s="15"/>
      <c r="P34" s="36"/>
      <c r="R34" s="3"/>
      <c r="S34" s="3"/>
      <c r="T34" s="3"/>
      <c r="U34" s="3"/>
      <c r="V34" s="3"/>
    </row>
    <row r="35" spans="1:22" ht="18" customHeight="1" x14ac:dyDescent="0.6">
      <c r="A35" s="3"/>
      <c r="B35" s="21">
        <v>20</v>
      </c>
      <c r="C35" s="21">
        <f t="shared" si="9"/>
        <v>10946</v>
      </c>
      <c r="D35" s="21">
        <f t="shared" si="8"/>
        <v>9.1357573542846706E-5</v>
      </c>
      <c r="E35" s="3"/>
      <c r="F35" s="3"/>
      <c r="G35" s="15"/>
      <c r="H35" s="15"/>
      <c r="K35" s="37"/>
      <c r="L35" s="38"/>
      <c r="M35" s="38"/>
      <c r="N35" s="38"/>
      <c r="O35" s="38"/>
      <c r="P35" s="39"/>
      <c r="R35" s="3"/>
      <c r="S35" s="3"/>
      <c r="T35" s="3"/>
      <c r="U35" s="3"/>
      <c r="V35" s="3"/>
    </row>
    <row r="36" spans="1:22" ht="21.75" x14ac:dyDescent="0.6">
      <c r="A36" s="3"/>
      <c r="B36" s="3"/>
      <c r="C36" s="3"/>
      <c r="D36" s="3"/>
      <c r="E36" s="3"/>
      <c r="F36" s="3"/>
      <c r="G36" s="15"/>
      <c r="H36" s="15"/>
      <c r="L36" s="3"/>
      <c r="M36" s="3"/>
      <c r="N36" s="13"/>
      <c r="O36" s="3"/>
      <c r="P36" s="30"/>
      <c r="R36" s="3"/>
      <c r="S36" s="3"/>
      <c r="T36" s="3"/>
      <c r="U36" s="3"/>
      <c r="V36" s="3"/>
    </row>
    <row r="37" spans="1:22" ht="21.75" x14ac:dyDescent="0.6">
      <c r="A37" s="3"/>
      <c r="B37" s="3"/>
      <c r="C37" s="3"/>
      <c r="D37" s="3"/>
      <c r="E37" s="3"/>
      <c r="F37" s="3"/>
      <c r="G37" s="29" t="s">
        <v>53</v>
      </c>
      <c r="H37" s="2"/>
      <c r="I37" s="2"/>
      <c r="J37" s="2"/>
      <c r="K37" s="2"/>
      <c r="L37" s="3"/>
      <c r="M37" s="3"/>
      <c r="N37" s="3"/>
      <c r="O37" s="3"/>
      <c r="P37" s="3"/>
      <c r="R37" s="3"/>
      <c r="S37" s="3"/>
      <c r="T37" s="3"/>
      <c r="U37" s="3"/>
      <c r="V37" s="3"/>
    </row>
    <row r="38" spans="1:22" ht="21.75" x14ac:dyDescent="0.6">
      <c r="A38" s="3"/>
      <c r="B38" s="3"/>
      <c r="C38" s="3"/>
      <c r="D38" s="3"/>
      <c r="E38" s="3"/>
      <c r="F38" s="3"/>
      <c r="G38" s="3" t="s">
        <v>54</v>
      </c>
      <c r="H38" s="30">
        <f>0+J12</f>
        <v>1.153846153846154</v>
      </c>
      <c r="I38" s="2"/>
      <c r="J38" s="2"/>
      <c r="K38" s="2"/>
      <c r="L38" s="3"/>
      <c r="M38" s="3"/>
      <c r="N38" s="13"/>
      <c r="O38" s="3"/>
      <c r="P38" s="3"/>
      <c r="R38" s="3"/>
      <c r="S38" s="3"/>
      <c r="T38" s="3"/>
      <c r="U38" s="3"/>
      <c r="V38" s="3"/>
    </row>
    <row r="39" spans="1:22" ht="21.75" x14ac:dyDescent="0.6">
      <c r="A39" s="3"/>
      <c r="B39" s="3"/>
      <c r="C39" s="3"/>
      <c r="D39" s="3"/>
      <c r="E39" s="3"/>
      <c r="F39" s="3"/>
      <c r="G39" s="3" t="s">
        <v>55</v>
      </c>
      <c r="H39" s="30">
        <f>3-J12</f>
        <v>1.846153846153846</v>
      </c>
      <c r="I39" s="2"/>
      <c r="J39" s="2"/>
      <c r="K39" s="2"/>
      <c r="L39" s="3"/>
      <c r="M39" s="3"/>
      <c r="N39" s="3"/>
      <c r="O39" s="3"/>
      <c r="P39" s="3"/>
      <c r="R39" s="3"/>
      <c r="S39" s="3"/>
      <c r="T39" s="3"/>
      <c r="U39" s="3"/>
      <c r="V39" s="3"/>
    </row>
    <row r="40" spans="1:22" ht="21.75" x14ac:dyDescent="0.6">
      <c r="A40" s="3"/>
      <c r="B40" s="3"/>
      <c r="C40" s="3"/>
      <c r="D40" s="3"/>
      <c r="E40" s="3"/>
      <c r="F40" s="3"/>
      <c r="G40" s="2"/>
      <c r="H40" s="2"/>
      <c r="I40" s="2"/>
      <c r="J40" s="2"/>
      <c r="K40" s="2"/>
      <c r="L40" s="3"/>
      <c r="M40" s="3"/>
      <c r="N40" s="3"/>
      <c r="O40" s="3"/>
      <c r="P40" s="3"/>
      <c r="R40" s="3"/>
      <c r="S40" s="3"/>
      <c r="T40" s="3"/>
      <c r="U40" s="3"/>
      <c r="V40" s="3"/>
    </row>
    <row r="41" spans="1:22" ht="21.75" x14ac:dyDescent="0.6">
      <c r="A41" s="3"/>
      <c r="B41" s="3"/>
      <c r="C41" s="3"/>
      <c r="D41" s="3"/>
      <c r="E41" s="3"/>
      <c r="F41" s="3"/>
      <c r="G41" s="3" t="s">
        <v>56</v>
      </c>
      <c r="H41" s="40">
        <f t="shared" ref="H41:H42" si="15">0.65-(0.75/(1+K11^2))-0.65*K11*ATAN(1/K11)</f>
        <v>-0.20726853157333164</v>
      </c>
      <c r="I41" s="2"/>
      <c r="J41" s="2"/>
      <c r="K41" s="2"/>
      <c r="L41" s="3"/>
      <c r="M41" s="3"/>
      <c r="N41" s="3"/>
      <c r="O41" s="3"/>
      <c r="P41" s="3"/>
      <c r="R41" s="3"/>
      <c r="S41" s="3"/>
      <c r="T41" s="3"/>
      <c r="U41" s="3"/>
      <c r="V41" s="3"/>
    </row>
    <row r="42" spans="1:22" ht="21.75" x14ac:dyDescent="0.6">
      <c r="A42" s="3"/>
      <c r="B42" s="3"/>
      <c r="C42" s="3"/>
      <c r="D42" s="3"/>
      <c r="E42" s="3"/>
      <c r="F42" s="3"/>
      <c r="G42" s="3" t="s">
        <v>57</v>
      </c>
      <c r="H42" s="40">
        <f t="shared" si="15"/>
        <v>-0.1158415322737778</v>
      </c>
      <c r="I42" s="2"/>
      <c r="J42" s="2"/>
      <c r="K42" s="2"/>
      <c r="L42" s="3"/>
      <c r="M42" s="3"/>
      <c r="N42" s="3"/>
      <c r="O42" s="3"/>
      <c r="P42" s="3"/>
      <c r="R42" s="3"/>
      <c r="S42" s="3"/>
      <c r="T42" s="3"/>
      <c r="U42" s="3"/>
      <c r="V42" s="3"/>
    </row>
    <row r="43" spans="1:22" ht="21.75" x14ac:dyDescent="0.6">
      <c r="A43" s="3"/>
      <c r="B43" s="3"/>
      <c r="C43" s="3"/>
      <c r="D43" s="3"/>
      <c r="E43" s="3"/>
      <c r="F43" s="3"/>
      <c r="G43" s="2"/>
      <c r="H43" s="2"/>
      <c r="I43" s="2"/>
      <c r="J43" s="2"/>
      <c r="K43" s="2"/>
      <c r="L43" s="3"/>
      <c r="M43" s="3"/>
      <c r="N43" s="3"/>
      <c r="O43" s="3"/>
      <c r="P43" s="3"/>
      <c r="R43" s="3"/>
      <c r="S43" s="3"/>
      <c r="T43" s="3"/>
      <c r="U43" s="3"/>
      <c r="V43" s="3"/>
    </row>
    <row r="44" spans="1:22" ht="21.75" x14ac:dyDescent="0.6">
      <c r="A44" s="3"/>
      <c r="B44" s="3"/>
      <c r="C44" s="3"/>
      <c r="D44" s="3"/>
      <c r="E44" s="3"/>
      <c r="F44" s="3"/>
      <c r="G44" s="41" t="s">
        <v>58</v>
      </c>
      <c r="H44" s="42"/>
      <c r="I44" s="42"/>
      <c r="J44" s="42"/>
      <c r="K44" s="42"/>
      <c r="L44" s="3"/>
      <c r="M44" s="3"/>
      <c r="N44" s="3"/>
      <c r="O44" s="3"/>
      <c r="P44" s="3"/>
      <c r="R44" s="3"/>
      <c r="S44" s="3"/>
      <c r="T44" s="3"/>
      <c r="U44" s="3"/>
      <c r="V44" s="3"/>
    </row>
    <row r="45" spans="1:22" ht="21.75" x14ac:dyDescent="0.6">
      <c r="A45" s="3"/>
      <c r="B45" s="3"/>
      <c r="C45" s="3"/>
      <c r="D45" s="3"/>
      <c r="E45" s="3"/>
      <c r="F45" s="3"/>
      <c r="G45" s="2"/>
      <c r="H45" s="2"/>
      <c r="I45" s="2"/>
      <c r="J45" s="2"/>
      <c r="K45" s="2"/>
      <c r="L45" s="3"/>
      <c r="M45" s="3"/>
      <c r="N45" s="3"/>
      <c r="O45" s="3"/>
      <c r="P45" s="3"/>
      <c r="R45" s="3"/>
      <c r="S45" s="3"/>
      <c r="T45" s="3"/>
      <c r="U45" s="3"/>
      <c r="V45" s="3"/>
    </row>
    <row r="46" spans="1:22" ht="21.75" x14ac:dyDescent="0.6">
      <c r="A46" s="3"/>
      <c r="B46" s="3"/>
      <c r="C46" s="3"/>
      <c r="D46" s="3"/>
      <c r="E46" s="3"/>
      <c r="F46" s="3"/>
      <c r="G46" s="2"/>
      <c r="H46" s="2"/>
      <c r="I46" s="2"/>
      <c r="J46" s="2"/>
      <c r="K46" s="2"/>
      <c r="L46" s="3"/>
      <c r="M46" s="3"/>
      <c r="N46" s="3"/>
      <c r="O46" s="3"/>
      <c r="P46" s="3"/>
      <c r="R46" s="3"/>
      <c r="S46" s="3"/>
      <c r="T46" s="3"/>
      <c r="U46" s="3"/>
      <c r="V46" s="3"/>
    </row>
    <row r="47" spans="1:22" ht="21.75" x14ac:dyDescent="0.6">
      <c r="A47" s="3"/>
      <c r="B47" s="3"/>
      <c r="C47" s="3"/>
      <c r="D47" s="3"/>
      <c r="E47" s="3"/>
      <c r="F47" s="3"/>
      <c r="G47" s="29" t="s">
        <v>59</v>
      </c>
      <c r="H47" s="2"/>
      <c r="I47" s="2"/>
      <c r="J47" s="2"/>
      <c r="K47" s="2"/>
      <c r="L47" s="3"/>
      <c r="M47" s="3"/>
      <c r="N47" s="3"/>
      <c r="O47" s="3"/>
      <c r="P47" s="3"/>
      <c r="R47" s="3"/>
      <c r="S47" s="3"/>
      <c r="T47" s="3"/>
      <c r="U47" s="3"/>
      <c r="V47" s="3"/>
    </row>
    <row r="48" spans="1:22" ht="21.75" x14ac:dyDescent="0.6">
      <c r="A48" s="3"/>
      <c r="B48" s="3"/>
      <c r="C48" s="3"/>
      <c r="D48" s="3"/>
      <c r="E48" s="3"/>
      <c r="F48" s="3"/>
      <c r="G48" s="3" t="s">
        <v>60</v>
      </c>
      <c r="H48" s="3" t="s">
        <v>61</v>
      </c>
      <c r="I48" s="2"/>
      <c r="J48" s="2"/>
      <c r="K48" s="2"/>
      <c r="L48" s="3"/>
      <c r="M48" s="3"/>
      <c r="N48" s="3"/>
      <c r="O48" s="3"/>
      <c r="P48" s="3"/>
      <c r="R48" s="3"/>
      <c r="S48" s="3"/>
      <c r="T48" s="3"/>
      <c r="U48" s="3"/>
      <c r="V48" s="3"/>
    </row>
    <row r="49" spans="1:22" ht="21.75" x14ac:dyDescent="0.6">
      <c r="A49" s="3"/>
      <c r="B49" s="3"/>
      <c r="C49" s="3"/>
      <c r="D49" s="3"/>
      <c r="E49" s="3"/>
      <c r="F49" s="3"/>
      <c r="G49" s="3" t="s">
        <v>60</v>
      </c>
      <c r="H49" s="43">
        <f>0+(K12-K11)</f>
        <v>0.69230769230769207</v>
      </c>
      <c r="I49" s="2"/>
      <c r="J49" s="2"/>
      <c r="K49" s="2"/>
      <c r="L49" s="3"/>
      <c r="M49" s="3"/>
      <c r="N49" s="3"/>
      <c r="O49" s="3"/>
      <c r="P49" s="3"/>
      <c r="R49" s="3"/>
      <c r="S49" s="3"/>
      <c r="T49" s="3"/>
      <c r="U49" s="3"/>
      <c r="V49" s="3"/>
    </row>
    <row r="50" spans="1:22" ht="21.75" x14ac:dyDescent="0.6">
      <c r="A50" s="3"/>
      <c r="B50" s="3"/>
      <c r="C50" s="3"/>
      <c r="D50" s="3"/>
      <c r="E50" s="3"/>
      <c r="F50" s="3"/>
      <c r="G50" s="2"/>
      <c r="H50" s="2"/>
      <c r="I50" s="2"/>
      <c r="J50" s="2"/>
      <c r="K50" s="2"/>
      <c r="L50" s="3"/>
      <c r="M50" s="3"/>
      <c r="N50" s="3"/>
      <c r="O50" s="3"/>
      <c r="P50" s="3"/>
      <c r="R50" s="3"/>
      <c r="S50" s="3"/>
      <c r="T50" s="3"/>
      <c r="U50" s="3"/>
      <c r="V50" s="3"/>
    </row>
    <row r="51" spans="1:22" ht="21.75" x14ac:dyDescent="0.6">
      <c r="A51" s="3"/>
      <c r="B51" s="3"/>
      <c r="C51" s="3"/>
      <c r="D51" s="3"/>
      <c r="E51" s="3"/>
      <c r="F51" s="3"/>
      <c r="G51" s="3" t="s">
        <v>62</v>
      </c>
      <c r="H51" s="40">
        <f>0.65-(0.75/(1+K13^2))-0.65*K13*ATAN(1/K13)</f>
        <v>-0.29136324843546696</v>
      </c>
      <c r="I51" s="2"/>
      <c r="J51" s="2"/>
      <c r="K51" s="2"/>
      <c r="L51" s="3"/>
      <c r="M51" s="3"/>
      <c r="N51" s="3"/>
      <c r="O51" s="3"/>
      <c r="P51" s="3"/>
      <c r="R51" s="3"/>
      <c r="S51" s="3"/>
      <c r="T51" s="3"/>
      <c r="U51" s="3"/>
      <c r="V51" s="3"/>
    </row>
    <row r="52" spans="1:22" ht="21.75" x14ac:dyDescent="0.6">
      <c r="A52" s="3"/>
      <c r="B52" s="3"/>
      <c r="C52" s="3"/>
      <c r="D52" s="3"/>
      <c r="E52" s="3"/>
      <c r="F52" s="3"/>
      <c r="G52" s="2"/>
      <c r="H52" s="2"/>
      <c r="I52" s="2"/>
      <c r="J52" s="2"/>
      <c r="K52" s="2"/>
      <c r="L52" s="3"/>
      <c r="M52" s="3"/>
      <c r="N52" s="3"/>
      <c r="O52" s="3"/>
      <c r="P52" s="3"/>
      <c r="R52" s="3"/>
      <c r="S52" s="3"/>
      <c r="T52" s="3"/>
      <c r="U52" s="3"/>
      <c r="V52" s="3"/>
    </row>
    <row r="53" spans="1:22" ht="21.75" x14ac:dyDescent="0.6">
      <c r="A53" s="3"/>
      <c r="B53" s="3"/>
      <c r="C53" s="3"/>
      <c r="D53" s="3"/>
      <c r="E53" s="3"/>
      <c r="F53" s="3"/>
      <c r="G53" s="44" t="s">
        <v>63</v>
      </c>
      <c r="H53" s="42"/>
      <c r="I53" s="42"/>
      <c r="J53" s="42"/>
      <c r="K53" s="42"/>
      <c r="L53" s="3"/>
      <c r="M53" s="3"/>
      <c r="N53" s="3"/>
      <c r="O53" s="3"/>
      <c r="P53" s="3"/>
      <c r="R53" s="3"/>
      <c r="S53" s="3"/>
      <c r="T53" s="3"/>
      <c r="U53" s="3"/>
      <c r="V53" s="3"/>
    </row>
    <row r="54" spans="1:22" ht="21.75" x14ac:dyDescent="0.6">
      <c r="A54" s="3"/>
      <c r="B54" s="3"/>
      <c r="C54" s="3"/>
      <c r="D54" s="3"/>
      <c r="E54" s="3"/>
      <c r="F54" s="3"/>
      <c r="G54" s="2"/>
      <c r="H54" s="2"/>
      <c r="I54" s="2"/>
      <c r="J54" s="2"/>
      <c r="K54" s="2"/>
      <c r="L54" s="3"/>
      <c r="M54" s="3"/>
      <c r="N54" s="3"/>
      <c r="O54" s="3"/>
      <c r="P54" s="3"/>
      <c r="R54" s="3"/>
      <c r="S54" s="3"/>
      <c r="T54" s="3"/>
      <c r="U54" s="3"/>
      <c r="V54" s="3"/>
    </row>
    <row r="55" spans="1:22" ht="21.75" x14ac:dyDescent="0.6">
      <c r="A55" s="3"/>
      <c r="B55" s="3"/>
      <c r="C55" s="3"/>
      <c r="D55" s="3"/>
      <c r="E55" s="3"/>
      <c r="F55" s="3"/>
      <c r="G55" s="29" t="s">
        <v>64</v>
      </c>
      <c r="H55" s="2"/>
      <c r="I55" s="2"/>
      <c r="J55" s="2"/>
      <c r="K55" s="2"/>
      <c r="L55" s="3"/>
      <c r="M55" s="3"/>
      <c r="N55" s="3"/>
      <c r="O55" s="3"/>
      <c r="P55" s="3"/>
      <c r="R55" s="3"/>
      <c r="S55" s="3"/>
      <c r="T55" s="3"/>
      <c r="U55" s="3"/>
      <c r="V55" s="3"/>
    </row>
    <row r="56" spans="1:22" ht="21.75" x14ac:dyDescent="0.6">
      <c r="A56" s="3"/>
      <c r="B56" s="3"/>
      <c r="C56" s="3"/>
      <c r="D56" s="3"/>
      <c r="E56" s="3"/>
      <c r="F56" s="3"/>
      <c r="G56" s="3" t="s">
        <v>65</v>
      </c>
      <c r="H56" s="3" t="s">
        <v>66</v>
      </c>
      <c r="I56" s="2"/>
      <c r="J56" s="2"/>
      <c r="K56" s="2"/>
      <c r="L56" s="3"/>
      <c r="M56" s="3"/>
      <c r="N56" s="3"/>
      <c r="O56" s="3"/>
      <c r="P56" s="3"/>
      <c r="R56" s="3"/>
      <c r="S56" s="3"/>
      <c r="T56" s="3"/>
      <c r="U56" s="3"/>
      <c r="V56" s="3"/>
    </row>
    <row r="57" spans="1:22" ht="21.75" x14ac:dyDescent="0.6">
      <c r="A57" s="3"/>
      <c r="B57" s="3"/>
      <c r="C57" s="3"/>
      <c r="D57" s="3"/>
      <c r="E57" s="3"/>
      <c r="F57" s="3"/>
      <c r="G57" s="3" t="s">
        <v>65</v>
      </c>
      <c r="H57" s="43">
        <f>0+(K11-K13)</f>
        <v>0.4615384615384619</v>
      </c>
      <c r="I57" s="2"/>
      <c r="J57" s="2"/>
      <c r="K57" s="2"/>
      <c r="L57" s="3"/>
      <c r="M57" s="3"/>
      <c r="N57" s="3"/>
      <c r="O57" s="3"/>
      <c r="P57" s="3"/>
      <c r="R57" s="3"/>
      <c r="S57" s="3"/>
      <c r="T57" s="3"/>
      <c r="U57" s="3"/>
      <c r="V57" s="3"/>
    </row>
    <row r="58" spans="1:22" ht="21.75" x14ac:dyDescent="0.6">
      <c r="A58" s="3"/>
      <c r="B58" s="3"/>
      <c r="C58" s="3"/>
      <c r="D58" s="3"/>
      <c r="E58" s="3"/>
      <c r="F58" s="3"/>
      <c r="G58" s="2"/>
      <c r="H58" s="2"/>
      <c r="I58" s="2"/>
      <c r="J58" s="2"/>
      <c r="K58" s="2"/>
      <c r="L58" s="3"/>
      <c r="M58" s="3"/>
      <c r="N58" s="3"/>
      <c r="O58" s="3"/>
      <c r="P58" s="3"/>
      <c r="R58" s="3"/>
      <c r="S58" s="3"/>
      <c r="T58" s="3"/>
      <c r="U58" s="3"/>
      <c r="V58" s="3"/>
    </row>
    <row r="59" spans="1:22" ht="21.75" x14ac:dyDescent="0.6">
      <c r="A59" s="3"/>
      <c r="B59" s="3"/>
      <c r="C59" s="3"/>
      <c r="D59" s="3"/>
      <c r="E59" s="3"/>
      <c r="F59" s="3"/>
      <c r="G59" s="44" t="s">
        <v>67</v>
      </c>
      <c r="H59" s="42"/>
      <c r="I59" s="42"/>
      <c r="J59" s="42"/>
      <c r="K59" s="42"/>
      <c r="L59" s="3"/>
      <c r="M59" s="3"/>
      <c r="N59" s="3"/>
      <c r="O59" s="3"/>
      <c r="P59" s="3"/>
      <c r="R59" s="3"/>
      <c r="S59" s="3"/>
      <c r="T59" s="3"/>
      <c r="U59" s="3"/>
      <c r="V59" s="3"/>
    </row>
    <row r="60" spans="1:22" ht="21.75" x14ac:dyDescent="0.6">
      <c r="A60" s="3"/>
      <c r="B60" s="3"/>
      <c r="C60" s="3"/>
      <c r="D60" s="3"/>
      <c r="E60" s="3"/>
      <c r="F60" s="3"/>
      <c r="G60" s="2"/>
      <c r="H60" s="2"/>
      <c r="I60" s="2"/>
      <c r="J60" s="2"/>
      <c r="K60" s="2"/>
      <c r="L60" s="3"/>
      <c r="M60" s="3"/>
      <c r="N60" s="3"/>
      <c r="O60" s="3"/>
      <c r="P60" s="3"/>
      <c r="R60" s="3"/>
      <c r="S60" s="3"/>
      <c r="T60" s="3"/>
      <c r="U60" s="3"/>
      <c r="V60" s="3"/>
    </row>
    <row r="61" spans="1:22" ht="21.75" x14ac:dyDescent="0.6">
      <c r="A61" s="3"/>
      <c r="B61" s="3"/>
      <c r="C61" s="3"/>
      <c r="D61" s="3"/>
      <c r="E61" s="3"/>
      <c r="F61" s="3"/>
      <c r="G61" s="29" t="s">
        <v>68</v>
      </c>
      <c r="H61" s="2"/>
      <c r="I61" s="2"/>
      <c r="J61" s="2"/>
      <c r="K61" s="2"/>
      <c r="L61" s="3"/>
      <c r="M61" s="3"/>
      <c r="N61" s="3"/>
      <c r="O61" s="3"/>
      <c r="P61" s="3"/>
      <c r="R61" s="3"/>
      <c r="S61" s="3"/>
      <c r="T61" s="3"/>
      <c r="U61" s="3"/>
      <c r="V61" s="3"/>
    </row>
    <row r="62" spans="1:22" ht="21.75" x14ac:dyDescent="0.6">
      <c r="A62" s="3"/>
      <c r="B62" s="3"/>
      <c r="C62" s="3"/>
      <c r="D62" s="3"/>
      <c r="E62" s="3"/>
      <c r="F62" s="3"/>
      <c r="G62" s="3" t="s">
        <v>69</v>
      </c>
      <c r="H62" s="3" t="s">
        <v>70</v>
      </c>
      <c r="I62" s="2"/>
      <c r="J62" s="2"/>
      <c r="K62" s="2"/>
      <c r="L62" s="3"/>
      <c r="M62" s="3"/>
      <c r="N62" s="3"/>
      <c r="O62" s="3"/>
      <c r="P62" s="3"/>
      <c r="R62" s="3"/>
      <c r="S62" s="3"/>
      <c r="T62" s="3"/>
      <c r="U62" s="3"/>
      <c r="V62" s="3"/>
    </row>
    <row r="63" spans="1:22" ht="21.75" x14ac:dyDescent="0.6">
      <c r="A63" s="3"/>
      <c r="B63" s="3"/>
      <c r="C63" s="3"/>
      <c r="D63" s="3"/>
      <c r="E63" s="3"/>
      <c r="F63" s="3"/>
      <c r="G63" s="3" t="s">
        <v>69</v>
      </c>
      <c r="H63" s="43">
        <f>0+(K13-K14)</f>
        <v>0.23076923076923017</v>
      </c>
      <c r="I63" s="2"/>
      <c r="J63" s="2"/>
      <c r="K63" s="2"/>
      <c r="L63" s="3"/>
      <c r="M63" s="3"/>
      <c r="N63" s="3"/>
      <c r="O63" s="3"/>
      <c r="P63" s="3"/>
      <c r="R63" s="3"/>
      <c r="S63" s="3"/>
      <c r="T63" s="3"/>
      <c r="U63" s="3"/>
      <c r="V63" s="3"/>
    </row>
    <row r="64" spans="1:22" ht="21.75" x14ac:dyDescent="0.6">
      <c r="A64" s="3"/>
      <c r="B64" s="3"/>
      <c r="C64" s="3"/>
      <c r="D64" s="3"/>
      <c r="E64" s="3"/>
      <c r="F64" s="3"/>
      <c r="G64" s="2"/>
      <c r="H64" s="2"/>
      <c r="I64" s="2"/>
      <c r="J64" s="2"/>
      <c r="K64" s="2"/>
      <c r="L64" s="3"/>
      <c r="M64" s="3"/>
      <c r="N64" s="3"/>
      <c r="O64" s="3"/>
      <c r="P64" s="3"/>
      <c r="R64" s="3"/>
      <c r="S64" s="3"/>
      <c r="T64" s="3"/>
      <c r="U64" s="3"/>
      <c r="V64" s="3"/>
    </row>
    <row r="65" spans="1:22" ht="21.75" x14ac:dyDescent="0.6">
      <c r="A65" s="3"/>
      <c r="B65" s="3"/>
      <c r="C65" s="3"/>
      <c r="D65" s="3"/>
      <c r="E65" s="3"/>
      <c r="F65" s="3"/>
      <c r="G65" s="44" t="s">
        <v>71</v>
      </c>
      <c r="H65" s="42"/>
      <c r="I65" s="42"/>
      <c r="J65" s="42"/>
      <c r="K65" s="42"/>
      <c r="L65" s="3"/>
      <c r="M65" s="3"/>
      <c r="N65" s="3"/>
      <c r="O65" s="3"/>
      <c r="P65" s="3"/>
      <c r="R65" s="3"/>
      <c r="S65" s="3"/>
      <c r="T65" s="3"/>
      <c r="U65" s="3"/>
      <c r="V65" s="3"/>
    </row>
    <row r="66" spans="1:22" ht="21.75" x14ac:dyDescent="0.6">
      <c r="A66" s="3"/>
      <c r="B66" s="3"/>
      <c r="C66" s="3"/>
      <c r="D66" s="3"/>
      <c r="E66" s="3"/>
      <c r="F66" s="3"/>
      <c r="G66" s="2"/>
      <c r="H66" s="2"/>
      <c r="I66" s="2"/>
      <c r="J66" s="2"/>
      <c r="K66" s="2"/>
      <c r="L66" s="3"/>
      <c r="M66" s="3"/>
      <c r="N66" s="3"/>
      <c r="O66" s="3"/>
      <c r="P66" s="3"/>
      <c r="R66" s="3"/>
      <c r="S66" s="3"/>
      <c r="T66" s="3"/>
      <c r="U66" s="3"/>
      <c r="V66" s="3"/>
    </row>
    <row r="67" spans="1:22" ht="21.75" x14ac:dyDescent="0.6">
      <c r="A67" s="3"/>
      <c r="B67" s="3"/>
      <c r="C67" s="3"/>
      <c r="D67" s="3"/>
      <c r="E67" s="3"/>
      <c r="F67" s="3"/>
      <c r="G67" s="29" t="s">
        <v>72</v>
      </c>
      <c r="H67" s="2"/>
      <c r="I67" s="2"/>
      <c r="J67" s="2"/>
      <c r="K67" s="2"/>
      <c r="L67" s="3"/>
      <c r="M67" s="3"/>
      <c r="N67" s="3"/>
      <c r="O67" s="3"/>
      <c r="P67" s="3"/>
      <c r="R67" s="3"/>
      <c r="S67" s="3"/>
      <c r="T67" s="3"/>
      <c r="U67" s="3"/>
      <c r="V67" s="3"/>
    </row>
    <row r="68" spans="1:22" ht="21.75" x14ac:dyDescent="0.6">
      <c r="A68" s="3"/>
      <c r="B68" s="3"/>
      <c r="C68" s="3"/>
      <c r="D68" s="3"/>
      <c r="E68" s="3"/>
      <c r="F68" s="3"/>
      <c r="G68" s="3" t="s">
        <v>73</v>
      </c>
      <c r="H68" s="3" t="s">
        <v>74</v>
      </c>
      <c r="I68" s="2"/>
      <c r="J68" s="2"/>
      <c r="K68" s="2"/>
      <c r="L68" s="3"/>
      <c r="M68" s="3"/>
      <c r="N68" s="3"/>
      <c r="O68" s="3"/>
      <c r="P68" s="3"/>
      <c r="R68" s="3"/>
      <c r="S68" s="3"/>
      <c r="T68" s="3"/>
      <c r="U68" s="3"/>
      <c r="V68" s="3"/>
    </row>
    <row r="69" spans="1:22" ht="21.75" x14ac:dyDescent="0.6">
      <c r="A69" s="3"/>
      <c r="B69" s="3"/>
      <c r="C69" s="3"/>
      <c r="D69" s="3"/>
      <c r="E69" s="3"/>
      <c r="F69" s="3"/>
      <c r="G69" s="3" t="s">
        <v>73</v>
      </c>
      <c r="H69" s="43">
        <f>K15+(K13-K14)</f>
        <v>0.46153846153846034</v>
      </c>
      <c r="I69" s="2"/>
      <c r="J69" s="2"/>
      <c r="K69" s="2"/>
      <c r="L69" s="3"/>
      <c r="M69" s="3"/>
      <c r="N69" s="3"/>
      <c r="O69" s="3"/>
      <c r="P69" s="3"/>
      <c r="R69" s="3"/>
      <c r="S69" s="3"/>
      <c r="T69" s="3"/>
      <c r="U69" s="3"/>
      <c r="V69" s="3"/>
    </row>
    <row r="70" spans="1:22" ht="21.75" x14ac:dyDescent="0.6">
      <c r="A70" s="3"/>
      <c r="B70" s="3"/>
      <c r="C70" s="3"/>
      <c r="D70" s="3"/>
      <c r="E70" s="3"/>
      <c r="F70" s="3"/>
      <c r="G70" s="2"/>
      <c r="H70" s="2"/>
      <c r="I70" s="2"/>
      <c r="J70" s="2"/>
      <c r="K70" s="2"/>
      <c r="L70" s="3"/>
      <c r="M70" s="3"/>
      <c r="N70" s="3"/>
      <c r="O70" s="3"/>
      <c r="P70" s="3"/>
      <c r="R70" s="3"/>
      <c r="S70" s="3"/>
      <c r="T70" s="3"/>
      <c r="U70" s="3"/>
      <c r="V70" s="3"/>
    </row>
    <row r="71" spans="1:22" ht="21.75" x14ac:dyDescent="0.6">
      <c r="A71" s="3"/>
      <c r="B71" s="3"/>
      <c r="C71" s="3"/>
      <c r="D71" s="3"/>
      <c r="E71" s="3"/>
      <c r="F71" s="3"/>
      <c r="G71" s="44" t="s">
        <v>75</v>
      </c>
      <c r="H71" s="42"/>
      <c r="I71" s="42"/>
      <c r="J71" s="42"/>
      <c r="K71" s="42"/>
      <c r="L71" s="3"/>
      <c r="M71" s="3"/>
      <c r="N71" s="3"/>
      <c r="O71" s="3"/>
      <c r="P71" s="3"/>
      <c r="R71" s="3"/>
      <c r="S71" s="3"/>
      <c r="T71" s="3"/>
      <c r="U71" s="3"/>
      <c r="V71" s="3"/>
    </row>
    <row r="72" spans="1:22" ht="21.75" x14ac:dyDescent="0.6">
      <c r="A72" s="3"/>
      <c r="B72" s="3"/>
      <c r="C72" s="3"/>
      <c r="D72" s="3"/>
      <c r="E72" s="3"/>
      <c r="F72" s="3"/>
      <c r="G72" s="2"/>
      <c r="H72" s="2"/>
      <c r="I72" s="2"/>
      <c r="J72" s="2"/>
      <c r="K72" s="2"/>
      <c r="L72" s="3"/>
      <c r="M72" s="3"/>
      <c r="N72" s="3"/>
      <c r="O72" s="3"/>
      <c r="P72" s="3"/>
      <c r="R72" s="3"/>
      <c r="S72" s="3"/>
      <c r="T72" s="3"/>
      <c r="U72" s="3"/>
      <c r="V72" s="3"/>
    </row>
    <row r="73" spans="1:22" ht="21.75" x14ac:dyDescent="0.6">
      <c r="A73" s="3"/>
      <c r="B73" s="3"/>
      <c r="C73" s="3"/>
      <c r="D73" s="3"/>
      <c r="E73" s="3"/>
      <c r="F73" s="3"/>
      <c r="G73" s="2"/>
      <c r="H73" s="2"/>
      <c r="I73" s="2"/>
      <c r="J73" s="2"/>
      <c r="K73" s="2"/>
      <c r="L73" s="3"/>
      <c r="M73" s="3"/>
      <c r="N73" s="3"/>
      <c r="O73" s="3"/>
      <c r="P73" s="3"/>
      <c r="R73" s="3"/>
      <c r="S73" s="3"/>
      <c r="T73" s="3"/>
      <c r="U73" s="3"/>
      <c r="V73" s="3"/>
    </row>
    <row r="74" spans="1:22" ht="21.75" x14ac:dyDescent="0.6">
      <c r="A74" s="3"/>
      <c r="B74" s="3"/>
      <c r="C74" s="3"/>
      <c r="D74" s="3"/>
      <c r="E74" s="3"/>
      <c r="F74" s="3"/>
      <c r="G74" s="2"/>
      <c r="H74" s="2"/>
      <c r="I74" s="2"/>
      <c r="J74" s="13" t="s">
        <v>76</v>
      </c>
      <c r="K74" s="2"/>
      <c r="L74" s="3"/>
      <c r="M74" s="3"/>
      <c r="N74" s="3"/>
      <c r="O74" s="3"/>
      <c r="P74" s="3"/>
      <c r="R74" s="3"/>
      <c r="S74" s="3"/>
      <c r="T74" s="3"/>
      <c r="U74" s="3"/>
      <c r="V74" s="3"/>
    </row>
    <row r="75" spans="1:22" ht="21.75" x14ac:dyDescent="0.6">
      <c r="A75" s="3"/>
      <c r="B75" s="3"/>
      <c r="C75" s="3"/>
      <c r="D75" s="3"/>
      <c r="E75" s="3"/>
      <c r="F75" s="3"/>
      <c r="G75" s="2"/>
      <c r="H75" s="2"/>
      <c r="I75" s="2"/>
      <c r="J75" s="31"/>
      <c r="K75" s="31"/>
      <c r="L75" s="3"/>
      <c r="M75" s="3"/>
      <c r="N75" s="3"/>
      <c r="O75" s="3"/>
      <c r="P75" s="3"/>
      <c r="R75" s="3"/>
      <c r="S75" s="3"/>
      <c r="T75" s="3"/>
      <c r="U75" s="3"/>
      <c r="V75" s="3"/>
    </row>
    <row r="76" spans="1:22" ht="21.75" x14ac:dyDescent="0.6">
      <c r="A76" s="3"/>
      <c r="B76" s="3"/>
      <c r="C76" s="3"/>
      <c r="D76" s="3"/>
      <c r="E76" s="3"/>
      <c r="F76" s="3"/>
      <c r="G76" s="45" t="s">
        <v>77</v>
      </c>
      <c r="H76" s="46">
        <f>(K16-K15)/J20</f>
        <v>7.6923076923076719E-2</v>
      </c>
      <c r="I76" s="2"/>
      <c r="J76" s="15"/>
      <c r="K76" s="15"/>
      <c r="L76" s="3"/>
      <c r="M76" s="3"/>
      <c r="N76" s="3"/>
      <c r="O76" s="3"/>
      <c r="P76" s="3"/>
      <c r="R76" s="3"/>
      <c r="S76" s="3"/>
      <c r="T76" s="3"/>
      <c r="U76" s="3"/>
      <c r="V76" s="3"/>
    </row>
    <row r="77" spans="1:22" ht="21.75" x14ac:dyDescent="0.6">
      <c r="A77" s="3"/>
      <c r="B77" s="3"/>
      <c r="C77" s="3"/>
      <c r="D77" s="3"/>
      <c r="E77" s="3"/>
      <c r="F77" s="3"/>
      <c r="G77" s="2"/>
      <c r="H77" s="2"/>
      <c r="I77" s="2"/>
      <c r="J77" s="15"/>
      <c r="K77" s="15"/>
      <c r="L77" s="3"/>
      <c r="M77" s="3"/>
      <c r="N77" s="3"/>
      <c r="O77" s="3"/>
      <c r="P77" s="3"/>
      <c r="R77" s="3"/>
      <c r="S77" s="3"/>
      <c r="T77" s="3"/>
      <c r="U77" s="3"/>
      <c r="V77" s="3"/>
    </row>
    <row r="78" spans="1:22" ht="21.75" x14ac:dyDescent="0.6">
      <c r="A78" s="3"/>
      <c r="B78" s="3"/>
      <c r="C78" s="3"/>
      <c r="D78" s="3"/>
      <c r="E78" s="3"/>
      <c r="F78" s="3"/>
      <c r="G78" s="2"/>
      <c r="H78" s="2"/>
      <c r="I78" s="2"/>
      <c r="J78" s="45" t="s">
        <v>78</v>
      </c>
      <c r="K78" s="47">
        <f>1/H16</f>
        <v>7.6923076923076927E-2</v>
      </c>
      <c r="L78" s="3"/>
      <c r="M78" s="3"/>
      <c r="N78" s="3"/>
      <c r="O78" s="3"/>
      <c r="P78" s="3"/>
      <c r="R78" s="3"/>
      <c r="S78" s="3"/>
      <c r="T78" s="3"/>
      <c r="U78" s="3"/>
      <c r="V78" s="3"/>
    </row>
    <row r="79" spans="1:22" ht="21.75" x14ac:dyDescent="0.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R79" s="3"/>
      <c r="S79" s="3"/>
      <c r="T79" s="3"/>
      <c r="U79" s="3"/>
      <c r="V79" s="3"/>
    </row>
    <row r="80" spans="1:22" ht="21.75" x14ac:dyDescent="0.6">
      <c r="A80" s="3"/>
      <c r="B80" s="3"/>
      <c r="C80" s="3"/>
      <c r="D80" s="3"/>
      <c r="E80" s="3"/>
      <c r="F80" s="3"/>
      <c r="G80" s="13" t="s">
        <v>79</v>
      </c>
      <c r="H80" s="3"/>
      <c r="I80" s="3"/>
      <c r="J80" s="3"/>
      <c r="K80" s="3"/>
      <c r="L80" s="3"/>
      <c r="M80" s="3"/>
      <c r="N80" s="3"/>
      <c r="O80" s="3"/>
      <c r="P80" s="3"/>
      <c r="R80" s="3"/>
      <c r="S80" s="3"/>
      <c r="T80" s="3"/>
      <c r="U80" s="3"/>
      <c r="V80" s="3"/>
    </row>
    <row r="81" spans="1:22" ht="33" customHeight="1" x14ac:dyDescent="0.6">
      <c r="A81" s="3"/>
      <c r="B81" s="3"/>
      <c r="C81" s="3"/>
      <c r="D81" s="3"/>
      <c r="E81" s="3"/>
      <c r="F81" s="3"/>
      <c r="G81" s="32" t="s">
        <v>82</v>
      </c>
      <c r="H81" s="33"/>
      <c r="I81" s="33"/>
      <c r="J81" s="33"/>
      <c r="K81" s="34"/>
      <c r="L81" s="3"/>
      <c r="M81" s="3"/>
      <c r="N81" s="3"/>
      <c r="O81" s="3"/>
      <c r="P81" s="3"/>
      <c r="R81" s="3"/>
      <c r="S81" s="3"/>
      <c r="T81" s="3"/>
      <c r="U81" s="3"/>
      <c r="V81" s="3"/>
    </row>
    <row r="82" spans="1:22" ht="28.5" customHeight="1" x14ac:dyDescent="0.6">
      <c r="A82" s="3"/>
      <c r="B82" s="3"/>
      <c r="C82" s="3"/>
      <c r="D82" s="3"/>
      <c r="E82" s="3"/>
      <c r="F82" s="3"/>
      <c r="G82" s="37"/>
      <c r="H82" s="38"/>
      <c r="I82" s="38"/>
      <c r="J82" s="38"/>
      <c r="K82" s="39"/>
      <c r="L82" s="3"/>
      <c r="M82" s="3"/>
      <c r="N82" s="3"/>
      <c r="O82" s="3"/>
      <c r="P82" s="3"/>
      <c r="R82" s="3"/>
      <c r="S82" s="3"/>
      <c r="T82" s="3"/>
      <c r="U82" s="3"/>
      <c r="V82" s="3"/>
    </row>
    <row r="83" spans="1:22" ht="21.75" x14ac:dyDescent="0.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21.75" x14ac:dyDescent="0.6">
      <c r="A84" s="3"/>
      <c r="B84" s="3"/>
      <c r="C84" s="3"/>
      <c r="D84" s="3"/>
      <c r="E84" s="3"/>
      <c r="F84" s="3"/>
      <c r="G84" s="3"/>
      <c r="H84" s="4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21.75" x14ac:dyDescent="0.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21.75" x14ac:dyDescent="0.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21.75" x14ac:dyDescent="0.6">
      <c r="A87" s="3"/>
      <c r="B87" s="3"/>
      <c r="C87" s="3"/>
      <c r="D87" s="3"/>
      <c r="E87" s="3"/>
      <c r="F87" s="3"/>
      <c r="G87" s="3"/>
      <c r="H87" s="3"/>
      <c r="I87" s="3"/>
      <c r="J87" s="3"/>
      <c r="K87" s="1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21.75" x14ac:dyDescent="0.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21.75" x14ac:dyDescent="0.6">
      <c r="A89" s="3"/>
      <c r="B89" s="3"/>
      <c r="C89" s="3"/>
      <c r="D89" s="3"/>
      <c r="E89" s="3"/>
      <c r="F89" s="3"/>
      <c r="G89" s="3"/>
      <c r="H89" s="13"/>
      <c r="I89" s="1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21.75" x14ac:dyDescent="0.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21.75" x14ac:dyDescent="0.6">
      <c r="A91" s="3"/>
      <c r="B91" s="3"/>
      <c r="C91" s="3"/>
      <c r="D91" s="3"/>
      <c r="E91" s="3"/>
      <c r="F91" s="3"/>
      <c r="G91" s="3"/>
      <c r="H91" s="3"/>
      <c r="I91" s="3"/>
      <c r="J91" s="3"/>
      <c r="K91" s="13"/>
      <c r="L91" s="49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21.75" x14ac:dyDescent="0.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21.75" x14ac:dyDescent="0.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21.75" x14ac:dyDescent="0.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21.75" x14ac:dyDescent="0.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21.75" x14ac:dyDescent="0.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21.75" x14ac:dyDescent="0.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21.75" x14ac:dyDescent="0.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21.75" x14ac:dyDescent="0.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21.75" x14ac:dyDescent="0.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21.75" x14ac:dyDescent="0.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21.75" x14ac:dyDescent="0.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21.75" x14ac:dyDescent="0.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21.75" x14ac:dyDescent="0.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21.75" x14ac:dyDescent="0.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21.75" x14ac:dyDescent="0.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21.75" x14ac:dyDescent="0.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21.75" x14ac:dyDescent="0.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21.75" x14ac:dyDescent="0.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21.75" x14ac:dyDescent="0.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21.75" x14ac:dyDescent="0.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21.75" x14ac:dyDescent="0.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21.75" x14ac:dyDescent="0.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21.75" x14ac:dyDescent="0.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21.75" x14ac:dyDescent="0.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21.75" x14ac:dyDescent="0.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21.75" x14ac:dyDescent="0.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21.75" x14ac:dyDescent="0.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21.75" x14ac:dyDescent="0.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21.75" x14ac:dyDescent="0.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21.75" x14ac:dyDescent="0.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21.75" x14ac:dyDescent="0.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21.75" x14ac:dyDescent="0.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21.75" x14ac:dyDescent="0.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21.75" x14ac:dyDescent="0.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21.75" x14ac:dyDescent="0.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21.75" x14ac:dyDescent="0.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21.75" x14ac:dyDescent="0.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21.75" x14ac:dyDescent="0.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21.75" x14ac:dyDescent="0.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21.75" x14ac:dyDescent="0.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21.75" x14ac:dyDescent="0.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21.75" x14ac:dyDescent="0.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21.75" x14ac:dyDescent="0.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21.75" x14ac:dyDescent="0.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21.75" x14ac:dyDescent="0.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21.75" x14ac:dyDescent="0.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21.75" x14ac:dyDescent="0.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21.75" x14ac:dyDescent="0.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21.75" x14ac:dyDescent="0.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21.75" x14ac:dyDescent="0.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21.75" x14ac:dyDescent="0.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21.75" x14ac:dyDescent="0.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21.75" x14ac:dyDescent="0.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21.75" x14ac:dyDescent="0.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21.75" x14ac:dyDescent="0.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21.75" x14ac:dyDescent="0.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21.75" x14ac:dyDescent="0.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21.75" x14ac:dyDescent="0.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21.75" x14ac:dyDescent="0.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21.75" x14ac:dyDescent="0.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21.75" x14ac:dyDescent="0.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21.75" x14ac:dyDescent="0.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21.75" x14ac:dyDescent="0.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21.75" x14ac:dyDescent="0.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21.75" x14ac:dyDescent="0.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21.75" x14ac:dyDescent="0.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21.75" x14ac:dyDescent="0.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21.75" x14ac:dyDescent="0.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21.75" x14ac:dyDescent="0.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21.75" x14ac:dyDescent="0.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21.75" x14ac:dyDescent="0.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21.75" x14ac:dyDescent="0.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21.75" x14ac:dyDescent="0.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21.75" x14ac:dyDescent="0.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21.75" x14ac:dyDescent="0.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21.75" x14ac:dyDescent="0.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21.75" x14ac:dyDescent="0.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21.75" x14ac:dyDescent="0.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21.75" x14ac:dyDescent="0.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21.75" x14ac:dyDescent="0.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21.75" x14ac:dyDescent="0.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21.75" x14ac:dyDescent="0.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21.75" x14ac:dyDescent="0.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21.75" x14ac:dyDescent="0.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21.75" x14ac:dyDescent="0.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21.75" x14ac:dyDescent="0.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21.75" x14ac:dyDescent="0.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21.75" x14ac:dyDescent="0.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21.75" x14ac:dyDescent="0.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21.75" x14ac:dyDescent="0.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21.75" x14ac:dyDescent="0.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21.75" x14ac:dyDescent="0.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21.75" x14ac:dyDescent="0.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21.75" x14ac:dyDescent="0.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21.75" x14ac:dyDescent="0.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21.75" x14ac:dyDescent="0.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21.75" x14ac:dyDescent="0.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21.75" x14ac:dyDescent="0.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21.75" x14ac:dyDescent="0.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21.75" x14ac:dyDescent="0.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21.75" x14ac:dyDescent="0.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21.75" x14ac:dyDescent="0.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21.75" x14ac:dyDescent="0.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21.75" x14ac:dyDescent="0.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21.75" x14ac:dyDescent="0.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21.75" x14ac:dyDescent="0.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21.75" x14ac:dyDescent="0.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21.75" x14ac:dyDescent="0.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21.75" x14ac:dyDescent="0.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21.75" x14ac:dyDescent="0.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21.75" x14ac:dyDescent="0.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21.75" x14ac:dyDescent="0.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21.75" x14ac:dyDescent="0.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21.75" x14ac:dyDescent="0.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21.75" x14ac:dyDescent="0.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21.75" x14ac:dyDescent="0.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21.75" x14ac:dyDescent="0.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21.75" x14ac:dyDescent="0.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21.75" x14ac:dyDescent="0.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21.75" x14ac:dyDescent="0.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21.75" x14ac:dyDescent="0.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21.75" x14ac:dyDescent="0.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21.75" x14ac:dyDescent="0.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21.75" x14ac:dyDescent="0.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21.75" x14ac:dyDescent="0.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21.75" x14ac:dyDescent="0.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21.75" x14ac:dyDescent="0.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21.75" x14ac:dyDescent="0.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21.75" x14ac:dyDescent="0.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21.75" x14ac:dyDescent="0.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21.75" x14ac:dyDescent="0.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21.75" x14ac:dyDescent="0.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21.75" x14ac:dyDescent="0.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21.75" x14ac:dyDescent="0.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21.75" x14ac:dyDescent="0.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21.75" x14ac:dyDescent="0.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21.75" x14ac:dyDescent="0.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21.75" x14ac:dyDescent="0.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21.75" x14ac:dyDescent="0.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21.75" x14ac:dyDescent="0.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21.75" x14ac:dyDescent="0.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21.75" x14ac:dyDescent="0.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21.75" x14ac:dyDescent="0.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21.75" x14ac:dyDescent="0.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21.75" x14ac:dyDescent="0.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21.75" x14ac:dyDescent="0.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21.75" x14ac:dyDescent="0.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21.75" x14ac:dyDescent="0.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21.75" x14ac:dyDescent="0.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21.75" x14ac:dyDescent="0.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21.75" x14ac:dyDescent="0.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21.75" x14ac:dyDescent="0.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21.75" x14ac:dyDescent="0.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21.75" x14ac:dyDescent="0.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21.75" x14ac:dyDescent="0.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21.75" x14ac:dyDescent="0.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21.75" x14ac:dyDescent="0.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21.75" x14ac:dyDescent="0.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21.75" x14ac:dyDescent="0.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21.75" x14ac:dyDescent="0.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21.75" x14ac:dyDescent="0.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21.75" x14ac:dyDescent="0.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21.75" x14ac:dyDescent="0.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21.75" x14ac:dyDescent="0.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21.75" x14ac:dyDescent="0.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21.75" x14ac:dyDescent="0.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21.75" x14ac:dyDescent="0.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21.75" x14ac:dyDescent="0.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21.75" x14ac:dyDescent="0.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21.75" x14ac:dyDescent="0.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21.75" x14ac:dyDescent="0.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21.75" x14ac:dyDescent="0.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21.75" x14ac:dyDescent="0.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21.75" x14ac:dyDescent="0.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21.75" x14ac:dyDescent="0.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21.75" x14ac:dyDescent="0.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21.75" x14ac:dyDescent="0.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21.75" x14ac:dyDescent="0.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21.75" x14ac:dyDescent="0.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21.75" x14ac:dyDescent="0.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21.75" x14ac:dyDescent="0.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21.75" x14ac:dyDescent="0.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21.75" x14ac:dyDescent="0.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21.75" x14ac:dyDescent="0.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21.75" x14ac:dyDescent="0.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21.75" x14ac:dyDescent="0.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21.75" x14ac:dyDescent="0.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21.75" x14ac:dyDescent="0.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21.75" x14ac:dyDescent="0.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21.75" x14ac:dyDescent="0.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21.75" x14ac:dyDescent="0.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21.75" x14ac:dyDescent="0.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21.75" x14ac:dyDescent="0.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21.75" x14ac:dyDescent="0.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21.75" x14ac:dyDescent="0.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21.75" x14ac:dyDescent="0.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21.75" x14ac:dyDescent="0.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21.75" x14ac:dyDescent="0.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21.75" x14ac:dyDescent="0.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21.75" x14ac:dyDescent="0.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21.75" x14ac:dyDescent="0.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21.75" x14ac:dyDescent="0.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21.75" x14ac:dyDescent="0.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21.75" x14ac:dyDescent="0.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21.75" x14ac:dyDescent="0.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21.75" x14ac:dyDescent="0.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21.75" x14ac:dyDescent="0.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21.75" x14ac:dyDescent="0.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21.75" x14ac:dyDescent="0.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21.75" x14ac:dyDescent="0.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21.75" x14ac:dyDescent="0.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21.75" x14ac:dyDescent="0.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21.75" x14ac:dyDescent="0.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21.75" x14ac:dyDescent="0.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21.75" x14ac:dyDescent="0.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21.75" x14ac:dyDescent="0.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21.75" x14ac:dyDescent="0.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21.75" x14ac:dyDescent="0.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21.75" x14ac:dyDescent="0.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21.75" x14ac:dyDescent="0.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21.75" x14ac:dyDescent="0.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21.75" x14ac:dyDescent="0.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21.75" x14ac:dyDescent="0.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21.75" x14ac:dyDescent="0.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21.75" x14ac:dyDescent="0.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21.75" x14ac:dyDescent="0.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21.75" x14ac:dyDescent="0.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21.75" x14ac:dyDescent="0.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21.75" x14ac:dyDescent="0.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21.75" x14ac:dyDescent="0.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21.75" x14ac:dyDescent="0.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21.75" x14ac:dyDescent="0.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21.75" x14ac:dyDescent="0.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21.75" x14ac:dyDescent="0.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21.75" x14ac:dyDescent="0.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21.75" x14ac:dyDescent="0.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21.75" x14ac:dyDescent="0.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21.75" x14ac:dyDescent="0.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21.75" x14ac:dyDescent="0.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21.75" x14ac:dyDescent="0.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21.75" x14ac:dyDescent="0.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21.75" x14ac:dyDescent="0.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21.75" x14ac:dyDescent="0.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21.75" x14ac:dyDescent="0.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21.75" x14ac:dyDescent="0.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21.75" x14ac:dyDescent="0.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21.75" x14ac:dyDescent="0.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21.75" x14ac:dyDescent="0.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21.75" x14ac:dyDescent="0.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21.75" x14ac:dyDescent="0.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21.75" x14ac:dyDescent="0.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21.75" x14ac:dyDescent="0.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21.75" x14ac:dyDescent="0.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21.75" x14ac:dyDescent="0.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21.75" x14ac:dyDescent="0.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21.75" x14ac:dyDescent="0.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21.75" x14ac:dyDescent="0.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21.75" x14ac:dyDescent="0.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21.75" x14ac:dyDescent="0.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21.75" x14ac:dyDescent="0.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21.75" x14ac:dyDescent="0.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21.75" x14ac:dyDescent="0.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21.75" x14ac:dyDescent="0.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21.75" x14ac:dyDescent="0.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21.75" x14ac:dyDescent="0.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21.75" x14ac:dyDescent="0.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21.75" x14ac:dyDescent="0.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21.75" x14ac:dyDescent="0.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21.75" x14ac:dyDescent="0.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21.75" x14ac:dyDescent="0.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21.75" x14ac:dyDescent="0.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21.75" x14ac:dyDescent="0.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21.75" x14ac:dyDescent="0.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21.75" x14ac:dyDescent="0.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21.75" x14ac:dyDescent="0.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21.75" x14ac:dyDescent="0.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21.75" x14ac:dyDescent="0.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21.75" x14ac:dyDescent="0.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21.75" x14ac:dyDescent="0.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21.75" x14ac:dyDescent="0.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21.75" x14ac:dyDescent="0.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21.75" x14ac:dyDescent="0.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21.75" x14ac:dyDescent="0.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21.75" x14ac:dyDescent="0.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21.75" x14ac:dyDescent="0.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21.75" x14ac:dyDescent="0.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21.75" x14ac:dyDescent="0.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21.75" x14ac:dyDescent="0.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21.75" x14ac:dyDescent="0.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21.75" x14ac:dyDescent="0.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21.75" x14ac:dyDescent="0.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21.75" x14ac:dyDescent="0.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21.75" x14ac:dyDescent="0.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21.75" x14ac:dyDescent="0.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21.75" x14ac:dyDescent="0.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21.75" x14ac:dyDescent="0.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21.75" x14ac:dyDescent="0.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21.75" x14ac:dyDescent="0.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21.75" x14ac:dyDescent="0.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21.75" x14ac:dyDescent="0.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21.75" x14ac:dyDescent="0.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21.75" x14ac:dyDescent="0.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21.75" x14ac:dyDescent="0.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21.75" x14ac:dyDescent="0.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21.75" x14ac:dyDescent="0.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21.75" x14ac:dyDescent="0.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21.75" x14ac:dyDescent="0.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21.75" x14ac:dyDescent="0.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21.75" x14ac:dyDescent="0.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21.75" x14ac:dyDescent="0.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21.75" x14ac:dyDescent="0.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21.75" x14ac:dyDescent="0.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21.75" x14ac:dyDescent="0.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21.75" x14ac:dyDescent="0.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21.75" x14ac:dyDescent="0.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21.75" x14ac:dyDescent="0.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21.75" x14ac:dyDescent="0.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21.75" x14ac:dyDescent="0.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21.75" x14ac:dyDescent="0.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21.75" x14ac:dyDescent="0.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21.75" x14ac:dyDescent="0.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21.75" x14ac:dyDescent="0.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21.75" x14ac:dyDescent="0.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21.75" x14ac:dyDescent="0.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21.75" x14ac:dyDescent="0.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21.75" x14ac:dyDescent="0.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21.75" x14ac:dyDescent="0.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21.75" x14ac:dyDescent="0.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21.75" x14ac:dyDescent="0.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21.75" x14ac:dyDescent="0.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21.75" x14ac:dyDescent="0.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21.75" x14ac:dyDescent="0.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21.75" x14ac:dyDescent="0.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21.75" x14ac:dyDescent="0.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21.75" x14ac:dyDescent="0.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21.75" x14ac:dyDescent="0.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21.75" x14ac:dyDescent="0.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21.75" x14ac:dyDescent="0.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21.75" x14ac:dyDescent="0.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21.75" x14ac:dyDescent="0.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21.75" x14ac:dyDescent="0.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21.75" x14ac:dyDescent="0.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21.75" x14ac:dyDescent="0.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21.75" x14ac:dyDescent="0.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21.75" x14ac:dyDescent="0.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21.75" x14ac:dyDescent="0.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21.75" x14ac:dyDescent="0.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21.75" x14ac:dyDescent="0.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21.75" x14ac:dyDescent="0.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21.75" x14ac:dyDescent="0.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21.75" x14ac:dyDescent="0.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21.75" x14ac:dyDescent="0.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21.75" x14ac:dyDescent="0.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21.75" x14ac:dyDescent="0.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21.75" x14ac:dyDescent="0.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21.75" x14ac:dyDescent="0.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21.75" x14ac:dyDescent="0.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21.75" x14ac:dyDescent="0.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21.75" x14ac:dyDescent="0.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21.75" x14ac:dyDescent="0.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21.75" x14ac:dyDescent="0.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21.75" x14ac:dyDescent="0.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21.75" x14ac:dyDescent="0.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21.75" x14ac:dyDescent="0.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21.75" x14ac:dyDescent="0.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21.75" x14ac:dyDescent="0.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21.75" x14ac:dyDescent="0.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21.75" x14ac:dyDescent="0.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21.75" x14ac:dyDescent="0.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21.75" x14ac:dyDescent="0.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21.75" x14ac:dyDescent="0.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21.75" x14ac:dyDescent="0.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21.75" x14ac:dyDescent="0.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21.75" x14ac:dyDescent="0.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21.75" x14ac:dyDescent="0.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21.75" x14ac:dyDescent="0.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21.75" x14ac:dyDescent="0.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21.75" x14ac:dyDescent="0.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21.75" x14ac:dyDescent="0.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21.75" x14ac:dyDescent="0.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21.75" x14ac:dyDescent="0.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21.75" x14ac:dyDescent="0.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21.75" x14ac:dyDescent="0.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21.75" x14ac:dyDescent="0.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21.75" x14ac:dyDescent="0.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21.75" x14ac:dyDescent="0.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21.75" x14ac:dyDescent="0.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21.75" x14ac:dyDescent="0.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21.75" x14ac:dyDescent="0.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21.75" x14ac:dyDescent="0.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21.75" x14ac:dyDescent="0.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21.75" x14ac:dyDescent="0.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21.75" x14ac:dyDescent="0.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21.75" x14ac:dyDescent="0.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21.75" x14ac:dyDescent="0.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21.75" x14ac:dyDescent="0.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21.75" x14ac:dyDescent="0.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21.75" x14ac:dyDescent="0.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21.75" x14ac:dyDescent="0.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21.75" x14ac:dyDescent="0.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21.75" x14ac:dyDescent="0.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21.75" x14ac:dyDescent="0.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21.75" x14ac:dyDescent="0.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21.75" x14ac:dyDescent="0.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21.75" x14ac:dyDescent="0.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21.75" x14ac:dyDescent="0.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21.75" x14ac:dyDescent="0.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21.75" x14ac:dyDescent="0.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21.75" x14ac:dyDescent="0.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21.75" x14ac:dyDescent="0.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21.75" x14ac:dyDescent="0.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21.75" x14ac:dyDescent="0.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21.75" x14ac:dyDescent="0.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21.75" x14ac:dyDescent="0.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21.75" x14ac:dyDescent="0.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21.75" x14ac:dyDescent="0.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21.75" x14ac:dyDescent="0.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21.75" x14ac:dyDescent="0.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21.75" x14ac:dyDescent="0.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21.75" x14ac:dyDescent="0.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21.75" x14ac:dyDescent="0.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21.75" x14ac:dyDescent="0.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21.75" x14ac:dyDescent="0.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21.75" x14ac:dyDescent="0.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21.75" x14ac:dyDescent="0.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21.75" x14ac:dyDescent="0.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21.75" x14ac:dyDescent="0.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21.75" x14ac:dyDescent="0.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21.75" x14ac:dyDescent="0.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21.75" x14ac:dyDescent="0.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21.75" x14ac:dyDescent="0.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21.75" x14ac:dyDescent="0.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21.75" x14ac:dyDescent="0.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21.75" x14ac:dyDescent="0.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21.75" x14ac:dyDescent="0.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21.75" x14ac:dyDescent="0.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21.75" x14ac:dyDescent="0.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21.75" x14ac:dyDescent="0.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21.75" x14ac:dyDescent="0.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21.75" x14ac:dyDescent="0.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21.75" x14ac:dyDescent="0.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21.75" x14ac:dyDescent="0.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21.75" x14ac:dyDescent="0.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21.75" x14ac:dyDescent="0.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21.75" x14ac:dyDescent="0.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21.75" x14ac:dyDescent="0.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21.75" x14ac:dyDescent="0.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21.75" x14ac:dyDescent="0.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21.75" x14ac:dyDescent="0.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21.75" x14ac:dyDescent="0.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21.75" x14ac:dyDescent="0.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21.75" x14ac:dyDescent="0.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21.75" x14ac:dyDescent="0.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21.75" x14ac:dyDescent="0.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21.75" x14ac:dyDescent="0.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21.75" x14ac:dyDescent="0.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21.75" x14ac:dyDescent="0.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21.75" x14ac:dyDescent="0.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21.75" x14ac:dyDescent="0.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21.75" x14ac:dyDescent="0.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21.75" x14ac:dyDescent="0.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21.75" x14ac:dyDescent="0.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21.75" x14ac:dyDescent="0.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21.75" x14ac:dyDescent="0.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21.75" x14ac:dyDescent="0.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21.75" x14ac:dyDescent="0.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21.75" x14ac:dyDescent="0.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21.75" x14ac:dyDescent="0.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21.75" x14ac:dyDescent="0.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21.75" x14ac:dyDescent="0.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21.75" x14ac:dyDescent="0.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21.75" x14ac:dyDescent="0.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21.75" x14ac:dyDescent="0.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21.75" x14ac:dyDescent="0.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21.75" x14ac:dyDescent="0.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21.75" x14ac:dyDescent="0.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21.75" x14ac:dyDescent="0.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21.75" x14ac:dyDescent="0.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21.75" x14ac:dyDescent="0.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21.75" x14ac:dyDescent="0.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21.75" x14ac:dyDescent="0.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21.75" x14ac:dyDescent="0.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21.75" x14ac:dyDescent="0.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21.75" x14ac:dyDescent="0.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21.75" x14ac:dyDescent="0.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21.75" x14ac:dyDescent="0.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21.75" x14ac:dyDescent="0.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21.75" x14ac:dyDescent="0.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21.75" x14ac:dyDescent="0.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21.75" x14ac:dyDescent="0.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21.75" x14ac:dyDescent="0.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21.75" x14ac:dyDescent="0.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21.75" x14ac:dyDescent="0.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21.75" x14ac:dyDescent="0.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21.75" x14ac:dyDescent="0.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21.75" x14ac:dyDescent="0.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21.75" x14ac:dyDescent="0.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21.75" x14ac:dyDescent="0.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21.75" x14ac:dyDescent="0.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21.75" x14ac:dyDescent="0.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21.75" x14ac:dyDescent="0.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21.75" x14ac:dyDescent="0.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21.75" x14ac:dyDescent="0.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21.75" x14ac:dyDescent="0.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21.75" x14ac:dyDescent="0.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21.75" x14ac:dyDescent="0.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21.75" x14ac:dyDescent="0.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21.75" x14ac:dyDescent="0.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21.75" x14ac:dyDescent="0.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21.75" x14ac:dyDescent="0.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21.75" x14ac:dyDescent="0.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21.75" x14ac:dyDescent="0.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21.75" x14ac:dyDescent="0.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21.75" x14ac:dyDescent="0.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21.75" x14ac:dyDescent="0.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21.75" x14ac:dyDescent="0.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21.75" x14ac:dyDescent="0.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21.75" x14ac:dyDescent="0.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21.75" x14ac:dyDescent="0.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21.75" x14ac:dyDescent="0.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21.75" x14ac:dyDescent="0.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21.75" x14ac:dyDescent="0.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21.75" x14ac:dyDescent="0.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21.75" x14ac:dyDescent="0.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21.75" x14ac:dyDescent="0.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21.75" x14ac:dyDescent="0.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21.75" x14ac:dyDescent="0.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21.75" x14ac:dyDescent="0.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21.75" x14ac:dyDescent="0.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21.75" x14ac:dyDescent="0.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21.75" x14ac:dyDescent="0.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21.75" x14ac:dyDescent="0.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21.75" x14ac:dyDescent="0.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21.75" x14ac:dyDescent="0.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21.75" x14ac:dyDescent="0.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21.75" x14ac:dyDescent="0.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21.75" x14ac:dyDescent="0.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21.75" x14ac:dyDescent="0.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21.75" x14ac:dyDescent="0.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21.75" x14ac:dyDescent="0.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21.75" x14ac:dyDescent="0.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21.75" x14ac:dyDescent="0.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21.75" x14ac:dyDescent="0.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21.75" x14ac:dyDescent="0.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21.75" x14ac:dyDescent="0.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21.75" x14ac:dyDescent="0.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21.75" x14ac:dyDescent="0.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21.75" x14ac:dyDescent="0.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21.75" x14ac:dyDescent="0.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21.75" x14ac:dyDescent="0.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21.75" x14ac:dyDescent="0.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21.75" x14ac:dyDescent="0.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21.75" x14ac:dyDescent="0.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21.75" x14ac:dyDescent="0.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21.75" x14ac:dyDescent="0.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21.75" x14ac:dyDescent="0.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21.75" x14ac:dyDescent="0.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21.75" x14ac:dyDescent="0.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21.75" x14ac:dyDescent="0.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21.75" x14ac:dyDescent="0.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21.75" x14ac:dyDescent="0.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21.75" x14ac:dyDescent="0.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21.75" x14ac:dyDescent="0.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21.75" x14ac:dyDescent="0.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21.75" x14ac:dyDescent="0.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21.75" x14ac:dyDescent="0.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21.75" x14ac:dyDescent="0.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21.75" x14ac:dyDescent="0.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21.75" x14ac:dyDescent="0.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21.75" x14ac:dyDescent="0.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21.75" x14ac:dyDescent="0.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21.75" x14ac:dyDescent="0.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21.75" x14ac:dyDescent="0.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21.75" x14ac:dyDescent="0.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21.75" x14ac:dyDescent="0.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21.75" x14ac:dyDescent="0.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21.75" x14ac:dyDescent="0.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21.75" x14ac:dyDescent="0.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21.75" x14ac:dyDescent="0.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21.75" x14ac:dyDescent="0.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21.75" x14ac:dyDescent="0.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21.75" x14ac:dyDescent="0.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21.75" x14ac:dyDescent="0.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21.75" x14ac:dyDescent="0.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21.75" x14ac:dyDescent="0.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21.75" x14ac:dyDescent="0.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21.75" x14ac:dyDescent="0.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21.75" x14ac:dyDescent="0.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21.75" x14ac:dyDescent="0.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21.75" x14ac:dyDescent="0.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21.75" x14ac:dyDescent="0.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21.75" x14ac:dyDescent="0.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21.75" x14ac:dyDescent="0.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21.75" x14ac:dyDescent="0.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21.75" x14ac:dyDescent="0.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21.75" x14ac:dyDescent="0.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21.75" x14ac:dyDescent="0.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21.75" x14ac:dyDescent="0.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21.75" x14ac:dyDescent="0.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21.75" x14ac:dyDescent="0.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21.75" x14ac:dyDescent="0.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21.75" x14ac:dyDescent="0.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21.75" x14ac:dyDescent="0.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21.75" x14ac:dyDescent="0.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21.75" x14ac:dyDescent="0.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21.75" x14ac:dyDescent="0.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21.75" x14ac:dyDescent="0.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21.75" x14ac:dyDescent="0.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21.75" x14ac:dyDescent="0.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21.75" x14ac:dyDescent="0.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21.75" x14ac:dyDescent="0.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21.75" x14ac:dyDescent="0.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21.75" x14ac:dyDescent="0.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21.75" x14ac:dyDescent="0.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21.75" x14ac:dyDescent="0.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21.75" x14ac:dyDescent="0.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21.75" x14ac:dyDescent="0.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21.75" x14ac:dyDescent="0.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21.75" x14ac:dyDescent="0.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21.75" x14ac:dyDescent="0.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21.75" x14ac:dyDescent="0.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21.75" x14ac:dyDescent="0.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21.75" x14ac:dyDescent="0.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21.75" x14ac:dyDescent="0.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21.75" x14ac:dyDescent="0.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21.75" x14ac:dyDescent="0.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21.75" x14ac:dyDescent="0.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21.75" x14ac:dyDescent="0.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21.75" x14ac:dyDescent="0.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21.75" x14ac:dyDescent="0.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21.75" x14ac:dyDescent="0.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21.75" x14ac:dyDescent="0.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21.75" x14ac:dyDescent="0.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21.75" x14ac:dyDescent="0.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21.75" x14ac:dyDescent="0.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21.75" x14ac:dyDescent="0.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21.75" x14ac:dyDescent="0.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21.75" x14ac:dyDescent="0.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21.75" x14ac:dyDescent="0.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21.75" x14ac:dyDescent="0.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21.75" x14ac:dyDescent="0.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21.75" x14ac:dyDescent="0.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21.75" x14ac:dyDescent="0.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21.75" x14ac:dyDescent="0.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21.75" x14ac:dyDescent="0.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21.75" x14ac:dyDescent="0.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21.75" x14ac:dyDescent="0.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21.75" x14ac:dyDescent="0.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21.75" x14ac:dyDescent="0.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21.75" x14ac:dyDescent="0.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21.75" x14ac:dyDescent="0.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21.75" x14ac:dyDescent="0.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21.75" x14ac:dyDescent="0.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21.75" x14ac:dyDescent="0.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21.75" x14ac:dyDescent="0.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21.75" x14ac:dyDescent="0.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21.75" x14ac:dyDescent="0.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21.75" x14ac:dyDescent="0.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21.75" x14ac:dyDescent="0.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21.75" x14ac:dyDescent="0.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21.75" x14ac:dyDescent="0.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21.75" x14ac:dyDescent="0.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21.75" x14ac:dyDescent="0.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21.75" x14ac:dyDescent="0.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21.75" x14ac:dyDescent="0.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21.75" x14ac:dyDescent="0.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21.75" x14ac:dyDescent="0.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21.75" x14ac:dyDescent="0.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21.75" x14ac:dyDescent="0.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21.75" x14ac:dyDescent="0.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21.75" x14ac:dyDescent="0.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21.75" x14ac:dyDescent="0.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21.75" x14ac:dyDescent="0.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21.75" x14ac:dyDescent="0.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21.75" x14ac:dyDescent="0.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21.75" x14ac:dyDescent="0.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21.75" x14ac:dyDescent="0.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21.75" x14ac:dyDescent="0.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21.75" x14ac:dyDescent="0.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21.75" x14ac:dyDescent="0.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21.75" x14ac:dyDescent="0.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21.75" x14ac:dyDescent="0.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21.75" x14ac:dyDescent="0.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21.75" x14ac:dyDescent="0.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21.75" x14ac:dyDescent="0.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21.75" x14ac:dyDescent="0.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21.75" x14ac:dyDescent="0.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21.75" x14ac:dyDescent="0.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21.75" x14ac:dyDescent="0.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21.75" x14ac:dyDescent="0.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21.75" x14ac:dyDescent="0.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21.75" x14ac:dyDescent="0.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21.75" x14ac:dyDescent="0.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21.75" x14ac:dyDescent="0.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21.75" x14ac:dyDescent="0.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21.75" x14ac:dyDescent="0.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21.75" x14ac:dyDescent="0.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21.75" x14ac:dyDescent="0.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21.75" x14ac:dyDescent="0.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21.75" x14ac:dyDescent="0.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21.75" x14ac:dyDescent="0.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21.75" x14ac:dyDescent="0.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21.75" x14ac:dyDescent="0.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21.75" x14ac:dyDescent="0.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21.75" x14ac:dyDescent="0.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21.75" x14ac:dyDescent="0.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21.75" x14ac:dyDescent="0.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21.75" x14ac:dyDescent="0.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21.75" x14ac:dyDescent="0.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21.75" x14ac:dyDescent="0.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21.75" x14ac:dyDescent="0.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21.75" x14ac:dyDescent="0.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21.75" x14ac:dyDescent="0.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21.75" x14ac:dyDescent="0.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21.75" x14ac:dyDescent="0.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21.75" x14ac:dyDescent="0.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21.75" x14ac:dyDescent="0.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21.75" x14ac:dyDescent="0.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21.75" x14ac:dyDescent="0.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21.75" x14ac:dyDescent="0.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21.75" x14ac:dyDescent="0.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21.75" x14ac:dyDescent="0.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21.75" x14ac:dyDescent="0.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21.75" x14ac:dyDescent="0.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21.75" x14ac:dyDescent="0.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21.75" x14ac:dyDescent="0.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21.75" x14ac:dyDescent="0.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21.75" x14ac:dyDescent="0.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21.75" x14ac:dyDescent="0.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21.75" x14ac:dyDescent="0.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21.75" x14ac:dyDescent="0.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21.75" x14ac:dyDescent="0.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21.75" x14ac:dyDescent="0.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21.75" x14ac:dyDescent="0.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21.75" x14ac:dyDescent="0.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21.75" x14ac:dyDescent="0.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21.75" x14ac:dyDescent="0.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21.75" x14ac:dyDescent="0.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21.75" x14ac:dyDescent="0.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21.75" x14ac:dyDescent="0.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21.75" x14ac:dyDescent="0.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21.75" x14ac:dyDescent="0.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21.75" x14ac:dyDescent="0.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21.75" x14ac:dyDescent="0.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21.75" x14ac:dyDescent="0.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21.75" x14ac:dyDescent="0.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21.75" x14ac:dyDescent="0.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21.75" x14ac:dyDescent="0.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21.75" x14ac:dyDescent="0.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21.75" x14ac:dyDescent="0.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21.75" x14ac:dyDescent="0.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21.75" x14ac:dyDescent="0.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21.75" x14ac:dyDescent="0.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21.75" x14ac:dyDescent="0.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21.75" x14ac:dyDescent="0.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21.75" x14ac:dyDescent="0.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21.75" x14ac:dyDescent="0.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21.75" x14ac:dyDescent="0.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21.75" x14ac:dyDescent="0.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21.75" x14ac:dyDescent="0.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21.75" x14ac:dyDescent="0.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21.75" x14ac:dyDescent="0.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21.75" x14ac:dyDescent="0.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21.75" x14ac:dyDescent="0.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21.75" x14ac:dyDescent="0.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21.75" x14ac:dyDescent="0.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21.75" x14ac:dyDescent="0.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21.75" x14ac:dyDescent="0.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21.75" x14ac:dyDescent="0.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21.75" x14ac:dyDescent="0.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21.75" x14ac:dyDescent="0.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21.75" x14ac:dyDescent="0.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21.75" x14ac:dyDescent="0.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21.75" x14ac:dyDescent="0.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21.75" x14ac:dyDescent="0.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21.75" x14ac:dyDescent="0.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21.75" x14ac:dyDescent="0.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21.75" x14ac:dyDescent="0.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21.75" x14ac:dyDescent="0.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21.75" x14ac:dyDescent="0.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21.75" x14ac:dyDescent="0.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21.75" x14ac:dyDescent="0.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21.75" x14ac:dyDescent="0.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21.75" x14ac:dyDescent="0.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21.75" x14ac:dyDescent="0.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21.75" x14ac:dyDescent="0.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21.75" x14ac:dyDescent="0.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21.75" x14ac:dyDescent="0.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21.75" x14ac:dyDescent="0.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21.75" x14ac:dyDescent="0.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21.75" x14ac:dyDescent="0.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21.75" x14ac:dyDescent="0.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21.75" x14ac:dyDescent="0.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21.75" x14ac:dyDescent="0.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21.75" x14ac:dyDescent="0.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21.75" x14ac:dyDescent="0.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21.75" x14ac:dyDescent="0.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21.75" x14ac:dyDescent="0.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21.75" x14ac:dyDescent="0.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21.75" x14ac:dyDescent="0.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21.75" x14ac:dyDescent="0.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21.75" x14ac:dyDescent="0.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21.75" x14ac:dyDescent="0.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21.75" x14ac:dyDescent="0.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21.75" x14ac:dyDescent="0.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21.75" x14ac:dyDescent="0.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21.75" x14ac:dyDescent="0.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21.75" x14ac:dyDescent="0.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21.75" x14ac:dyDescent="0.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21.75" x14ac:dyDescent="0.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21.75" x14ac:dyDescent="0.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21.75" x14ac:dyDescent="0.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21.75" x14ac:dyDescent="0.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21.75" x14ac:dyDescent="0.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21.75" x14ac:dyDescent="0.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21.75" x14ac:dyDescent="0.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21.75" x14ac:dyDescent="0.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21.75" x14ac:dyDescent="0.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21.75" x14ac:dyDescent="0.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21.75" x14ac:dyDescent="0.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21.75" x14ac:dyDescent="0.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21.75" x14ac:dyDescent="0.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21.75" x14ac:dyDescent="0.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21.75" x14ac:dyDescent="0.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21.75" x14ac:dyDescent="0.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21.75" x14ac:dyDescent="0.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21.75" x14ac:dyDescent="0.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21.75" x14ac:dyDescent="0.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21.75" x14ac:dyDescent="0.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21.75" x14ac:dyDescent="0.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21.75" x14ac:dyDescent="0.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21.75" x14ac:dyDescent="0.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21.75" x14ac:dyDescent="0.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21.75" x14ac:dyDescent="0.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21.75" x14ac:dyDescent="0.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21.75" x14ac:dyDescent="0.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21.75" x14ac:dyDescent="0.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21.75" x14ac:dyDescent="0.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21.75" x14ac:dyDescent="0.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21.75" x14ac:dyDescent="0.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21.75" x14ac:dyDescent="0.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21.75" x14ac:dyDescent="0.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21.75" x14ac:dyDescent="0.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21.75" x14ac:dyDescent="0.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21.75" x14ac:dyDescent="0.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21.75" x14ac:dyDescent="0.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21.75" x14ac:dyDescent="0.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21.75" x14ac:dyDescent="0.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21.75" x14ac:dyDescent="0.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21.75" x14ac:dyDescent="0.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21.75" x14ac:dyDescent="0.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21.75" x14ac:dyDescent="0.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21.75" x14ac:dyDescent="0.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21.75" x14ac:dyDescent="0.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21.75" x14ac:dyDescent="0.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21.75" x14ac:dyDescent="0.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21.75" x14ac:dyDescent="0.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21.75" x14ac:dyDescent="0.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21.75" x14ac:dyDescent="0.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21.75" x14ac:dyDescent="0.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21.75" x14ac:dyDescent="0.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21.75" x14ac:dyDescent="0.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21.75" x14ac:dyDescent="0.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21.75" x14ac:dyDescent="0.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21.75" x14ac:dyDescent="0.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21.75" x14ac:dyDescent="0.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21.75" x14ac:dyDescent="0.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21.75" x14ac:dyDescent="0.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21.75" x14ac:dyDescent="0.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21.75" x14ac:dyDescent="0.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21.75" x14ac:dyDescent="0.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21.75" x14ac:dyDescent="0.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21.75" x14ac:dyDescent="0.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21.75" x14ac:dyDescent="0.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21.75" x14ac:dyDescent="0.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21.75" x14ac:dyDescent="0.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21.75" x14ac:dyDescent="0.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21.75" x14ac:dyDescent="0.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21.75" x14ac:dyDescent="0.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21.75" x14ac:dyDescent="0.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21.75" x14ac:dyDescent="0.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21.75" x14ac:dyDescent="0.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21.75" x14ac:dyDescent="0.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21.75" x14ac:dyDescent="0.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21.75" x14ac:dyDescent="0.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21.75" x14ac:dyDescent="0.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21.75" x14ac:dyDescent="0.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21.75" x14ac:dyDescent="0.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21.75" x14ac:dyDescent="0.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21.75" x14ac:dyDescent="0.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21.75" x14ac:dyDescent="0.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21.75" x14ac:dyDescent="0.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21.75" x14ac:dyDescent="0.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21.75" x14ac:dyDescent="0.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21.75" x14ac:dyDescent="0.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21.75" x14ac:dyDescent="0.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21.75" x14ac:dyDescent="0.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21.75" x14ac:dyDescent="0.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21.75" x14ac:dyDescent="0.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21.75" x14ac:dyDescent="0.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21.75" x14ac:dyDescent="0.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21.75" x14ac:dyDescent="0.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21.75" x14ac:dyDescent="0.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21.75" x14ac:dyDescent="0.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21.75" x14ac:dyDescent="0.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21.75" x14ac:dyDescent="0.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21.75" x14ac:dyDescent="0.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21.75" x14ac:dyDescent="0.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21.75" x14ac:dyDescent="0.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</sheetData>
  <mergeCells count="16">
    <mergeCell ref="AG29:AH31"/>
    <mergeCell ref="J75:J77"/>
    <mergeCell ref="K75:K77"/>
    <mergeCell ref="G81:K82"/>
    <mergeCell ref="Z1:AB1"/>
    <mergeCell ref="Z2:AB2"/>
    <mergeCell ref="Z3:AB3"/>
    <mergeCell ref="Z4:AB4"/>
    <mergeCell ref="Z5:AB5"/>
    <mergeCell ref="Z6:AB6"/>
    <mergeCell ref="B1:D1"/>
    <mergeCell ref="B9:D12"/>
    <mergeCell ref="G23:I23"/>
    <mergeCell ref="G26:H29"/>
    <mergeCell ref="G33:H36"/>
    <mergeCell ref="K33:P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5395-6B2A-45A6-9EAE-0E64273074ED}">
  <dimension ref="A1:S46"/>
  <sheetViews>
    <sheetView tabSelected="1" topLeftCell="A7" workbookViewId="0">
      <selection activeCell="U21" sqref="U21"/>
    </sheetView>
  </sheetViews>
  <sheetFormatPr defaultRowHeight="15" x14ac:dyDescent="0.25"/>
  <sheetData>
    <row r="1" spans="1:15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5"/>
    </row>
    <row r="2" spans="1:15" x14ac:dyDescent="0.25">
      <c r="A2" s="76"/>
      <c r="B2" s="4"/>
      <c r="C2" s="4"/>
      <c r="D2" s="4"/>
      <c r="E2" s="4"/>
      <c r="F2" s="4"/>
      <c r="G2" s="4" t="s">
        <v>111</v>
      </c>
      <c r="H2" s="4">
        <v>1</v>
      </c>
      <c r="I2" s="4"/>
      <c r="J2" s="4"/>
      <c r="K2" s="4"/>
      <c r="L2" s="4"/>
      <c r="M2" s="4"/>
      <c r="N2" s="4"/>
      <c r="O2" s="77"/>
    </row>
    <row r="3" spans="1:15" x14ac:dyDescent="0.25">
      <c r="A3" s="76" t="s">
        <v>5</v>
      </c>
      <c r="B3" s="4">
        <v>4</v>
      </c>
      <c r="C3" s="4" t="s">
        <v>4</v>
      </c>
      <c r="D3" s="4">
        <v>5</v>
      </c>
      <c r="E3" s="4" t="s">
        <v>6</v>
      </c>
      <c r="F3" s="4">
        <v>4</v>
      </c>
      <c r="G3" s="4" t="s">
        <v>112</v>
      </c>
      <c r="H3" s="4">
        <v>0.5</v>
      </c>
      <c r="I3" s="4"/>
      <c r="J3" s="4"/>
      <c r="K3" s="4"/>
      <c r="L3" s="4"/>
      <c r="M3" s="4"/>
      <c r="N3" s="4"/>
      <c r="O3" s="77"/>
    </row>
    <row r="4" spans="1:15" x14ac:dyDescent="0.25">
      <c r="A4" s="76"/>
      <c r="B4" s="4">
        <v>4</v>
      </c>
      <c r="C4" s="4"/>
      <c r="D4" s="4">
        <v>4</v>
      </c>
      <c r="E4" s="4"/>
      <c r="F4" s="4">
        <v>5</v>
      </c>
      <c r="G4" s="4" t="s">
        <v>113</v>
      </c>
      <c r="H4" s="4">
        <v>2</v>
      </c>
      <c r="I4" s="4"/>
      <c r="J4" s="4"/>
      <c r="K4" s="4"/>
      <c r="L4" s="4"/>
      <c r="M4" s="4"/>
      <c r="N4" s="4"/>
      <c r="O4" s="77"/>
    </row>
    <row r="5" spans="1:15" x14ac:dyDescent="0.25">
      <c r="A5" s="76" t="s">
        <v>114</v>
      </c>
      <c r="B5" s="4">
        <f>B3-B4+2*B3^2+2*B3*B4+B4^2</f>
        <v>80</v>
      </c>
      <c r="C5" s="4" t="s">
        <v>115</v>
      </c>
      <c r="D5" s="4">
        <f>D3-D4+2*D3^2+2*D3*D4+D4^2</f>
        <v>107</v>
      </c>
      <c r="E5" s="4" t="s">
        <v>116</v>
      </c>
      <c r="F5" s="4">
        <f>F3-F4+2*F3^2+2*F3*F4+F4^2</f>
        <v>96</v>
      </c>
      <c r="G5" s="4"/>
      <c r="H5" s="4"/>
      <c r="I5" s="4"/>
      <c r="J5" s="4"/>
      <c r="K5" s="4"/>
      <c r="L5" s="4"/>
      <c r="M5" s="4"/>
      <c r="N5" s="4"/>
      <c r="O5" s="77"/>
    </row>
    <row r="6" spans="1:15" x14ac:dyDescent="0.25">
      <c r="A6" s="76" t="s">
        <v>117</v>
      </c>
      <c r="B6" s="78"/>
      <c r="C6" s="4" t="s">
        <v>118</v>
      </c>
      <c r="D6" s="78"/>
      <c r="E6" s="4"/>
      <c r="F6" s="78"/>
      <c r="G6" s="4"/>
      <c r="H6" s="4"/>
      <c r="I6" s="4"/>
      <c r="J6" s="4"/>
      <c r="K6" s="4"/>
      <c r="L6" s="4"/>
      <c r="M6" s="4"/>
      <c r="N6" s="4"/>
      <c r="O6" s="77"/>
    </row>
    <row r="7" spans="1:15" x14ac:dyDescent="0.25">
      <c r="A7" s="76"/>
      <c r="B7" s="79"/>
      <c r="C7" s="79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77"/>
    </row>
    <row r="8" spans="1:15" x14ac:dyDescent="0.25">
      <c r="A8" s="7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77"/>
    </row>
    <row r="9" spans="1:15" x14ac:dyDescent="0.25">
      <c r="A9" s="7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77"/>
    </row>
    <row r="10" spans="1:15" x14ac:dyDescent="0.25">
      <c r="A10" s="7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77"/>
    </row>
    <row r="11" spans="1:15" x14ac:dyDescent="0.25">
      <c r="A11" s="7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77"/>
    </row>
    <row r="12" spans="1:15" x14ac:dyDescent="0.25">
      <c r="A12" s="7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77"/>
    </row>
    <row r="13" spans="1:15" x14ac:dyDescent="0.25">
      <c r="A13" s="7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77"/>
    </row>
    <row r="14" spans="1:15" x14ac:dyDescent="0.25">
      <c r="A14" s="76" t="s">
        <v>119</v>
      </c>
      <c r="B14" s="4">
        <f>1/2*(4+4)</f>
        <v>4</v>
      </c>
      <c r="C14" s="4"/>
      <c r="D14" s="4" t="s">
        <v>120</v>
      </c>
      <c r="E14" s="4">
        <f>(1+1)*4-(1*5)</f>
        <v>3</v>
      </c>
      <c r="F14" s="4"/>
      <c r="G14" s="4"/>
      <c r="H14" s="4"/>
      <c r="I14" s="4"/>
      <c r="J14" s="4" t="s">
        <v>121</v>
      </c>
      <c r="K14" s="4">
        <f>2*E14+(1-$H$4)*B14</f>
        <v>2</v>
      </c>
      <c r="L14" s="4"/>
      <c r="M14" s="4"/>
      <c r="N14" s="4"/>
      <c r="O14" s="77"/>
    </row>
    <row r="15" spans="1:15" x14ac:dyDescent="0.25">
      <c r="A15" s="76"/>
      <c r="B15" s="4">
        <f>1/2*(4+5)</f>
        <v>4.5</v>
      </c>
      <c r="C15" s="4"/>
      <c r="D15" s="4"/>
      <c r="E15" s="4">
        <f>(1+1)*4.5-(1*4)</f>
        <v>5</v>
      </c>
      <c r="F15" s="4"/>
      <c r="G15" s="4"/>
      <c r="H15" s="4"/>
      <c r="I15" s="4"/>
      <c r="J15" s="4"/>
      <c r="K15" s="4">
        <f>2*E15+(1-$H$4)*B15</f>
        <v>5.5</v>
      </c>
      <c r="L15" s="4"/>
      <c r="M15" s="4"/>
      <c r="N15" s="4"/>
      <c r="O15" s="77"/>
    </row>
    <row r="16" spans="1:15" x14ac:dyDescent="0.25">
      <c r="A16" s="76" t="s">
        <v>122</v>
      </c>
      <c r="B16" s="4">
        <f>B14-B15+2*B14^2+2*B14*B15+B15^2</f>
        <v>87.75</v>
      </c>
      <c r="C16" s="4"/>
      <c r="D16" s="4" t="s">
        <v>123</v>
      </c>
      <c r="E16" s="4">
        <f>E14-E15+2*E14^2+2*E14*E15+E15^2</f>
        <v>71</v>
      </c>
      <c r="F16" s="4"/>
      <c r="G16" s="4" t="s">
        <v>124</v>
      </c>
      <c r="H16" s="4"/>
      <c r="I16" s="4"/>
      <c r="J16" s="4" t="s">
        <v>125</v>
      </c>
      <c r="K16" s="4">
        <f>K14-K15+2*K14^2+2*K14*K15+K15^2</f>
        <v>56.75</v>
      </c>
      <c r="L16" s="4"/>
      <c r="M16" s="4"/>
      <c r="N16" s="4"/>
      <c r="O16" s="77"/>
    </row>
    <row r="17" spans="1:19" x14ac:dyDescent="0.25">
      <c r="A17" s="7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7"/>
    </row>
    <row r="18" spans="1:19" x14ac:dyDescent="0.25">
      <c r="A18" s="76" t="s">
        <v>126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77"/>
    </row>
    <row r="19" spans="1:19" x14ac:dyDescent="0.25">
      <c r="A19" s="7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7"/>
    </row>
    <row r="20" spans="1:19" x14ac:dyDescent="0.25">
      <c r="A20" s="76"/>
      <c r="B20" s="4"/>
      <c r="C20" s="4"/>
      <c r="D20" s="4"/>
      <c r="E20" s="4" t="s">
        <v>127</v>
      </c>
      <c r="F20" s="4">
        <f>(B5-B16)^2+(K16-B16)^2+(F5-B16)^2</f>
        <v>1089.125</v>
      </c>
      <c r="G20" s="4"/>
      <c r="H20" s="4"/>
      <c r="I20" s="4"/>
      <c r="J20" s="4"/>
      <c r="K20" s="4"/>
      <c r="L20" s="4"/>
      <c r="M20" s="4"/>
      <c r="N20" s="4"/>
      <c r="O20" s="77"/>
    </row>
    <row r="21" spans="1:19" x14ac:dyDescent="0.25">
      <c r="A21" s="76"/>
      <c r="B21" s="4"/>
      <c r="C21" s="4"/>
      <c r="D21" s="4"/>
      <c r="E21" s="4"/>
      <c r="F21" s="4">
        <f>F20/3</f>
        <v>363.04166666666669</v>
      </c>
      <c r="G21" s="4"/>
      <c r="H21" s="4"/>
      <c r="I21" s="4"/>
      <c r="J21" s="4"/>
      <c r="K21" s="4"/>
      <c r="L21" s="4"/>
      <c r="M21" s="4"/>
      <c r="N21" s="4"/>
      <c r="O21" s="77"/>
    </row>
    <row r="22" spans="1:19" ht="15.75" thickBot="1" x14ac:dyDescent="0.3">
      <c r="A22" s="80"/>
      <c r="B22" s="81"/>
      <c r="C22" s="81"/>
      <c r="D22" s="81"/>
      <c r="E22" s="81"/>
      <c r="F22" s="81">
        <f>SQRT(F21)</f>
        <v>19.053652318300202</v>
      </c>
      <c r="G22" s="81"/>
      <c r="H22" s="81"/>
      <c r="I22" s="81"/>
      <c r="J22" s="81"/>
      <c r="K22" s="81"/>
      <c r="L22" s="81"/>
      <c r="M22" s="81"/>
      <c r="N22" s="81"/>
      <c r="O22" s="82"/>
    </row>
    <row r="24" spans="1:19" ht="15.75" thickBot="1" x14ac:dyDescent="0.3">
      <c r="A24" s="72" t="s">
        <v>128</v>
      </c>
    </row>
    <row r="25" spans="1:19" x14ac:dyDescent="0.25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5"/>
    </row>
    <row r="26" spans="1:19" x14ac:dyDescent="0.25">
      <c r="A26" s="76"/>
      <c r="B26" s="4"/>
      <c r="C26" s="4"/>
      <c r="D26" s="4"/>
      <c r="E26" s="4"/>
      <c r="F26" s="4"/>
      <c r="G26" s="4" t="s">
        <v>111</v>
      </c>
      <c r="H26" s="4">
        <v>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77"/>
    </row>
    <row r="27" spans="1:19" x14ac:dyDescent="0.25">
      <c r="A27" s="83" t="s">
        <v>5</v>
      </c>
      <c r="B27" s="78">
        <v>4</v>
      </c>
      <c r="C27" s="78" t="s">
        <v>4</v>
      </c>
      <c r="D27" s="78">
        <v>2</v>
      </c>
      <c r="E27" s="4" t="s">
        <v>6</v>
      </c>
      <c r="F27" s="4">
        <v>4</v>
      </c>
      <c r="G27" s="4" t="s">
        <v>112</v>
      </c>
      <c r="H27" s="4">
        <v>0.5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77"/>
    </row>
    <row r="28" spans="1:19" x14ac:dyDescent="0.25">
      <c r="A28" s="83"/>
      <c r="B28" s="78">
        <v>4</v>
      </c>
      <c r="C28" s="78"/>
      <c r="D28" s="78">
        <v>5.5</v>
      </c>
      <c r="E28" s="4"/>
      <c r="F28" s="4">
        <v>5</v>
      </c>
      <c r="G28" s="4" t="s">
        <v>113</v>
      </c>
      <c r="H28" s="4">
        <v>2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77"/>
    </row>
    <row r="29" spans="1:19" x14ac:dyDescent="0.25">
      <c r="A29" s="76" t="s">
        <v>114</v>
      </c>
      <c r="B29" s="4">
        <f>B27-B28+2*B27^2+2*B27*B28+B28^2</f>
        <v>80</v>
      </c>
      <c r="C29" s="4" t="s">
        <v>115</v>
      </c>
      <c r="D29" s="4">
        <f>D27-D28+2*D27^2+2*D27*D28+D28^2</f>
        <v>56.75</v>
      </c>
      <c r="E29" s="4" t="s">
        <v>116</v>
      </c>
      <c r="F29" s="4">
        <f>F27-F28+2*F27^2+2*F27*F28+F28^2</f>
        <v>96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77"/>
    </row>
    <row r="30" spans="1:19" x14ac:dyDescent="0.25">
      <c r="A30" s="76"/>
      <c r="B30" s="78"/>
      <c r="C30" s="4" t="s">
        <v>117</v>
      </c>
      <c r="D30" s="78"/>
      <c r="E30" s="4" t="s">
        <v>118</v>
      </c>
      <c r="F30" s="7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77"/>
    </row>
    <row r="31" spans="1:19" x14ac:dyDescent="0.25">
      <c r="A31" s="76"/>
      <c r="B31" s="79"/>
      <c r="C31" s="7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77"/>
    </row>
    <row r="32" spans="1:19" x14ac:dyDescent="0.25">
      <c r="A32" s="7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77"/>
    </row>
    <row r="33" spans="1:19" x14ac:dyDescent="0.25">
      <c r="A33" s="7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77"/>
    </row>
    <row r="34" spans="1:19" x14ac:dyDescent="0.25">
      <c r="A34" s="7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77"/>
    </row>
    <row r="35" spans="1:19" x14ac:dyDescent="0.25">
      <c r="A35" s="7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77"/>
    </row>
    <row r="36" spans="1:19" x14ac:dyDescent="0.25">
      <c r="A36" s="76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77"/>
    </row>
    <row r="37" spans="1:19" x14ac:dyDescent="0.25">
      <c r="A37" s="76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77"/>
    </row>
    <row r="38" spans="1:19" x14ac:dyDescent="0.25">
      <c r="A38" s="76" t="s">
        <v>119</v>
      </c>
      <c r="B38" s="4">
        <f>1/2*(4+2)</f>
        <v>3</v>
      </c>
      <c r="C38" s="4"/>
      <c r="D38" s="4" t="s">
        <v>120</v>
      </c>
      <c r="E38" s="4">
        <f>(1+1)*B38-(1*4)</f>
        <v>2</v>
      </c>
      <c r="F38" s="4"/>
      <c r="G38" s="4"/>
      <c r="H38" s="4"/>
      <c r="I38" s="4"/>
      <c r="J38" s="78" t="s">
        <v>121</v>
      </c>
      <c r="K38" s="78">
        <f>2*E38+(1-$H$4)*B38</f>
        <v>1</v>
      </c>
      <c r="L38" s="4"/>
      <c r="M38" s="4"/>
      <c r="N38" s="4"/>
      <c r="O38" s="4"/>
      <c r="P38" s="4"/>
      <c r="Q38" s="4"/>
      <c r="R38" s="4"/>
      <c r="S38" s="77"/>
    </row>
    <row r="39" spans="1:19" x14ac:dyDescent="0.25">
      <c r="A39" s="76"/>
      <c r="B39" s="4">
        <f>1/2*(4+5.5)</f>
        <v>4.75</v>
      </c>
      <c r="C39" s="4"/>
      <c r="D39" s="4"/>
      <c r="E39" s="4">
        <f>(1+1)*B39-(1*5)</f>
        <v>4.5</v>
      </c>
      <c r="F39" s="4"/>
      <c r="G39" s="4"/>
      <c r="H39" s="4"/>
      <c r="I39" s="4"/>
      <c r="J39" s="78"/>
      <c r="K39" s="78">
        <f>2*E39+(1-$H$4)*B39</f>
        <v>4.25</v>
      </c>
      <c r="L39" s="4"/>
      <c r="M39" s="4"/>
      <c r="N39" s="4"/>
      <c r="O39" s="4"/>
      <c r="P39" s="4"/>
      <c r="Q39" s="4"/>
      <c r="R39" s="4"/>
      <c r="S39" s="77"/>
    </row>
    <row r="40" spans="1:19" x14ac:dyDescent="0.25">
      <c r="A40" s="76" t="s">
        <v>122</v>
      </c>
      <c r="B40" s="4">
        <f>B38-B39+2*B38^2+2*B38*B39+B39^2</f>
        <v>67.3125</v>
      </c>
      <c r="C40" s="4"/>
      <c r="D40" s="4" t="s">
        <v>123</v>
      </c>
      <c r="E40" s="4">
        <f>E38-E39+2*E38^2+2*E38*E39+E39^2</f>
        <v>43.75</v>
      </c>
      <c r="F40" s="4"/>
      <c r="G40" s="4" t="s">
        <v>124</v>
      </c>
      <c r="H40" s="4"/>
      <c r="I40" s="4"/>
      <c r="J40" s="4" t="s">
        <v>125</v>
      </c>
      <c r="K40" s="4">
        <f>K38-K39+2*K38^2+2*K38*K39+K39^2</f>
        <v>25.3125</v>
      </c>
      <c r="L40" s="4"/>
      <c r="M40" s="4"/>
      <c r="N40" s="4"/>
      <c r="O40" s="4"/>
      <c r="P40" s="4" t="s">
        <v>129</v>
      </c>
      <c r="Q40" s="4"/>
      <c r="R40" s="4"/>
      <c r="S40" s="77"/>
    </row>
    <row r="41" spans="1:19" x14ac:dyDescent="0.25">
      <c r="A41" s="76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77"/>
    </row>
    <row r="42" spans="1:19" x14ac:dyDescent="0.25">
      <c r="A42" s="76" t="s">
        <v>126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77"/>
    </row>
    <row r="43" spans="1:19" x14ac:dyDescent="0.25">
      <c r="A43" s="76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77"/>
    </row>
    <row r="44" spans="1:19" x14ac:dyDescent="0.25">
      <c r="A44" s="76"/>
      <c r="B44" s="4"/>
      <c r="C44" s="4"/>
      <c r="D44" s="4"/>
      <c r="E44" s="4" t="s">
        <v>127</v>
      </c>
      <c r="F44" s="4">
        <f>(B29-B40)^2+(D29-B40)^2+(K40-B40)^2</f>
        <v>2036.5390625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77"/>
    </row>
    <row r="45" spans="1:19" x14ac:dyDescent="0.25">
      <c r="A45" s="76"/>
      <c r="B45" s="4"/>
      <c r="C45" s="4"/>
      <c r="D45" s="4"/>
      <c r="E45" s="4"/>
      <c r="F45" s="4">
        <f>F44/3</f>
        <v>678.84635416666663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77"/>
    </row>
    <row r="46" spans="1:19" ht="15.75" thickBot="1" x14ac:dyDescent="0.3">
      <c r="A46" s="80"/>
      <c r="B46" s="81"/>
      <c r="C46" s="81"/>
      <c r="D46" s="81"/>
      <c r="E46" s="81"/>
      <c r="F46" s="81">
        <f>SQRT(F45)</f>
        <v>26.054680081833027</v>
      </c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</vt:lpstr>
      <vt:lpstr>03</vt:lpstr>
      <vt:lpstr>Tugas 1</vt:lpstr>
      <vt:lpstr>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 Rofiqy</dc:creator>
  <cp:lastModifiedBy>Zen Rofiqy</cp:lastModifiedBy>
  <dcterms:created xsi:type="dcterms:W3CDTF">2024-02-01T09:50:19Z</dcterms:created>
  <dcterms:modified xsi:type="dcterms:W3CDTF">2024-03-10T23:03:45Z</dcterms:modified>
</cp:coreProperties>
</file>