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enior Manager\Downloads\"/>
    </mc:Choice>
  </mc:AlternateContent>
  <xr:revisionPtr revIDLastSave="0" documentId="13_ncr:1_{7A32F082-4A9F-4F32-B0ED-6D60DA9CB0C4}" xr6:coauthVersionLast="47" xr6:coauthVersionMax="47" xr10:uidLastSave="{00000000-0000-0000-0000-000000000000}"/>
  <bookViews>
    <workbookView xWindow="-110" yWindow="-110" windowWidth="19420" windowHeight="10300" tabRatio="851" firstSheet="1" activeTab="4" xr2:uid="{00000000-000D-0000-FFFF-FFFF00000000}"/>
  </bookViews>
  <sheets>
    <sheet name="changelog " sheetId="27" state="hidden" r:id="rId1"/>
    <sheet name="Total Data SPSS_2" sheetId="47" r:id="rId2"/>
    <sheet name="Total Data" sheetId="43" r:id="rId3"/>
    <sheet name="Total Data Simca" sheetId="45" r:id="rId4"/>
    <sheet name="Total Data SPSS_1" sheetId="46" r:id="rId5"/>
    <sheet name="Skema" sheetId="33" r:id="rId6"/>
    <sheet name="EU_Cd " sheetId="39" r:id="rId7"/>
    <sheet name="BPOM_Cd" sheetId="32" r:id="rId8"/>
    <sheet name="EU_Sb" sheetId="36" r:id="rId9"/>
    <sheet name="BPOM_Sb" sheetId="40" r:id="rId10"/>
    <sheet name="EU_Hg" sheetId="37" r:id="rId11"/>
    <sheet name="BPOM_Hg" sheetId="41" r:id="rId12"/>
    <sheet name="EU_Pb" sheetId="38" r:id="rId13"/>
    <sheet name="BPOM_Pb" sheetId="42" r:id="rId14"/>
  </sheets>
  <definedNames>
    <definedName name="_xlnm.Print_Area" localSheetId="7">BPOM_Cd!$C$1:$Q$66</definedName>
    <definedName name="_xlnm.Print_Area" localSheetId="11">BPOM_Hg!$C$1:$Q$66</definedName>
    <definedName name="_xlnm.Print_Area" localSheetId="13">BPOM_Pb!$C$1:$Q$66</definedName>
    <definedName name="_xlnm.Print_Area" localSheetId="9">BPOM_Sb!$C$1:$Q$66</definedName>
    <definedName name="_xlnm.Print_Area" localSheetId="6">'EU_Cd '!$C$1:$Q$78</definedName>
    <definedName name="_xlnm.Print_Area" localSheetId="10">EU_Hg!$C$1:$Q$78</definedName>
    <definedName name="_xlnm.Print_Area" localSheetId="12">EU_Pb!$C$1:$Q$78</definedName>
    <definedName name="_xlnm.Print_Area" localSheetId="8">EU_Sb!$C$1:$Q$78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" i="43" l="1"/>
  <c r="M49" i="39"/>
  <c r="M69" i="39"/>
  <c r="B35" i="43" s="1"/>
  <c r="L71" i="39"/>
  <c r="M71" i="39" s="1"/>
  <c r="B37" i="43" s="1"/>
  <c r="L70" i="39"/>
  <c r="L69" i="39"/>
  <c r="L68" i="39"/>
  <c r="M68" i="39" s="1"/>
  <c r="B34" i="43" s="1"/>
  <c r="L67" i="39"/>
  <c r="M67" i="39" s="1"/>
  <c r="B33" i="43" s="1"/>
  <c r="L66" i="39"/>
  <c r="M66" i="39" s="1"/>
  <c r="B32" i="43" s="1"/>
  <c r="L53" i="39"/>
  <c r="M53" i="39" s="1"/>
  <c r="B19" i="43" s="1"/>
  <c r="L52" i="39"/>
  <c r="M52" i="39" s="1"/>
  <c r="B18" i="43" s="1"/>
  <c r="L51" i="39"/>
  <c r="M51" i="39" s="1"/>
  <c r="B17" i="43" s="1"/>
  <c r="L50" i="39"/>
  <c r="M50" i="39" s="1"/>
  <c r="B16" i="43" s="1"/>
  <c r="L49" i="39"/>
  <c r="L48" i="39"/>
  <c r="M48" i="39" s="1"/>
  <c r="B14" i="43" s="1"/>
  <c r="L55" i="39"/>
  <c r="M55" i="39" s="1"/>
  <c r="B21" i="43" s="1"/>
  <c r="L56" i="39"/>
  <c r="M56" i="39" s="1"/>
  <c r="B22" i="43" s="1"/>
  <c r="L57" i="39"/>
  <c r="M57" i="39" s="1"/>
  <c r="B23" i="43" s="1"/>
  <c r="L58" i="39"/>
  <c r="M58" i="39" s="1"/>
  <c r="B24" i="43" s="1"/>
  <c r="L59" i="39"/>
  <c r="M59" i="39" s="1"/>
  <c r="B25" i="43" s="1"/>
  <c r="L54" i="39"/>
  <c r="M54" i="39" s="1"/>
  <c r="B20" i="43" s="1"/>
  <c r="N70" i="39" l="1"/>
  <c r="O70" i="39" s="1"/>
  <c r="M70" i="39"/>
  <c r="B36" i="43" s="1"/>
  <c r="N66" i="39"/>
  <c r="O66" i="39" s="1"/>
  <c r="N68" i="39"/>
  <c r="P68" i="39" s="1"/>
  <c r="P70" i="39"/>
  <c r="J59" i="42"/>
  <c r="J58" i="42"/>
  <c r="J57" i="42"/>
  <c r="J56" i="42"/>
  <c r="J55" i="42"/>
  <c r="J54" i="42"/>
  <c r="J53" i="42"/>
  <c r="A53" i="42"/>
  <c r="J52" i="42"/>
  <c r="A52" i="42"/>
  <c r="J51" i="42"/>
  <c r="A51" i="42"/>
  <c r="J50" i="42"/>
  <c r="A50" i="42"/>
  <c r="J49" i="42"/>
  <c r="A49" i="42"/>
  <c r="J48" i="42"/>
  <c r="A48" i="42"/>
  <c r="J47" i="42"/>
  <c r="A47" i="42"/>
  <c r="J46" i="42"/>
  <c r="A46" i="42"/>
  <c r="J45" i="42"/>
  <c r="A45" i="42"/>
  <c r="J44" i="42"/>
  <c r="A44" i="42"/>
  <c r="J43" i="42"/>
  <c r="A43" i="42"/>
  <c r="J42" i="42"/>
  <c r="A42" i="42"/>
  <c r="J41" i="42"/>
  <c r="A41" i="42"/>
  <c r="J40" i="42"/>
  <c r="A40" i="42"/>
  <c r="J39" i="42"/>
  <c r="A39" i="42"/>
  <c r="J38" i="42"/>
  <c r="A38" i="42"/>
  <c r="J37" i="42"/>
  <c r="A37" i="42"/>
  <c r="J36" i="42"/>
  <c r="A36" i="42"/>
  <c r="G27" i="42"/>
  <c r="C27" i="42"/>
  <c r="D27" i="42" s="1"/>
  <c r="A27" i="42"/>
  <c r="G26" i="42"/>
  <c r="C26" i="42"/>
  <c r="D26" i="42" s="1"/>
  <c r="A26" i="42"/>
  <c r="G25" i="42"/>
  <c r="C25" i="42"/>
  <c r="D25" i="42" s="1"/>
  <c r="A25" i="42"/>
  <c r="G24" i="42"/>
  <c r="C24" i="42"/>
  <c r="D24" i="42" s="1"/>
  <c r="A24" i="42"/>
  <c r="G23" i="42"/>
  <c r="C23" i="42"/>
  <c r="D23" i="42" s="1"/>
  <c r="A23" i="42"/>
  <c r="G22" i="42"/>
  <c r="C22" i="42"/>
  <c r="D22" i="42" s="1"/>
  <c r="A22" i="42"/>
  <c r="G21" i="42"/>
  <c r="C21" i="42"/>
  <c r="D21" i="42" s="1"/>
  <c r="A21" i="42"/>
  <c r="G20" i="42"/>
  <c r="D20" i="42"/>
  <c r="A20" i="42"/>
  <c r="E12" i="42"/>
  <c r="J59" i="41"/>
  <c r="J58" i="41"/>
  <c r="J57" i="41"/>
  <c r="J56" i="41"/>
  <c r="J55" i="41"/>
  <c r="J54" i="41"/>
  <c r="J53" i="41"/>
  <c r="A53" i="41"/>
  <c r="J52" i="41"/>
  <c r="A52" i="41"/>
  <c r="J51" i="41"/>
  <c r="A51" i="41"/>
  <c r="J50" i="41"/>
  <c r="A50" i="41"/>
  <c r="J49" i="41"/>
  <c r="A49" i="41"/>
  <c r="J48" i="41"/>
  <c r="A48" i="41"/>
  <c r="J47" i="41"/>
  <c r="A47" i="41"/>
  <c r="J46" i="41"/>
  <c r="A46" i="41"/>
  <c r="J45" i="41"/>
  <c r="A45" i="41"/>
  <c r="J44" i="41"/>
  <c r="A44" i="41"/>
  <c r="J43" i="41"/>
  <c r="A43" i="41"/>
  <c r="J42" i="41"/>
  <c r="A42" i="41"/>
  <c r="J41" i="41"/>
  <c r="A41" i="41"/>
  <c r="J40" i="41"/>
  <c r="A40" i="41"/>
  <c r="J39" i="41"/>
  <c r="A39" i="41"/>
  <c r="J38" i="41"/>
  <c r="A38" i="41"/>
  <c r="J37" i="41"/>
  <c r="A37" i="41"/>
  <c r="J36" i="41"/>
  <c r="A36" i="41"/>
  <c r="G27" i="41"/>
  <c r="C27" i="41"/>
  <c r="D27" i="41" s="1"/>
  <c r="A27" i="41"/>
  <c r="G26" i="41"/>
  <c r="C26" i="41"/>
  <c r="D26" i="41" s="1"/>
  <c r="A26" i="41"/>
  <c r="G25" i="41"/>
  <c r="C25" i="41"/>
  <c r="D25" i="41" s="1"/>
  <c r="A25" i="41"/>
  <c r="G24" i="41"/>
  <c r="C24" i="41"/>
  <c r="D24" i="41" s="1"/>
  <c r="A24" i="41"/>
  <c r="G23" i="41"/>
  <c r="C23" i="41"/>
  <c r="D23" i="41" s="1"/>
  <c r="A23" i="41"/>
  <c r="G22" i="41"/>
  <c r="C22" i="41"/>
  <c r="D22" i="41" s="1"/>
  <c r="A22" i="41"/>
  <c r="G21" i="41"/>
  <c r="C21" i="41"/>
  <c r="D21" i="41" s="1"/>
  <c r="A21" i="41"/>
  <c r="G20" i="41"/>
  <c r="D20" i="41"/>
  <c r="A20" i="41"/>
  <c r="E12" i="41"/>
  <c r="J59" i="40"/>
  <c r="J58" i="40"/>
  <c r="J57" i="40"/>
  <c r="J56" i="40"/>
  <c r="J55" i="40"/>
  <c r="J54" i="40"/>
  <c r="J53" i="40"/>
  <c r="A53" i="40"/>
  <c r="J52" i="40"/>
  <c r="A52" i="40"/>
  <c r="J51" i="40"/>
  <c r="A51" i="40"/>
  <c r="J50" i="40"/>
  <c r="A50" i="40"/>
  <c r="J49" i="40"/>
  <c r="A49" i="40"/>
  <c r="J48" i="40"/>
  <c r="A48" i="40"/>
  <c r="J47" i="40"/>
  <c r="A47" i="40"/>
  <c r="J46" i="40"/>
  <c r="A46" i="40"/>
  <c r="J45" i="40"/>
  <c r="A45" i="40"/>
  <c r="J44" i="40"/>
  <c r="A44" i="40"/>
  <c r="J43" i="40"/>
  <c r="A43" i="40"/>
  <c r="J42" i="40"/>
  <c r="A42" i="40"/>
  <c r="J41" i="40"/>
  <c r="A41" i="40"/>
  <c r="J40" i="40"/>
  <c r="A40" i="40"/>
  <c r="J39" i="40"/>
  <c r="A39" i="40"/>
  <c r="J38" i="40"/>
  <c r="A38" i="40"/>
  <c r="J37" i="40"/>
  <c r="A37" i="40"/>
  <c r="J36" i="40"/>
  <c r="A36" i="40"/>
  <c r="G27" i="40"/>
  <c r="C27" i="40"/>
  <c r="D27" i="40" s="1"/>
  <c r="A27" i="40"/>
  <c r="G26" i="40"/>
  <c r="C26" i="40"/>
  <c r="D26" i="40" s="1"/>
  <c r="A26" i="40"/>
  <c r="G25" i="40"/>
  <c r="C25" i="40"/>
  <c r="D25" i="40" s="1"/>
  <c r="A25" i="40"/>
  <c r="G24" i="40"/>
  <c r="C24" i="40"/>
  <c r="D24" i="40" s="1"/>
  <c r="A24" i="40"/>
  <c r="G23" i="40"/>
  <c r="C23" i="40"/>
  <c r="D23" i="40" s="1"/>
  <c r="A23" i="40"/>
  <c r="G22" i="40"/>
  <c r="C22" i="40"/>
  <c r="D22" i="40" s="1"/>
  <c r="A22" i="40"/>
  <c r="G21" i="40"/>
  <c r="C21" i="40"/>
  <c r="D21" i="40" s="1"/>
  <c r="A21" i="40"/>
  <c r="G20" i="40"/>
  <c r="H20" i="40" s="1"/>
  <c r="D20" i="40"/>
  <c r="A20" i="40"/>
  <c r="E12" i="40"/>
  <c r="J71" i="39"/>
  <c r="A71" i="39"/>
  <c r="J70" i="39"/>
  <c r="A70" i="39"/>
  <c r="J69" i="39"/>
  <c r="J68" i="39"/>
  <c r="J67" i="39"/>
  <c r="J66" i="39"/>
  <c r="J65" i="39"/>
  <c r="A65" i="39"/>
  <c r="J64" i="39"/>
  <c r="A64" i="39"/>
  <c r="J63" i="39"/>
  <c r="A63" i="39"/>
  <c r="J62" i="39"/>
  <c r="A62" i="39"/>
  <c r="J61" i="39"/>
  <c r="J60" i="39"/>
  <c r="J59" i="39"/>
  <c r="N58" i="39"/>
  <c r="P58" i="39" s="1"/>
  <c r="J58" i="39"/>
  <c r="J57" i="39"/>
  <c r="N56" i="39"/>
  <c r="P56" i="39" s="1"/>
  <c r="J56" i="39"/>
  <c r="J55" i="39"/>
  <c r="J54" i="39"/>
  <c r="J53" i="39"/>
  <c r="A53" i="39"/>
  <c r="J52" i="39"/>
  <c r="A52" i="39"/>
  <c r="J51" i="39"/>
  <c r="A51" i="39"/>
  <c r="J50" i="39"/>
  <c r="A50" i="39"/>
  <c r="J49" i="39"/>
  <c r="A49" i="39"/>
  <c r="J48" i="39"/>
  <c r="A48" i="39"/>
  <c r="J47" i="39"/>
  <c r="A47" i="39"/>
  <c r="J46" i="39"/>
  <c r="A46" i="39"/>
  <c r="J45" i="39"/>
  <c r="A45" i="39"/>
  <c r="J44" i="39"/>
  <c r="A44" i="39"/>
  <c r="J43" i="39"/>
  <c r="A43" i="39"/>
  <c r="J42" i="39"/>
  <c r="A42" i="39"/>
  <c r="J41" i="39"/>
  <c r="A41" i="39"/>
  <c r="J40" i="39"/>
  <c r="A40" i="39"/>
  <c r="J39" i="39"/>
  <c r="A39" i="39"/>
  <c r="J38" i="39"/>
  <c r="A38" i="39"/>
  <c r="J37" i="39"/>
  <c r="A37" i="39"/>
  <c r="J36" i="39"/>
  <c r="A36" i="39"/>
  <c r="G27" i="39"/>
  <c r="C27" i="39"/>
  <c r="D27" i="39" s="1"/>
  <c r="A27" i="39"/>
  <c r="G26" i="39"/>
  <c r="C26" i="39"/>
  <c r="D26" i="39" s="1"/>
  <c r="A26" i="39"/>
  <c r="G25" i="39"/>
  <c r="C25" i="39"/>
  <c r="D25" i="39" s="1"/>
  <c r="A25" i="39"/>
  <c r="G24" i="39"/>
  <c r="C24" i="39"/>
  <c r="D24" i="39" s="1"/>
  <c r="A24" i="39"/>
  <c r="G23" i="39"/>
  <c r="C23" i="39"/>
  <c r="D23" i="39" s="1"/>
  <c r="A23" i="39"/>
  <c r="G22" i="39"/>
  <c r="C22" i="39"/>
  <c r="D22" i="39" s="1"/>
  <c r="A22" i="39"/>
  <c r="G21" i="39"/>
  <c r="C21" i="39"/>
  <c r="D21" i="39" s="1"/>
  <c r="A21" i="39"/>
  <c r="G20" i="39"/>
  <c r="D20" i="39"/>
  <c r="A20" i="39"/>
  <c r="E12" i="39"/>
  <c r="J71" i="38"/>
  <c r="A71" i="38"/>
  <c r="J70" i="38"/>
  <c r="A70" i="38"/>
  <c r="J69" i="38"/>
  <c r="J68" i="38"/>
  <c r="J67" i="38"/>
  <c r="J66" i="38"/>
  <c r="J65" i="38"/>
  <c r="A65" i="38"/>
  <c r="J64" i="38"/>
  <c r="A64" i="38"/>
  <c r="J63" i="38"/>
  <c r="A63" i="38"/>
  <c r="J62" i="38"/>
  <c r="A62" i="38"/>
  <c r="J61" i="38"/>
  <c r="J60" i="38"/>
  <c r="J59" i="38"/>
  <c r="J58" i="38"/>
  <c r="J57" i="38"/>
  <c r="J56" i="38"/>
  <c r="J55" i="38"/>
  <c r="J54" i="38"/>
  <c r="J53" i="38"/>
  <c r="A53" i="38"/>
  <c r="J52" i="38"/>
  <c r="A52" i="38"/>
  <c r="J51" i="38"/>
  <c r="A51" i="38"/>
  <c r="J50" i="38"/>
  <c r="A50" i="38"/>
  <c r="J49" i="38"/>
  <c r="A49" i="38"/>
  <c r="J48" i="38"/>
  <c r="A48" i="38"/>
  <c r="J47" i="38"/>
  <c r="A47" i="38"/>
  <c r="J46" i="38"/>
  <c r="A46" i="38"/>
  <c r="J45" i="38"/>
  <c r="A45" i="38"/>
  <c r="J44" i="38"/>
  <c r="A44" i="38"/>
  <c r="J43" i="38"/>
  <c r="A43" i="38"/>
  <c r="J42" i="38"/>
  <c r="A42" i="38"/>
  <c r="J41" i="38"/>
  <c r="A41" i="38"/>
  <c r="J40" i="38"/>
  <c r="A40" i="38"/>
  <c r="J39" i="38"/>
  <c r="A39" i="38"/>
  <c r="J38" i="38"/>
  <c r="A38" i="38"/>
  <c r="J37" i="38"/>
  <c r="A37" i="38"/>
  <c r="J36" i="38"/>
  <c r="A36" i="38"/>
  <c r="G27" i="38"/>
  <c r="C27" i="38"/>
  <c r="D27" i="38" s="1"/>
  <c r="A27" i="38"/>
  <c r="G26" i="38"/>
  <c r="C26" i="38"/>
  <c r="D26" i="38" s="1"/>
  <c r="A26" i="38"/>
  <c r="G25" i="38"/>
  <c r="C25" i="38"/>
  <c r="D25" i="38" s="1"/>
  <c r="A25" i="38"/>
  <c r="G24" i="38"/>
  <c r="C24" i="38"/>
  <c r="D24" i="38" s="1"/>
  <c r="A24" i="38"/>
  <c r="G23" i="38"/>
  <c r="C23" i="38"/>
  <c r="D23" i="38" s="1"/>
  <c r="A23" i="38"/>
  <c r="G22" i="38"/>
  <c r="C22" i="38"/>
  <c r="D22" i="38" s="1"/>
  <c r="A22" i="38"/>
  <c r="G21" i="38"/>
  <c r="C21" i="38"/>
  <c r="D21" i="38" s="1"/>
  <c r="A21" i="38"/>
  <c r="G20" i="38"/>
  <c r="D20" i="38"/>
  <c r="A20" i="38"/>
  <c r="E12" i="38"/>
  <c r="D20" i="37"/>
  <c r="D20" i="36"/>
  <c r="J71" i="37"/>
  <c r="A71" i="37"/>
  <c r="J70" i="37"/>
  <c r="A70" i="37"/>
  <c r="J69" i="37"/>
  <c r="J68" i="37"/>
  <c r="J67" i="37"/>
  <c r="J66" i="37"/>
  <c r="J65" i="37"/>
  <c r="A65" i="37"/>
  <c r="J64" i="37"/>
  <c r="A64" i="37"/>
  <c r="J63" i="37"/>
  <c r="A63" i="37"/>
  <c r="J62" i="37"/>
  <c r="A62" i="37"/>
  <c r="J61" i="37"/>
  <c r="J60" i="37"/>
  <c r="J59" i="37"/>
  <c r="J58" i="37"/>
  <c r="J57" i="37"/>
  <c r="J56" i="37"/>
  <c r="J55" i="37"/>
  <c r="J54" i="37"/>
  <c r="J53" i="37"/>
  <c r="A53" i="37"/>
  <c r="J52" i="37"/>
  <c r="A52" i="37"/>
  <c r="J51" i="37"/>
  <c r="A51" i="37"/>
  <c r="J50" i="37"/>
  <c r="A50" i="37"/>
  <c r="J49" i="37"/>
  <c r="A49" i="37"/>
  <c r="J48" i="37"/>
  <c r="A48" i="37"/>
  <c r="J47" i="37"/>
  <c r="A47" i="37"/>
  <c r="J46" i="37"/>
  <c r="A46" i="37"/>
  <c r="J45" i="37"/>
  <c r="A45" i="37"/>
  <c r="J44" i="37"/>
  <c r="A44" i="37"/>
  <c r="J43" i="37"/>
  <c r="A43" i="37"/>
  <c r="J42" i="37"/>
  <c r="A42" i="37"/>
  <c r="J41" i="37"/>
  <c r="A41" i="37"/>
  <c r="J40" i="37"/>
  <c r="A40" i="37"/>
  <c r="J39" i="37"/>
  <c r="A39" i="37"/>
  <c r="J38" i="37"/>
  <c r="A38" i="37"/>
  <c r="J37" i="37"/>
  <c r="A37" i="37"/>
  <c r="J36" i="37"/>
  <c r="A36" i="37"/>
  <c r="G27" i="37"/>
  <c r="C27" i="37"/>
  <c r="D27" i="37" s="1"/>
  <c r="A27" i="37"/>
  <c r="G26" i="37"/>
  <c r="C26" i="37"/>
  <c r="D26" i="37" s="1"/>
  <c r="A26" i="37"/>
  <c r="G25" i="37"/>
  <c r="C25" i="37"/>
  <c r="D25" i="37" s="1"/>
  <c r="A25" i="37"/>
  <c r="G24" i="37"/>
  <c r="C24" i="37"/>
  <c r="D24" i="37" s="1"/>
  <c r="A24" i="37"/>
  <c r="G23" i="37"/>
  <c r="C23" i="37"/>
  <c r="D23" i="37" s="1"/>
  <c r="A23" i="37"/>
  <c r="G22" i="37"/>
  <c r="C22" i="37"/>
  <c r="D22" i="37" s="1"/>
  <c r="A22" i="37"/>
  <c r="G21" i="37"/>
  <c r="C21" i="37"/>
  <c r="D21" i="37" s="1"/>
  <c r="A21" i="37"/>
  <c r="G20" i="37"/>
  <c r="H20" i="37" s="1"/>
  <c r="A20" i="37"/>
  <c r="E12" i="37"/>
  <c r="E12" i="36"/>
  <c r="J71" i="36"/>
  <c r="A71" i="36"/>
  <c r="J70" i="36"/>
  <c r="A70" i="36"/>
  <c r="J69" i="36"/>
  <c r="J68" i="36"/>
  <c r="J67" i="36"/>
  <c r="J66" i="36"/>
  <c r="J65" i="36"/>
  <c r="A65" i="36"/>
  <c r="J64" i="36"/>
  <c r="A64" i="36"/>
  <c r="J63" i="36"/>
  <c r="A63" i="36"/>
  <c r="J62" i="36"/>
  <c r="A62" i="36"/>
  <c r="J61" i="36"/>
  <c r="J60" i="36"/>
  <c r="J59" i="36"/>
  <c r="J58" i="36"/>
  <c r="J57" i="36"/>
  <c r="J56" i="36"/>
  <c r="J55" i="36"/>
  <c r="J54" i="36"/>
  <c r="J53" i="36"/>
  <c r="A53" i="36"/>
  <c r="J52" i="36"/>
  <c r="A52" i="36"/>
  <c r="J51" i="36"/>
  <c r="A51" i="36"/>
  <c r="J50" i="36"/>
  <c r="A50" i="36"/>
  <c r="J49" i="36"/>
  <c r="A49" i="36"/>
  <c r="J48" i="36"/>
  <c r="A48" i="36"/>
  <c r="J47" i="36"/>
  <c r="A47" i="36"/>
  <c r="J46" i="36"/>
  <c r="A46" i="36"/>
  <c r="J45" i="36"/>
  <c r="A45" i="36"/>
  <c r="J44" i="36"/>
  <c r="A44" i="36"/>
  <c r="J43" i="36"/>
  <c r="A43" i="36"/>
  <c r="J42" i="36"/>
  <c r="A42" i="36"/>
  <c r="J41" i="36"/>
  <c r="A41" i="36"/>
  <c r="J40" i="36"/>
  <c r="A40" i="36"/>
  <c r="J39" i="36"/>
  <c r="A39" i="36"/>
  <c r="J38" i="36"/>
  <c r="A38" i="36"/>
  <c r="J37" i="36"/>
  <c r="A37" i="36"/>
  <c r="J36" i="36"/>
  <c r="A36" i="36"/>
  <c r="G27" i="36"/>
  <c r="C27" i="36"/>
  <c r="D27" i="36" s="1"/>
  <c r="A27" i="36"/>
  <c r="G26" i="36"/>
  <c r="C26" i="36"/>
  <c r="D26" i="36" s="1"/>
  <c r="A26" i="36"/>
  <c r="G25" i="36"/>
  <c r="C25" i="36"/>
  <c r="D25" i="36" s="1"/>
  <c r="A25" i="36"/>
  <c r="G24" i="36"/>
  <c r="C24" i="36"/>
  <c r="D24" i="36" s="1"/>
  <c r="A24" i="36"/>
  <c r="G23" i="36"/>
  <c r="C23" i="36"/>
  <c r="D23" i="36" s="1"/>
  <c r="A23" i="36"/>
  <c r="G22" i="36"/>
  <c r="C22" i="36"/>
  <c r="D22" i="36" s="1"/>
  <c r="A22" i="36"/>
  <c r="G21" i="36"/>
  <c r="C21" i="36"/>
  <c r="D21" i="36" s="1"/>
  <c r="A21" i="36"/>
  <c r="G20" i="36"/>
  <c r="A20" i="36"/>
  <c r="H21" i="37" l="1"/>
  <c r="H22" i="36"/>
  <c r="O68" i="39"/>
  <c r="P66" i="39"/>
  <c r="H23" i="38"/>
  <c r="H21" i="40"/>
  <c r="H27" i="38"/>
  <c r="H27" i="40"/>
  <c r="N52" i="39"/>
  <c r="P52" i="39" s="1"/>
  <c r="N50" i="39"/>
  <c r="P50" i="39" s="1"/>
  <c r="O56" i="39"/>
  <c r="O58" i="39"/>
  <c r="H26" i="40"/>
  <c r="H25" i="40"/>
  <c r="H22" i="38"/>
  <c r="H21" i="38"/>
  <c r="H24" i="39"/>
  <c r="H25" i="39"/>
  <c r="N48" i="39"/>
  <c r="P48" i="39" s="1"/>
  <c r="N54" i="39"/>
  <c r="H26" i="39"/>
  <c r="H27" i="39"/>
  <c r="H26" i="42"/>
  <c r="H21" i="42"/>
  <c r="H24" i="42"/>
  <c r="H25" i="42"/>
  <c r="H23" i="42"/>
  <c r="H27" i="42"/>
  <c r="H20" i="42"/>
  <c r="H22" i="42"/>
  <c r="H22" i="41"/>
  <c r="H25" i="41"/>
  <c r="H26" i="41"/>
  <c r="H24" i="41"/>
  <c r="H20" i="41"/>
  <c r="H23" i="41"/>
  <c r="H27" i="41"/>
  <c r="H21" i="41"/>
  <c r="H22" i="40"/>
  <c r="H23" i="40"/>
  <c r="H24" i="40"/>
  <c r="H20" i="39"/>
  <c r="H23" i="39"/>
  <c r="H22" i="39"/>
  <c r="H21" i="39"/>
  <c r="H25" i="38"/>
  <c r="H26" i="38"/>
  <c r="H24" i="38"/>
  <c r="H20" i="38"/>
  <c r="H24" i="37"/>
  <c r="H27" i="37"/>
  <c r="H22" i="37"/>
  <c r="H23" i="37"/>
  <c r="H25" i="37"/>
  <c r="H26" i="37"/>
  <c r="H23" i="36"/>
  <c r="H24" i="36"/>
  <c r="H27" i="36"/>
  <c r="H20" i="36"/>
  <c r="H26" i="36"/>
  <c r="H21" i="36"/>
  <c r="H25" i="36"/>
  <c r="H29" i="40" l="1"/>
  <c r="H30" i="40"/>
  <c r="H31" i="40" s="1"/>
  <c r="H28" i="36"/>
  <c r="O52" i="39"/>
  <c r="O50" i="39"/>
  <c r="O48" i="39"/>
  <c r="P54" i="39"/>
  <c r="O54" i="39"/>
  <c r="H28" i="40"/>
  <c r="K41" i="40" s="1"/>
  <c r="L41" i="40" s="1"/>
  <c r="M41" i="40" s="1"/>
  <c r="H30" i="42"/>
  <c r="H31" i="42" s="1"/>
  <c r="H28" i="42"/>
  <c r="H29" i="42"/>
  <c r="H30" i="41"/>
  <c r="H31" i="41" s="1"/>
  <c r="H29" i="41"/>
  <c r="H28" i="41"/>
  <c r="H30" i="39"/>
  <c r="H31" i="39" s="1"/>
  <c r="H29" i="39"/>
  <c r="H28" i="39"/>
  <c r="H30" i="38"/>
  <c r="H31" i="38" s="1"/>
  <c r="H29" i="38"/>
  <c r="H28" i="38"/>
  <c r="H28" i="37"/>
  <c r="H29" i="37"/>
  <c r="H30" i="37"/>
  <c r="H31" i="37" s="1"/>
  <c r="H30" i="36"/>
  <c r="H31" i="36" s="1"/>
  <c r="H29" i="36"/>
  <c r="K58" i="40" l="1"/>
  <c r="L58" i="40" s="1"/>
  <c r="M58" i="40" s="1"/>
  <c r="K37" i="40"/>
  <c r="L37" i="40" s="1"/>
  <c r="M37" i="40" s="1"/>
  <c r="K43" i="40"/>
  <c r="L43" i="40" s="1"/>
  <c r="M43" i="40" s="1"/>
  <c r="K51" i="38"/>
  <c r="L51" i="38" s="1"/>
  <c r="M51" i="38" s="1"/>
  <c r="D17" i="43" s="1"/>
  <c r="K70" i="38"/>
  <c r="L70" i="38" s="1"/>
  <c r="M70" i="38" s="1"/>
  <c r="D36" i="43" s="1"/>
  <c r="K37" i="38"/>
  <c r="L37" i="38" s="1"/>
  <c r="M37" i="38" s="1"/>
  <c r="D3" i="43" s="1"/>
  <c r="K36" i="38"/>
  <c r="K54" i="38"/>
  <c r="L54" i="38" s="1"/>
  <c r="M54" i="38" s="1"/>
  <c r="D20" i="43" s="1"/>
  <c r="K41" i="38"/>
  <c r="L41" i="38" s="1"/>
  <c r="M41" i="38" s="1"/>
  <c r="D7" i="43" s="1"/>
  <c r="K62" i="38"/>
  <c r="L62" i="38" s="1"/>
  <c r="M62" i="38" s="1"/>
  <c r="D28" i="43" s="1"/>
  <c r="K47" i="38"/>
  <c r="L47" i="38" s="1"/>
  <c r="M47" i="38" s="1"/>
  <c r="D13" i="43" s="1"/>
  <c r="K69" i="38"/>
  <c r="L69" i="38" s="1"/>
  <c r="M69" i="38" s="1"/>
  <c r="D35" i="43" s="1"/>
  <c r="K39" i="38"/>
  <c r="L39" i="38" s="1"/>
  <c r="M39" i="38" s="1"/>
  <c r="D5" i="43" s="1"/>
  <c r="K40" i="38"/>
  <c r="L40" i="38" s="1"/>
  <c r="M40" i="38" s="1"/>
  <c r="D6" i="43" s="1"/>
  <c r="K66" i="38"/>
  <c r="L66" i="38" s="1"/>
  <c r="M66" i="38" s="1"/>
  <c r="D32" i="43" s="1"/>
  <c r="K49" i="38"/>
  <c r="L49" i="38" s="1"/>
  <c r="M49" i="38" s="1"/>
  <c r="D15" i="43" s="1"/>
  <c r="K60" i="38"/>
  <c r="L60" i="38" s="1"/>
  <c r="M60" i="38" s="1"/>
  <c r="D26" i="43" s="1"/>
  <c r="K48" i="38"/>
  <c r="L48" i="38" s="1"/>
  <c r="M48" i="38" s="1"/>
  <c r="D14" i="43" s="1"/>
  <c r="K38" i="38"/>
  <c r="L38" i="38" s="1"/>
  <c r="M38" i="38" s="1"/>
  <c r="D4" i="43" s="1"/>
  <c r="K58" i="38"/>
  <c r="L58" i="38" s="1"/>
  <c r="M58" i="38" s="1"/>
  <c r="D24" i="43" s="1"/>
  <c r="K57" i="38"/>
  <c r="L57" i="38" s="1"/>
  <c r="M57" i="38" s="1"/>
  <c r="D23" i="43" s="1"/>
  <c r="K44" i="38"/>
  <c r="L44" i="38" s="1"/>
  <c r="M44" i="38" s="1"/>
  <c r="D10" i="43" s="1"/>
  <c r="K53" i="38"/>
  <c r="L53" i="38" s="1"/>
  <c r="M53" i="38" s="1"/>
  <c r="D19" i="43" s="1"/>
  <c r="K45" i="38"/>
  <c r="L45" i="38" s="1"/>
  <c r="M45" i="38" s="1"/>
  <c r="D11" i="43" s="1"/>
  <c r="K61" i="38"/>
  <c r="L61" i="38" s="1"/>
  <c r="M61" i="38" s="1"/>
  <c r="D27" i="43" s="1"/>
  <c r="K42" i="38"/>
  <c r="L42" i="38" s="1"/>
  <c r="M42" i="38" s="1"/>
  <c r="D8" i="43" s="1"/>
  <c r="K67" i="38"/>
  <c r="L67" i="38" s="1"/>
  <c r="M67" i="38" s="1"/>
  <c r="D33" i="43" s="1"/>
  <c r="K52" i="38"/>
  <c r="L52" i="38" s="1"/>
  <c r="M52" i="38" s="1"/>
  <c r="D18" i="43" s="1"/>
  <c r="K63" i="38"/>
  <c r="L63" i="38" s="1"/>
  <c r="M63" i="38" s="1"/>
  <c r="D29" i="43" s="1"/>
  <c r="K65" i="38"/>
  <c r="L65" i="38" s="1"/>
  <c r="M65" i="38" s="1"/>
  <c r="D31" i="43" s="1"/>
  <c r="K50" i="38"/>
  <c r="L50" i="38" s="1"/>
  <c r="M50" i="38" s="1"/>
  <c r="D16" i="43" s="1"/>
  <c r="K59" i="38"/>
  <c r="L59" i="38" s="1"/>
  <c r="M59" i="38" s="1"/>
  <c r="D25" i="43" s="1"/>
  <c r="K56" i="38"/>
  <c r="L56" i="38" s="1"/>
  <c r="M56" i="38" s="1"/>
  <c r="D22" i="43" s="1"/>
  <c r="K71" i="38"/>
  <c r="L71" i="38" s="1"/>
  <c r="M71" i="38" s="1"/>
  <c r="D37" i="43" s="1"/>
  <c r="K55" i="38"/>
  <c r="L55" i="38" s="1"/>
  <c r="M55" i="38" s="1"/>
  <c r="D21" i="43" s="1"/>
  <c r="K64" i="38"/>
  <c r="L64" i="38" s="1"/>
  <c r="M64" i="38" s="1"/>
  <c r="D30" i="43" s="1"/>
  <c r="K68" i="38"/>
  <c r="L68" i="38" s="1"/>
  <c r="M68" i="38" s="1"/>
  <c r="D34" i="43" s="1"/>
  <c r="K46" i="38"/>
  <c r="L46" i="38" s="1"/>
  <c r="M46" i="38" s="1"/>
  <c r="D12" i="43" s="1"/>
  <c r="K43" i="38"/>
  <c r="L43" i="38" s="1"/>
  <c r="M43" i="38" s="1"/>
  <c r="D9" i="43" s="1"/>
  <c r="K42" i="40"/>
  <c r="L42" i="40" s="1"/>
  <c r="K57" i="40"/>
  <c r="L57" i="40" s="1"/>
  <c r="M57" i="40" s="1"/>
  <c r="K50" i="40"/>
  <c r="L50" i="40" s="1"/>
  <c r="M50" i="40" s="1"/>
  <c r="K52" i="40"/>
  <c r="L52" i="40" s="1"/>
  <c r="M52" i="40" s="1"/>
  <c r="K44" i="40"/>
  <c r="L44" i="40" s="1"/>
  <c r="M44" i="40" s="1"/>
  <c r="K36" i="40"/>
  <c r="L36" i="40" s="1"/>
  <c r="M36" i="40" s="1"/>
  <c r="K57" i="41"/>
  <c r="L57" i="41" s="1"/>
  <c r="M57" i="41" s="1"/>
  <c r="C59" i="43" s="1"/>
  <c r="K44" i="41"/>
  <c r="L44" i="41" s="1"/>
  <c r="M44" i="41" s="1"/>
  <c r="C46" i="43" s="1"/>
  <c r="K37" i="41"/>
  <c r="L37" i="41" s="1"/>
  <c r="M37" i="41" s="1"/>
  <c r="C39" i="43" s="1"/>
  <c r="K54" i="41"/>
  <c r="L54" i="41" s="1"/>
  <c r="M54" i="41" s="1"/>
  <c r="C56" i="43" s="1"/>
  <c r="K48" i="41"/>
  <c r="L48" i="41" s="1"/>
  <c r="M48" i="41" s="1"/>
  <c r="C50" i="43" s="1"/>
  <c r="K41" i="41"/>
  <c r="L41" i="41" s="1"/>
  <c r="M41" i="41" s="1"/>
  <c r="C43" i="43" s="1"/>
  <c r="K42" i="41"/>
  <c r="L42" i="41" s="1"/>
  <c r="M42" i="41" s="1"/>
  <c r="C44" i="43" s="1"/>
  <c r="K39" i="41"/>
  <c r="L39" i="41" s="1"/>
  <c r="M39" i="41" s="1"/>
  <c r="C41" i="43" s="1"/>
  <c r="K52" i="41"/>
  <c r="L52" i="41" s="1"/>
  <c r="M52" i="41" s="1"/>
  <c r="C54" i="43" s="1"/>
  <c r="K49" i="41"/>
  <c r="L49" i="41" s="1"/>
  <c r="M49" i="41" s="1"/>
  <c r="C51" i="43" s="1"/>
  <c r="K46" i="41"/>
  <c r="L46" i="41" s="1"/>
  <c r="M46" i="41" s="1"/>
  <c r="C48" i="43" s="1"/>
  <c r="K56" i="41"/>
  <c r="L56" i="41" s="1"/>
  <c r="M56" i="41" s="1"/>
  <c r="C58" i="43" s="1"/>
  <c r="K58" i="41"/>
  <c r="L58" i="41" s="1"/>
  <c r="M58" i="41" s="1"/>
  <c r="C60" i="43" s="1"/>
  <c r="K59" i="41"/>
  <c r="L59" i="41" s="1"/>
  <c r="M59" i="41" s="1"/>
  <c r="C61" i="43" s="1"/>
  <c r="K50" i="41"/>
  <c r="L50" i="41" s="1"/>
  <c r="M50" i="41" s="1"/>
  <c r="C52" i="43" s="1"/>
  <c r="K45" i="41"/>
  <c r="L45" i="41" s="1"/>
  <c r="M45" i="41" s="1"/>
  <c r="C47" i="43" s="1"/>
  <c r="K55" i="41"/>
  <c r="L55" i="41" s="1"/>
  <c r="M55" i="41" s="1"/>
  <c r="C57" i="43" s="1"/>
  <c r="K53" i="41"/>
  <c r="L53" i="41" s="1"/>
  <c r="M53" i="41" s="1"/>
  <c r="C55" i="43" s="1"/>
  <c r="K43" i="41"/>
  <c r="L43" i="41" s="1"/>
  <c r="M43" i="41" s="1"/>
  <c r="C45" i="43" s="1"/>
  <c r="K47" i="41"/>
  <c r="L47" i="41" s="1"/>
  <c r="M47" i="41" s="1"/>
  <c r="C49" i="43" s="1"/>
  <c r="K36" i="41"/>
  <c r="L36" i="41" s="1"/>
  <c r="M36" i="41" s="1"/>
  <c r="C38" i="43" s="1"/>
  <c r="K51" i="41"/>
  <c r="L51" i="41" s="1"/>
  <c r="M51" i="41" s="1"/>
  <c r="C53" i="43" s="1"/>
  <c r="K40" i="41"/>
  <c r="L40" i="41" s="1"/>
  <c r="M40" i="41" s="1"/>
  <c r="C42" i="43" s="1"/>
  <c r="K38" i="41"/>
  <c r="L38" i="41" s="1"/>
  <c r="M38" i="41" s="1"/>
  <c r="C40" i="43" s="1"/>
  <c r="K55" i="42"/>
  <c r="L55" i="42" s="1"/>
  <c r="M55" i="42" s="1"/>
  <c r="K37" i="42"/>
  <c r="L37" i="42" s="1"/>
  <c r="M37" i="42" s="1"/>
  <c r="K52" i="42"/>
  <c r="L52" i="42" s="1"/>
  <c r="M52" i="42" s="1"/>
  <c r="K53" i="42"/>
  <c r="L53" i="42" s="1"/>
  <c r="M53" i="42" s="1"/>
  <c r="K59" i="42"/>
  <c r="L59" i="42" s="1"/>
  <c r="M59" i="42" s="1"/>
  <c r="K54" i="42"/>
  <c r="L54" i="42" s="1"/>
  <c r="M54" i="42" s="1"/>
  <c r="K44" i="42"/>
  <c r="L44" i="42" s="1"/>
  <c r="M44" i="42" s="1"/>
  <c r="K56" i="42"/>
  <c r="L56" i="42" s="1"/>
  <c r="M56" i="42" s="1"/>
  <c r="K39" i="42"/>
  <c r="L39" i="42" s="1"/>
  <c r="M39" i="42" s="1"/>
  <c r="K58" i="42"/>
  <c r="L58" i="42" s="1"/>
  <c r="M58" i="42" s="1"/>
  <c r="K36" i="42"/>
  <c r="L36" i="42" s="1"/>
  <c r="M36" i="42" s="1"/>
  <c r="K57" i="42"/>
  <c r="L57" i="42" s="1"/>
  <c r="M57" i="42" s="1"/>
  <c r="K48" i="42"/>
  <c r="L48" i="42" s="1"/>
  <c r="M48" i="42" s="1"/>
  <c r="K38" i="42"/>
  <c r="L38" i="42" s="1"/>
  <c r="M38" i="42" s="1"/>
  <c r="K43" i="42"/>
  <c r="L43" i="42" s="1"/>
  <c r="M43" i="42" s="1"/>
  <c r="K41" i="42"/>
  <c r="L41" i="42" s="1"/>
  <c r="M41" i="42" s="1"/>
  <c r="K42" i="42"/>
  <c r="L42" i="42" s="1"/>
  <c r="M42" i="42" s="1"/>
  <c r="K47" i="42"/>
  <c r="L47" i="42" s="1"/>
  <c r="M47" i="42" s="1"/>
  <c r="K46" i="42"/>
  <c r="L46" i="42" s="1"/>
  <c r="M46" i="42" s="1"/>
  <c r="K49" i="42"/>
  <c r="L49" i="42" s="1"/>
  <c r="M49" i="42" s="1"/>
  <c r="K51" i="42"/>
  <c r="L51" i="42" s="1"/>
  <c r="M51" i="42" s="1"/>
  <c r="K40" i="42"/>
  <c r="L40" i="42" s="1"/>
  <c r="M40" i="42" s="1"/>
  <c r="K45" i="42"/>
  <c r="L45" i="42" s="1"/>
  <c r="M45" i="42" s="1"/>
  <c r="K50" i="42"/>
  <c r="L50" i="42" s="1"/>
  <c r="M50" i="42" s="1"/>
  <c r="K51" i="40"/>
  <c r="L51" i="40" s="1"/>
  <c r="K59" i="40"/>
  <c r="L59" i="40" s="1"/>
  <c r="M59" i="40" s="1"/>
  <c r="K56" i="40"/>
  <c r="L56" i="40" s="1"/>
  <c r="K59" i="39"/>
  <c r="K40" i="39"/>
  <c r="L40" i="39" s="1"/>
  <c r="M40" i="39" s="1"/>
  <c r="B6" i="43" s="1"/>
  <c r="K61" i="39"/>
  <c r="L61" i="39" s="1"/>
  <c r="M61" i="39" s="1"/>
  <c r="B27" i="43" s="1"/>
  <c r="K70" i="39"/>
  <c r="K54" i="39"/>
  <c r="K71" i="39"/>
  <c r="K68" i="39"/>
  <c r="K66" i="39"/>
  <c r="K47" i="39"/>
  <c r="L47" i="39" s="1"/>
  <c r="M47" i="39" s="1"/>
  <c r="B13" i="43" s="1"/>
  <c r="K36" i="39"/>
  <c r="L36" i="39" s="1"/>
  <c r="M36" i="39" s="1"/>
  <c r="B2" i="43" s="1"/>
  <c r="K58" i="39"/>
  <c r="K56" i="39"/>
  <c r="K69" i="39"/>
  <c r="K45" i="39"/>
  <c r="L45" i="39" s="1"/>
  <c r="M45" i="39" s="1"/>
  <c r="B11" i="43" s="1"/>
  <c r="K42" i="39"/>
  <c r="L42" i="39" s="1"/>
  <c r="M42" i="39" s="1"/>
  <c r="B8" i="43" s="1"/>
  <c r="K39" i="39"/>
  <c r="L39" i="39" s="1"/>
  <c r="M39" i="39" s="1"/>
  <c r="B5" i="43" s="1"/>
  <c r="K64" i="39"/>
  <c r="L64" i="39" s="1"/>
  <c r="M64" i="39" s="1"/>
  <c r="B30" i="43" s="1"/>
  <c r="K38" i="39"/>
  <c r="L38" i="39" s="1"/>
  <c r="M38" i="39" s="1"/>
  <c r="B4" i="43" s="1"/>
  <c r="K46" i="39"/>
  <c r="L46" i="39" s="1"/>
  <c r="M46" i="39" s="1"/>
  <c r="B12" i="43" s="1"/>
  <c r="K43" i="39"/>
  <c r="L43" i="39" s="1"/>
  <c r="M43" i="39" s="1"/>
  <c r="B9" i="43" s="1"/>
  <c r="K65" i="39"/>
  <c r="L65" i="39" s="1"/>
  <c r="M65" i="39" s="1"/>
  <c r="B31" i="43" s="1"/>
  <c r="K48" i="39"/>
  <c r="K57" i="39"/>
  <c r="K37" i="39"/>
  <c r="L37" i="39" s="1"/>
  <c r="M37" i="39" s="1"/>
  <c r="B3" i="43" s="1"/>
  <c r="K60" i="39"/>
  <c r="L60" i="39" s="1"/>
  <c r="M60" i="39" s="1"/>
  <c r="B26" i="43" s="1"/>
  <c r="K50" i="39"/>
  <c r="K44" i="39"/>
  <c r="L44" i="39" s="1"/>
  <c r="M44" i="39" s="1"/>
  <c r="B10" i="43" s="1"/>
  <c r="K41" i="39"/>
  <c r="L41" i="39" s="1"/>
  <c r="M41" i="39" s="1"/>
  <c r="B7" i="43" s="1"/>
  <c r="K51" i="39"/>
  <c r="K49" i="39"/>
  <c r="K67" i="39"/>
  <c r="K63" i="39"/>
  <c r="L63" i="39" s="1"/>
  <c r="M63" i="39" s="1"/>
  <c r="B29" i="43" s="1"/>
  <c r="K52" i="39"/>
  <c r="K53" i="39"/>
  <c r="K55" i="39"/>
  <c r="K62" i="39"/>
  <c r="L62" i="39" s="1"/>
  <c r="M62" i="39" s="1"/>
  <c r="B28" i="43" s="1"/>
  <c r="K49" i="40"/>
  <c r="L49" i="40" s="1"/>
  <c r="M49" i="40" s="1"/>
  <c r="K40" i="40"/>
  <c r="L40" i="40" s="1"/>
  <c r="K38" i="40"/>
  <c r="L38" i="40" s="1"/>
  <c r="K48" i="40"/>
  <c r="L48" i="40" s="1"/>
  <c r="K39" i="40"/>
  <c r="L39" i="40" s="1"/>
  <c r="M39" i="40" s="1"/>
  <c r="K54" i="40"/>
  <c r="L54" i="40" s="1"/>
  <c r="M54" i="40" s="1"/>
  <c r="K41" i="36"/>
  <c r="L41" i="36" s="1"/>
  <c r="M41" i="36" s="1"/>
  <c r="E7" i="43" s="1"/>
  <c r="K62" i="36"/>
  <c r="L62" i="36" s="1"/>
  <c r="M62" i="36" s="1"/>
  <c r="E28" i="43" s="1"/>
  <c r="K56" i="36"/>
  <c r="L56" i="36" s="1"/>
  <c r="M56" i="36" s="1"/>
  <c r="E22" i="43" s="1"/>
  <c r="K43" i="36"/>
  <c r="L43" i="36" s="1"/>
  <c r="M43" i="36" s="1"/>
  <c r="E9" i="43" s="1"/>
  <c r="K58" i="36"/>
  <c r="L58" i="36" s="1"/>
  <c r="M58" i="36" s="1"/>
  <c r="E24" i="43" s="1"/>
  <c r="K36" i="36"/>
  <c r="K71" i="36"/>
  <c r="L71" i="36" s="1"/>
  <c r="M71" i="36" s="1"/>
  <c r="E37" i="43" s="1"/>
  <c r="K67" i="36"/>
  <c r="L67" i="36" s="1"/>
  <c r="M67" i="36" s="1"/>
  <c r="E33" i="43" s="1"/>
  <c r="K68" i="36"/>
  <c r="K61" i="36"/>
  <c r="L61" i="36" s="1"/>
  <c r="M61" i="36" s="1"/>
  <c r="E27" i="43" s="1"/>
  <c r="K47" i="36"/>
  <c r="L47" i="36" s="1"/>
  <c r="M47" i="36" s="1"/>
  <c r="E13" i="43" s="1"/>
  <c r="K40" i="36"/>
  <c r="L40" i="36" s="1"/>
  <c r="M40" i="36" s="1"/>
  <c r="E6" i="43" s="1"/>
  <c r="K49" i="36"/>
  <c r="L49" i="36" s="1"/>
  <c r="M49" i="36" s="1"/>
  <c r="E15" i="43" s="1"/>
  <c r="K51" i="36"/>
  <c r="L51" i="36" s="1"/>
  <c r="M51" i="36" s="1"/>
  <c r="E17" i="43" s="1"/>
  <c r="K44" i="36"/>
  <c r="L44" i="36" s="1"/>
  <c r="M44" i="36" s="1"/>
  <c r="E10" i="43" s="1"/>
  <c r="K54" i="36"/>
  <c r="K63" i="36"/>
  <c r="K52" i="36"/>
  <c r="L52" i="36" s="1"/>
  <c r="K70" i="36"/>
  <c r="L70" i="36" s="1"/>
  <c r="M70" i="36" s="1"/>
  <c r="E36" i="43" s="1"/>
  <c r="K38" i="36"/>
  <c r="L38" i="36" s="1"/>
  <c r="M38" i="36" s="1"/>
  <c r="E4" i="43" s="1"/>
  <c r="K66" i="36"/>
  <c r="L66" i="36" s="1"/>
  <c r="M66" i="36" s="1"/>
  <c r="E32" i="43" s="1"/>
  <c r="K57" i="36"/>
  <c r="L57" i="36" s="1"/>
  <c r="M57" i="36" s="1"/>
  <c r="E23" i="43" s="1"/>
  <c r="K48" i="36"/>
  <c r="L48" i="36" s="1"/>
  <c r="M48" i="36" s="1"/>
  <c r="E14" i="43" s="1"/>
  <c r="K60" i="36"/>
  <c r="K42" i="36"/>
  <c r="K53" i="36"/>
  <c r="L53" i="36" s="1"/>
  <c r="M53" i="36" s="1"/>
  <c r="E19" i="43" s="1"/>
  <c r="K46" i="36"/>
  <c r="L46" i="36" s="1"/>
  <c r="M46" i="36" s="1"/>
  <c r="E12" i="43" s="1"/>
  <c r="K37" i="36"/>
  <c r="L37" i="36" s="1"/>
  <c r="M37" i="36" s="1"/>
  <c r="E3" i="43" s="1"/>
  <c r="K69" i="36"/>
  <c r="L69" i="36" s="1"/>
  <c r="M69" i="36" s="1"/>
  <c r="E35" i="43" s="1"/>
  <c r="K59" i="36"/>
  <c r="L59" i="36" s="1"/>
  <c r="M59" i="36" s="1"/>
  <c r="E25" i="43" s="1"/>
  <c r="K50" i="36"/>
  <c r="L50" i="36" s="1"/>
  <c r="M50" i="36" s="1"/>
  <c r="E16" i="43" s="1"/>
  <c r="K45" i="36"/>
  <c r="L45" i="36" s="1"/>
  <c r="M45" i="36" s="1"/>
  <c r="E11" i="43" s="1"/>
  <c r="K64" i="36"/>
  <c r="K55" i="36"/>
  <c r="L55" i="36" s="1"/>
  <c r="M55" i="36" s="1"/>
  <c r="E21" i="43" s="1"/>
  <c r="K65" i="36"/>
  <c r="L65" i="36" s="1"/>
  <c r="M65" i="36" s="1"/>
  <c r="E31" i="43" s="1"/>
  <c r="K39" i="36"/>
  <c r="L39" i="36" s="1"/>
  <c r="M39" i="36" s="1"/>
  <c r="E5" i="43" s="1"/>
  <c r="K70" i="37"/>
  <c r="L70" i="37" s="1"/>
  <c r="M70" i="37" s="1"/>
  <c r="C36" i="43" s="1"/>
  <c r="K54" i="37"/>
  <c r="L54" i="37" s="1"/>
  <c r="M54" i="37" s="1"/>
  <c r="C20" i="43" s="1"/>
  <c r="K38" i="37"/>
  <c r="L38" i="37" s="1"/>
  <c r="M38" i="37" s="1"/>
  <c r="C4" i="43" s="1"/>
  <c r="K69" i="37"/>
  <c r="L69" i="37" s="1"/>
  <c r="M69" i="37" s="1"/>
  <c r="C35" i="43" s="1"/>
  <c r="K61" i="37"/>
  <c r="L61" i="37" s="1"/>
  <c r="M61" i="37" s="1"/>
  <c r="C27" i="43" s="1"/>
  <c r="K42" i="37"/>
  <c r="L42" i="37" s="1"/>
  <c r="M42" i="37" s="1"/>
  <c r="C8" i="43" s="1"/>
  <c r="K47" i="37"/>
  <c r="L47" i="37" s="1"/>
  <c r="M47" i="37" s="1"/>
  <c r="C13" i="43" s="1"/>
  <c r="K65" i="37"/>
  <c r="L65" i="37" s="1"/>
  <c r="M65" i="37" s="1"/>
  <c r="C31" i="43" s="1"/>
  <c r="K52" i="37"/>
  <c r="L52" i="37" s="1"/>
  <c r="M52" i="37" s="1"/>
  <c r="C18" i="43" s="1"/>
  <c r="K58" i="37"/>
  <c r="L58" i="37" s="1"/>
  <c r="M58" i="37" s="1"/>
  <c r="C24" i="43" s="1"/>
  <c r="K36" i="37"/>
  <c r="L36" i="37" s="1"/>
  <c r="M36" i="37" s="1"/>
  <c r="C2" i="43" s="1"/>
  <c r="K50" i="37"/>
  <c r="L50" i="37" s="1"/>
  <c r="M50" i="37" s="1"/>
  <c r="C16" i="43" s="1"/>
  <c r="K63" i="37"/>
  <c r="L63" i="37" s="1"/>
  <c r="M63" i="37" s="1"/>
  <c r="C29" i="43" s="1"/>
  <c r="K51" i="37"/>
  <c r="L51" i="37" s="1"/>
  <c r="M51" i="37" s="1"/>
  <c r="C17" i="43" s="1"/>
  <c r="K41" i="37"/>
  <c r="L41" i="37" s="1"/>
  <c r="M41" i="37" s="1"/>
  <c r="C7" i="43" s="1"/>
  <c r="K40" i="37"/>
  <c r="L40" i="37" s="1"/>
  <c r="M40" i="37" s="1"/>
  <c r="C6" i="43" s="1"/>
  <c r="K37" i="37"/>
  <c r="L37" i="37" s="1"/>
  <c r="M37" i="37" s="1"/>
  <c r="C3" i="43" s="1"/>
  <c r="K55" i="37"/>
  <c r="L55" i="37" s="1"/>
  <c r="M55" i="37" s="1"/>
  <c r="C21" i="43" s="1"/>
  <c r="K46" i="37"/>
  <c r="L46" i="37" s="1"/>
  <c r="M46" i="37" s="1"/>
  <c r="C12" i="43" s="1"/>
  <c r="K49" i="37"/>
  <c r="L49" i="37" s="1"/>
  <c r="M49" i="37" s="1"/>
  <c r="C15" i="43" s="1"/>
  <c r="K62" i="37"/>
  <c r="L62" i="37" s="1"/>
  <c r="M62" i="37" s="1"/>
  <c r="C28" i="43" s="1"/>
  <c r="K66" i="37"/>
  <c r="L66" i="37" s="1"/>
  <c r="M66" i="37" s="1"/>
  <c r="C32" i="43" s="1"/>
  <c r="K67" i="37"/>
  <c r="L67" i="37" s="1"/>
  <c r="M67" i="37" s="1"/>
  <c r="C33" i="43" s="1"/>
  <c r="K44" i="37"/>
  <c r="L44" i="37" s="1"/>
  <c r="M44" i="37" s="1"/>
  <c r="C10" i="43" s="1"/>
  <c r="K71" i="37"/>
  <c r="L71" i="37" s="1"/>
  <c r="M71" i="37" s="1"/>
  <c r="C37" i="43" s="1"/>
  <c r="K39" i="37"/>
  <c r="L39" i="37" s="1"/>
  <c r="M39" i="37" s="1"/>
  <c r="C5" i="43" s="1"/>
  <c r="K48" i="37"/>
  <c r="L48" i="37" s="1"/>
  <c r="M48" i="37" s="1"/>
  <c r="C14" i="43" s="1"/>
  <c r="K56" i="37"/>
  <c r="L56" i="37" s="1"/>
  <c r="M56" i="37" s="1"/>
  <c r="C22" i="43" s="1"/>
  <c r="K45" i="37"/>
  <c r="L45" i="37" s="1"/>
  <c r="M45" i="37" s="1"/>
  <c r="C11" i="43" s="1"/>
  <c r="K43" i="37"/>
  <c r="L43" i="37" s="1"/>
  <c r="M43" i="37" s="1"/>
  <c r="C9" i="43" s="1"/>
  <c r="K59" i="37"/>
  <c r="L59" i="37" s="1"/>
  <c r="M59" i="37" s="1"/>
  <c r="C25" i="43" s="1"/>
  <c r="K60" i="37"/>
  <c r="L60" i="37" s="1"/>
  <c r="M60" i="37" s="1"/>
  <c r="C26" i="43" s="1"/>
  <c r="K53" i="37"/>
  <c r="L53" i="37" s="1"/>
  <c r="M53" i="37" s="1"/>
  <c r="C19" i="43" s="1"/>
  <c r="K68" i="37"/>
  <c r="L68" i="37" s="1"/>
  <c r="M68" i="37" s="1"/>
  <c r="C34" i="43" s="1"/>
  <c r="K57" i="37"/>
  <c r="L57" i="37" s="1"/>
  <c r="M57" i="37" s="1"/>
  <c r="C23" i="43" s="1"/>
  <c r="K64" i="37"/>
  <c r="L64" i="37" s="1"/>
  <c r="M64" i="37" s="1"/>
  <c r="C30" i="43" s="1"/>
  <c r="K47" i="40"/>
  <c r="L47" i="40" s="1"/>
  <c r="M47" i="40" s="1"/>
  <c r="K46" i="40"/>
  <c r="L46" i="40" s="1"/>
  <c r="K45" i="40"/>
  <c r="L45" i="40" s="1"/>
  <c r="K55" i="40"/>
  <c r="L55" i="40" s="1"/>
  <c r="K53" i="40"/>
  <c r="L53" i="40" s="1"/>
  <c r="N36" i="40"/>
  <c r="P36" i="40" s="1"/>
  <c r="L36" i="38"/>
  <c r="M36" i="38" s="1"/>
  <c r="D2" i="43" s="1"/>
  <c r="N62" i="37"/>
  <c r="P62" i="37" s="1"/>
  <c r="L64" i="36"/>
  <c r="M64" i="36" s="1"/>
  <c r="E30" i="43" s="1"/>
  <c r="L63" i="36"/>
  <c r="M63" i="36" s="1"/>
  <c r="E29" i="43" s="1"/>
  <c r="L68" i="36"/>
  <c r="M68" i="36" s="1"/>
  <c r="E34" i="43" s="1"/>
  <c r="L60" i="36"/>
  <c r="M60" i="36" s="1"/>
  <c r="E26" i="43" s="1"/>
  <c r="L36" i="36"/>
  <c r="M36" i="36" s="1"/>
  <c r="E2" i="43" s="1"/>
  <c r="L54" i="36"/>
  <c r="M54" i="36" s="1"/>
  <c r="E20" i="43" s="1"/>
  <c r="L42" i="36"/>
  <c r="M42" i="36" s="1"/>
  <c r="E8" i="43" s="1"/>
  <c r="N58" i="40" l="1"/>
  <c r="P58" i="40" s="1"/>
  <c r="N48" i="40"/>
  <c r="P48" i="40" s="1"/>
  <c r="M48" i="40"/>
  <c r="N56" i="40"/>
  <c r="P56" i="40" s="1"/>
  <c r="M56" i="40"/>
  <c r="E48" i="43"/>
  <c r="D48" i="43"/>
  <c r="E38" i="43"/>
  <c r="D38" i="43"/>
  <c r="E54" i="43"/>
  <c r="D54" i="43"/>
  <c r="N42" i="40"/>
  <c r="P42" i="40" s="1"/>
  <c r="M42" i="40"/>
  <c r="N52" i="40"/>
  <c r="P52" i="40" s="1"/>
  <c r="M53" i="40"/>
  <c r="N38" i="40"/>
  <c r="P38" i="40" s="1"/>
  <c r="M38" i="40"/>
  <c r="E60" i="43"/>
  <c r="D60" i="43"/>
  <c r="N54" i="40"/>
  <c r="P54" i="40" s="1"/>
  <c r="M55" i="40"/>
  <c r="N40" i="40"/>
  <c r="P40" i="40" s="1"/>
  <c r="M40" i="40"/>
  <c r="N50" i="40"/>
  <c r="P50" i="40" s="1"/>
  <c r="M51" i="40"/>
  <c r="E44" i="43"/>
  <c r="D44" i="43"/>
  <c r="D41" i="43"/>
  <c r="E41" i="43"/>
  <c r="E57" i="43"/>
  <c r="D57" i="43"/>
  <c r="D43" i="43"/>
  <c r="E43" i="43"/>
  <c r="N52" i="36"/>
  <c r="P52" i="36" s="1"/>
  <c r="M52" i="36"/>
  <c r="E18" i="43" s="1"/>
  <c r="E47" i="43"/>
  <c r="D47" i="43"/>
  <c r="E45" i="43"/>
  <c r="D45" i="43"/>
  <c r="E46" i="43"/>
  <c r="D46" i="43"/>
  <c r="E49" i="43"/>
  <c r="D49" i="43"/>
  <c r="E39" i="43"/>
  <c r="D39" i="43"/>
  <c r="N44" i="40"/>
  <c r="P44" i="40" s="1"/>
  <c r="M45" i="40"/>
  <c r="N46" i="40"/>
  <c r="P46" i="40" s="1"/>
  <c r="M46" i="40"/>
  <c r="E42" i="43"/>
  <c r="D42" i="43"/>
  <c r="E40" i="43"/>
  <c r="D40" i="43"/>
  <c r="E56" i="43"/>
  <c r="D56" i="43"/>
  <c r="E52" i="43"/>
  <c r="D52" i="43"/>
  <c r="E58" i="43"/>
  <c r="D58" i="43"/>
  <c r="E53" i="43"/>
  <c r="D53" i="43"/>
  <c r="E50" i="43"/>
  <c r="D50" i="43"/>
  <c r="E61" i="43"/>
  <c r="D61" i="43"/>
  <c r="E51" i="43"/>
  <c r="D51" i="43"/>
  <c r="E59" i="43"/>
  <c r="D59" i="43"/>
  <c r="E55" i="43"/>
  <c r="D55" i="43"/>
  <c r="N62" i="36"/>
  <c r="P62" i="36" s="1"/>
  <c r="N44" i="36"/>
  <c r="P44" i="36" s="1"/>
  <c r="N46" i="36"/>
  <c r="P46" i="36" s="1"/>
  <c r="N38" i="36"/>
  <c r="P38" i="36" s="1"/>
  <c r="N46" i="42"/>
  <c r="P46" i="42" s="1"/>
  <c r="N46" i="41"/>
  <c r="P46" i="41" s="1"/>
  <c r="O46" i="41"/>
  <c r="N42" i="39"/>
  <c r="P42" i="39" s="1"/>
  <c r="N44" i="41"/>
  <c r="P44" i="41" s="1"/>
  <c r="N64" i="36"/>
  <c r="P64" i="36" s="1"/>
  <c r="N62" i="39"/>
  <c r="P62" i="39" s="1"/>
  <c r="N44" i="42"/>
  <c r="P44" i="42" s="1"/>
  <c r="O44" i="42"/>
  <c r="N50" i="41"/>
  <c r="N42" i="41"/>
  <c r="P42" i="41" s="1"/>
  <c r="N44" i="39"/>
  <c r="P44" i="39" s="1"/>
  <c r="N46" i="39"/>
  <c r="P46" i="39" s="1"/>
  <c r="N42" i="42"/>
  <c r="P42" i="42" s="1"/>
  <c r="N52" i="41"/>
  <c r="P52" i="41" s="1"/>
  <c r="N38" i="39"/>
  <c r="P38" i="39" s="1"/>
  <c r="N36" i="39"/>
  <c r="P36" i="39" s="1"/>
  <c r="N40" i="39"/>
  <c r="P40" i="39" s="1"/>
  <c r="N48" i="41"/>
  <c r="P48" i="41" s="1"/>
  <c r="N60" i="39"/>
  <c r="P60" i="39" s="1"/>
  <c r="N64" i="39"/>
  <c r="P64" i="39" s="1"/>
  <c r="N58" i="37"/>
  <c r="P58" i="37" s="1"/>
  <c r="N54" i="36"/>
  <c r="P54" i="36" s="1"/>
  <c r="N40" i="36"/>
  <c r="P40" i="36" s="1"/>
  <c r="N56" i="36"/>
  <c r="P56" i="36" s="1"/>
  <c r="N36" i="42"/>
  <c r="P36" i="42" s="1"/>
  <c r="N54" i="42"/>
  <c r="P54" i="42" s="1"/>
  <c r="N38" i="42"/>
  <c r="P38" i="42" s="1"/>
  <c r="N58" i="42"/>
  <c r="P58" i="42" s="1"/>
  <c r="N50" i="42"/>
  <c r="P50" i="42" s="1"/>
  <c r="N48" i="42"/>
  <c r="P48" i="42" s="1"/>
  <c r="N56" i="42"/>
  <c r="P56" i="42" s="1"/>
  <c r="N40" i="42"/>
  <c r="P40" i="42" s="1"/>
  <c r="N52" i="42"/>
  <c r="P52" i="42" s="1"/>
  <c r="N36" i="41"/>
  <c r="P36" i="41" s="1"/>
  <c r="N54" i="41"/>
  <c r="P54" i="41" s="1"/>
  <c r="N58" i="41"/>
  <c r="P58" i="41" s="1"/>
  <c r="N38" i="41"/>
  <c r="P38" i="41" s="1"/>
  <c r="N56" i="41"/>
  <c r="P56" i="41" s="1"/>
  <c r="N40" i="41"/>
  <c r="P40" i="41" s="1"/>
  <c r="O58" i="40"/>
  <c r="O54" i="40"/>
  <c r="O56" i="40"/>
  <c r="O46" i="40"/>
  <c r="O36" i="40"/>
  <c r="O42" i="40"/>
  <c r="O38" i="40"/>
  <c r="O52" i="40"/>
  <c r="O40" i="40"/>
  <c r="O48" i="40"/>
  <c r="N42" i="36"/>
  <c r="P42" i="36" s="1"/>
  <c r="N64" i="38"/>
  <c r="P64" i="38" s="1"/>
  <c r="N40" i="38"/>
  <c r="P40" i="38" s="1"/>
  <c r="N58" i="38"/>
  <c r="P58" i="38" s="1"/>
  <c r="N68" i="38"/>
  <c r="P68" i="38" s="1"/>
  <c r="N52" i="38"/>
  <c r="P52" i="38" s="1"/>
  <c r="N66" i="38"/>
  <c r="P66" i="38" s="1"/>
  <c r="N54" i="38"/>
  <c r="P54" i="38" s="1"/>
  <c r="N46" i="38"/>
  <c r="P46" i="38" s="1"/>
  <c r="N48" i="38"/>
  <c r="P48" i="38" s="1"/>
  <c r="N70" i="38"/>
  <c r="P70" i="38" s="1"/>
  <c r="N56" i="38"/>
  <c r="P56" i="38" s="1"/>
  <c r="N60" i="38"/>
  <c r="P60" i="38" s="1"/>
  <c r="N36" i="38"/>
  <c r="P36" i="38" s="1"/>
  <c r="N62" i="38"/>
  <c r="P62" i="38" s="1"/>
  <c r="N42" i="38"/>
  <c r="P42" i="38" s="1"/>
  <c r="N50" i="38"/>
  <c r="P50" i="38" s="1"/>
  <c r="N44" i="38"/>
  <c r="P44" i="38" s="1"/>
  <c r="N38" i="38"/>
  <c r="P38" i="38" s="1"/>
  <c r="N68" i="37"/>
  <c r="P68" i="37" s="1"/>
  <c r="N56" i="37"/>
  <c r="P56" i="37" s="1"/>
  <c r="N66" i="37"/>
  <c r="P66" i="37" s="1"/>
  <c r="N70" i="37"/>
  <c r="P70" i="37" s="1"/>
  <c r="N52" i="37"/>
  <c r="P52" i="37" s="1"/>
  <c r="N40" i="37"/>
  <c r="P40" i="37" s="1"/>
  <c r="N54" i="37"/>
  <c r="P54" i="37" s="1"/>
  <c r="N44" i="37"/>
  <c r="P44" i="37" s="1"/>
  <c r="N42" i="37"/>
  <c r="P42" i="37" s="1"/>
  <c r="N48" i="37"/>
  <c r="P48" i="37" s="1"/>
  <c r="N64" i="37"/>
  <c r="P64" i="37" s="1"/>
  <c r="N46" i="37"/>
  <c r="P46" i="37" s="1"/>
  <c r="N36" i="37"/>
  <c r="P36" i="37" s="1"/>
  <c r="N60" i="37"/>
  <c r="P60" i="37" s="1"/>
  <c r="N38" i="37"/>
  <c r="P38" i="37" s="1"/>
  <c r="N50" i="37"/>
  <c r="P50" i="37" s="1"/>
  <c r="O62" i="37"/>
  <c r="N50" i="36"/>
  <c r="P50" i="36" s="1"/>
  <c r="N70" i="36"/>
  <c r="P70" i="36" s="1"/>
  <c r="O58" i="37"/>
  <c r="N60" i="36"/>
  <c r="P60" i="36" s="1"/>
  <c r="N68" i="36"/>
  <c r="P68" i="36" s="1"/>
  <c r="N58" i="36"/>
  <c r="P58" i="36" s="1"/>
  <c r="N36" i="36"/>
  <c r="P36" i="36" s="1"/>
  <c r="N48" i="36"/>
  <c r="P48" i="36" s="1"/>
  <c r="N66" i="36"/>
  <c r="P66" i="36" s="1"/>
  <c r="O62" i="36"/>
  <c r="O44" i="36"/>
  <c r="O52" i="36"/>
  <c r="O38" i="36"/>
  <c r="O46" i="36"/>
  <c r="O64" i="36"/>
  <c r="O40" i="36"/>
  <c r="O44" i="41" l="1"/>
  <c r="O44" i="40"/>
  <c r="O50" i="40"/>
  <c r="O42" i="42"/>
  <c r="O62" i="39"/>
  <c r="O42" i="39"/>
  <c r="O64" i="39"/>
  <c r="O46" i="39"/>
  <c r="O54" i="36"/>
  <c r="O48" i="41"/>
  <c r="O52" i="41"/>
  <c r="O42" i="41"/>
  <c r="O40" i="39"/>
  <c r="O50" i="41"/>
  <c r="P50" i="41"/>
  <c r="O36" i="39"/>
  <c r="O60" i="39"/>
  <c r="O38" i="39"/>
  <c r="O44" i="39"/>
  <c r="O46" i="42"/>
  <c r="O70" i="36"/>
  <c r="O56" i="36"/>
  <c r="O68" i="36"/>
  <c r="O50" i="36"/>
  <c r="O50" i="42"/>
  <c r="O54" i="42"/>
  <c r="O40" i="42"/>
  <c r="O56" i="42"/>
  <c r="O58" i="42"/>
  <c r="O52" i="42"/>
  <c r="O48" i="42"/>
  <c r="O38" i="42"/>
  <c r="O36" i="42"/>
  <c r="O40" i="41"/>
  <c r="O54" i="41"/>
  <c r="O38" i="41"/>
  <c r="O56" i="41"/>
  <c r="O58" i="41"/>
  <c r="O36" i="41"/>
  <c r="O42" i="36"/>
  <c r="O60" i="38"/>
  <c r="O66" i="38"/>
  <c r="O56" i="38"/>
  <c r="O68" i="38"/>
  <c r="O70" i="38"/>
  <c r="O62" i="38"/>
  <c r="O54" i="38"/>
  <c r="O38" i="38"/>
  <c r="O58" i="38"/>
  <c r="O50" i="38"/>
  <c r="O40" i="38"/>
  <c r="O36" i="38"/>
  <c r="O52" i="38"/>
  <c r="O64" i="38"/>
  <c r="O46" i="38"/>
  <c r="O48" i="38"/>
  <c r="O42" i="38"/>
  <c r="O44" i="38"/>
  <c r="O68" i="37"/>
  <c r="O70" i="37"/>
  <c r="O40" i="37"/>
  <c r="O44" i="37"/>
  <c r="O54" i="37"/>
  <c r="O66" i="37"/>
  <c r="O64" i="37"/>
  <c r="O56" i="37"/>
  <c r="O48" i="37"/>
  <c r="O46" i="37"/>
  <c r="O52" i="37"/>
  <c r="O42" i="37"/>
  <c r="O36" i="37"/>
  <c r="O50" i="37"/>
  <c r="O38" i="37"/>
  <c r="O60" i="37"/>
  <c r="O66" i="36"/>
  <c r="O60" i="36"/>
  <c r="O58" i="36"/>
  <c r="O48" i="36"/>
  <c r="O36" i="36"/>
  <c r="G23" i="32" l="1"/>
  <c r="J54" i="32"/>
  <c r="J55" i="32"/>
  <c r="J56" i="32"/>
  <c r="J57" i="32"/>
  <c r="J58" i="32"/>
  <c r="J59" i="32"/>
  <c r="J37" i="32"/>
  <c r="J38" i="32"/>
  <c r="J39" i="32"/>
  <c r="J40" i="32"/>
  <c r="J41" i="32"/>
  <c r="J42" i="32"/>
  <c r="J43" i="32"/>
  <c r="J44" i="32"/>
  <c r="J45" i="32"/>
  <c r="J46" i="32"/>
  <c r="J47" i="32"/>
  <c r="J48" i="32"/>
  <c r="J49" i="32"/>
  <c r="J50" i="32"/>
  <c r="J51" i="32"/>
  <c r="J52" i="32"/>
  <c r="J53" i="32"/>
  <c r="J36" i="32"/>
  <c r="B7" i="33"/>
  <c r="C7" i="33"/>
  <c r="D7" i="33"/>
  <c r="E7" i="33"/>
  <c r="C6" i="33"/>
  <c r="E8" i="33" s="1"/>
  <c r="D6" i="33"/>
  <c r="E6" i="33"/>
  <c r="B6" i="33"/>
  <c r="D21" i="32" l="1"/>
  <c r="D22" i="32"/>
  <c r="D23" i="32"/>
  <c r="D24" i="32"/>
  <c r="D25" i="32"/>
  <c r="D26" i="32"/>
  <c r="D27" i="32"/>
  <c r="D20" i="32"/>
  <c r="G21" i="32" l="1"/>
  <c r="G22" i="32"/>
  <c r="G24" i="32"/>
  <c r="G25" i="32"/>
  <c r="G26" i="32"/>
  <c r="G27" i="32"/>
  <c r="G20" i="32"/>
  <c r="H20" i="32" s="1"/>
  <c r="E12" i="32"/>
  <c r="A53" i="32"/>
  <c r="A52" i="32"/>
  <c r="A51" i="32"/>
  <c r="A50" i="32"/>
  <c r="A49" i="32"/>
  <c r="A48" i="32"/>
  <c r="A47" i="32"/>
  <c r="A46" i="32"/>
  <c r="A45" i="32"/>
  <c r="A44" i="32"/>
  <c r="A43" i="32"/>
  <c r="A42" i="32"/>
  <c r="A41" i="32"/>
  <c r="A40" i="32"/>
  <c r="A39" i="32"/>
  <c r="A38" i="32"/>
  <c r="A37" i="32"/>
  <c r="A36" i="32"/>
  <c r="A27" i="32"/>
  <c r="A26" i="32"/>
  <c r="A25" i="32"/>
  <c r="A24" i="32"/>
  <c r="A23" i="32"/>
  <c r="A22" i="32"/>
  <c r="A21" i="32"/>
  <c r="A20" i="32"/>
  <c r="H24" i="32" l="1"/>
  <c r="H26" i="32"/>
  <c r="H27" i="32"/>
  <c r="H25" i="32"/>
  <c r="H23" i="32"/>
  <c r="H22" i="32"/>
  <c r="H21" i="32"/>
  <c r="H29" i="32" l="1"/>
  <c r="H28" i="32"/>
  <c r="H30" i="32"/>
  <c r="H31" i="32" s="1"/>
  <c r="K53" i="32" l="1"/>
  <c r="L53" i="32" s="1"/>
  <c r="M53" i="32" s="1"/>
  <c r="B55" i="43" s="1"/>
  <c r="K42" i="32"/>
  <c r="L42" i="32" s="1"/>
  <c r="M42" i="32" s="1"/>
  <c r="B44" i="43" s="1"/>
  <c r="K45" i="32"/>
  <c r="L45" i="32" s="1"/>
  <c r="M45" i="32" s="1"/>
  <c r="B47" i="43" s="1"/>
  <c r="K57" i="32"/>
  <c r="L57" i="32" s="1"/>
  <c r="M57" i="32" s="1"/>
  <c r="B59" i="43" s="1"/>
  <c r="K41" i="32"/>
  <c r="L41" i="32" s="1"/>
  <c r="M41" i="32" s="1"/>
  <c r="B43" i="43" s="1"/>
  <c r="K51" i="32"/>
  <c r="L51" i="32" s="1"/>
  <c r="K47" i="32"/>
  <c r="L47" i="32" s="1"/>
  <c r="M47" i="32" s="1"/>
  <c r="B49" i="43" s="1"/>
  <c r="K49" i="32"/>
  <c r="L49" i="32" s="1"/>
  <c r="K56" i="32"/>
  <c r="L56" i="32" s="1"/>
  <c r="M56" i="32" s="1"/>
  <c r="B58" i="43" s="1"/>
  <c r="K48" i="32"/>
  <c r="L48" i="32" s="1"/>
  <c r="M48" i="32" s="1"/>
  <c r="B50" i="43" s="1"/>
  <c r="K46" i="32"/>
  <c r="L46" i="32" s="1"/>
  <c r="K55" i="32"/>
  <c r="L55" i="32" s="1"/>
  <c r="M55" i="32" s="1"/>
  <c r="B57" i="43" s="1"/>
  <c r="K37" i="32"/>
  <c r="L37" i="32" s="1"/>
  <c r="M37" i="32" s="1"/>
  <c r="B39" i="43" s="1"/>
  <c r="K36" i="32"/>
  <c r="L36" i="32" s="1"/>
  <c r="M36" i="32" s="1"/>
  <c r="B38" i="43" s="1"/>
  <c r="K52" i="32"/>
  <c r="L52" i="32" s="1"/>
  <c r="M52" i="32" s="1"/>
  <c r="B54" i="43" s="1"/>
  <c r="K39" i="32"/>
  <c r="L39" i="32" s="1"/>
  <c r="M39" i="32" s="1"/>
  <c r="B41" i="43" s="1"/>
  <c r="K54" i="32"/>
  <c r="L54" i="32" s="1"/>
  <c r="M54" i="32" s="1"/>
  <c r="B56" i="43" s="1"/>
  <c r="K59" i="32"/>
  <c r="L59" i="32" s="1"/>
  <c r="M59" i="32" s="1"/>
  <c r="B61" i="43" s="1"/>
  <c r="K40" i="32"/>
  <c r="L40" i="32" s="1"/>
  <c r="M40" i="32" s="1"/>
  <c r="B42" i="43" s="1"/>
  <c r="K50" i="32"/>
  <c r="L50" i="32" s="1"/>
  <c r="M50" i="32" s="1"/>
  <c r="B52" i="43" s="1"/>
  <c r="K38" i="32"/>
  <c r="L38" i="32" s="1"/>
  <c r="M38" i="32" s="1"/>
  <c r="B40" i="43" s="1"/>
  <c r="K58" i="32"/>
  <c r="L58" i="32" s="1"/>
  <c r="K44" i="32"/>
  <c r="L44" i="32" s="1"/>
  <c r="M44" i="32" s="1"/>
  <c r="B46" i="43" s="1"/>
  <c r="K43" i="32"/>
  <c r="L43" i="32" s="1"/>
  <c r="N54" i="32"/>
  <c r="P54" i="32" s="1"/>
  <c r="N56" i="32"/>
  <c r="P56" i="32" s="1"/>
  <c r="N46" i="32" l="1"/>
  <c r="P46" i="32" s="1"/>
  <c r="M46" i="32"/>
  <c r="B48" i="43" s="1"/>
  <c r="N42" i="32"/>
  <c r="P42" i="32" s="1"/>
  <c r="M43" i="32"/>
  <c r="B45" i="43" s="1"/>
  <c r="N48" i="32"/>
  <c r="P48" i="32" s="1"/>
  <c r="M49" i="32"/>
  <c r="B51" i="43" s="1"/>
  <c r="N58" i="32"/>
  <c r="P58" i="32" s="1"/>
  <c r="M58" i="32"/>
  <c r="B60" i="43" s="1"/>
  <c r="N50" i="32"/>
  <c r="P50" i="32" s="1"/>
  <c r="M51" i="32"/>
  <c r="B53" i="43" s="1"/>
  <c r="N40" i="32"/>
  <c r="P40" i="32" s="1"/>
  <c r="N36" i="32"/>
  <c r="P36" i="32" s="1"/>
  <c r="O50" i="32"/>
  <c r="O46" i="32"/>
  <c r="O58" i="32"/>
  <c r="N38" i="32"/>
  <c r="P38" i="32" s="1"/>
  <c r="N44" i="32"/>
  <c r="P44" i="32" s="1"/>
  <c r="O48" i="32"/>
  <c r="O42" i="32"/>
  <c r="N52" i="32"/>
  <c r="P52" i="32" s="1"/>
  <c r="O54" i="32"/>
  <c r="O56" i="32"/>
  <c r="O40" i="32" l="1"/>
  <c r="O38" i="32"/>
  <c r="O36" i="32"/>
  <c r="O52" i="32"/>
  <c r="O44" i="32"/>
</calcChain>
</file>

<file path=xl/sharedStrings.xml><?xml version="1.0" encoding="utf-8"?>
<sst xmlns="http://schemas.openxmlformats.org/spreadsheetml/2006/main" count="1378" uniqueCount="280">
  <si>
    <t>Fp</t>
  </si>
  <si>
    <t>V labu (mL)</t>
  </si>
  <si>
    <t>Matriks</t>
  </si>
  <si>
    <t>R</t>
  </si>
  <si>
    <t>Intercept</t>
  </si>
  <si>
    <t>Slope</t>
  </si>
  <si>
    <t>Konsentrasi Deret Standar (µg/L)</t>
  </si>
  <si>
    <t>Tanggal Estimasi</t>
  </si>
  <si>
    <t>Ratio</t>
  </si>
  <si>
    <t>Metode Acuan</t>
  </si>
  <si>
    <t>Tanggal Analisis</t>
  </si>
  <si>
    <t>Mengadopsi dari format laporan ICP MS</t>
  </si>
  <si>
    <t>As --&gt; Ni</t>
  </si>
  <si>
    <t>Se --&gt; Cu</t>
  </si>
  <si>
    <t>Merubah rumus v look up :</t>
  </si>
  <si>
    <t>Penyesuaian Nomor Form dan Metode Uji</t>
  </si>
  <si>
    <t>Menyesuaikan Format Laporan dengan Format dari QA</t>
  </si>
  <si>
    <t>Merubah ISTD Pb Menjadi "Indium"</t>
  </si>
  <si>
    <t>Menambahkan koreksi BMR dan LOD by db baru</t>
  </si>
  <si>
    <t>Memunculkan SKP</t>
  </si>
  <si>
    <t>Perbaikan formula digit</t>
  </si>
  <si>
    <t>Status</t>
  </si>
  <si>
    <t>Mengurangi blanko</t>
  </si>
  <si>
    <t>Ratio Terkoreksi</t>
  </si>
  <si>
    <t>Kons. Standar Induk</t>
  </si>
  <si>
    <t>Kadar Sampel</t>
  </si>
  <si>
    <t>Tanggal Kadaluarsa</t>
  </si>
  <si>
    <t>Level</t>
  </si>
  <si>
    <t>Konsentrasi Deret Standar Terkoreksi (µg/L)</t>
  </si>
  <si>
    <t>R2</t>
  </si>
  <si>
    <t xml:space="preserve">C larutan </t>
  </si>
  <si>
    <t xml:space="preserve">Kadar </t>
  </si>
  <si>
    <t>Merubah format laporan, menambahkan Koreksi standar dan memunculkan peak</t>
  </si>
  <si>
    <t>naik ke rev 2</t>
  </si>
  <si>
    <t>masih minus di database cu=se ni=as sebaiknya disempurnakan agar kedepannya tidak pusing</t>
  </si>
  <si>
    <t>No. Instrumen</t>
  </si>
  <si>
    <t>Standar Pembanding</t>
  </si>
  <si>
    <t>Tgl Pembuatan Deret Standar</t>
  </si>
  <si>
    <t>% RPD</t>
  </si>
  <si>
    <t xml:space="preserve">% RPD </t>
  </si>
  <si>
    <t>Nomor Massa Analit</t>
  </si>
  <si>
    <t>No. Lot Standar</t>
  </si>
  <si>
    <t xml:space="preserve"> CPS Analit</t>
  </si>
  <si>
    <t xml:space="preserve"> CPS ISTD</t>
  </si>
  <si>
    <t>Nomor Massa ISTD</t>
  </si>
  <si>
    <t>Perhitungan:</t>
  </si>
  <si>
    <t>No. Sampel</t>
  </si>
  <si>
    <t>Keterangan:</t>
  </si>
  <si>
    <t>Kriteria Keberterimaan Jaminan Mutu:</t>
  </si>
  <si>
    <t>Keterangan**</t>
  </si>
  <si>
    <t>FORMULIR REKAMAN PENGUJIAN ICP MS</t>
  </si>
  <si>
    <r>
      <t xml:space="preserve">= (Intensitas Terkoreksi - </t>
    </r>
    <r>
      <rPr>
        <i/>
        <sz val="11"/>
        <color theme="1"/>
        <rFont val="Arial"/>
        <family val="2"/>
      </rPr>
      <t>Intercept</t>
    </r>
    <r>
      <rPr>
        <sz val="11"/>
        <color theme="1"/>
        <rFont val="Arial"/>
        <family val="2"/>
      </rPr>
      <t>)/</t>
    </r>
    <r>
      <rPr>
        <i/>
        <sz val="11"/>
        <color theme="1"/>
        <rFont val="Arial"/>
        <family val="2"/>
      </rPr>
      <t>Slope</t>
    </r>
  </si>
  <si>
    <t>= (C Ukur x Vol Labu Awal x FP)/Bobot</t>
  </si>
  <si>
    <t>= ((Kadar 1 - Kadar 2 )/Rata-Rata Kadar) x 100 %</t>
  </si>
  <si>
    <t>Replika Pengujian/Duplo = % RPD ≤ 2/3 CV Horwitz (%) atau 2/3 % RSD Horwitz</t>
  </si>
  <si>
    <r>
      <t xml:space="preserve">= </t>
    </r>
    <r>
      <rPr>
        <u/>
        <sz val="11"/>
        <color rgb="FF000000"/>
        <rFont val="Arial"/>
        <family val="2"/>
      </rPr>
      <t>C x Vol. x FP</t>
    </r>
  </si>
  <si>
    <t xml:space="preserve">     Bobot Porsi Uji</t>
  </si>
  <si>
    <t xml:space="preserve">(Bobot/Volume)* Porsi Uji </t>
  </si>
  <si>
    <t>: -</t>
  </si>
  <si>
    <t>: 8 September 2023</t>
  </si>
  <si>
    <t>: ICP-MS Agilent</t>
  </si>
  <si>
    <t>: HC28942277</t>
  </si>
  <si>
    <t>: 997 mg/L</t>
  </si>
  <si>
    <t>: 30 April 2026</t>
  </si>
  <si>
    <t>: 115 In</t>
  </si>
  <si>
    <t>: 111 Cd</t>
  </si>
  <si>
    <t>Skema</t>
  </si>
  <si>
    <t>V PET</t>
  </si>
  <si>
    <t>:</t>
  </si>
  <si>
    <t>R PET</t>
  </si>
  <si>
    <t>(C: indolakto)</t>
  </si>
  <si>
    <t>(Aqua, Coca cola, Mayora)</t>
  </si>
  <si>
    <t>Diambil dari 3 waktu sampling berbeda, sebanyak duplo
Diuji menggunakan 2 regulasi (EU &amp; BPOM)
Maka total sampel:
4*3*2*2= 48 sampel</t>
  </si>
  <si>
    <t>Regulasi</t>
  </si>
  <si>
    <t>BPOM</t>
  </si>
  <si>
    <t>EU</t>
  </si>
  <si>
    <t>RPET A</t>
  </si>
  <si>
    <t>RPET B</t>
  </si>
  <si>
    <t>RPET D</t>
  </si>
  <si>
    <t>Sum</t>
  </si>
  <si>
    <t>Kode</t>
  </si>
  <si>
    <t>EU_D_1.1</t>
  </si>
  <si>
    <t>EU_D_1.2</t>
  </si>
  <si>
    <t>EU_D_2.1</t>
  </si>
  <si>
    <t>EU_D_2.2</t>
  </si>
  <si>
    <t>EU_D_3.1</t>
  </si>
  <si>
    <t>EU_D_3.2</t>
  </si>
  <si>
    <t>EU_A_1.1</t>
  </si>
  <si>
    <t>EU_A_1.2</t>
  </si>
  <si>
    <t>EU_A_2.1</t>
  </si>
  <si>
    <t>EU_A_2.2</t>
  </si>
  <si>
    <t>EU_A_3.1</t>
  </si>
  <si>
    <t>EU_A_3.2</t>
  </si>
  <si>
    <t>EU_B_1.1</t>
  </si>
  <si>
    <t>EU_B_1.2</t>
  </si>
  <si>
    <t>EU_B_2.1</t>
  </si>
  <si>
    <t>EU_B_2.2</t>
  </si>
  <si>
    <t>EU_B_3.1</t>
  </si>
  <si>
    <t>EU_B_3.2</t>
  </si>
  <si>
    <t>V PET C</t>
  </si>
  <si>
    <t>EU_C_1.1</t>
  </si>
  <si>
    <t>EU_C_1.2</t>
  </si>
  <si>
    <t>EU_C_2.1</t>
  </si>
  <si>
    <t>EU_C_2.2</t>
  </si>
  <si>
    <t>EU_C_3.1</t>
  </si>
  <si>
    <t>EU_C_3.2</t>
  </si>
  <si>
    <t>R-PET Pabrik A</t>
  </si>
  <si>
    <t>R-PET Pabrik B</t>
  </si>
  <si>
    <t>R-PET Pabrik D</t>
  </si>
  <si>
    <t>EU_C_A_1.1</t>
  </si>
  <si>
    <t>EU_C_A_1.2</t>
  </si>
  <si>
    <t>EU_C_A_2.1</t>
  </si>
  <si>
    <t>EU_C_A_2.2</t>
  </si>
  <si>
    <t>EU_C_A_3.1</t>
  </si>
  <si>
    <t>EU_C_A_3.2</t>
  </si>
  <si>
    <t>EU_C_B_1.1</t>
  </si>
  <si>
    <t>EU_C_B_1.2</t>
  </si>
  <si>
    <t>EU_C_B_2.1</t>
  </si>
  <si>
    <t>EU_C_B_2.2</t>
  </si>
  <si>
    <t>EU_C_B_3.1</t>
  </si>
  <si>
    <t>EU_C_B_3.2</t>
  </si>
  <si>
    <t>EU_C_D_1.1</t>
  </si>
  <si>
    <t>EU_C_D_1.2</t>
  </si>
  <si>
    <t>EU_C_D_2.1</t>
  </si>
  <si>
    <t>EU_C_D_2.2</t>
  </si>
  <si>
    <t>EU_C_D_3.1</t>
  </si>
  <si>
    <t>EU_C_D_3.2</t>
  </si>
  <si>
    <t>V-PET Pabrik C Perlakuan A</t>
  </si>
  <si>
    <t>V-PET Pabrik C Perlakuan B</t>
  </si>
  <si>
    <t>V-PET Pabrik C Perlakuan D</t>
  </si>
  <si>
    <t>: HC02983104</t>
  </si>
  <si>
    <t>: 1000 mg/L</t>
  </si>
  <si>
    <t>: 31 Mei 2024</t>
  </si>
  <si>
    <t>: 121 Sb</t>
  </si>
  <si>
    <t>Kons. Logam
(µg/L)</t>
  </si>
  <si>
    <t xml:space="preserve">Kadar Sampel 
(µg/L)
</t>
  </si>
  <si>
    <t>Kadar Sampel Rata-rata
(µg/L)</t>
  </si>
  <si>
    <t>2/3 RSD Horwitz (%)</t>
  </si>
  <si>
    <t>: EU (ICP MS)</t>
  </si>
  <si>
    <t xml:space="preserve">2/3 RSD Horwitz (%) </t>
  </si>
  <si>
    <t>= 2/3*2^(1-(0.5 x log(Kadar Rata-rata/1000000000)))</t>
  </si>
  <si>
    <t>: Mercury Standard Solution 1000 mg/L (Merek: Merck CAT No.: 1.70226.0100)</t>
  </si>
  <si>
    <t>: Antimony Standard Solution 1000 mg/L(Merek: Merck CAT No.: 1.70204.0100)</t>
  </si>
  <si>
    <t>: Cadmium Standard Solution 1000 mg/L (Merek: Merck CAT No.: 1.19777.0100)</t>
  </si>
  <si>
    <t>: HC28845526</t>
  </si>
  <si>
    <t>: 202 Hg</t>
  </si>
  <si>
    <t>: 209 Bi</t>
  </si>
  <si>
    <t>: Lead Standard Solution 1000 mg/L (Merek: Merck CAT No.: 1.19776.0100)</t>
  </si>
  <si>
    <t>: HC28959376</t>
  </si>
  <si>
    <t>: 208 Pb</t>
  </si>
  <si>
    <t>V-PET Pabrik C</t>
  </si>
  <si>
    <t>LOD Cd: 0.0060 µg/L, MRL: 1 mg/L</t>
  </si>
  <si>
    <t>LOD Pb: 0.061 µg/L</t>
  </si>
  <si>
    <t>Metode</t>
  </si>
  <si>
    <t>Virgin PET-Indolakto (merah)</t>
  </si>
  <si>
    <t>C</t>
  </si>
  <si>
    <t>250 mL</t>
  </si>
  <si>
    <t>RPET – Coca cola (kuning)</t>
  </si>
  <si>
    <t>B</t>
  </si>
  <si>
    <t>RPET-Mayora (putih)</t>
  </si>
  <si>
    <t>A</t>
  </si>
  <si>
    <t>RPET-Aqua (biru)</t>
  </si>
  <si>
    <t>D</t>
  </si>
  <si>
    <t>220 mL</t>
  </si>
  <si>
    <t>3*2</t>
  </si>
  <si>
    <t>As.asetat 60 C, 30 min</t>
  </si>
  <si>
    <t>As.asetat 95 C, 30 min</t>
  </si>
  <si>
    <t>Simulan asam asetat 3%</t>
  </si>
  <si>
    <t>Simulan etanol 10%</t>
  </si>
  <si>
    <t>BPOM_A_1.1</t>
  </si>
  <si>
    <t>BPOM_A_1.2</t>
  </si>
  <si>
    <t>BPOM_A_2.1</t>
  </si>
  <si>
    <t>BPOM_A_2.2</t>
  </si>
  <si>
    <t>BPOM_A_3.1</t>
  </si>
  <si>
    <t>BPOM_A_3.2</t>
  </si>
  <si>
    <t>BPOM_B_1.1</t>
  </si>
  <si>
    <t>BPOM_B_1.2</t>
  </si>
  <si>
    <t>BPOM_B_2.1</t>
  </si>
  <si>
    <t>BPOM_B_2.2</t>
  </si>
  <si>
    <t>BPOM_B_3.1</t>
  </si>
  <si>
    <t>BPOM_B_3.2</t>
  </si>
  <si>
    <t>BPOM_D_1.1</t>
  </si>
  <si>
    <t>BPOM_D_1.2</t>
  </si>
  <si>
    <t>BPOM_D_2.1</t>
  </si>
  <si>
    <t>BPOM_D_2.2</t>
  </si>
  <si>
    <t>BPOM_D_3.1</t>
  </si>
  <si>
    <t>BPOM_D_3.2</t>
  </si>
  <si>
    <t>BPOM_C_1.1</t>
  </si>
  <si>
    <t>BPOM_C_1.2</t>
  </si>
  <si>
    <t>BPOM_C_2.1</t>
  </si>
  <si>
    <t>BPOM_C_2.2</t>
  </si>
  <si>
    <t>BPOM_C_3.1</t>
  </si>
  <si>
    <t>BPOM_C_3.2</t>
  </si>
  <si>
    <t>Pb 208</t>
  </si>
  <si>
    <t>4 perusahaan, diambil pada 3 waktu, 2 ulangan</t>
  </si>
  <si>
    <t>EU_R_A_1.1</t>
  </si>
  <si>
    <t>EU_R_A_1.2</t>
  </si>
  <si>
    <t>EU_R_A_2.1</t>
  </si>
  <si>
    <t>EU_R_A_2.2</t>
  </si>
  <si>
    <t>EU_R_A_3.1</t>
  </si>
  <si>
    <t>EU_R_A_3.2</t>
  </si>
  <si>
    <t>EU_R_B_1.1</t>
  </si>
  <si>
    <t>EU_R_B_1.2</t>
  </si>
  <si>
    <t>EU_R_B_2.1</t>
  </si>
  <si>
    <t>EU_R_B_2.2</t>
  </si>
  <si>
    <t>EU_R_B_3.1</t>
  </si>
  <si>
    <t>EU_R_B_3.2</t>
  </si>
  <si>
    <t>EU_V_A_1.1</t>
  </si>
  <si>
    <t>EU_V_A_1.2</t>
  </si>
  <si>
    <t>EU_V_A_2.1</t>
  </si>
  <si>
    <t>EU_V_A_2.2</t>
  </si>
  <si>
    <t>EU_V_A_3.1</t>
  </si>
  <si>
    <t>EU_V_A_3.2</t>
  </si>
  <si>
    <t>EU_V_B_1.1</t>
  </si>
  <si>
    <t>EU_V_B_1.2</t>
  </si>
  <si>
    <t>EU_V_B_2.1</t>
  </si>
  <si>
    <t>EU_V_B_2.2</t>
  </si>
  <si>
    <t>EU_V_B_3.1</t>
  </si>
  <si>
    <t>EU_V_B_3.2</t>
  </si>
  <si>
    <t>EU_V_D_1.1</t>
  </si>
  <si>
    <t>EU_V_D_1.2</t>
  </si>
  <si>
    <t>EU_V_D_2.1</t>
  </si>
  <si>
    <t>EU_V_D_2.2</t>
  </si>
  <si>
    <t>EU_V_D_3.1</t>
  </si>
  <si>
    <t>EU_V_D_3.2</t>
  </si>
  <si>
    <t>BPOM_R_A_1.1</t>
  </si>
  <si>
    <t>BPOM_R_A_1.2</t>
  </si>
  <si>
    <t>BPOM_R_A_2.1</t>
  </si>
  <si>
    <t>BPOM_R_A_2.2</t>
  </si>
  <si>
    <t>BPOM_R_A_3.1</t>
  </si>
  <si>
    <t>BPOM_R_A_3.2</t>
  </si>
  <si>
    <t>BPOM_R_B_1.1</t>
  </si>
  <si>
    <t>BPOM_R_B_1.2</t>
  </si>
  <si>
    <t>BPOM_R_B_2.1</t>
  </si>
  <si>
    <t>BPOM_R_B_2.2</t>
  </si>
  <si>
    <t>BPOM_R_B_3.1</t>
  </si>
  <si>
    <t>BPOM_R_B_3.2</t>
  </si>
  <si>
    <t>BPOM_V_1.1</t>
  </si>
  <si>
    <t>BPOM_V_1.2</t>
  </si>
  <si>
    <t>BPOM_V_2.1</t>
  </si>
  <si>
    <t>BPOM_V_2.2</t>
  </si>
  <si>
    <t>BPOM_V_3.1</t>
  </si>
  <si>
    <t>BPOM_V_3.2</t>
  </si>
  <si>
    <t xml:space="preserve">Kadar Sampel 
(ng/L)
</t>
  </si>
  <si>
    <t>EU_R_C_1.1</t>
  </si>
  <si>
    <t>EU_R_C_1.2</t>
  </si>
  <si>
    <t>EU_R_C_2.1</t>
  </si>
  <si>
    <t>EU_R_C_2.2</t>
  </si>
  <si>
    <t>EU_R_C_3.1</t>
  </si>
  <si>
    <t>EU_R_C_3.2</t>
  </si>
  <si>
    <t>BPOM_R_C_1.1</t>
  </si>
  <si>
    <t>BPOM_R_C_1.2</t>
  </si>
  <si>
    <t>BPOM_R_C_2.1</t>
  </si>
  <si>
    <t>BPOM_R_C_2.2</t>
  </si>
  <si>
    <t>BPOM_R_C_3.1</t>
  </si>
  <si>
    <t>BPOM_R_C_3.2</t>
  </si>
  <si>
    <t>Cd 111 (ng/L)</t>
  </si>
  <si>
    <t>Sb 121 (µg/L)</t>
  </si>
  <si>
    <t>Hg 202 (ng/L)</t>
  </si>
  <si>
    <t>EU_V_C_1.1</t>
  </si>
  <si>
    <t>EU_V_C_1.2</t>
  </si>
  <si>
    <t>EU_V_C_2.1</t>
  </si>
  <si>
    <t>EU_V_C_2.2</t>
  </si>
  <si>
    <t>EU_V_C_3.1</t>
  </si>
  <si>
    <t>EU_V_C_3.2</t>
  </si>
  <si>
    <t>Perbedaan kadar berdasarkan jenis plastik</t>
  </si>
  <si>
    <t>Perbedaan kadar berdasarkan regulasi</t>
  </si>
  <si>
    <t>Interaksi jenis plastik dan regulasi terhadap kadar</t>
  </si>
  <si>
    <t>Jenis plastik</t>
  </si>
  <si>
    <t>R_A</t>
  </si>
  <si>
    <t>R_B</t>
  </si>
  <si>
    <t>R_C</t>
  </si>
  <si>
    <t>V</t>
  </si>
  <si>
    <t>kode jenis plastik</t>
  </si>
  <si>
    <t>kode regulasi</t>
  </si>
  <si>
    <t>sig &gt; 0.05 residual std terdistribusi normal</t>
  </si>
  <si>
    <t>https://www.google.com/search?q=tutorial+two+way+anova+spss&amp;sca_esv=570758810&amp;rlz=1C1UEAD_enID995ID995&amp;sxsrf=AM9HkKktY2P8aPELCmoLHAljDvGybL0SAg%3A1696451275584&amp;ei=y8odZfalI8q5seMPt--uyAY&amp;ved=0ahUKEwi2t6O9nd2BAxXKXGwGHbe3C2kQ4dUDCBA&amp;uact=5&amp;oq=tutorial+two+way+anova+spss&amp;gs_lp=Egxnd3Mtd2l6LXNlcnAiG3R1dG9yaWFsIHR3byB3YXkgYW5vdmEgc3BzczIFEAAYgAQyBhAAGBYYHkjrC1DQBFjUCnABeAGQAQCYAU2gAdsCqgEBNbgBA8gBAPgBAcICChAAGEcY1gQYsAPiAwQYACBBiAYBkAYI&amp;sclient=gws-wiz-serp#fpstate=ive&amp;vld=cid:af14d801,vid:nq8eN9cz_Ss,st:0</t>
  </si>
  <si>
    <t>https://www.youtube.com/watch?v=hofajETNhkE</t>
  </si>
  <si>
    <t>Pb 208 (ng/L)</t>
  </si>
  <si>
    <t>Sb 121 (ng/L)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</si>
</sst>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0"/>
    <numFmt numFmtId="165" formatCode="0.00000"/>
    <numFmt numFmtId="166" formatCode="0.000"/>
    <numFmt numFmtId="167" formatCode="####.##\ &quot;mg/L&quot;"/>
    <numFmt numFmtId="168" formatCode="[$-421]dd\ mmmm\ yyyy;@"/>
    <numFmt numFmtId="169" formatCode="0.000000"/>
  </numFmts>
  <fonts count="32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rgb="FF000000"/>
      <name val="Calibri"/>
      <family val="2"/>
      <charset val="1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rgb="FF800000"/>
      <name val="Calibri"/>
      <family val="2"/>
    </font>
    <font>
      <sz val="10"/>
      <name val="Mangal"/>
      <family val="2"/>
      <charset val="134"/>
    </font>
    <font>
      <sz val="11"/>
      <color rgb="FF000000"/>
      <name val="Calibri"/>
      <family val="2"/>
      <charset val="204"/>
    </font>
    <font>
      <b/>
      <sz val="11"/>
      <name val="Arial"/>
      <family val="2"/>
    </font>
    <font>
      <sz val="11"/>
      <name val="Arial"/>
      <family val="2"/>
    </font>
    <font>
      <sz val="11"/>
      <color rgb="FF000000"/>
      <name val="Arial"/>
      <family val="2"/>
    </font>
    <font>
      <u/>
      <sz val="11"/>
      <name val="Arial"/>
      <family val="2"/>
    </font>
    <font>
      <sz val="10"/>
      <color rgb="FF000000"/>
      <name val="Arial"/>
      <family val="2"/>
    </font>
    <font>
      <sz val="11"/>
      <color theme="0"/>
      <name val="Arial"/>
      <family val="2"/>
    </font>
    <font>
      <sz val="11"/>
      <color theme="1"/>
      <name val="Arial"/>
      <family val="2"/>
    </font>
    <font>
      <sz val="11"/>
      <color indexed="8"/>
      <name val="Arial"/>
      <family val="2"/>
    </font>
    <font>
      <u/>
      <sz val="11"/>
      <color rgb="FF000000"/>
      <name val="Arial"/>
      <family val="2"/>
    </font>
    <font>
      <b/>
      <sz val="16"/>
      <name val="Arial"/>
      <family val="2"/>
    </font>
    <font>
      <i/>
      <sz val="11"/>
      <color rgb="FF000000"/>
      <name val="Arial"/>
      <family val="2"/>
    </font>
    <font>
      <b/>
      <sz val="11"/>
      <color indexed="8"/>
      <name val="Arial"/>
      <family val="2"/>
    </font>
    <font>
      <i/>
      <sz val="11"/>
      <color theme="1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Calibri"/>
      <family val="2"/>
      <charset val="1"/>
    </font>
    <font>
      <sz val="11"/>
      <color rgb="FFFF0000"/>
      <name val="Arial"/>
      <family val="2"/>
    </font>
    <font>
      <sz val="10"/>
      <color rgb="FF000000"/>
      <name val="Calibri"/>
      <family val="2"/>
    </font>
    <font>
      <u/>
      <sz val="11"/>
      <color theme="10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9">
    <xf numFmtId="0" fontId="0" fillId="0" borderId="0"/>
    <xf numFmtId="0" fontId="7" fillId="0" borderId="0"/>
    <xf numFmtId="0" fontId="6" fillId="0" borderId="0"/>
    <xf numFmtId="0" fontId="9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5" fillId="0" borderId="0"/>
    <xf numFmtId="0" fontId="10" fillId="0" borderId="0">
      <alignment vertical="top"/>
    </xf>
    <xf numFmtId="0" fontId="4" fillId="0" borderId="0"/>
    <xf numFmtId="0" fontId="11" fillId="0" borderId="0">
      <alignment vertical="center"/>
    </xf>
    <xf numFmtId="0" fontId="11" fillId="0" borderId="0">
      <alignment vertical="center"/>
    </xf>
    <xf numFmtId="0" fontId="7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3" fillId="0" borderId="0"/>
    <xf numFmtId="0" fontId="12" fillId="0" borderId="0"/>
    <xf numFmtId="0" fontId="2" fillId="0" borderId="0"/>
    <xf numFmtId="0" fontId="1" fillId="0" borderId="0"/>
    <xf numFmtId="0" fontId="31" fillId="0" borderId="0" applyNumberFormat="0" applyFill="0" applyBorder="0" applyAlignment="0" applyProtection="0"/>
  </cellStyleXfs>
  <cellXfs count="219">
    <xf numFmtId="0" fontId="0" fillId="0" borderId="0" xfId="0"/>
    <xf numFmtId="0" fontId="0" fillId="2" borderId="0" xfId="0" applyFill="1"/>
    <xf numFmtId="14" fontId="0" fillId="0" borderId="0" xfId="0" applyNumberFormat="1"/>
    <xf numFmtId="0" fontId="13" fillId="3" borderId="0" xfId="2" applyFont="1" applyFill="1" applyAlignment="1">
      <alignment horizontal="center" vertical="center"/>
    </xf>
    <xf numFmtId="0" fontId="14" fillId="3" borderId="0" xfId="2" applyFont="1" applyFill="1"/>
    <xf numFmtId="0" fontId="15" fillId="3" borderId="0" xfId="0" applyFont="1" applyFill="1"/>
    <xf numFmtId="0" fontId="15" fillId="3" borderId="0" xfId="0" applyFont="1" applyFill="1" applyAlignment="1">
      <alignment horizontal="center"/>
    </xf>
    <xf numFmtId="0" fontId="15" fillId="3" borderId="0" xfId="0" applyFont="1" applyFill="1" applyAlignment="1">
      <alignment horizontal="justify"/>
    </xf>
    <xf numFmtId="0" fontId="14" fillId="3" borderId="0" xfId="0" applyFont="1" applyFill="1"/>
    <xf numFmtId="0" fontId="14" fillId="3" borderId="0" xfId="0" applyFont="1" applyFill="1" applyAlignment="1">
      <alignment horizontal="center"/>
    </xf>
    <xf numFmtId="0" fontId="15" fillId="3" borderId="0" xfId="0" applyFont="1" applyFill="1" applyAlignment="1">
      <alignment horizontal="left"/>
    </xf>
    <xf numFmtId="168" fontId="15" fillId="3" borderId="0" xfId="0" applyNumberFormat="1" applyFont="1" applyFill="1" applyAlignment="1">
      <alignment horizontal="left"/>
    </xf>
    <xf numFmtId="15" fontId="15" fillId="3" borderId="0" xfId="0" applyNumberFormat="1" applyFont="1" applyFill="1" applyAlignment="1">
      <alignment horizontal="left"/>
    </xf>
    <xf numFmtId="0" fontId="15" fillId="3" borderId="0" xfId="0" applyFont="1" applyFill="1" applyAlignment="1">
      <alignment horizontal="right"/>
    </xf>
    <xf numFmtId="0" fontId="16" fillId="3" borderId="0" xfId="0" applyFont="1" applyFill="1" applyAlignment="1">
      <alignment horizontal="left"/>
    </xf>
    <xf numFmtId="0" fontId="15" fillId="3" borderId="0" xfId="0" applyFont="1" applyFill="1" applyAlignment="1">
      <alignment horizontal="center" vertical="center"/>
    </xf>
    <xf numFmtId="0" fontId="17" fillId="3" borderId="0" xfId="0" applyFont="1" applyFill="1" applyAlignment="1">
      <alignment horizontal="left" vertical="top"/>
    </xf>
    <xf numFmtId="0" fontId="17" fillId="3" borderId="0" xfId="0" applyFont="1" applyFill="1"/>
    <xf numFmtId="167" fontId="15" fillId="3" borderId="0" xfId="0" applyNumberFormat="1" applyFont="1" applyFill="1" applyAlignment="1">
      <alignment horizontal="left"/>
    </xf>
    <xf numFmtId="0" fontId="18" fillId="3" borderId="0" xfId="0" applyFont="1" applyFill="1" applyAlignment="1">
      <alignment horizontal="center" vertical="center"/>
    </xf>
    <xf numFmtId="164" fontId="19" fillId="3" borderId="0" xfId="6" applyNumberFormat="1" applyFont="1" applyFill="1"/>
    <xf numFmtId="0" fontId="19" fillId="3" borderId="0" xfId="0" quotePrefix="1" applyFont="1" applyFill="1"/>
    <xf numFmtId="0" fontId="19" fillId="3" borderId="0" xfId="47" applyFont="1" applyFill="1"/>
    <xf numFmtId="0" fontId="15" fillId="3" borderId="12" xfId="0" applyFont="1" applyFill="1" applyBorder="1"/>
    <xf numFmtId="0" fontId="17" fillId="3" borderId="0" xfId="0" applyFont="1" applyFill="1" applyAlignment="1">
      <alignment horizontal="center"/>
    </xf>
    <xf numFmtId="0" fontId="15" fillId="3" borderId="6" xfId="0" applyFont="1" applyFill="1" applyBorder="1"/>
    <xf numFmtId="0" fontId="15" fillId="3" borderId="10" xfId="0" quotePrefix="1" applyFont="1" applyFill="1" applyBorder="1" applyAlignment="1">
      <alignment horizontal="left"/>
    </xf>
    <xf numFmtId="0" fontId="15" fillId="3" borderId="5" xfId="0" applyFont="1" applyFill="1" applyBorder="1" applyAlignment="1">
      <alignment horizontal="left" vertical="top"/>
    </xf>
    <xf numFmtId="0" fontId="15" fillId="3" borderId="8" xfId="0" applyFont="1" applyFill="1" applyBorder="1"/>
    <xf numFmtId="0" fontId="15" fillId="3" borderId="0" xfId="0" quotePrefix="1" applyFont="1" applyFill="1"/>
    <xf numFmtId="0" fontId="15" fillId="0" borderId="0" xfId="0" applyFont="1"/>
    <xf numFmtId="0" fontId="15" fillId="0" borderId="0" xfId="0" applyFont="1" applyAlignment="1">
      <alignment horizontal="left"/>
    </xf>
    <xf numFmtId="168" fontId="15" fillId="0" borderId="0" xfId="0" applyNumberFormat="1" applyFont="1" applyAlignment="1">
      <alignment horizontal="left"/>
    </xf>
    <xf numFmtId="15" fontId="15" fillId="0" borderId="0" xfId="0" applyNumberFormat="1" applyFont="1" applyAlignment="1">
      <alignment horizontal="left"/>
    </xf>
    <xf numFmtId="15" fontId="15" fillId="0" borderId="3" xfId="0" applyNumberFormat="1" applyFont="1" applyBorder="1" applyAlignment="1">
      <alignment horizontal="left"/>
    </xf>
    <xf numFmtId="0" fontId="15" fillId="0" borderId="2" xfId="0" applyFont="1" applyBorder="1" applyAlignment="1">
      <alignment horizontal="left" vertical="top"/>
    </xf>
    <xf numFmtId="0" fontId="15" fillId="0" borderId="0" xfId="0" applyFont="1" applyAlignment="1">
      <alignment horizontal="center"/>
    </xf>
    <xf numFmtId="0" fontId="15" fillId="0" borderId="0" xfId="0" applyFont="1" applyAlignment="1">
      <alignment horizontal="left" vertical="top"/>
    </xf>
    <xf numFmtId="0" fontId="15" fillId="0" borderId="0" xfId="0" applyFont="1" applyAlignment="1">
      <alignment horizontal="center" vertical="center"/>
    </xf>
    <xf numFmtId="164" fontId="15" fillId="0" borderId="0" xfId="2" applyNumberFormat="1" applyFont="1" applyAlignment="1">
      <alignment horizontal="center"/>
    </xf>
    <xf numFmtId="0" fontId="15" fillId="0" borderId="0" xfId="0" applyFont="1" applyAlignment="1">
      <alignment horizontal="right"/>
    </xf>
    <xf numFmtId="166" fontId="14" fillId="0" borderId="0" xfId="2" applyNumberFormat="1" applyFont="1"/>
    <xf numFmtId="166" fontId="18" fillId="0" borderId="0" xfId="2" applyNumberFormat="1" applyFont="1"/>
    <xf numFmtId="166" fontId="14" fillId="0" borderId="1" xfId="2" applyNumberFormat="1" applyFont="1" applyBorder="1" applyAlignment="1">
      <alignment horizontal="center" vertical="center" wrapText="1"/>
    </xf>
    <xf numFmtId="166" fontId="14" fillId="0" borderId="7" xfId="2" applyNumberFormat="1" applyFont="1" applyBorder="1" applyAlignment="1">
      <alignment horizontal="center" vertical="center" wrapText="1"/>
    </xf>
    <xf numFmtId="166" fontId="14" fillId="0" borderId="0" xfId="2" applyNumberFormat="1" applyFont="1" applyAlignment="1">
      <alignment horizontal="center"/>
    </xf>
    <xf numFmtId="0" fontId="14" fillId="0" borderId="0" xfId="2" applyFont="1"/>
    <xf numFmtId="164" fontId="14" fillId="0" borderId="1" xfId="2" applyNumberFormat="1" applyFont="1" applyBorder="1" applyAlignment="1">
      <alignment horizontal="center" vertical="center" wrapText="1"/>
    </xf>
    <xf numFmtId="2" fontId="14" fillId="0" borderId="1" xfId="2" applyNumberFormat="1" applyFont="1" applyBorder="1" applyAlignment="1">
      <alignment horizontal="center" vertical="center" wrapText="1"/>
    </xf>
    <xf numFmtId="165" fontId="14" fillId="0" borderId="1" xfId="2" applyNumberFormat="1" applyFont="1" applyBorder="1" applyAlignment="1">
      <alignment horizontal="center" vertical="center" wrapText="1"/>
    </xf>
    <xf numFmtId="164" fontId="14" fillId="0" borderId="0" xfId="2" applyNumberFormat="1" applyFont="1" applyAlignment="1">
      <alignment horizontal="center" vertical="center"/>
    </xf>
    <xf numFmtId="2" fontId="15" fillId="0" borderId="0" xfId="2" applyNumberFormat="1" applyFont="1" applyAlignment="1">
      <alignment horizontal="center"/>
    </xf>
    <xf numFmtId="0" fontId="15" fillId="0" borderId="1" xfId="0" applyFont="1" applyBorder="1" applyAlignment="1">
      <alignment horizontal="center" vertical="center"/>
    </xf>
    <xf numFmtId="0" fontId="20" fillId="0" borderId="0" xfId="3" applyFont="1"/>
    <xf numFmtId="0" fontId="19" fillId="0" borderId="0" xfId="0" applyFont="1"/>
    <xf numFmtId="164" fontId="19" fillId="0" borderId="0" xfId="6" applyNumberFormat="1" applyFont="1"/>
    <xf numFmtId="0" fontId="19" fillId="0" borderId="0" xfId="0" quotePrefix="1" applyFont="1"/>
    <xf numFmtId="0" fontId="14" fillId="0" borderId="0" xfId="6" applyFont="1" applyAlignment="1">
      <alignment vertical="center"/>
    </xf>
    <xf numFmtId="0" fontId="13" fillId="0" borderId="0" xfId="3" applyFont="1" applyAlignment="1">
      <alignment vertical="center"/>
    </xf>
    <xf numFmtId="0" fontId="15" fillId="3" borderId="9" xfId="0" applyFont="1" applyFill="1" applyBorder="1"/>
    <xf numFmtId="0" fontId="13" fillId="3" borderId="0" xfId="13" applyFont="1" applyFill="1" applyAlignment="1">
      <alignment vertical="center"/>
    </xf>
    <xf numFmtId="0" fontId="24" fillId="0" borderId="0" xfId="3" applyFont="1"/>
    <xf numFmtId="0" fontId="15" fillId="0" borderId="1" xfId="0" applyFont="1" applyBorder="1" applyAlignment="1">
      <alignment horizontal="center" vertical="top"/>
    </xf>
    <xf numFmtId="0" fontId="14" fillId="0" borderId="0" xfId="0" applyFont="1"/>
    <xf numFmtId="0" fontId="15" fillId="0" borderId="0" xfId="0" quotePrefix="1" applyFont="1"/>
    <xf numFmtId="0" fontId="15" fillId="0" borderId="1" xfId="0" applyFont="1" applyBorder="1" applyAlignment="1">
      <alignment horizontal="center" vertical="center" wrapText="1"/>
    </xf>
    <xf numFmtId="169" fontId="14" fillId="0" borderId="1" xfId="2" applyNumberFormat="1" applyFont="1" applyBorder="1" applyAlignment="1">
      <alignment horizontal="center" vertical="center" wrapText="1"/>
    </xf>
    <xf numFmtId="166" fontId="15" fillId="3" borderId="0" xfId="0" applyNumberFormat="1" applyFont="1" applyFill="1" applyAlignment="1">
      <alignment horizontal="center"/>
    </xf>
    <xf numFmtId="0" fontId="0" fillId="0" borderId="0" xfId="0" applyAlignment="1">
      <alignment horizontal="right"/>
    </xf>
    <xf numFmtId="0" fontId="0" fillId="0" borderId="1" xfId="0" applyBorder="1"/>
    <xf numFmtId="0" fontId="26" fillId="0" borderId="1" xfId="0" applyFont="1" applyBorder="1"/>
    <xf numFmtId="0" fontId="26" fillId="0" borderId="0" xfId="0" applyFont="1"/>
    <xf numFmtId="0" fontId="27" fillId="0" borderId="0" xfId="0" applyFont="1"/>
    <xf numFmtId="0" fontId="15" fillId="3" borderId="11" xfId="0" applyFont="1" applyFill="1" applyBorder="1" applyAlignment="1">
      <alignment vertical="top"/>
    </xf>
    <xf numFmtId="0" fontId="15" fillId="3" borderId="0" xfId="0" applyFont="1" applyFill="1" applyAlignment="1">
      <alignment horizontal="center" vertical="top"/>
    </xf>
    <xf numFmtId="0" fontId="14" fillId="0" borderId="1" xfId="2" applyFont="1" applyBorder="1" applyAlignment="1">
      <alignment horizontal="center" vertical="top"/>
    </xf>
    <xf numFmtId="0" fontId="15" fillId="0" borderId="1" xfId="0" applyFont="1" applyBorder="1" applyAlignment="1">
      <alignment horizontal="center" vertical="top" wrapText="1"/>
    </xf>
    <xf numFmtId="166" fontId="14" fillId="0" borderId="1" xfId="2" applyNumberFormat="1" applyFont="1" applyBorder="1" applyAlignment="1">
      <alignment horizontal="center" vertical="top" wrapText="1"/>
    </xf>
    <xf numFmtId="164" fontId="15" fillId="0" borderId="1" xfId="2" applyNumberFormat="1" applyFont="1" applyBorder="1" applyAlignment="1">
      <alignment horizontal="center" vertical="top" wrapText="1"/>
    </xf>
    <xf numFmtId="2" fontId="15" fillId="0" borderId="1" xfId="2" applyNumberFormat="1" applyFont="1" applyBorder="1" applyAlignment="1">
      <alignment horizontal="center" vertical="top" wrapText="1"/>
    </xf>
    <xf numFmtId="0" fontId="15" fillId="3" borderId="1" xfId="0" applyFont="1" applyFill="1" applyBorder="1" applyAlignment="1">
      <alignment horizontal="center" vertical="top" wrapText="1"/>
    </xf>
    <xf numFmtId="0" fontId="15" fillId="3" borderId="0" xfId="0" applyFont="1" applyFill="1" applyAlignment="1">
      <alignment vertical="top"/>
    </xf>
    <xf numFmtId="0" fontId="15" fillId="4" borderId="0" xfId="0" applyFont="1" applyFill="1" applyAlignment="1">
      <alignment horizontal="left"/>
    </xf>
    <xf numFmtId="0" fontId="15" fillId="4" borderId="1" xfId="0" applyFont="1" applyFill="1" applyBorder="1" applyAlignment="1">
      <alignment horizontal="left" vertical="center"/>
    </xf>
    <xf numFmtId="0" fontId="15" fillId="4" borderId="1" xfId="0" applyFont="1" applyFill="1" applyBorder="1" applyAlignment="1">
      <alignment horizontal="center" vertical="center"/>
    </xf>
    <xf numFmtId="2" fontId="15" fillId="4" borderId="1" xfId="0" applyNumberFormat="1" applyFont="1" applyFill="1" applyBorder="1" applyAlignment="1">
      <alignment horizontal="center" vertical="center"/>
    </xf>
    <xf numFmtId="166" fontId="15" fillId="4" borderId="1" xfId="0" applyNumberFormat="1" applyFont="1" applyFill="1" applyBorder="1" applyAlignment="1">
      <alignment horizontal="center" vertical="center"/>
    </xf>
    <xf numFmtId="2" fontId="15" fillId="4" borderId="1" xfId="2" applyNumberFormat="1" applyFont="1" applyFill="1" applyBorder="1" applyAlignment="1">
      <alignment horizontal="center" vertical="center"/>
    </xf>
    <xf numFmtId="2" fontId="15" fillId="4" borderId="1" xfId="0" applyNumberFormat="1" applyFont="1" applyFill="1" applyBorder="1" applyAlignment="1">
      <alignment horizontal="center" wrapText="1"/>
    </xf>
    <xf numFmtId="0" fontId="15" fillId="4" borderId="1" xfId="0" applyFont="1" applyFill="1" applyBorder="1" applyAlignment="1">
      <alignment horizontal="center"/>
    </xf>
    <xf numFmtId="0" fontId="15" fillId="5" borderId="0" xfId="0" applyFont="1" applyFill="1" applyAlignment="1">
      <alignment horizontal="left"/>
    </xf>
    <xf numFmtId="0" fontId="15" fillId="5" borderId="1" xfId="0" applyFont="1" applyFill="1" applyBorder="1" applyAlignment="1">
      <alignment horizontal="left" vertical="center"/>
    </xf>
    <xf numFmtId="0" fontId="15" fillId="5" borderId="1" xfId="0" applyFont="1" applyFill="1" applyBorder="1" applyAlignment="1">
      <alignment horizontal="center" vertical="center"/>
    </xf>
    <xf numFmtId="2" fontId="15" fillId="5" borderId="1" xfId="0" applyNumberFormat="1" applyFont="1" applyFill="1" applyBorder="1" applyAlignment="1">
      <alignment horizontal="center" vertical="center"/>
    </xf>
    <xf numFmtId="165" fontId="15" fillId="5" borderId="1" xfId="0" applyNumberFormat="1" applyFont="1" applyFill="1" applyBorder="1" applyAlignment="1">
      <alignment horizontal="center" vertical="center"/>
    </xf>
    <xf numFmtId="166" fontId="15" fillId="5" borderId="1" xfId="2" applyNumberFormat="1" applyFont="1" applyFill="1" applyBorder="1" applyAlignment="1">
      <alignment horizontal="center" vertical="center"/>
    </xf>
    <xf numFmtId="0" fontId="15" fillId="5" borderId="1" xfId="0" applyFont="1" applyFill="1" applyBorder="1" applyAlignment="1">
      <alignment horizontal="center"/>
    </xf>
    <xf numFmtId="165" fontId="15" fillId="5" borderId="1" xfId="2" applyNumberFormat="1" applyFont="1" applyFill="1" applyBorder="1" applyAlignment="1">
      <alignment horizontal="center" vertical="center"/>
    </xf>
    <xf numFmtId="165" fontId="15" fillId="5" borderId="1" xfId="0" applyNumberFormat="1" applyFont="1" applyFill="1" applyBorder="1" applyAlignment="1">
      <alignment horizontal="center" wrapText="1"/>
    </xf>
    <xf numFmtId="164" fontId="15" fillId="5" borderId="1" xfId="2" applyNumberFormat="1" applyFont="1" applyFill="1" applyBorder="1" applyAlignment="1">
      <alignment horizontal="center" vertical="center"/>
    </xf>
    <xf numFmtId="2" fontId="15" fillId="5" borderId="1" xfId="2" applyNumberFormat="1" applyFont="1" applyFill="1" applyBorder="1" applyAlignment="1">
      <alignment horizontal="center" vertical="center"/>
    </xf>
    <xf numFmtId="2" fontId="15" fillId="5" borderId="1" xfId="0" applyNumberFormat="1" applyFont="1" applyFill="1" applyBorder="1" applyAlignment="1">
      <alignment horizontal="center" wrapText="1"/>
    </xf>
    <xf numFmtId="0" fontId="15" fillId="5" borderId="0" xfId="0" applyFont="1" applyFill="1"/>
    <xf numFmtId="0" fontId="15" fillId="6" borderId="0" xfId="0" applyFont="1" applyFill="1" applyAlignment="1">
      <alignment horizontal="left"/>
    </xf>
    <xf numFmtId="0" fontId="15" fillId="6" borderId="1" xfId="0" applyFont="1" applyFill="1" applyBorder="1" applyAlignment="1">
      <alignment horizontal="left" vertical="center"/>
    </xf>
    <xf numFmtId="0" fontId="15" fillId="6" borderId="1" xfId="0" applyFont="1" applyFill="1" applyBorder="1" applyAlignment="1">
      <alignment horizontal="center" vertical="center"/>
    </xf>
    <xf numFmtId="2" fontId="15" fillId="6" borderId="1" xfId="0" applyNumberFormat="1" applyFont="1" applyFill="1" applyBorder="1" applyAlignment="1">
      <alignment horizontal="center" vertical="center"/>
    </xf>
    <xf numFmtId="165" fontId="15" fillId="6" borderId="1" xfId="0" applyNumberFormat="1" applyFont="1" applyFill="1" applyBorder="1" applyAlignment="1">
      <alignment horizontal="center" vertical="center"/>
    </xf>
    <xf numFmtId="2" fontId="15" fillId="6" borderId="1" xfId="2" applyNumberFormat="1" applyFont="1" applyFill="1" applyBorder="1" applyAlignment="1">
      <alignment horizontal="center" vertical="center"/>
    </xf>
    <xf numFmtId="2" fontId="15" fillId="6" borderId="1" xfId="0" applyNumberFormat="1" applyFont="1" applyFill="1" applyBorder="1" applyAlignment="1">
      <alignment horizontal="center" wrapText="1"/>
    </xf>
    <xf numFmtId="0" fontId="15" fillId="6" borderId="1" xfId="0" applyFont="1" applyFill="1" applyBorder="1" applyAlignment="1">
      <alignment horizontal="center"/>
    </xf>
    <xf numFmtId="0" fontId="15" fillId="6" borderId="0" xfId="0" applyFont="1" applyFill="1"/>
    <xf numFmtId="0" fontId="15" fillId="7" borderId="0" xfId="0" applyFont="1" applyFill="1" applyAlignment="1">
      <alignment horizontal="left"/>
    </xf>
    <xf numFmtId="0" fontId="15" fillId="7" borderId="1" xfId="0" applyFont="1" applyFill="1" applyBorder="1" applyAlignment="1">
      <alignment horizontal="left" vertical="center"/>
    </xf>
    <xf numFmtId="0" fontId="15" fillId="7" borderId="1" xfId="0" applyFont="1" applyFill="1" applyBorder="1" applyAlignment="1">
      <alignment horizontal="center" vertical="center"/>
    </xf>
    <xf numFmtId="2" fontId="15" fillId="7" borderId="1" xfId="0" applyNumberFormat="1" applyFont="1" applyFill="1" applyBorder="1" applyAlignment="1">
      <alignment horizontal="center" vertical="center"/>
    </xf>
    <xf numFmtId="164" fontId="15" fillId="7" borderId="1" xfId="0" applyNumberFormat="1" applyFont="1" applyFill="1" applyBorder="1" applyAlignment="1">
      <alignment horizontal="center" vertical="center"/>
    </xf>
    <xf numFmtId="2" fontId="15" fillId="7" borderId="1" xfId="2" applyNumberFormat="1" applyFont="1" applyFill="1" applyBorder="1" applyAlignment="1">
      <alignment horizontal="center" vertical="center"/>
    </xf>
    <xf numFmtId="0" fontId="15" fillId="7" borderId="1" xfId="0" applyFont="1" applyFill="1" applyBorder="1" applyAlignment="1">
      <alignment horizontal="center"/>
    </xf>
    <xf numFmtId="0" fontId="15" fillId="7" borderId="0" xfId="0" applyFont="1" applyFill="1"/>
    <xf numFmtId="164" fontId="15" fillId="4" borderId="1" xfId="0" applyNumberFormat="1" applyFont="1" applyFill="1" applyBorder="1" applyAlignment="1">
      <alignment horizontal="center" vertical="center"/>
    </xf>
    <xf numFmtId="0" fontId="15" fillId="4" borderId="0" xfId="0" applyFont="1" applyFill="1"/>
    <xf numFmtId="164" fontId="15" fillId="5" borderId="1" xfId="0" applyNumberFormat="1" applyFont="1" applyFill="1" applyBorder="1" applyAlignment="1">
      <alignment horizontal="center" vertical="center"/>
    </xf>
    <xf numFmtId="164" fontId="15" fillId="6" borderId="1" xfId="0" applyNumberFormat="1" applyFont="1" applyFill="1" applyBorder="1" applyAlignment="1">
      <alignment horizontal="center" vertical="center"/>
    </xf>
    <xf numFmtId="169" fontId="15" fillId="4" borderId="1" xfId="0" applyNumberFormat="1" applyFont="1" applyFill="1" applyBorder="1" applyAlignment="1">
      <alignment horizontal="center" vertical="center"/>
    </xf>
    <xf numFmtId="166" fontId="15" fillId="4" borderId="1" xfId="2" applyNumberFormat="1" applyFont="1" applyFill="1" applyBorder="1" applyAlignment="1">
      <alignment horizontal="center" vertical="center"/>
    </xf>
    <xf numFmtId="169" fontId="15" fillId="5" borderId="1" xfId="0" applyNumberFormat="1" applyFont="1" applyFill="1" applyBorder="1" applyAlignment="1">
      <alignment horizontal="center" vertical="center"/>
    </xf>
    <xf numFmtId="169" fontId="15" fillId="6" borderId="1" xfId="0" applyNumberFormat="1" applyFont="1" applyFill="1" applyBorder="1" applyAlignment="1">
      <alignment horizontal="center" vertical="center"/>
    </xf>
    <xf numFmtId="166" fontId="15" fillId="6" borderId="1" xfId="2" applyNumberFormat="1" applyFont="1" applyFill="1" applyBorder="1" applyAlignment="1">
      <alignment horizontal="center" vertical="center"/>
    </xf>
    <xf numFmtId="166" fontId="15" fillId="6" borderId="1" xfId="0" applyNumberFormat="1" applyFont="1" applyFill="1" applyBorder="1" applyAlignment="1">
      <alignment horizontal="center" wrapText="1"/>
    </xf>
    <xf numFmtId="164" fontId="29" fillId="4" borderId="1" xfId="0" applyNumberFormat="1" applyFont="1" applyFill="1" applyBorder="1" applyAlignment="1">
      <alignment horizontal="center" wrapText="1"/>
    </xf>
    <xf numFmtId="164" fontId="29" fillId="6" borderId="1" xfId="0" applyNumberFormat="1" applyFont="1" applyFill="1" applyBorder="1" applyAlignment="1">
      <alignment horizontal="center" wrapText="1"/>
    </xf>
    <xf numFmtId="169" fontId="15" fillId="7" borderId="1" xfId="0" applyNumberFormat="1" applyFont="1" applyFill="1" applyBorder="1" applyAlignment="1">
      <alignment horizontal="center" vertical="center"/>
    </xf>
    <xf numFmtId="166" fontId="15" fillId="7" borderId="1" xfId="2" applyNumberFormat="1" applyFont="1" applyFill="1" applyBorder="1" applyAlignment="1">
      <alignment horizontal="center" vertical="center"/>
    </xf>
    <xf numFmtId="165" fontId="15" fillId="4" borderId="1" xfId="0" applyNumberFormat="1" applyFont="1" applyFill="1" applyBorder="1" applyAlignment="1">
      <alignment horizontal="center" vertical="center"/>
    </xf>
    <xf numFmtId="164" fontId="15" fillId="4" borderId="1" xfId="2" applyNumberFormat="1" applyFont="1" applyFill="1" applyBorder="1" applyAlignment="1">
      <alignment horizontal="center" vertical="center"/>
    </xf>
    <xf numFmtId="164" fontId="15" fillId="6" borderId="1" xfId="2" applyNumberFormat="1" applyFont="1" applyFill="1" applyBorder="1" applyAlignment="1">
      <alignment horizontal="center" vertical="center"/>
    </xf>
    <xf numFmtId="2" fontId="14" fillId="4" borderId="1" xfId="0" applyNumberFormat="1" applyFont="1" applyFill="1" applyBorder="1" applyAlignment="1">
      <alignment horizontal="center" wrapText="1"/>
    </xf>
    <xf numFmtId="2" fontId="14" fillId="5" borderId="1" xfId="0" applyNumberFormat="1" applyFont="1" applyFill="1" applyBorder="1" applyAlignment="1">
      <alignment horizontal="center" wrapText="1"/>
    </xf>
    <xf numFmtId="2" fontId="14" fillId="6" borderId="1" xfId="0" applyNumberFormat="1" applyFont="1" applyFill="1" applyBorder="1" applyAlignment="1">
      <alignment horizontal="center" wrapText="1"/>
    </xf>
    <xf numFmtId="166" fontId="14" fillId="4" borderId="1" xfId="0" applyNumberFormat="1" applyFont="1" applyFill="1" applyBorder="1" applyAlignment="1">
      <alignment horizontal="center" wrapText="1"/>
    </xf>
    <xf numFmtId="166" fontId="14" fillId="5" borderId="1" xfId="0" applyNumberFormat="1" applyFont="1" applyFill="1" applyBorder="1" applyAlignment="1">
      <alignment horizontal="center" wrapText="1"/>
    </xf>
    <xf numFmtId="166" fontId="14" fillId="6" borderId="1" xfId="0" applyNumberFormat="1" applyFont="1" applyFill="1" applyBorder="1" applyAlignment="1">
      <alignment horizontal="center" wrapText="1"/>
    </xf>
    <xf numFmtId="2" fontId="14" fillId="7" borderId="1" xfId="0" applyNumberFormat="1" applyFont="1" applyFill="1" applyBorder="1" applyAlignment="1">
      <alignment horizontal="center" wrapText="1"/>
    </xf>
    <xf numFmtId="2" fontId="15" fillId="3" borderId="0" xfId="0" applyNumberFormat="1" applyFont="1" applyFill="1" applyAlignment="1">
      <alignment horizontal="justify"/>
    </xf>
    <xf numFmtId="2" fontId="15" fillId="3" borderId="0" xfId="0" applyNumberFormat="1" applyFont="1" applyFill="1" applyAlignment="1">
      <alignment horizontal="center"/>
    </xf>
    <xf numFmtId="2" fontId="15" fillId="3" borderId="0" xfId="0" applyNumberFormat="1" applyFont="1" applyFill="1"/>
    <xf numFmtId="2" fontId="15" fillId="0" borderId="0" xfId="0" applyNumberFormat="1" applyFont="1" applyAlignment="1">
      <alignment horizontal="center"/>
    </xf>
    <xf numFmtId="2" fontId="15" fillId="0" borderId="0" xfId="0" applyNumberFormat="1" applyFont="1" applyAlignment="1">
      <alignment horizontal="right"/>
    </xf>
    <xf numFmtId="2" fontId="14" fillId="0" borderId="0" xfId="2" applyNumberFormat="1" applyFont="1"/>
    <xf numFmtId="2" fontId="14" fillId="0" borderId="0" xfId="2" applyNumberFormat="1" applyFont="1" applyAlignment="1">
      <alignment horizontal="center"/>
    </xf>
    <xf numFmtId="2" fontId="15" fillId="0" borderId="0" xfId="0" applyNumberFormat="1" applyFont="1"/>
    <xf numFmtId="164" fontId="14" fillId="5" borderId="1" xfId="0" applyNumberFormat="1" applyFont="1" applyFill="1" applyBorder="1" applyAlignment="1">
      <alignment horizontal="center" wrapText="1"/>
    </xf>
    <xf numFmtId="0" fontId="30" fillId="0" borderId="1" xfId="0" applyFont="1" applyBorder="1" applyAlignment="1">
      <alignment vertical="center" wrapText="1"/>
    </xf>
    <xf numFmtId="0" fontId="14" fillId="3" borderId="6" xfId="0" applyFont="1" applyFill="1" applyBorder="1"/>
    <xf numFmtId="0" fontId="14" fillId="3" borderId="8" xfId="0" applyFont="1" applyFill="1" applyBorder="1"/>
    <xf numFmtId="15" fontId="14" fillId="0" borderId="3" xfId="0" applyNumberFormat="1" applyFont="1" applyBorder="1" applyAlignment="1">
      <alignment horizontal="left"/>
    </xf>
    <xf numFmtId="0" fontId="14" fillId="0" borderId="0" xfId="0" applyFont="1" applyAlignment="1">
      <alignment horizontal="center" vertical="center"/>
    </xf>
    <xf numFmtId="0" fontId="14" fillId="0" borderId="1" xfId="0" applyFont="1" applyBorder="1" applyAlignment="1">
      <alignment horizontal="center" vertical="top" wrapText="1"/>
    </xf>
    <xf numFmtId="166" fontId="14" fillId="7" borderId="1" xfId="0" applyNumberFormat="1" applyFont="1" applyFill="1" applyBorder="1" applyAlignment="1">
      <alignment horizontal="center" wrapText="1"/>
    </xf>
    <xf numFmtId="164" fontId="14" fillId="4" borderId="1" xfId="0" applyNumberFormat="1" applyFont="1" applyFill="1" applyBorder="1" applyAlignment="1">
      <alignment horizontal="center" wrapText="1"/>
    </xf>
    <xf numFmtId="0" fontId="0" fillId="8" borderId="1" xfId="0" applyFill="1" applyBorder="1" applyAlignment="1">
      <alignment vertical="top" wrapText="1"/>
    </xf>
    <xf numFmtId="0" fontId="30" fillId="8" borderId="1" xfId="0" applyFont="1" applyFill="1" applyBorder="1" applyAlignment="1">
      <alignment vertical="center" wrapText="1"/>
    </xf>
    <xf numFmtId="2" fontId="14" fillId="4" borderId="7" xfId="0" applyNumberFormat="1" applyFont="1" applyFill="1" applyBorder="1" applyAlignment="1">
      <alignment horizontal="center" wrapText="1"/>
    </xf>
    <xf numFmtId="2" fontId="15" fillId="4" borderId="7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15" fillId="4" borderId="0" xfId="0" applyFont="1" applyFill="1" applyAlignment="1">
      <alignment horizontal="left" vertical="center"/>
    </xf>
    <xf numFmtId="0" fontId="15" fillId="5" borderId="0" xfId="0" applyFont="1" applyFill="1" applyAlignment="1">
      <alignment horizontal="left" vertical="center"/>
    </xf>
    <xf numFmtId="0" fontId="15" fillId="6" borderId="0" xfId="0" applyFont="1" applyFill="1" applyAlignment="1">
      <alignment horizontal="left" vertical="center"/>
    </xf>
    <xf numFmtId="0" fontId="15" fillId="7" borderId="0" xfId="0" applyFont="1" applyFill="1" applyAlignment="1">
      <alignment horizontal="left" vertical="center"/>
    </xf>
    <xf numFmtId="0" fontId="31" fillId="0" borderId="0" xfId="48"/>
    <xf numFmtId="0" fontId="15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30" fillId="0" borderId="1" xfId="0" applyFont="1" applyBorder="1" applyAlignment="1">
      <alignment vertical="center" wrapText="1"/>
    </xf>
    <xf numFmtId="164" fontId="29" fillId="6" borderId="7" xfId="0" applyNumberFormat="1" applyFont="1" applyFill="1" applyBorder="1" applyAlignment="1">
      <alignment horizontal="center" vertical="center" wrapText="1"/>
    </xf>
    <xf numFmtId="164" fontId="29" fillId="6" borderId="4" xfId="0" applyNumberFormat="1" applyFont="1" applyFill="1" applyBorder="1" applyAlignment="1">
      <alignment horizontal="center" vertical="center" wrapText="1"/>
    </xf>
    <xf numFmtId="2" fontId="15" fillId="6" borderId="7" xfId="0" applyNumberFormat="1" applyFont="1" applyFill="1" applyBorder="1" applyAlignment="1">
      <alignment horizontal="center" vertical="center" wrapText="1"/>
    </xf>
    <xf numFmtId="2" fontId="15" fillId="6" borderId="4" xfId="0" applyNumberFormat="1" applyFont="1" applyFill="1" applyBorder="1" applyAlignment="1">
      <alignment horizontal="center" vertical="center" wrapText="1"/>
    </xf>
    <xf numFmtId="164" fontId="15" fillId="5" borderId="7" xfId="0" applyNumberFormat="1" applyFont="1" applyFill="1" applyBorder="1" applyAlignment="1">
      <alignment horizontal="center" vertical="center" wrapText="1"/>
    </xf>
    <xf numFmtId="164" fontId="15" fillId="5" borderId="4" xfId="0" applyNumberFormat="1" applyFont="1" applyFill="1" applyBorder="1" applyAlignment="1">
      <alignment horizontal="center" vertical="center" wrapText="1"/>
    </xf>
    <xf numFmtId="2" fontId="15" fillId="5" borderId="7" xfId="0" applyNumberFormat="1" applyFont="1" applyFill="1" applyBorder="1" applyAlignment="1">
      <alignment horizontal="center" vertical="center" wrapText="1"/>
    </xf>
    <xf numFmtId="2" fontId="15" fillId="5" borderId="4" xfId="0" applyNumberFormat="1" applyFont="1" applyFill="1" applyBorder="1" applyAlignment="1">
      <alignment horizontal="center" vertical="center" wrapText="1"/>
    </xf>
    <xf numFmtId="164" fontId="29" fillId="4" borderId="7" xfId="0" applyNumberFormat="1" applyFont="1" applyFill="1" applyBorder="1" applyAlignment="1">
      <alignment horizontal="center" vertical="center" wrapText="1"/>
    </xf>
    <xf numFmtId="164" fontId="29" fillId="4" borderId="4" xfId="0" applyNumberFormat="1" applyFont="1" applyFill="1" applyBorder="1" applyAlignment="1">
      <alignment horizontal="center" vertical="center" wrapText="1"/>
    </xf>
    <xf numFmtId="2" fontId="15" fillId="4" borderId="7" xfId="0" applyNumberFormat="1" applyFont="1" applyFill="1" applyBorder="1" applyAlignment="1">
      <alignment horizontal="center" vertical="center" wrapText="1"/>
    </xf>
    <xf numFmtId="2" fontId="15" fillId="4" borderId="4" xfId="0" applyNumberFormat="1" applyFont="1" applyFill="1" applyBorder="1" applyAlignment="1">
      <alignment horizontal="center" vertical="center" wrapText="1"/>
    </xf>
    <xf numFmtId="164" fontId="15" fillId="4" borderId="7" xfId="0" applyNumberFormat="1" applyFont="1" applyFill="1" applyBorder="1" applyAlignment="1">
      <alignment horizontal="center" vertical="center" wrapText="1"/>
    </xf>
    <xf numFmtId="164" fontId="15" fillId="4" borderId="4" xfId="0" applyNumberFormat="1" applyFont="1" applyFill="1" applyBorder="1" applyAlignment="1">
      <alignment horizontal="center" vertical="center" wrapText="1"/>
    </xf>
    <xf numFmtId="0" fontId="22" fillId="0" borderId="0" xfId="2" applyFont="1" applyAlignment="1">
      <alignment horizontal="center" vertical="center"/>
    </xf>
    <xf numFmtId="0" fontId="14" fillId="3" borderId="0" xfId="0" applyFont="1" applyFill="1" applyAlignment="1">
      <alignment horizontal="left" vertical="center"/>
    </xf>
    <xf numFmtId="0" fontId="20" fillId="3" borderId="0" xfId="1" applyFont="1" applyFill="1" applyAlignment="1">
      <alignment horizontal="left" vertical="center"/>
    </xf>
    <xf numFmtId="0" fontId="20" fillId="0" borderId="0" xfId="1" applyFont="1" applyAlignment="1">
      <alignment horizontal="left" vertical="center"/>
    </xf>
    <xf numFmtId="0" fontId="18" fillId="3" borderId="0" xfId="0" applyFont="1" applyFill="1" applyAlignment="1">
      <alignment horizontal="center"/>
    </xf>
    <xf numFmtId="166" fontId="23" fillId="0" borderId="1" xfId="0" applyNumberFormat="1" applyFont="1" applyBorder="1" applyAlignment="1">
      <alignment horizontal="center" vertical="center"/>
    </xf>
    <xf numFmtId="0" fontId="14" fillId="0" borderId="1" xfId="2" applyFont="1" applyBorder="1" applyAlignment="1">
      <alignment horizontal="center"/>
    </xf>
    <xf numFmtId="166" fontId="14" fillId="7" borderId="7" xfId="0" applyNumberFormat="1" applyFont="1" applyFill="1" applyBorder="1" applyAlignment="1">
      <alignment horizontal="center" vertical="center" wrapText="1"/>
    </xf>
    <xf numFmtId="166" fontId="14" fillId="7" borderId="4" xfId="0" applyNumberFormat="1" applyFont="1" applyFill="1" applyBorder="1" applyAlignment="1">
      <alignment horizontal="center" vertical="center" wrapText="1"/>
    </xf>
    <xf numFmtId="166" fontId="14" fillId="5" borderId="7" xfId="0" applyNumberFormat="1" applyFont="1" applyFill="1" applyBorder="1" applyAlignment="1">
      <alignment horizontal="center" vertical="center" wrapText="1"/>
    </xf>
    <xf numFmtId="166" fontId="14" fillId="5" borderId="4" xfId="0" applyNumberFormat="1" applyFont="1" applyFill="1" applyBorder="1" applyAlignment="1">
      <alignment horizontal="center" vertical="center" wrapText="1"/>
    </xf>
    <xf numFmtId="166" fontId="14" fillId="6" borderId="7" xfId="0" applyNumberFormat="1" applyFont="1" applyFill="1" applyBorder="1" applyAlignment="1">
      <alignment horizontal="center" vertical="center" wrapText="1"/>
    </xf>
    <xf numFmtId="166" fontId="14" fillId="6" borderId="4" xfId="0" applyNumberFormat="1" applyFont="1" applyFill="1" applyBorder="1" applyAlignment="1">
      <alignment horizontal="center" vertical="center" wrapText="1"/>
    </xf>
    <xf numFmtId="166" fontId="14" fillId="4" borderId="7" xfId="0" applyNumberFormat="1" applyFont="1" applyFill="1" applyBorder="1" applyAlignment="1">
      <alignment horizontal="center" vertical="center" wrapText="1"/>
    </xf>
    <xf numFmtId="166" fontId="14" fillId="4" borderId="4" xfId="0" applyNumberFormat="1" applyFont="1" applyFill="1" applyBorder="1" applyAlignment="1">
      <alignment horizontal="center" vertical="center" wrapText="1"/>
    </xf>
    <xf numFmtId="166" fontId="15" fillId="5" borderId="7" xfId="0" applyNumberFormat="1" applyFont="1" applyFill="1" applyBorder="1" applyAlignment="1">
      <alignment horizontal="center" vertical="center" wrapText="1"/>
    </xf>
    <xf numFmtId="166" fontId="15" fillId="5" borderId="4" xfId="0" applyNumberFormat="1" applyFont="1" applyFill="1" applyBorder="1" applyAlignment="1">
      <alignment horizontal="center" vertical="center" wrapText="1"/>
    </xf>
    <xf numFmtId="2" fontId="14" fillId="7" borderId="7" xfId="0" applyNumberFormat="1" applyFont="1" applyFill="1" applyBorder="1" applyAlignment="1">
      <alignment horizontal="center" vertical="center" wrapText="1"/>
    </xf>
    <xf numFmtId="2" fontId="14" fillId="7" borderId="4" xfId="0" applyNumberFormat="1" applyFont="1" applyFill="1" applyBorder="1" applyAlignment="1">
      <alignment horizontal="center" vertical="center" wrapText="1"/>
    </xf>
    <xf numFmtId="2" fontId="15" fillId="7" borderId="7" xfId="0" applyNumberFormat="1" applyFont="1" applyFill="1" applyBorder="1" applyAlignment="1">
      <alignment horizontal="center" vertical="center" wrapText="1"/>
    </xf>
    <xf numFmtId="2" fontId="15" fillId="7" borderId="4" xfId="0" applyNumberFormat="1" applyFont="1" applyFill="1" applyBorder="1" applyAlignment="1">
      <alignment horizontal="center" vertical="center" wrapText="1"/>
    </xf>
    <xf numFmtId="2" fontId="14" fillId="6" borderId="7" xfId="0" applyNumberFormat="1" applyFont="1" applyFill="1" applyBorder="1" applyAlignment="1">
      <alignment horizontal="center" vertical="center" wrapText="1"/>
    </xf>
    <xf numFmtId="2" fontId="14" fillId="6" borderId="4" xfId="0" applyNumberFormat="1" applyFont="1" applyFill="1" applyBorder="1" applyAlignment="1">
      <alignment horizontal="center" vertical="center" wrapText="1"/>
    </xf>
    <xf numFmtId="2" fontId="14" fillId="5" borderId="7" xfId="0" applyNumberFormat="1" applyFont="1" applyFill="1" applyBorder="1" applyAlignment="1">
      <alignment horizontal="center" vertical="center" wrapText="1"/>
    </xf>
    <xf numFmtId="2" fontId="14" fillId="5" borderId="4" xfId="0" applyNumberFormat="1" applyFont="1" applyFill="1" applyBorder="1" applyAlignment="1">
      <alignment horizontal="center" vertical="center" wrapText="1"/>
    </xf>
    <xf numFmtId="2" fontId="14" fillId="4" borderId="7" xfId="0" applyNumberFormat="1" applyFont="1" applyFill="1" applyBorder="1" applyAlignment="1">
      <alignment horizontal="center" vertical="center" wrapText="1"/>
    </xf>
    <xf numFmtId="2" fontId="14" fillId="4" borderId="4" xfId="0" applyNumberFormat="1" applyFont="1" applyFill="1" applyBorder="1" applyAlignment="1">
      <alignment horizontal="center" vertical="center" wrapText="1"/>
    </xf>
  </cellXfs>
  <cellStyles count="49">
    <cellStyle name="Excel Built-in Excel Built-in Excel Built-in Excel Built-in Excel Built-in Excel Built-in " xfId="11" xr:uid="{00000000-0005-0000-0000-000000000000}"/>
    <cellStyle name="Excel Built-in Excel Built-in Excel Built-in Excel Built-in Excel Built-in Excel Built-in Excel Built-in Excel Built-in Excel Built-in Excel Built-in Excel Built-in Excel Built-in Excel Built-in Excel Built-in Excel Built-in Excel Built-in Excel B" xfId="12" xr:uid="{00000000-0005-0000-0000-000001000000}"/>
    <cellStyle name="Hyperlink" xfId="48" builtinId="8"/>
    <cellStyle name="Normal" xfId="0" builtinId="0"/>
    <cellStyle name="Normal 2" xfId="1" xr:uid="{00000000-0005-0000-0000-000003000000}"/>
    <cellStyle name="Normal 2 2" xfId="3" xr:uid="{00000000-0005-0000-0000-000004000000}"/>
    <cellStyle name="Normal 2 2 2" xfId="13" xr:uid="{00000000-0005-0000-0000-000005000000}"/>
    <cellStyle name="Normal 2 2 2 2" xfId="14" xr:uid="{00000000-0005-0000-0000-000006000000}"/>
    <cellStyle name="Normal 2 2 2 3" xfId="15" xr:uid="{00000000-0005-0000-0000-000007000000}"/>
    <cellStyle name="Normal 2 2 3" xfId="16" xr:uid="{00000000-0005-0000-0000-000008000000}"/>
    <cellStyle name="Normal 2 2 3 2" xfId="17" xr:uid="{00000000-0005-0000-0000-000009000000}"/>
    <cellStyle name="Normal 2 2 3 2 2" xfId="18" xr:uid="{00000000-0005-0000-0000-00000A000000}"/>
    <cellStyle name="Normal 2 2 3 2 2 2" xfId="19" xr:uid="{00000000-0005-0000-0000-00000B000000}"/>
    <cellStyle name="Normal 2 2 3 2 2 2 2" xfId="20" xr:uid="{00000000-0005-0000-0000-00000C000000}"/>
    <cellStyle name="Normal 2 2 3 2 2 2 2 2" xfId="21" xr:uid="{00000000-0005-0000-0000-00000D000000}"/>
    <cellStyle name="Normal 2 2 3 2 2 2 2 3" xfId="22" xr:uid="{00000000-0005-0000-0000-00000E000000}"/>
    <cellStyle name="Normal 2 2 3 2 2 2 2 3 2" xfId="23" xr:uid="{00000000-0005-0000-0000-00000F000000}"/>
    <cellStyle name="Normal 2 2 3 2 2 2 2 3 3" xfId="24" xr:uid="{00000000-0005-0000-0000-000010000000}"/>
    <cellStyle name="Normal 2 2 3 2 2 2 2 3 3 2" xfId="25" xr:uid="{00000000-0005-0000-0000-000011000000}"/>
    <cellStyle name="Normal 2 2 3 2 2 2 2 3 3 2 2" xfId="26" xr:uid="{00000000-0005-0000-0000-000012000000}"/>
    <cellStyle name="Normal 2 2 3 2 2 2 2 3 3 2 2 2" xfId="27" xr:uid="{00000000-0005-0000-0000-000013000000}"/>
    <cellStyle name="Normal 2 2 3 2 2 2 2 3 3 2 2 2 2" xfId="28" xr:uid="{00000000-0005-0000-0000-000014000000}"/>
    <cellStyle name="Normal 2 2 3 2 2 2 2 3 3 2 2 2 2 2" xfId="29" xr:uid="{00000000-0005-0000-0000-000015000000}"/>
    <cellStyle name="Normal 2 2 3 2 2 2 2 3 3 2 2 2 2 2 2" xfId="30" xr:uid="{00000000-0005-0000-0000-000016000000}"/>
    <cellStyle name="Normal 2 2 3 2 2 2 2 3 3 2 2 2 2 2 2 2" xfId="31" xr:uid="{00000000-0005-0000-0000-000017000000}"/>
    <cellStyle name="Normal 2 2 3 2 2 2 2 3 3 2 2 2 2 2 2 3" xfId="32" xr:uid="{00000000-0005-0000-0000-000018000000}"/>
    <cellStyle name="Normal 2 2 3 2 2 2 2 3 3 2 2 2 2 2 2 3 2" xfId="33" xr:uid="{00000000-0005-0000-0000-000019000000}"/>
    <cellStyle name="Normal 2 2 3 2 2 2 2 3 3 2 2 2 2 2 2 3 2 2" xfId="34" xr:uid="{00000000-0005-0000-0000-00001A000000}"/>
    <cellStyle name="Normal 2 2 3 2 2 2 2 3 3 2 2 2 2 2 2 3 2 2 2" xfId="35" xr:uid="{00000000-0005-0000-0000-00001B000000}"/>
    <cellStyle name="Normal 2 2 3 2 2 2 2 3 3 2 2 2 2 2 2 3 2 2 2 2" xfId="36" xr:uid="{00000000-0005-0000-0000-00001C000000}"/>
    <cellStyle name="Normal 2 2 3 2 2 2 2 3 3 2 2 2 2 2 2 3 2 2 2 2 2" xfId="37" xr:uid="{00000000-0005-0000-0000-00001D000000}"/>
    <cellStyle name="Normal 2 2 3 2 2 2 2 3 3 2 2 2 2 2 2 3 2 2 2 2 2 2" xfId="38" xr:uid="{00000000-0005-0000-0000-00001E000000}"/>
    <cellStyle name="Normal 2 3" xfId="4" xr:uid="{00000000-0005-0000-0000-00001F000000}"/>
    <cellStyle name="Normal 2 4" xfId="5" xr:uid="{00000000-0005-0000-0000-000020000000}"/>
    <cellStyle name="Normal 2 5" xfId="39" xr:uid="{00000000-0005-0000-0000-000021000000}"/>
    <cellStyle name="Normal 3" xfId="6" xr:uid="{00000000-0005-0000-0000-000022000000}"/>
    <cellStyle name="Normal 3 2" xfId="7" xr:uid="{00000000-0005-0000-0000-000023000000}"/>
    <cellStyle name="Normal 3 2 2" xfId="40" xr:uid="{00000000-0005-0000-0000-000024000000}"/>
    <cellStyle name="Normal 3 3" xfId="41" xr:uid="{00000000-0005-0000-0000-000025000000}"/>
    <cellStyle name="Normal 4" xfId="8" xr:uid="{00000000-0005-0000-0000-000026000000}"/>
    <cellStyle name="Normal 4 2" xfId="42" xr:uid="{00000000-0005-0000-0000-000027000000}"/>
    <cellStyle name="Normal 4 3" xfId="43" xr:uid="{00000000-0005-0000-0000-000028000000}"/>
    <cellStyle name="Normal 5" xfId="10" xr:uid="{00000000-0005-0000-0000-000029000000}"/>
    <cellStyle name="Normal 6" xfId="44" xr:uid="{00000000-0005-0000-0000-00002A000000}"/>
    <cellStyle name="Normal 7" xfId="45" xr:uid="{00000000-0005-0000-0000-00002B000000}"/>
    <cellStyle name="Normal 8" xfId="46" xr:uid="{00000000-0005-0000-0000-00002C000000}"/>
    <cellStyle name="Normal 8 2" xfId="47" xr:uid="{00000000-0005-0000-0000-00002D000000}"/>
    <cellStyle name="Style 1 2" xfId="9" xr:uid="{00000000-0005-0000-0000-00002E000000}"/>
    <cellStyle name="TableStyleLight1" xfId="2" xr:uid="{00000000-0005-0000-0000-00002F000000}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Deret Standar Cd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0815077185048947"/>
                  <c:y val="4.7793734263800666E-2"/>
                </c:manualLayout>
              </c:layout>
              <c:numFmt formatCode="#,##0.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'EU_Cd '!$D$20:$D$27</c:f>
              <c:numCache>
                <c:formatCode>0.000</c:formatCode>
                <c:ptCount val="8"/>
                <c:pt idx="0">
                  <c:v>0</c:v>
                </c:pt>
                <c:pt idx="1">
                  <c:v>0.124625</c:v>
                </c:pt>
                <c:pt idx="2" formatCode="0.00">
                  <c:v>0.24925</c:v>
                </c:pt>
                <c:pt idx="3" formatCode="0.00">
                  <c:v>0.4985</c:v>
                </c:pt>
                <c:pt idx="4" formatCode="0.00">
                  <c:v>0.997</c:v>
                </c:pt>
                <c:pt idx="5" formatCode="0.00">
                  <c:v>1.994</c:v>
                </c:pt>
                <c:pt idx="6" formatCode="0.00">
                  <c:v>2.9910000000000001</c:v>
                </c:pt>
                <c:pt idx="7" formatCode="0.00">
                  <c:v>4.9850000000000003</c:v>
                </c:pt>
              </c:numCache>
            </c:numRef>
          </c:xVal>
          <c:yVal>
            <c:numRef>
              <c:f>'EU_Cd '!$H$20:$H$27</c:f>
              <c:numCache>
                <c:formatCode>0.00000</c:formatCode>
                <c:ptCount val="8"/>
                <c:pt idx="0">
                  <c:v>0</c:v>
                </c:pt>
                <c:pt idx="1">
                  <c:v>2.0114247884137586E-4</c:v>
                </c:pt>
                <c:pt idx="2">
                  <c:v>3.1374460927528086E-4</c:v>
                </c:pt>
                <c:pt idx="3">
                  <c:v>6.5521846018617286E-4</c:v>
                </c:pt>
                <c:pt idx="4" formatCode="0.0000">
                  <c:v>1.326365155951728E-3</c:v>
                </c:pt>
                <c:pt idx="5" formatCode="0.0000">
                  <c:v>2.7210444048106222E-3</c:v>
                </c:pt>
                <c:pt idx="6" formatCode="0.0000">
                  <c:v>3.7906573583080137E-3</c:v>
                </c:pt>
                <c:pt idx="7" formatCode="0.0000">
                  <c:v>6.5838849426820192E-3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F0-4BA0-BAEB-AB3D6968C6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36512"/>
        <c:axId val="83391552"/>
      </c:scatterChart>
      <c:valAx>
        <c:axId val="2536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Konsentrasi Deret Standar Terkoreksi (mg/L)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91552"/>
        <c:crosses val="autoZero"/>
        <c:crossBetween val="midCat"/>
      </c:valAx>
      <c:valAx>
        <c:axId val="8339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 Terkotreksi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6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444" l="0.70000000000000062" r="0.70000000000000062" t="0.75000000000000444" header="0.30000000000000032" footer="0.30000000000000032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Deret Standar Cd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0815077185048947"/>
                  <c:y val="4.7793734263800666E-2"/>
                </c:manualLayout>
              </c:layout>
              <c:numFmt formatCode="#,##0.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BPOM_Cd!$D$20:$D$27</c:f>
              <c:numCache>
                <c:formatCode>0.000</c:formatCode>
                <c:ptCount val="8"/>
                <c:pt idx="0">
                  <c:v>0</c:v>
                </c:pt>
                <c:pt idx="1">
                  <c:v>2.4924999999999999E-2</c:v>
                </c:pt>
                <c:pt idx="2" formatCode="0.00">
                  <c:v>4.9849999999999998E-2</c:v>
                </c:pt>
                <c:pt idx="3" formatCode="0.00">
                  <c:v>9.9699999999999997E-2</c:v>
                </c:pt>
                <c:pt idx="4" formatCode="0.00">
                  <c:v>0.4985</c:v>
                </c:pt>
                <c:pt idx="5" formatCode="0.00">
                  <c:v>0.997</c:v>
                </c:pt>
                <c:pt idx="6" formatCode="0.00">
                  <c:v>1.994</c:v>
                </c:pt>
                <c:pt idx="7" formatCode="0.00">
                  <c:v>2.9910000000000001</c:v>
                </c:pt>
              </c:numCache>
            </c:numRef>
          </c:xVal>
          <c:yVal>
            <c:numRef>
              <c:f>BPOM_Cd!$H$20:$H$27</c:f>
              <c:numCache>
                <c:formatCode>0.000000</c:formatCode>
                <c:ptCount val="8"/>
                <c:pt idx="0">
                  <c:v>0</c:v>
                </c:pt>
                <c:pt idx="1">
                  <c:v>4.823294299085727E-5</c:v>
                </c:pt>
                <c:pt idx="2">
                  <c:v>9.3127724999908068E-5</c:v>
                </c:pt>
                <c:pt idx="3" formatCode="0.00000">
                  <c:v>1.8054409864989542E-4</c:v>
                </c:pt>
                <c:pt idx="4" formatCode="0.0000">
                  <c:v>9.9198138536669132E-4</c:v>
                </c:pt>
                <c:pt idx="5" formatCode="0.0000">
                  <c:v>1.9418925111171137E-3</c:v>
                </c:pt>
                <c:pt idx="6" formatCode="0.0000">
                  <c:v>3.7986869266590801E-3</c:v>
                </c:pt>
                <c:pt idx="7" formatCode="0.0000">
                  <c:v>5.9173985490422187E-3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85-4E19-8A22-E6044D105F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36512"/>
        <c:axId val="83391552"/>
      </c:scatterChart>
      <c:valAx>
        <c:axId val="2536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Konsentrasi Deret Standar Terkoreksi (mg/L)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91552"/>
        <c:crosses val="autoZero"/>
        <c:crossBetween val="midCat"/>
      </c:valAx>
      <c:valAx>
        <c:axId val="8339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 Terkotreksi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6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444" l="0.70000000000000062" r="0.70000000000000062" t="0.75000000000000444" header="0.30000000000000032" footer="0.30000000000000032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Deret Standar Cd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0815077185048947"/>
                  <c:y val="4.7793734263800666E-2"/>
                </c:manualLayout>
              </c:layout>
              <c:numFmt formatCode="#,##0.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EU_Sb!$D$20:$D$27</c:f>
              <c:numCache>
                <c:formatCode>0.000</c:formatCode>
                <c:ptCount val="8"/>
                <c:pt idx="0">
                  <c:v>0</c:v>
                </c:pt>
                <c:pt idx="1">
                  <c:v>0.125</c:v>
                </c:pt>
                <c:pt idx="2" formatCode="0.00">
                  <c:v>0.25</c:v>
                </c:pt>
                <c:pt idx="3" formatCode="0.00">
                  <c:v>0.5</c:v>
                </c:pt>
                <c:pt idx="4" formatCode="0.00">
                  <c:v>1</c:v>
                </c:pt>
                <c:pt idx="5" formatCode="0.00">
                  <c:v>2</c:v>
                </c:pt>
                <c:pt idx="6" formatCode="0.00">
                  <c:v>3</c:v>
                </c:pt>
                <c:pt idx="7" formatCode="0.00">
                  <c:v>5</c:v>
                </c:pt>
              </c:numCache>
            </c:numRef>
          </c:xVal>
          <c:yVal>
            <c:numRef>
              <c:f>EU_Sb!$H$20:$H$27</c:f>
              <c:numCache>
                <c:formatCode>0.00000</c:formatCode>
                <c:ptCount val="8"/>
                <c:pt idx="0">
                  <c:v>0</c:v>
                </c:pt>
                <c:pt idx="1">
                  <c:v>2.9734089389580194E-4</c:v>
                </c:pt>
                <c:pt idx="2">
                  <c:v>5.5778781275716649E-4</c:v>
                </c:pt>
                <c:pt idx="3">
                  <c:v>1.333234479087207E-3</c:v>
                </c:pt>
                <c:pt idx="4" formatCode="0.0000">
                  <c:v>3.0049178172457478E-3</c:v>
                </c:pt>
                <c:pt idx="5" formatCode="0.0000">
                  <c:v>6.2988675017607984E-3</c:v>
                </c:pt>
                <c:pt idx="6" formatCode="0.0000">
                  <c:v>9.4294550477906948E-3</c:v>
                </c:pt>
                <c:pt idx="7" formatCode="0.000">
                  <c:v>1.541135412206918E-2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9E-4406-986F-14EEC95D25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36512"/>
        <c:axId val="83391552"/>
      </c:scatterChart>
      <c:valAx>
        <c:axId val="2536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Konsentrasi Deret Standar Terkoreksi (mg/L)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91552"/>
        <c:crosses val="autoZero"/>
        <c:crossBetween val="midCat"/>
      </c:valAx>
      <c:valAx>
        <c:axId val="8339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 Terkotreksi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6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444" l="0.70000000000000062" r="0.70000000000000062" t="0.75000000000000444" header="0.30000000000000032" footer="0.30000000000000032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Deret Standar Cd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0815077185048947"/>
                  <c:y val="4.7793734263800666E-2"/>
                </c:manualLayout>
              </c:layout>
              <c:numFmt formatCode="#,##0.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BPOM_Sb!$D$20:$D$27</c:f>
              <c:numCache>
                <c:formatCode>0.000</c:formatCode>
                <c:ptCount val="8"/>
                <c:pt idx="0">
                  <c:v>0</c:v>
                </c:pt>
                <c:pt idx="1">
                  <c:v>0.125</c:v>
                </c:pt>
                <c:pt idx="2" formatCode="0.00">
                  <c:v>0.25</c:v>
                </c:pt>
                <c:pt idx="3" formatCode="0.00">
                  <c:v>0.5</c:v>
                </c:pt>
                <c:pt idx="4" formatCode="0.00">
                  <c:v>1</c:v>
                </c:pt>
                <c:pt idx="5" formatCode="0.00">
                  <c:v>2</c:v>
                </c:pt>
                <c:pt idx="6" formatCode="0.00">
                  <c:v>3</c:v>
                </c:pt>
                <c:pt idx="7" formatCode="0.00">
                  <c:v>5</c:v>
                </c:pt>
              </c:numCache>
            </c:numRef>
          </c:xVal>
          <c:yVal>
            <c:numRef>
              <c:f>BPOM_Sb!$H$20:$H$27</c:f>
              <c:numCache>
                <c:formatCode>0.00000</c:formatCode>
                <c:ptCount val="8"/>
                <c:pt idx="0">
                  <c:v>0</c:v>
                </c:pt>
                <c:pt idx="1">
                  <c:v>4.896214353280982E-4</c:v>
                </c:pt>
                <c:pt idx="2">
                  <c:v>6.9757255038040448E-4</c:v>
                </c:pt>
                <c:pt idx="3" formatCode="0.0000">
                  <c:v>2.0928873248328749E-3</c:v>
                </c:pt>
                <c:pt idx="4" formatCode="0.0000">
                  <c:v>4.2835218483618116E-3</c:v>
                </c:pt>
                <c:pt idx="5" formatCode="0.0000">
                  <c:v>9.4514902596626264E-3</c:v>
                </c:pt>
                <c:pt idx="6" formatCode="0.000">
                  <c:v>1.4167550382683637E-2</c:v>
                </c:pt>
                <c:pt idx="7" formatCode="0.000">
                  <c:v>2.3937446555564752E-2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F64-4F00-82DD-E774B697C0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36512"/>
        <c:axId val="83391552"/>
      </c:scatterChart>
      <c:valAx>
        <c:axId val="2536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Konsentrasi Deret Standar Terkoreksi (mg/L)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91552"/>
        <c:crosses val="autoZero"/>
        <c:crossBetween val="midCat"/>
      </c:valAx>
      <c:valAx>
        <c:axId val="8339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 Terkotreksi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6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444" l="0.70000000000000062" r="0.70000000000000062" t="0.75000000000000444" header="0.30000000000000032" footer="0.30000000000000032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Deret Standar Cd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0815077185048947"/>
                  <c:y val="4.7793734263800666E-2"/>
                </c:manualLayout>
              </c:layout>
              <c:numFmt formatCode="#,##0.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EU_Hg!$D$20:$D$27</c:f>
              <c:numCache>
                <c:formatCode>0.000</c:formatCode>
                <c:ptCount val="8"/>
                <c:pt idx="0">
                  <c:v>0</c:v>
                </c:pt>
                <c:pt idx="1">
                  <c:v>0.125</c:v>
                </c:pt>
                <c:pt idx="2" formatCode="0.00">
                  <c:v>0.25</c:v>
                </c:pt>
                <c:pt idx="3" formatCode="0.00">
                  <c:v>0.5</c:v>
                </c:pt>
                <c:pt idx="4" formatCode="0.00">
                  <c:v>1</c:v>
                </c:pt>
                <c:pt idx="5" formatCode="0.00">
                  <c:v>2</c:v>
                </c:pt>
                <c:pt idx="6" formatCode="0.00">
                  <c:v>3</c:v>
                </c:pt>
                <c:pt idx="7" formatCode="0.00">
                  <c:v>5</c:v>
                </c:pt>
              </c:numCache>
            </c:numRef>
          </c:xVal>
          <c:yVal>
            <c:numRef>
              <c:f>EU_Hg!$H$20:$H$27</c:f>
              <c:numCache>
                <c:formatCode>0.00000</c:formatCode>
                <c:ptCount val="8"/>
                <c:pt idx="0">
                  <c:v>0</c:v>
                </c:pt>
                <c:pt idx="1">
                  <c:v>1.263765146896769E-4</c:v>
                </c:pt>
                <c:pt idx="2">
                  <c:v>2.1830250594164836E-4</c:v>
                </c:pt>
                <c:pt idx="3">
                  <c:v>3.6665498503923877E-4</c:v>
                </c:pt>
                <c:pt idx="4">
                  <c:v>6.4059242934872459E-4</c:v>
                </c:pt>
                <c:pt idx="5" formatCode="0.0000">
                  <c:v>1.3486631336529467E-3</c:v>
                </c:pt>
                <c:pt idx="6" formatCode="0.0000">
                  <c:v>2.2473267209213213E-3</c:v>
                </c:pt>
                <c:pt idx="7" formatCode="0.0000">
                  <c:v>3.5739283326338832E-3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D9E-4807-8D5F-52A65D923C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36512"/>
        <c:axId val="83391552"/>
      </c:scatterChart>
      <c:valAx>
        <c:axId val="2536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Konsentrasi Deret Standar Terkoreksi (mg/L)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91552"/>
        <c:crosses val="autoZero"/>
        <c:crossBetween val="midCat"/>
      </c:valAx>
      <c:valAx>
        <c:axId val="8339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 Terkotreksi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6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444" l="0.70000000000000062" r="0.70000000000000062" t="0.75000000000000444" header="0.30000000000000032" footer="0.30000000000000032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Deret Standar Cd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0815077185048947"/>
                  <c:y val="4.7793734263800666E-2"/>
                </c:manualLayout>
              </c:layout>
              <c:numFmt formatCode="#,##0.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BPOM_Hg!$D$20:$D$27</c:f>
              <c:numCache>
                <c:formatCode>0.000</c:formatCode>
                <c:ptCount val="8"/>
                <c:pt idx="0">
                  <c:v>0</c:v>
                </c:pt>
                <c:pt idx="1">
                  <c:v>0.125</c:v>
                </c:pt>
                <c:pt idx="2" formatCode="0.00">
                  <c:v>0.25</c:v>
                </c:pt>
                <c:pt idx="3" formatCode="0.00">
                  <c:v>0.5</c:v>
                </c:pt>
                <c:pt idx="4" formatCode="0.00">
                  <c:v>1</c:v>
                </c:pt>
                <c:pt idx="5" formatCode="0.00">
                  <c:v>2</c:v>
                </c:pt>
                <c:pt idx="6" formatCode="0.00">
                  <c:v>3</c:v>
                </c:pt>
                <c:pt idx="7" formatCode="0.00">
                  <c:v>5</c:v>
                </c:pt>
              </c:numCache>
            </c:numRef>
          </c:xVal>
          <c:yVal>
            <c:numRef>
              <c:f>BPOM_Hg!$H$20:$H$27</c:f>
              <c:numCache>
                <c:formatCode>0.000000</c:formatCode>
                <c:ptCount val="8"/>
                <c:pt idx="0">
                  <c:v>0</c:v>
                </c:pt>
                <c:pt idx="1">
                  <c:v>3.7525831996078265E-5</c:v>
                </c:pt>
                <c:pt idx="2">
                  <c:v>6.170356918352391E-5</c:v>
                </c:pt>
                <c:pt idx="3" formatCode="0.00000">
                  <c:v>1.2937716862397125E-4</c:v>
                </c:pt>
                <c:pt idx="4" formatCode="0.00000">
                  <c:v>2.7217566905967901E-4</c:v>
                </c:pt>
                <c:pt idx="5" formatCode="0.00000">
                  <c:v>5.9663817269631908E-4</c:v>
                </c:pt>
                <c:pt idx="6" formatCode="0.00000">
                  <c:v>8.329747450638742E-4</c:v>
                </c:pt>
                <c:pt idx="7" formatCode="0.0000">
                  <c:v>1.4369516967251193E-3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91-41A6-BE0A-B940FE94AC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36512"/>
        <c:axId val="83391552"/>
      </c:scatterChart>
      <c:valAx>
        <c:axId val="2536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Konsentrasi Deret Standar Terkoreksi (mg/L)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91552"/>
        <c:crosses val="autoZero"/>
        <c:crossBetween val="midCat"/>
      </c:valAx>
      <c:valAx>
        <c:axId val="8339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 Terkotreksi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6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444" l="0.70000000000000062" r="0.70000000000000062" t="0.75000000000000444" header="0.30000000000000032" footer="0.30000000000000032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Deret Standar Cd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0815077185048947"/>
                  <c:y val="4.7793734263800666E-2"/>
                </c:manualLayout>
              </c:layout>
              <c:numFmt formatCode="#,##0.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EU_Pb!$D$20:$D$27</c:f>
              <c:numCache>
                <c:formatCode>0.000</c:formatCode>
                <c:ptCount val="8"/>
                <c:pt idx="0">
                  <c:v>0</c:v>
                </c:pt>
                <c:pt idx="1">
                  <c:v>0.125</c:v>
                </c:pt>
                <c:pt idx="2" formatCode="0.00">
                  <c:v>0.25</c:v>
                </c:pt>
                <c:pt idx="3" formatCode="0.00">
                  <c:v>0.5</c:v>
                </c:pt>
                <c:pt idx="4" formatCode="0.00">
                  <c:v>1</c:v>
                </c:pt>
                <c:pt idx="5" formatCode="0.00">
                  <c:v>2</c:v>
                </c:pt>
                <c:pt idx="6" formatCode="0.00">
                  <c:v>3</c:v>
                </c:pt>
                <c:pt idx="7" formatCode="0.00">
                  <c:v>5</c:v>
                </c:pt>
              </c:numCache>
            </c:numRef>
          </c:xVal>
          <c:yVal>
            <c:numRef>
              <c:f>EU_Pb!$H$20:$H$27</c:f>
              <c:numCache>
                <c:formatCode>0.00000</c:formatCode>
                <c:ptCount val="8"/>
                <c:pt idx="0">
                  <c:v>0</c:v>
                </c:pt>
                <c:pt idx="1">
                  <c:v>4.6984261513741864E-4</c:v>
                </c:pt>
                <c:pt idx="2" formatCode="0.0000">
                  <c:v>1.1092180316658316E-3</c:v>
                </c:pt>
                <c:pt idx="3" formatCode="0.0000">
                  <c:v>1.8143579003706595E-3</c:v>
                </c:pt>
                <c:pt idx="4" formatCode="0.0000">
                  <c:v>3.8375261116028333E-3</c:v>
                </c:pt>
                <c:pt idx="5" formatCode="0.0000">
                  <c:v>7.1938297004819326E-3</c:v>
                </c:pt>
                <c:pt idx="6" formatCode="0.000">
                  <c:v>1.018636193664132E-2</c:v>
                </c:pt>
                <c:pt idx="7" formatCode="0.000">
                  <c:v>1.6801921964312003E-2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0F4-41CA-9BF7-5A3B5359B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36512"/>
        <c:axId val="83391552"/>
      </c:scatterChart>
      <c:valAx>
        <c:axId val="2536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Konsentrasi Deret Standar Terkoreksi (mg/L)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91552"/>
        <c:crosses val="autoZero"/>
        <c:crossBetween val="midCat"/>
      </c:valAx>
      <c:valAx>
        <c:axId val="8339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 Terkotreksi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6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444" l="0.70000000000000062" r="0.70000000000000062" t="0.75000000000000444" header="0.30000000000000032" footer="0.30000000000000032"/>
    <c:pageSetup orientation="portrait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Deret Standar Cd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0815077185048947"/>
                  <c:y val="4.7793734263800666E-2"/>
                </c:manualLayout>
              </c:layout>
              <c:numFmt formatCode="#,##0.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BPOM_Pb!$D$20:$D$27</c:f>
              <c:numCache>
                <c:formatCode>0.000</c:formatCode>
                <c:ptCount val="8"/>
                <c:pt idx="0">
                  <c:v>0</c:v>
                </c:pt>
                <c:pt idx="1">
                  <c:v>0.125</c:v>
                </c:pt>
                <c:pt idx="2" formatCode="0.00">
                  <c:v>0.25</c:v>
                </c:pt>
                <c:pt idx="3" formatCode="0.00">
                  <c:v>0.5</c:v>
                </c:pt>
                <c:pt idx="4" formatCode="0.00">
                  <c:v>1</c:v>
                </c:pt>
                <c:pt idx="5" formatCode="0.00">
                  <c:v>2</c:v>
                </c:pt>
                <c:pt idx="6" formatCode="0.00">
                  <c:v>3</c:v>
                </c:pt>
                <c:pt idx="7" formatCode="0.00">
                  <c:v>5</c:v>
                </c:pt>
              </c:numCache>
            </c:numRef>
          </c:xVal>
          <c:yVal>
            <c:numRef>
              <c:f>BPOM_Pb!$H$20:$H$27</c:f>
              <c:numCache>
                <c:formatCode>0.00000</c:formatCode>
                <c:ptCount val="8"/>
                <c:pt idx="0">
                  <c:v>0</c:v>
                </c:pt>
                <c:pt idx="1">
                  <c:v>7.8171465471106897E-4</c:v>
                </c:pt>
                <c:pt idx="2">
                  <c:v>1.9063758674877332E-3</c:v>
                </c:pt>
                <c:pt idx="3">
                  <c:v>3.4426867499364579E-3</c:v>
                </c:pt>
                <c:pt idx="4" formatCode="0.0000">
                  <c:v>6.6736840260861515E-3</c:v>
                </c:pt>
                <c:pt idx="5" formatCode="0.0000">
                  <c:v>1.3508893251800578E-2</c:v>
                </c:pt>
                <c:pt idx="6" formatCode="0.0000">
                  <c:v>1.9854502999809016E-2</c:v>
                </c:pt>
                <c:pt idx="7" formatCode="0.0000">
                  <c:v>3.4225470432081455E-2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0DA-4D63-9F54-FB737DFC4E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36512"/>
        <c:axId val="83391552"/>
      </c:scatterChart>
      <c:valAx>
        <c:axId val="2536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Konsentrasi Deret Standar Terkoreksi (mg/L)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91552"/>
        <c:crosses val="autoZero"/>
        <c:crossBetween val="midCat"/>
      </c:valAx>
      <c:valAx>
        <c:axId val="8339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 Terkotreksi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6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444" l="0.70000000000000062" r="0.70000000000000062" t="0.75000000000000444" header="0.30000000000000032" footer="0.30000000000000032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7470</xdr:colOff>
      <xdr:row>18</xdr:row>
      <xdr:rowOff>9338</xdr:rowOff>
    </xdr:from>
    <xdr:to>
      <xdr:col>15</xdr:col>
      <xdr:colOff>821765</xdr:colOff>
      <xdr:row>31</xdr:row>
      <xdr:rowOff>88045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B7F35D-6260-4E6E-99CD-6AF65E12EC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11117</xdr:colOff>
      <xdr:row>0</xdr:row>
      <xdr:rowOff>26195</xdr:rowOff>
    </xdr:from>
    <xdr:to>
      <xdr:col>2</xdr:col>
      <xdr:colOff>963617</xdr:colOff>
      <xdr:row>1</xdr:row>
      <xdr:rowOff>63862</xdr:rowOff>
    </xdr:to>
    <xdr:pic>
      <xdr:nvPicPr>
        <xdr:cNvPr id="3" name="image1.png">
          <a:extLst>
            <a:ext uri="{FF2B5EF4-FFF2-40B4-BE49-F238E27FC236}">
              <a16:creationId xmlns:a16="http://schemas.microsoft.com/office/drawing/2014/main" id="{693832B1-7207-493E-8153-590D026F7F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017" t="24252" r="12920" b="24037"/>
        <a:stretch>
          <a:fillRect/>
        </a:stretch>
      </xdr:blipFill>
      <xdr:spPr bwMode="auto">
        <a:xfrm>
          <a:off x="620717" y="26195"/>
          <a:ext cx="952500" cy="539317"/>
        </a:xfrm>
        <a:prstGeom prst="rect">
          <a:avLst/>
        </a:prstGeom>
        <a:solidFill>
          <a:sysClr val="window" lastClr="FFFFFF"/>
        </a:solidFill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7470</xdr:colOff>
      <xdr:row>18</xdr:row>
      <xdr:rowOff>9338</xdr:rowOff>
    </xdr:from>
    <xdr:to>
      <xdr:col>15</xdr:col>
      <xdr:colOff>821765</xdr:colOff>
      <xdr:row>31</xdr:row>
      <xdr:rowOff>88045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11117</xdr:colOff>
      <xdr:row>0</xdr:row>
      <xdr:rowOff>26195</xdr:rowOff>
    </xdr:from>
    <xdr:to>
      <xdr:col>2</xdr:col>
      <xdr:colOff>963617</xdr:colOff>
      <xdr:row>1</xdr:row>
      <xdr:rowOff>63862</xdr:rowOff>
    </xdr:to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017" t="24252" r="12920" b="24037"/>
        <a:stretch>
          <a:fillRect/>
        </a:stretch>
      </xdr:blipFill>
      <xdr:spPr bwMode="auto">
        <a:xfrm>
          <a:off x="594523" y="26195"/>
          <a:ext cx="952500" cy="537730"/>
        </a:xfrm>
        <a:prstGeom prst="rect">
          <a:avLst/>
        </a:prstGeom>
        <a:solidFill>
          <a:sysClr val="window" lastClr="FFFFFF"/>
        </a:solidFill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7470</xdr:colOff>
      <xdr:row>18</xdr:row>
      <xdr:rowOff>9338</xdr:rowOff>
    </xdr:from>
    <xdr:to>
      <xdr:col>15</xdr:col>
      <xdr:colOff>821765</xdr:colOff>
      <xdr:row>31</xdr:row>
      <xdr:rowOff>88045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EB67E5-CB90-4606-8643-8EB08A61EF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11117</xdr:colOff>
      <xdr:row>0</xdr:row>
      <xdr:rowOff>26195</xdr:rowOff>
    </xdr:from>
    <xdr:to>
      <xdr:col>2</xdr:col>
      <xdr:colOff>963617</xdr:colOff>
      <xdr:row>1</xdr:row>
      <xdr:rowOff>63862</xdr:rowOff>
    </xdr:to>
    <xdr:pic>
      <xdr:nvPicPr>
        <xdr:cNvPr id="3" name="image1.png">
          <a:extLst>
            <a:ext uri="{FF2B5EF4-FFF2-40B4-BE49-F238E27FC236}">
              <a16:creationId xmlns:a16="http://schemas.microsoft.com/office/drawing/2014/main" id="{AC4B6633-29DA-416F-98A8-1AF7C29862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017" t="24252" r="12920" b="24037"/>
        <a:stretch>
          <a:fillRect/>
        </a:stretch>
      </xdr:blipFill>
      <xdr:spPr bwMode="auto">
        <a:xfrm>
          <a:off x="620717" y="26195"/>
          <a:ext cx="952500" cy="539317"/>
        </a:xfrm>
        <a:prstGeom prst="rect">
          <a:avLst/>
        </a:prstGeom>
        <a:solidFill>
          <a:sysClr val="window" lastClr="FFFFFF"/>
        </a:solidFill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7470</xdr:colOff>
      <xdr:row>18</xdr:row>
      <xdr:rowOff>9338</xdr:rowOff>
    </xdr:from>
    <xdr:to>
      <xdr:col>15</xdr:col>
      <xdr:colOff>821765</xdr:colOff>
      <xdr:row>31</xdr:row>
      <xdr:rowOff>88045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ECD57C-7D1D-421A-91EC-84C5D90E2C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11117</xdr:colOff>
      <xdr:row>0</xdr:row>
      <xdr:rowOff>26195</xdr:rowOff>
    </xdr:from>
    <xdr:to>
      <xdr:col>2</xdr:col>
      <xdr:colOff>963617</xdr:colOff>
      <xdr:row>1</xdr:row>
      <xdr:rowOff>63862</xdr:rowOff>
    </xdr:to>
    <xdr:pic>
      <xdr:nvPicPr>
        <xdr:cNvPr id="3" name="image1.png">
          <a:extLst>
            <a:ext uri="{FF2B5EF4-FFF2-40B4-BE49-F238E27FC236}">
              <a16:creationId xmlns:a16="http://schemas.microsoft.com/office/drawing/2014/main" id="{7BFE96AF-01E8-445D-921C-55D3609397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017" t="24252" r="12920" b="24037"/>
        <a:stretch>
          <a:fillRect/>
        </a:stretch>
      </xdr:blipFill>
      <xdr:spPr bwMode="auto">
        <a:xfrm>
          <a:off x="620717" y="26195"/>
          <a:ext cx="952500" cy="539317"/>
        </a:xfrm>
        <a:prstGeom prst="rect">
          <a:avLst/>
        </a:prstGeom>
        <a:solidFill>
          <a:sysClr val="window" lastClr="FFFFFF"/>
        </a:solidFill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7470</xdr:colOff>
      <xdr:row>18</xdr:row>
      <xdr:rowOff>9338</xdr:rowOff>
    </xdr:from>
    <xdr:to>
      <xdr:col>15</xdr:col>
      <xdr:colOff>821765</xdr:colOff>
      <xdr:row>31</xdr:row>
      <xdr:rowOff>88045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CB78B6-D787-431A-A73F-5199A24151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11117</xdr:colOff>
      <xdr:row>0</xdr:row>
      <xdr:rowOff>26195</xdr:rowOff>
    </xdr:from>
    <xdr:to>
      <xdr:col>2</xdr:col>
      <xdr:colOff>963617</xdr:colOff>
      <xdr:row>1</xdr:row>
      <xdr:rowOff>63862</xdr:rowOff>
    </xdr:to>
    <xdr:pic>
      <xdr:nvPicPr>
        <xdr:cNvPr id="3" name="image1.png">
          <a:extLst>
            <a:ext uri="{FF2B5EF4-FFF2-40B4-BE49-F238E27FC236}">
              <a16:creationId xmlns:a16="http://schemas.microsoft.com/office/drawing/2014/main" id="{38038AC6-4243-4259-B0FB-7E134DABA3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017" t="24252" r="12920" b="24037"/>
        <a:stretch>
          <a:fillRect/>
        </a:stretch>
      </xdr:blipFill>
      <xdr:spPr bwMode="auto">
        <a:xfrm>
          <a:off x="620717" y="26195"/>
          <a:ext cx="952500" cy="539317"/>
        </a:xfrm>
        <a:prstGeom prst="rect">
          <a:avLst/>
        </a:prstGeom>
        <a:solidFill>
          <a:sysClr val="window" lastClr="FFFFFF"/>
        </a:solidFill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7470</xdr:colOff>
      <xdr:row>18</xdr:row>
      <xdr:rowOff>9338</xdr:rowOff>
    </xdr:from>
    <xdr:to>
      <xdr:col>15</xdr:col>
      <xdr:colOff>821765</xdr:colOff>
      <xdr:row>31</xdr:row>
      <xdr:rowOff>88045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574774-4312-46C9-B8CA-91E8DC54A7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11117</xdr:colOff>
      <xdr:row>0</xdr:row>
      <xdr:rowOff>26195</xdr:rowOff>
    </xdr:from>
    <xdr:to>
      <xdr:col>2</xdr:col>
      <xdr:colOff>963617</xdr:colOff>
      <xdr:row>1</xdr:row>
      <xdr:rowOff>63862</xdr:rowOff>
    </xdr:to>
    <xdr:pic>
      <xdr:nvPicPr>
        <xdr:cNvPr id="3" name="image1.png">
          <a:extLst>
            <a:ext uri="{FF2B5EF4-FFF2-40B4-BE49-F238E27FC236}">
              <a16:creationId xmlns:a16="http://schemas.microsoft.com/office/drawing/2014/main" id="{96EFB059-92B1-4A7B-AC01-DAEE79277B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017" t="24252" r="12920" b="24037"/>
        <a:stretch>
          <a:fillRect/>
        </a:stretch>
      </xdr:blipFill>
      <xdr:spPr bwMode="auto">
        <a:xfrm>
          <a:off x="592142" y="26195"/>
          <a:ext cx="952500" cy="542492"/>
        </a:xfrm>
        <a:prstGeom prst="rect">
          <a:avLst/>
        </a:prstGeom>
        <a:solidFill>
          <a:sysClr val="window" lastClr="FFFFFF"/>
        </a:solidFill>
        <a:ln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7470</xdr:colOff>
      <xdr:row>18</xdr:row>
      <xdr:rowOff>9338</xdr:rowOff>
    </xdr:from>
    <xdr:to>
      <xdr:col>15</xdr:col>
      <xdr:colOff>821765</xdr:colOff>
      <xdr:row>31</xdr:row>
      <xdr:rowOff>88045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8534B6-2BE0-4022-B6A6-886B642175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11117</xdr:colOff>
      <xdr:row>0</xdr:row>
      <xdr:rowOff>26195</xdr:rowOff>
    </xdr:from>
    <xdr:to>
      <xdr:col>2</xdr:col>
      <xdr:colOff>963617</xdr:colOff>
      <xdr:row>1</xdr:row>
      <xdr:rowOff>63862</xdr:rowOff>
    </xdr:to>
    <xdr:pic>
      <xdr:nvPicPr>
        <xdr:cNvPr id="3" name="image1.png">
          <a:extLst>
            <a:ext uri="{FF2B5EF4-FFF2-40B4-BE49-F238E27FC236}">
              <a16:creationId xmlns:a16="http://schemas.microsoft.com/office/drawing/2014/main" id="{20E52A23-3D6C-4EE1-8FEF-A6D307B6BE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017" t="24252" r="12920" b="24037"/>
        <a:stretch>
          <a:fillRect/>
        </a:stretch>
      </xdr:blipFill>
      <xdr:spPr bwMode="auto">
        <a:xfrm>
          <a:off x="620717" y="26195"/>
          <a:ext cx="952500" cy="539317"/>
        </a:xfrm>
        <a:prstGeom prst="rect">
          <a:avLst/>
        </a:prstGeom>
        <a:solidFill>
          <a:sysClr val="window" lastClr="FFFFFF"/>
        </a:solidFill>
        <a:ln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7470</xdr:colOff>
      <xdr:row>18</xdr:row>
      <xdr:rowOff>9338</xdr:rowOff>
    </xdr:from>
    <xdr:to>
      <xdr:col>15</xdr:col>
      <xdr:colOff>821765</xdr:colOff>
      <xdr:row>31</xdr:row>
      <xdr:rowOff>88045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648ED5-07E8-4D8C-B935-12ACF7A980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11117</xdr:colOff>
      <xdr:row>0</xdr:row>
      <xdr:rowOff>26195</xdr:rowOff>
    </xdr:from>
    <xdr:to>
      <xdr:col>2</xdr:col>
      <xdr:colOff>963617</xdr:colOff>
      <xdr:row>1</xdr:row>
      <xdr:rowOff>63862</xdr:rowOff>
    </xdr:to>
    <xdr:pic>
      <xdr:nvPicPr>
        <xdr:cNvPr id="3" name="image1.png">
          <a:extLst>
            <a:ext uri="{FF2B5EF4-FFF2-40B4-BE49-F238E27FC236}">
              <a16:creationId xmlns:a16="http://schemas.microsoft.com/office/drawing/2014/main" id="{7F75E0BB-F344-4AE3-99FB-27AC2A6E47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017" t="24252" r="12920" b="24037"/>
        <a:stretch>
          <a:fillRect/>
        </a:stretch>
      </xdr:blipFill>
      <xdr:spPr bwMode="auto">
        <a:xfrm>
          <a:off x="592142" y="26195"/>
          <a:ext cx="952500" cy="542492"/>
        </a:xfrm>
        <a:prstGeom prst="rect">
          <a:avLst/>
        </a:prstGeom>
        <a:solidFill>
          <a:sysClr val="window" lastClr="FFFFFF"/>
        </a:solidFill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youtube.com/watch?v=hofajETNhkE" TargetMode="External"/><Relationship Id="rId1" Type="http://schemas.openxmlformats.org/officeDocument/2006/relationships/hyperlink" Target="https://www.google.com/search?q=tutorial+two+way+anova+spss&amp;sca_esv=570758810&amp;rlz=1C1UEAD_enID995ID995&amp;sxsrf=AM9HkKktY2P8aPELCmoLHAljDvGybL0SAg%3A1696451275584&amp;ei=y8odZfalI8q5seMPt--uyAY&amp;ved=0ahUKEwi2t6O9nd2BAxXKXGwGHbe3C2kQ4dUDCBA&amp;uact=5&amp;oq=tutorial+two+way+anova+spss&amp;gs_lp=Egxnd3Mtd2l6LXNlcnAiG3R1dG9yaWFsIHR3byB3YXkgYW5vdmEgc3BzczIFEAAYgAQyBhAAGBYYHkjrC1DQBFjUCnABeAGQAQCYAU2gAdsCqgEBNbgBA8gBAPgBAcICChAAGEcY1gQYsAPiAwQYACBBiAYBkAYI&amp;sclient=gws-wiz-serp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92D050"/>
  </sheetPr>
  <dimension ref="A1:A28"/>
  <sheetViews>
    <sheetView topLeftCell="A13" workbookViewId="0">
      <selection activeCell="B33" sqref="B33"/>
    </sheetView>
  </sheetViews>
  <sheetFormatPr defaultRowHeight="14.5" x14ac:dyDescent="0.35"/>
  <cols>
    <col min="1" max="1" width="10.7265625" bestFit="1" customWidth="1"/>
  </cols>
  <sheetData>
    <row r="1" spans="1:1" x14ac:dyDescent="0.35">
      <c r="A1" s="2">
        <v>43510</v>
      </c>
    </row>
    <row r="2" spans="1:1" x14ac:dyDescent="0.35">
      <c r="A2" t="s">
        <v>11</v>
      </c>
    </row>
    <row r="3" spans="1:1" x14ac:dyDescent="0.35">
      <c r="A3" t="s">
        <v>14</v>
      </c>
    </row>
    <row r="4" spans="1:1" x14ac:dyDescent="0.35">
      <c r="A4" t="s">
        <v>12</v>
      </c>
    </row>
    <row r="5" spans="1:1" x14ac:dyDescent="0.35">
      <c r="A5" t="s">
        <v>13</v>
      </c>
    </row>
    <row r="7" spans="1:1" x14ac:dyDescent="0.35">
      <c r="A7" t="s">
        <v>15</v>
      </c>
    </row>
    <row r="10" spans="1:1" x14ac:dyDescent="0.35">
      <c r="A10">
        <v>270319</v>
      </c>
    </row>
    <row r="11" spans="1:1" x14ac:dyDescent="0.35">
      <c r="A11" t="s">
        <v>16</v>
      </c>
    </row>
    <row r="13" spans="1:1" x14ac:dyDescent="0.35">
      <c r="A13">
        <v>260819</v>
      </c>
    </row>
    <row r="14" spans="1:1" x14ac:dyDescent="0.35">
      <c r="A14" t="s">
        <v>17</v>
      </c>
    </row>
    <row r="16" spans="1:1" x14ac:dyDescent="0.35">
      <c r="A16" s="2">
        <v>43717</v>
      </c>
    </row>
    <row r="17" spans="1:1" x14ac:dyDescent="0.35">
      <c r="A17" s="1" t="s">
        <v>18</v>
      </c>
    </row>
    <row r="18" spans="1:1" x14ac:dyDescent="0.35">
      <c r="A18" s="1" t="s">
        <v>19</v>
      </c>
    </row>
    <row r="19" spans="1:1" x14ac:dyDescent="0.35">
      <c r="A19" s="1" t="s">
        <v>20</v>
      </c>
    </row>
    <row r="21" spans="1:1" x14ac:dyDescent="0.35">
      <c r="A21" s="2">
        <v>43756</v>
      </c>
    </row>
    <row r="22" spans="1:1" x14ac:dyDescent="0.35">
      <c r="A22" s="1" t="s">
        <v>22</v>
      </c>
    </row>
    <row r="25" spans="1:1" x14ac:dyDescent="0.35">
      <c r="A25" s="2">
        <v>44064</v>
      </c>
    </row>
    <row r="26" spans="1:1" x14ac:dyDescent="0.35">
      <c r="A26" t="s">
        <v>32</v>
      </c>
    </row>
    <row r="27" spans="1:1" x14ac:dyDescent="0.35">
      <c r="A27" t="s">
        <v>33</v>
      </c>
    </row>
    <row r="28" spans="1:1" x14ac:dyDescent="0.35">
      <c r="A28" t="s">
        <v>34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C0B2A-B388-4730-A13E-EDCA444B7FC9}">
  <sheetPr codeName="Sheet7">
    <tabColor rgb="FF7030A0"/>
    <pageSetUpPr fitToPage="1"/>
  </sheetPr>
  <dimension ref="A1:V66"/>
  <sheetViews>
    <sheetView view="pageBreakPreview" topLeftCell="B36" zoomScale="68" zoomScaleNormal="68" zoomScaleSheetLayoutView="68" zoomScalePageLayoutView="70" workbookViewId="0">
      <selection activeCell="M36" sqref="M36:M59"/>
    </sheetView>
  </sheetViews>
  <sheetFormatPr defaultColWidth="8.54296875" defaultRowHeight="14" x14ac:dyDescent="0.3"/>
  <cols>
    <col min="1" max="1" width="8.54296875" style="5" hidden="1" customWidth="1"/>
    <col min="2" max="2" width="8.7265625" style="5" customWidth="1"/>
    <col min="3" max="3" width="18.7265625" style="5" customWidth="1"/>
    <col min="4" max="4" width="27.453125" style="5" customWidth="1"/>
    <col min="5" max="5" width="12.7265625" style="5" customWidth="1"/>
    <col min="6" max="6" width="14.453125" style="5" bestFit="1" customWidth="1"/>
    <col min="7" max="7" width="10.81640625" style="5" bestFit="1" customWidth="1"/>
    <col min="8" max="8" width="13.7265625" style="5" customWidth="1"/>
    <col min="9" max="9" width="14.453125" style="5" bestFit="1" customWidth="1"/>
    <col min="10" max="10" width="13.453125" style="5" bestFit="1" customWidth="1"/>
    <col min="11" max="11" width="12.1796875" style="5" customWidth="1"/>
    <col min="12" max="13" width="15.1796875" style="5" customWidth="1"/>
    <col min="14" max="14" width="13.54296875" style="5" customWidth="1"/>
    <col min="15" max="16" width="17.453125" style="5" customWidth="1"/>
    <col min="17" max="17" width="34.1796875" style="5" bestFit="1" customWidth="1"/>
    <col min="18" max="19" width="17.453125" style="5" customWidth="1"/>
    <col min="20" max="20" width="12.26953125" style="5" customWidth="1"/>
    <col min="21" max="21" width="9.1796875" style="5" customWidth="1"/>
    <col min="22" max="22" width="10.453125" style="5" customWidth="1"/>
    <col min="23" max="16384" width="8.54296875" style="5"/>
  </cols>
  <sheetData>
    <row r="1" spans="3:22" ht="39.75" customHeight="1" x14ac:dyDescent="0.3">
      <c r="C1" s="192" t="s">
        <v>50</v>
      </c>
      <c r="D1" s="192"/>
      <c r="E1" s="192"/>
      <c r="F1" s="192"/>
      <c r="G1" s="192"/>
      <c r="H1" s="192"/>
      <c r="I1" s="192"/>
      <c r="J1" s="192"/>
      <c r="K1" s="192"/>
      <c r="L1" s="192"/>
      <c r="M1" s="192"/>
      <c r="N1" s="192"/>
      <c r="O1" s="192"/>
      <c r="P1" s="192"/>
      <c r="Q1" s="192"/>
      <c r="R1" s="192"/>
      <c r="S1" s="192"/>
      <c r="T1" s="4"/>
      <c r="U1" s="4"/>
      <c r="V1" s="4"/>
    </row>
    <row r="2" spans="3:22" ht="15" customHeight="1" x14ac:dyDescent="0.3">
      <c r="C2" s="3"/>
      <c r="D2" s="3"/>
      <c r="E2" s="3"/>
      <c r="F2" s="3"/>
      <c r="G2" s="6"/>
      <c r="H2" s="6"/>
      <c r="I2" s="6"/>
      <c r="J2" s="6"/>
      <c r="K2" s="7"/>
      <c r="N2" s="8"/>
      <c r="O2" s="9"/>
      <c r="P2" s="9"/>
      <c r="Q2" s="9"/>
      <c r="R2" s="9"/>
      <c r="T2" s="4"/>
      <c r="U2" s="4"/>
      <c r="V2" s="4"/>
    </row>
    <row r="3" spans="3:22" ht="15" customHeight="1" x14ac:dyDescent="0.35">
      <c r="C3" s="3"/>
      <c r="D3" s="3"/>
      <c r="E3" s="3"/>
      <c r="F3" s="3"/>
      <c r="G3" s="6"/>
      <c r="H3" s="6"/>
      <c r="I3" s="6"/>
      <c r="J3" s="6"/>
      <c r="K3" s="6"/>
      <c r="O3"/>
      <c r="P3"/>
      <c r="Q3"/>
      <c r="R3"/>
      <c r="S3"/>
      <c r="T3" s="4"/>
      <c r="U3" s="4"/>
      <c r="V3" s="4"/>
    </row>
    <row r="4" spans="3:22" ht="14.5" x14ac:dyDescent="0.35">
      <c r="G4" s="6"/>
      <c r="H4" s="6"/>
      <c r="I4" s="6"/>
      <c r="J4" s="6"/>
      <c r="K4" s="6"/>
      <c r="O4"/>
      <c r="P4"/>
      <c r="Q4"/>
      <c r="R4"/>
      <c r="S4"/>
    </row>
    <row r="5" spans="3:22" ht="14.5" x14ac:dyDescent="0.35">
      <c r="C5" s="10" t="s">
        <v>7</v>
      </c>
      <c r="D5" s="11"/>
      <c r="E5" s="12" t="s">
        <v>58</v>
      </c>
      <c r="G5" s="13"/>
      <c r="H5" s="6"/>
      <c r="I5" s="14"/>
      <c r="K5" s="6"/>
      <c r="L5" s="15"/>
      <c r="M5" s="15"/>
      <c r="O5"/>
      <c r="P5"/>
      <c r="Q5"/>
      <c r="R5"/>
      <c r="S5"/>
    </row>
    <row r="6" spans="3:22" ht="14.5" x14ac:dyDescent="0.35">
      <c r="C6" s="10" t="s">
        <v>10</v>
      </c>
      <c r="D6" s="11"/>
      <c r="E6" s="12" t="s">
        <v>59</v>
      </c>
      <c r="F6" s="17"/>
      <c r="G6" s="24"/>
      <c r="H6" s="17"/>
      <c r="I6" s="16"/>
      <c r="J6" s="17"/>
      <c r="K6" s="6"/>
      <c r="L6" s="15"/>
      <c r="M6" s="15"/>
      <c r="O6"/>
      <c r="P6"/>
      <c r="Q6"/>
      <c r="R6"/>
      <c r="S6"/>
    </row>
    <row r="7" spans="3:22" x14ac:dyDescent="0.3">
      <c r="C7" s="193" t="s">
        <v>35</v>
      </c>
      <c r="D7" s="193"/>
      <c r="E7" s="12" t="s">
        <v>60</v>
      </c>
      <c r="G7" s="24"/>
      <c r="H7" s="17"/>
      <c r="I7" s="16"/>
      <c r="J7" s="17"/>
      <c r="K7" s="6"/>
      <c r="L7" s="15"/>
      <c r="M7" s="15"/>
      <c r="N7" s="6"/>
      <c r="O7" s="15"/>
      <c r="P7" s="15"/>
      <c r="Q7" s="15"/>
      <c r="R7" s="15"/>
    </row>
    <row r="8" spans="3:22" ht="14.5" x14ac:dyDescent="0.35">
      <c r="C8" s="194" t="s">
        <v>36</v>
      </c>
      <c r="D8" s="194"/>
      <c r="E8" s="60" t="s">
        <v>142</v>
      </c>
      <c r="F8" s="30"/>
      <c r="G8" s="63"/>
      <c r="H8" s="63"/>
      <c r="I8" s="8"/>
      <c r="N8" s="25" t="s">
        <v>45</v>
      </c>
      <c r="O8" s="26"/>
      <c r="P8" s="27"/>
      <c r="Q8"/>
    </row>
    <row r="9" spans="3:22" ht="14.5" x14ac:dyDescent="0.35">
      <c r="C9" s="10" t="s">
        <v>24</v>
      </c>
      <c r="D9" s="18"/>
      <c r="E9" s="12" t="s">
        <v>131</v>
      </c>
      <c r="N9" s="28" t="s">
        <v>25</v>
      </c>
      <c r="O9" s="29" t="s">
        <v>55</v>
      </c>
      <c r="P9" s="23"/>
      <c r="Q9"/>
    </row>
    <row r="10" spans="3:22" ht="14.5" x14ac:dyDescent="0.35">
      <c r="C10" s="10" t="s">
        <v>41</v>
      </c>
      <c r="D10" s="18"/>
      <c r="E10" s="12" t="s">
        <v>130</v>
      </c>
      <c r="N10" s="28"/>
      <c r="O10" s="36" t="s">
        <v>56</v>
      </c>
      <c r="P10" s="23"/>
      <c r="Q10"/>
    </row>
    <row r="11" spans="3:22" ht="14.5" x14ac:dyDescent="0.35">
      <c r="C11" s="31" t="s">
        <v>26</v>
      </c>
      <c r="D11" s="32"/>
      <c r="E11" s="33" t="s">
        <v>132</v>
      </c>
      <c r="F11" s="30"/>
      <c r="G11" s="30"/>
      <c r="H11" s="30"/>
      <c r="I11" s="30"/>
      <c r="N11" s="34"/>
      <c r="O11" s="59"/>
      <c r="P11" s="35"/>
      <c r="Q11"/>
    </row>
    <row r="12" spans="3:22" x14ac:dyDescent="0.3">
      <c r="C12" s="195" t="s">
        <v>37</v>
      </c>
      <c r="D12" s="195"/>
      <c r="E12" s="33" t="str">
        <f>E6</f>
        <v>: 8 September 2023</v>
      </c>
      <c r="F12" s="30"/>
      <c r="G12" s="36"/>
      <c r="H12" s="30"/>
      <c r="I12" s="37"/>
      <c r="J12" s="30"/>
      <c r="K12" s="36"/>
      <c r="L12" s="38"/>
      <c r="M12" s="38"/>
      <c r="N12" s="38"/>
      <c r="O12" s="30"/>
      <c r="P12" s="30"/>
      <c r="Q12" s="30"/>
      <c r="R12" s="30"/>
    </row>
    <row r="13" spans="3:22" x14ac:dyDescent="0.3">
      <c r="C13" s="30" t="s">
        <v>40</v>
      </c>
      <c r="D13" s="33"/>
      <c r="E13" s="30" t="s">
        <v>133</v>
      </c>
      <c r="F13" s="30"/>
      <c r="G13" s="36"/>
      <c r="H13" s="30"/>
      <c r="I13" s="37"/>
      <c r="J13" s="30"/>
      <c r="K13" s="36"/>
      <c r="L13" s="30"/>
      <c r="M13" s="30"/>
    </row>
    <row r="14" spans="3:22" x14ac:dyDescent="0.3">
      <c r="C14" s="30" t="s">
        <v>44</v>
      </c>
      <c r="D14" s="33"/>
      <c r="E14" s="30" t="s">
        <v>64</v>
      </c>
      <c r="F14" s="33"/>
      <c r="G14" s="36"/>
      <c r="H14" s="30"/>
      <c r="I14" s="37"/>
      <c r="J14" s="30"/>
      <c r="K14" s="36"/>
      <c r="L14" s="30"/>
      <c r="M14" s="30"/>
    </row>
    <row r="15" spans="3:22" x14ac:dyDescent="0.3">
      <c r="C15" s="30"/>
      <c r="D15" s="33"/>
      <c r="E15" s="30"/>
      <c r="F15" s="33"/>
      <c r="G15" s="36"/>
      <c r="H15" s="30"/>
      <c r="I15" s="37"/>
      <c r="J15" s="30"/>
      <c r="K15" s="36"/>
      <c r="L15" s="30"/>
      <c r="M15" s="30"/>
    </row>
    <row r="16" spans="3:22" x14ac:dyDescent="0.3">
      <c r="C16" s="31" t="s">
        <v>9</v>
      </c>
      <c r="D16" s="31"/>
      <c r="E16" s="31" t="s">
        <v>138</v>
      </c>
      <c r="F16" s="39"/>
      <c r="G16" s="39"/>
      <c r="H16" s="39"/>
      <c r="I16" s="39"/>
      <c r="J16" s="39"/>
      <c r="K16" s="39"/>
      <c r="L16" s="30"/>
      <c r="M16" s="30"/>
      <c r="S16" s="4"/>
      <c r="T16" s="4"/>
      <c r="U16" s="4"/>
    </row>
    <row r="17" spans="1:22" x14ac:dyDescent="0.3">
      <c r="C17" s="31"/>
      <c r="D17" s="31"/>
      <c r="E17" s="30"/>
      <c r="F17" s="40"/>
      <c r="G17" s="40"/>
      <c r="H17" s="40"/>
      <c r="I17" s="40"/>
      <c r="J17" s="40"/>
      <c r="K17" s="40"/>
      <c r="L17" s="30"/>
      <c r="M17" s="30"/>
      <c r="N17" s="30"/>
      <c r="O17" s="30"/>
      <c r="P17" s="30"/>
      <c r="Q17" s="30"/>
      <c r="R17" s="30"/>
    </row>
    <row r="18" spans="1:22" x14ac:dyDescent="0.3">
      <c r="C18" s="41"/>
      <c r="D18" s="41"/>
      <c r="E18" s="41"/>
      <c r="F18" s="41"/>
      <c r="G18" s="42"/>
      <c r="H18" s="42"/>
      <c r="I18" s="30"/>
      <c r="J18" s="30"/>
      <c r="K18" s="41"/>
      <c r="L18" s="41"/>
      <c r="M18" s="41"/>
      <c r="N18" s="41"/>
      <c r="O18" s="41"/>
      <c r="P18" s="41"/>
      <c r="Q18" s="41"/>
      <c r="R18" s="41"/>
      <c r="S18" s="4"/>
      <c r="T18" s="4"/>
      <c r="U18" s="4"/>
      <c r="V18" s="4"/>
    </row>
    <row r="19" spans="1:22" ht="57.75" customHeight="1" x14ac:dyDescent="0.3">
      <c r="B19" s="19" t="s">
        <v>27</v>
      </c>
      <c r="C19" s="43" t="s">
        <v>6</v>
      </c>
      <c r="D19" s="43" t="s">
        <v>28</v>
      </c>
      <c r="E19" s="43" t="s">
        <v>42</v>
      </c>
      <c r="F19" s="43" t="s">
        <v>43</v>
      </c>
      <c r="G19" s="43" t="s">
        <v>8</v>
      </c>
      <c r="H19" s="44" t="s">
        <v>23</v>
      </c>
      <c r="I19" s="30"/>
      <c r="J19" s="45"/>
      <c r="K19" s="45"/>
      <c r="L19" s="46"/>
      <c r="M19" s="46"/>
      <c r="N19" s="46"/>
      <c r="O19" s="46"/>
      <c r="P19" s="46"/>
      <c r="Q19" s="46"/>
      <c r="R19" s="46"/>
      <c r="S19" s="4"/>
    </row>
    <row r="20" spans="1:22" x14ac:dyDescent="0.3">
      <c r="A20" s="5" t="str">
        <f>"CalBlk"&amp;B20</f>
        <v>CalBlk1</v>
      </c>
      <c r="B20" s="19">
        <v>1</v>
      </c>
      <c r="C20" s="67">
        <v>0</v>
      </c>
      <c r="D20" s="43">
        <f>C20*1000/1000</f>
        <v>0</v>
      </c>
      <c r="E20" s="48">
        <v>1750.1292766404233</v>
      </c>
      <c r="F20" s="48">
        <v>20160637.326724101</v>
      </c>
      <c r="G20" s="66">
        <f>E20/F20</f>
        <v>8.6809223750110564E-5</v>
      </c>
      <c r="H20" s="49">
        <f>G20-$G$20</f>
        <v>0</v>
      </c>
      <c r="I20" s="30"/>
      <c r="J20" s="45"/>
      <c r="K20" s="45"/>
      <c r="L20" s="46"/>
      <c r="M20" s="46"/>
      <c r="N20" s="46"/>
      <c r="O20" s="46"/>
      <c r="P20" s="46"/>
      <c r="Q20" s="46"/>
      <c r="R20" s="46"/>
      <c r="S20" s="4"/>
    </row>
    <row r="21" spans="1:22" x14ac:dyDescent="0.3">
      <c r="A21" s="5" t="str">
        <f>"CalStd"&amp;B21</f>
        <v>CalStd2</v>
      </c>
      <c r="B21" s="19">
        <v>2</v>
      </c>
      <c r="C21" s="43">
        <f>0.125</f>
        <v>0.125</v>
      </c>
      <c r="D21" s="43">
        <f t="shared" ref="D21:D27" si="0">C21*1000/1000</f>
        <v>0.125</v>
      </c>
      <c r="E21" s="48">
        <v>11752.250069525078</v>
      </c>
      <c r="F21" s="48">
        <v>20387968.412919831</v>
      </c>
      <c r="G21" s="49">
        <f t="shared" ref="G21:G27" si="1">E21/F21</f>
        <v>5.7643065907820874E-4</v>
      </c>
      <c r="H21" s="49">
        <f t="shared" ref="H21:H27" si="2">G21-$G$20</f>
        <v>4.896214353280982E-4</v>
      </c>
      <c r="I21" s="30"/>
      <c r="J21" s="45"/>
      <c r="K21" s="45"/>
      <c r="L21" s="46"/>
      <c r="M21" s="46"/>
      <c r="N21" s="46"/>
      <c r="O21" s="46"/>
      <c r="P21" s="46"/>
      <c r="Q21" s="46"/>
      <c r="R21" s="46"/>
      <c r="S21" s="4"/>
    </row>
    <row r="22" spans="1:22" x14ac:dyDescent="0.3">
      <c r="A22" s="5" t="str">
        <f t="shared" ref="A22:A27" si="3">"CalStd"&amp;B22</f>
        <v>CalStd3</v>
      </c>
      <c r="B22" s="19">
        <v>3</v>
      </c>
      <c r="C22" s="48">
        <f>0.25</f>
        <v>0.25</v>
      </c>
      <c r="D22" s="48">
        <f t="shared" si="0"/>
        <v>0.25</v>
      </c>
      <c r="E22" s="48">
        <v>21118.047212978956</v>
      </c>
      <c r="F22" s="48">
        <v>26923174.287658904</v>
      </c>
      <c r="G22" s="49">
        <f t="shared" si="1"/>
        <v>7.8438177413051502E-4</v>
      </c>
      <c r="H22" s="49">
        <f t="shared" si="2"/>
        <v>6.9757255038040448E-4</v>
      </c>
      <c r="I22" s="30"/>
      <c r="J22" s="45"/>
      <c r="K22" s="45"/>
      <c r="L22" s="46"/>
      <c r="M22" s="46"/>
      <c r="N22" s="46"/>
      <c r="O22" s="46"/>
      <c r="P22" s="46"/>
      <c r="Q22" s="46"/>
      <c r="R22" s="46"/>
      <c r="S22" s="4"/>
    </row>
    <row r="23" spans="1:22" x14ac:dyDescent="0.3">
      <c r="A23" s="5" t="str">
        <f t="shared" si="3"/>
        <v>CalStd4</v>
      </c>
      <c r="B23" s="19">
        <v>4</v>
      </c>
      <c r="C23" s="48">
        <f>0.5</f>
        <v>0.5</v>
      </c>
      <c r="D23" s="48">
        <f t="shared" si="0"/>
        <v>0.5</v>
      </c>
      <c r="E23" s="48">
        <v>42676.618331586018</v>
      </c>
      <c r="F23" s="48">
        <v>19579155.804660041</v>
      </c>
      <c r="G23" s="49">
        <f>E23/F23</f>
        <v>2.1796965485829855E-3</v>
      </c>
      <c r="H23" s="47">
        <f t="shared" si="2"/>
        <v>2.0928873248328749E-3</v>
      </c>
      <c r="I23" s="30"/>
      <c r="J23" s="45"/>
      <c r="K23" s="45"/>
      <c r="L23" s="46"/>
      <c r="M23" s="46"/>
      <c r="N23" s="46"/>
      <c r="O23" s="46"/>
      <c r="P23" s="46"/>
      <c r="Q23" s="46"/>
      <c r="R23" s="46"/>
      <c r="S23" s="4"/>
    </row>
    <row r="24" spans="1:22" x14ac:dyDescent="0.3">
      <c r="A24" s="5" t="str">
        <f t="shared" si="3"/>
        <v>CalStd5</v>
      </c>
      <c r="B24" s="19">
        <v>5</v>
      </c>
      <c r="C24" s="48">
        <f>1</f>
        <v>1</v>
      </c>
      <c r="D24" s="48">
        <f t="shared" si="0"/>
        <v>1</v>
      </c>
      <c r="E24" s="48">
        <v>85993.45345618749</v>
      </c>
      <c r="F24" s="48">
        <v>19676645.095592711</v>
      </c>
      <c r="G24" s="47">
        <f t="shared" si="1"/>
        <v>4.3703310721119222E-3</v>
      </c>
      <c r="H24" s="47">
        <f t="shared" si="2"/>
        <v>4.2835218483618116E-3</v>
      </c>
      <c r="I24" s="30"/>
      <c r="J24" s="45"/>
      <c r="K24" s="45"/>
      <c r="L24" s="46"/>
      <c r="M24" s="46"/>
      <c r="N24" s="46"/>
      <c r="O24" s="46"/>
      <c r="P24" s="46"/>
      <c r="Q24" s="46"/>
      <c r="R24" s="46"/>
      <c r="S24" s="4"/>
    </row>
    <row r="25" spans="1:22" x14ac:dyDescent="0.3">
      <c r="A25" s="5" t="str">
        <f t="shared" si="3"/>
        <v>CalStd6</v>
      </c>
      <c r="B25" s="19">
        <v>6</v>
      </c>
      <c r="C25" s="48">
        <f>2</f>
        <v>2</v>
      </c>
      <c r="D25" s="48">
        <f t="shared" si="0"/>
        <v>2</v>
      </c>
      <c r="E25" s="48">
        <v>167377.8870813</v>
      </c>
      <c r="F25" s="48">
        <v>17547979.844035402</v>
      </c>
      <c r="G25" s="47">
        <f t="shared" si="1"/>
        <v>9.538299483412737E-3</v>
      </c>
      <c r="H25" s="47">
        <f t="shared" si="2"/>
        <v>9.4514902596626264E-3</v>
      </c>
      <c r="I25" s="30"/>
      <c r="J25" s="45"/>
      <c r="K25" s="45"/>
      <c r="L25" s="46"/>
      <c r="M25" s="46"/>
      <c r="N25" s="46"/>
      <c r="O25" s="46"/>
      <c r="P25" s="46"/>
      <c r="Q25" s="46"/>
      <c r="R25" s="46"/>
      <c r="S25" s="4"/>
    </row>
    <row r="26" spans="1:22" x14ac:dyDescent="0.3">
      <c r="A26" s="5" t="str">
        <f t="shared" si="3"/>
        <v>CalStd7</v>
      </c>
      <c r="B26" s="19">
        <v>7</v>
      </c>
      <c r="C26" s="48">
        <f>3</f>
        <v>3</v>
      </c>
      <c r="D26" s="48">
        <f t="shared" si="0"/>
        <v>3</v>
      </c>
      <c r="E26" s="48">
        <v>295146.86626309803</v>
      </c>
      <c r="F26" s="48">
        <v>20705726.136576671</v>
      </c>
      <c r="G26" s="47">
        <f t="shared" si="1"/>
        <v>1.4254359606433748E-2</v>
      </c>
      <c r="H26" s="43">
        <f t="shared" si="2"/>
        <v>1.4167550382683637E-2</v>
      </c>
      <c r="I26" s="30"/>
      <c r="J26" s="45"/>
      <c r="K26" s="45"/>
      <c r="L26" s="46"/>
      <c r="M26" s="46"/>
      <c r="N26" s="46"/>
      <c r="O26" s="46"/>
      <c r="P26" s="46"/>
      <c r="Q26" s="46"/>
      <c r="R26" s="46"/>
      <c r="S26" s="4"/>
    </row>
    <row r="27" spans="1:22" x14ac:dyDescent="0.3">
      <c r="A27" s="5" t="str">
        <f t="shared" si="3"/>
        <v>CalStd8</v>
      </c>
      <c r="B27" s="19">
        <v>8</v>
      </c>
      <c r="C27" s="48">
        <f>5</f>
        <v>5</v>
      </c>
      <c r="D27" s="48">
        <f t="shared" si="0"/>
        <v>5</v>
      </c>
      <c r="E27" s="48">
        <v>465394.05613752414</v>
      </c>
      <c r="F27" s="48">
        <v>19371840.71018064</v>
      </c>
      <c r="G27" s="47">
        <f t="shared" si="1"/>
        <v>2.402425577931486E-2</v>
      </c>
      <c r="H27" s="43">
        <f t="shared" si="2"/>
        <v>2.3937446555564752E-2</v>
      </c>
      <c r="I27" s="30"/>
      <c r="J27" s="45"/>
      <c r="K27" s="45"/>
      <c r="L27" s="46"/>
      <c r="M27" s="46"/>
      <c r="N27" s="46"/>
      <c r="O27" s="46"/>
      <c r="P27" s="46"/>
      <c r="Q27" s="46"/>
      <c r="R27" s="46"/>
      <c r="S27" s="4"/>
    </row>
    <row r="28" spans="1:22" ht="14.5" x14ac:dyDescent="0.3">
      <c r="B28" s="196"/>
      <c r="C28" s="197" t="s">
        <v>5</v>
      </c>
      <c r="D28" s="197"/>
      <c r="E28" s="197"/>
      <c r="F28" s="197"/>
      <c r="G28" s="197"/>
      <c r="H28" s="47">
        <f>SLOPE(H20:H27,D20:D27)</f>
        <v>4.8310543897571523E-3</v>
      </c>
      <c r="I28" s="50"/>
      <c r="J28" s="45"/>
      <c r="K28" s="45"/>
      <c r="L28" s="45"/>
      <c r="M28" s="45"/>
      <c r="N28" s="46"/>
      <c r="O28" s="46"/>
      <c r="P28" s="46"/>
      <c r="Q28" s="46"/>
      <c r="R28" s="46"/>
      <c r="S28" s="4"/>
    </row>
    <row r="29" spans="1:22" ht="14.5" x14ac:dyDescent="0.3">
      <c r="B29" s="196"/>
      <c r="C29" s="197" t="s">
        <v>4</v>
      </c>
      <c r="D29" s="197"/>
      <c r="E29" s="197"/>
      <c r="F29" s="197"/>
      <c r="G29" s="197"/>
      <c r="H29" s="66">
        <f>INTERCEPT(H20:H27,D20:D27)</f>
        <v>-2.8108506519399813E-4</v>
      </c>
      <c r="I29" s="50"/>
      <c r="J29" s="45"/>
      <c r="K29" s="45"/>
      <c r="L29" s="45"/>
      <c r="M29" s="45"/>
      <c r="N29" s="46"/>
      <c r="O29" s="46"/>
      <c r="P29" s="46"/>
      <c r="Q29" s="46"/>
      <c r="R29" s="46"/>
      <c r="S29" s="4"/>
    </row>
    <row r="30" spans="1:22" x14ac:dyDescent="0.3">
      <c r="B30" s="196"/>
      <c r="C30" s="198" t="s">
        <v>29</v>
      </c>
      <c r="D30" s="198"/>
      <c r="E30" s="198"/>
      <c r="F30" s="198"/>
      <c r="G30" s="198"/>
      <c r="H30" s="47">
        <f>RSQ(H20:H27,D20:D27)</f>
        <v>0.99952045339853335</v>
      </c>
      <c r="I30" s="39"/>
      <c r="J30" s="46"/>
      <c r="K30" s="46"/>
      <c r="L30" s="46"/>
      <c r="M30" s="46"/>
      <c r="N30" s="46"/>
      <c r="O30" s="46"/>
      <c r="P30" s="46"/>
      <c r="Q30" s="46"/>
      <c r="R30" s="46"/>
      <c r="S30" s="4"/>
    </row>
    <row r="31" spans="1:22" x14ac:dyDescent="0.3">
      <c r="B31" s="196"/>
      <c r="C31" s="198" t="s">
        <v>3</v>
      </c>
      <c r="D31" s="198"/>
      <c r="E31" s="198"/>
      <c r="F31" s="198"/>
      <c r="G31" s="198"/>
      <c r="H31" s="47">
        <f>SQRT(H30)</f>
        <v>0.9997601979467543</v>
      </c>
      <c r="I31" s="39"/>
      <c r="J31" s="46"/>
      <c r="K31" s="46"/>
      <c r="L31" s="46"/>
      <c r="M31" s="46"/>
      <c r="N31" s="46"/>
      <c r="O31" s="46"/>
      <c r="P31" s="46"/>
      <c r="Q31" s="46"/>
      <c r="R31" s="46"/>
      <c r="S31" s="4"/>
    </row>
    <row r="32" spans="1:22" x14ac:dyDescent="0.3">
      <c r="C32" s="31"/>
      <c r="D32" s="31"/>
      <c r="E32" s="31"/>
      <c r="F32" s="39"/>
      <c r="G32" s="39"/>
      <c r="H32" s="39"/>
      <c r="I32" s="39"/>
      <c r="J32" s="39"/>
      <c r="K32" s="39"/>
      <c r="L32" s="51"/>
      <c r="M32" s="51"/>
      <c r="N32" s="51"/>
      <c r="O32" s="39"/>
      <c r="P32" s="39"/>
      <c r="Q32" s="39"/>
      <c r="R32" s="39"/>
      <c r="S32" s="4"/>
      <c r="T32" s="4"/>
      <c r="U32" s="4"/>
    </row>
    <row r="33" spans="1:21" x14ac:dyDescent="0.3">
      <c r="C33" s="31"/>
      <c r="D33" s="31"/>
      <c r="E33" s="31"/>
      <c r="F33" s="39"/>
      <c r="G33" s="39"/>
      <c r="H33" s="39"/>
      <c r="I33" s="39"/>
      <c r="J33" s="39"/>
      <c r="K33" s="39"/>
      <c r="L33" s="51"/>
      <c r="M33" s="51"/>
      <c r="N33" s="51"/>
      <c r="O33" s="39"/>
      <c r="P33" s="39"/>
      <c r="Q33" s="39"/>
      <c r="R33" s="39"/>
      <c r="S33" s="4"/>
      <c r="T33" s="4"/>
      <c r="U33" s="4"/>
    </row>
    <row r="34" spans="1:21" ht="14.5" thickBot="1" x14ac:dyDescent="0.35">
      <c r="C34" s="31"/>
      <c r="D34" s="31"/>
      <c r="E34" s="31"/>
      <c r="F34" s="39"/>
      <c r="G34" s="39"/>
      <c r="H34" s="39"/>
      <c r="I34" s="39"/>
      <c r="J34" s="39"/>
      <c r="K34" s="39"/>
      <c r="L34" s="51"/>
      <c r="M34" s="51"/>
      <c r="N34" s="51"/>
      <c r="O34" s="39"/>
      <c r="P34" s="39"/>
      <c r="Q34" s="39"/>
      <c r="R34" s="39"/>
      <c r="S34" s="4"/>
      <c r="T34" s="4"/>
      <c r="U34" s="4"/>
    </row>
    <row r="35" spans="1:21" s="81" customFormat="1" ht="48.75" customHeight="1" thickBot="1" x14ac:dyDescent="0.4">
      <c r="A35" s="73"/>
      <c r="B35" s="74" t="s">
        <v>21</v>
      </c>
      <c r="C35" s="75" t="s">
        <v>46</v>
      </c>
      <c r="D35" s="75" t="s">
        <v>2</v>
      </c>
      <c r="E35" s="76" t="s">
        <v>57</v>
      </c>
      <c r="F35" s="62" t="s">
        <v>1</v>
      </c>
      <c r="G35" s="62" t="s">
        <v>0</v>
      </c>
      <c r="H35" s="77" t="s">
        <v>42</v>
      </c>
      <c r="I35" s="77" t="s">
        <v>43</v>
      </c>
      <c r="J35" s="78" t="s">
        <v>8</v>
      </c>
      <c r="K35" s="79" t="s">
        <v>134</v>
      </c>
      <c r="L35" s="76" t="s">
        <v>135</v>
      </c>
      <c r="M35" s="76" t="s">
        <v>243</v>
      </c>
      <c r="N35" s="76" t="s">
        <v>136</v>
      </c>
      <c r="O35" s="52" t="s">
        <v>38</v>
      </c>
      <c r="P35" s="65" t="s">
        <v>137</v>
      </c>
      <c r="Q35" s="80" t="s">
        <v>49</v>
      </c>
    </row>
    <row r="36" spans="1:21" s="82" customFormat="1" ht="18" customHeight="1" x14ac:dyDescent="0.3">
      <c r="A36" s="82" t="e">
        <f>C36&amp;#REF!</f>
        <v>#REF!</v>
      </c>
      <c r="C36" s="83" t="s">
        <v>87</v>
      </c>
      <c r="D36" s="83" t="s">
        <v>106</v>
      </c>
      <c r="E36" s="84">
        <v>50</v>
      </c>
      <c r="F36" s="84">
        <v>50</v>
      </c>
      <c r="G36" s="84">
        <v>1</v>
      </c>
      <c r="H36" s="85">
        <v>78117.032002012449</v>
      </c>
      <c r="I36" s="85">
        <v>12816193.772711016</v>
      </c>
      <c r="J36" s="86">
        <f>H36/I36</f>
        <v>6.0951818759438364E-3</v>
      </c>
      <c r="K36" s="87">
        <f>((J36)-$H$29)/$H$28</f>
        <v>1.3198499595982311</v>
      </c>
      <c r="L36" s="137">
        <f>K36*G36*F36/E36</f>
        <v>1.3198499595982311</v>
      </c>
      <c r="M36" s="163">
        <f>L36*1000</f>
        <v>1319.8499595982312</v>
      </c>
      <c r="N36" s="217">
        <f>AVERAGE(L36:L37)</f>
        <v>1.3038115947318645</v>
      </c>
      <c r="O36" s="188">
        <f>ABS(L36-L37)/N36*100</f>
        <v>2.4602273719869845</v>
      </c>
      <c r="P36" s="188">
        <f>2/3*2^(1-(0.5*LOG(N36/1000000000)))</f>
        <v>28.988928018137276</v>
      </c>
      <c r="Q36" s="89"/>
    </row>
    <row r="37" spans="1:21" s="82" customFormat="1" ht="18" customHeight="1" x14ac:dyDescent="0.3">
      <c r="A37" s="82" t="e">
        <f>C37&amp;#REF!</f>
        <v>#REF!</v>
      </c>
      <c r="C37" s="83" t="s">
        <v>88</v>
      </c>
      <c r="D37" s="83" t="s">
        <v>106</v>
      </c>
      <c r="E37" s="84">
        <v>50</v>
      </c>
      <c r="F37" s="84">
        <v>50</v>
      </c>
      <c r="G37" s="84">
        <v>1</v>
      </c>
      <c r="H37" s="85">
        <v>81696.511387645412</v>
      </c>
      <c r="I37" s="85">
        <v>13753117.97520189</v>
      </c>
      <c r="J37" s="86">
        <f t="shared" ref="J37:J59" si="4">H37/I37</f>
        <v>5.9402174499594623E-3</v>
      </c>
      <c r="K37" s="87">
        <f t="shared" ref="K37:K59" si="5">((J37)-$H$29)/$H$28</f>
        <v>1.287773229865498</v>
      </c>
      <c r="L37" s="137">
        <f t="shared" ref="L37:L59" si="6">K37*G37*F37/E37</f>
        <v>1.2877732298654978</v>
      </c>
      <c r="M37" s="163">
        <f t="shared" ref="M37:M59" si="7">L37*1000</f>
        <v>1287.7732298654978</v>
      </c>
      <c r="N37" s="218"/>
      <c r="O37" s="189"/>
      <c r="P37" s="189"/>
      <c r="Q37" s="89"/>
    </row>
    <row r="38" spans="1:21" s="82" customFormat="1" ht="18" customHeight="1" x14ac:dyDescent="0.3">
      <c r="A38" s="82" t="e">
        <f>C38&amp;#REF!</f>
        <v>#REF!</v>
      </c>
      <c r="C38" s="83" t="s">
        <v>89</v>
      </c>
      <c r="D38" s="83" t="s">
        <v>106</v>
      </c>
      <c r="E38" s="84">
        <v>50</v>
      </c>
      <c r="F38" s="84">
        <v>50</v>
      </c>
      <c r="G38" s="84">
        <v>1</v>
      </c>
      <c r="H38" s="85">
        <v>84958.165151181936</v>
      </c>
      <c r="I38" s="85">
        <v>13593618.765537249</v>
      </c>
      <c r="J38" s="86">
        <f t="shared" si="4"/>
        <v>6.249856393396082E-3</v>
      </c>
      <c r="K38" s="87">
        <f t="shared" si="5"/>
        <v>1.3518666799605992</v>
      </c>
      <c r="L38" s="137">
        <f t="shared" si="6"/>
        <v>1.3518666799605992</v>
      </c>
      <c r="M38" s="163">
        <f t="shared" si="7"/>
        <v>1351.8666799605992</v>
      </c>
      <c r="N38" s="217">
        <f t="shared" ref="N38" si="8">AVERAGE(L38:L39)</f>
        <v>1.364116007037814</v>
      </c>
      <c r="O38" s="188">
        <f t="shared" ref="O38" si="9">ABS(L38-L39)/N38*100</f>
        <v>1.795936271404704</v>
      </c>
      <c r="P38" s="188">
        <f t="shared" ref="P38" si="10">2/3*2^(1-(0.5*LOG(N38/1000000000)))</f>
        <v>28.792314215246201</v>
      </c>
      <c r="Q38" s="89"/>
    </row>
    <row r="39" spans="1:21" s="82" customFormat="1" ht="18" customHeight="1" x14ac:dyDescent="0.3">
      <c r="A39" s="82" t="e">
        <f>C39&amp;#REF!</f>
        <v>#REF!</v>
      </c>
      <c r="C39" s="83" t="s">
        <v>90</v>
      </c>
      <c r="D39" s="83" t="s">
        <v>106</v>
      </c>
      <c r="E39" s="84">
        <v>50</v>
      </c>
      <c r="F39" s="84">
        <v>50</v>
      </c>
      <c r="G39" s="84">
        <v>1</v>
      </c>
      <c r="H39" s="85">
        <v>87274.008904292699</v>
      </c>
      <c r="I39" s="85">
        <v>13704635.836581359</v>
      </c>
      <c r="J39" s="86">
        <f t="shared" si="4"/>
        <v>6.3682107240919817E-3</v>
      </c>
      <c r="K39" s="87">
        <f t="shared" si="5"/>
        <v>1.3763653341150288</v>
      </c>
      <c r="L39" s="137">
        <f t="shared" si="6"/>
        <v>1.3763653341150288</v>
      </c>
      <c r="M39" s="163">
        <f t="shared" si="7"/>
        <v>1376.3653341150289</v>
      </c>
      <c r="N39" s="218"/>
      <c r="O39" s="189"/>
      <c r="P39" s="189"/>
      <c r="Q39" s="89"/>
    </row>
    <row r="40" spans="1:21" s="82" customFormat="1" ht="18" customHeight="1" x14ac:dyDescent="0.3">
      <c r="A40" s="82" t="e">
        <f>C40&amp;#REF!</f>
        <v>#REF!</v>
      </c>
      <c r="C40" s="83" t="s">
        <v>91</v>
      </c>
      <c r="D40" s="83" t="s">
        <v>106</v>
      </c>
      <c r="E40" s="84">
        <v>50</v>
      </c>
      <c r="F40" s="84">
        <v>50</v>
      </c>
      <c r="G40" s="84">
        <v>1</v>
      </c>
      <c r="H40" s="85">
        <v>88395.532879107472</v>
      </c>
      <c r="I40" s="85">
        <v>14366705.72201558</v>
      </c>
      <c r="J40" s="86">
        <f t="shared" si="4"/>
        <v>6.1528045878777842E-3</v>
      </c>
      <c r="K40" s="87">
        <f t="shared" si="5"/>
        <v>1.3317775239113385</v>
      </c>
      <c r="L40" s="137">
        <f t="shared" si="6"/>
        <v>1.3317775239113385</v>
      </c>
      <c r="M40" s="163">
        <f t="shared" si="7"/>
        <v>1331.7775239113384</v>
      </c>
      <c r="N40" s="217">
        <f t="shared" ref="N40" si="11">AVERAGE(L40:L41)</f>
        <v>1.332569887764949</v>
      </c>
      <c r="O40" s="188">
        <f t="shared" ref="O40" si="12">ABS(L40-L41)/N40*100</f>
        <v>0.1189226712813327</v>
      </c>
      <c r="P40" s="188">
        <f t="shared" ref="P40" si="13">2/3*2^(1-(0.5*LOG(N40/1000000000)))</f>
        <v>28.893889178483505</v>
      </c>
      <c r="Q40" s="89"/>
    </row>
    <row r="41" spans="1:21" s="82" customFormat="1" ht="18" customHeight="1" x14ac:dyDescent="0.3">
      <c r="A41" s="82" t="e">
        <f>C41&amp;#REF!</f>
        <v>#REF!</v>
      </c>
      <c r="C41" s="83" t="s">
        <v>92</v>
      </c>
      <c r="D41" s="83" t="s">
        <v>106</v>
      </c>
      <c r="E41" s="84">
        <v>50</v>
      </c>
      <c r="F41" s="84">
        <v>50</v>
      </c>
      <c r="G41" s="84">
        <v>1</v>
      </c>
      <c r="H41" s="85">
        <v>89204.683448125492</v>
      </c>
      <c r="I41" s="85">
        <v>14480197.3067511</v>
      </c>
      <c r="J41" s="86">
        <f t="shared" si="4"/>
        <v>6.1604604936243241E-3</v>
      </c>
      <c r="K41" s="87">
        <f t="shared" si="5"/>
        <v>1.3333622516185595</v>
      </c>
      <c r="L41" s="137">
        <f t="shared" si="6"/>
        <v>1.3333622516185593</v>
      </c>
      <c r="M41" s="163">
        <f t="shared" si="7"/>
        <v>1333.3622516185592</v>
      </c>
      <c r="N41" s="218"/>
      <c r="O41" s="189"/>
      <c r="P41" s="189"/>
      <c r="Q41" s="89"/>
    </row>
    <row r="42" spans="1:21" s="90" customFormat="1" ht="18" customHeight="1" x14ac:dyDescent="0.3">
      <c r="A42" s="90" t="e">
        <f>C42&amp;#REF!</f>
        <v>#REF!</v>
      </c>
      <c r="C42" s="91" t="s">
        <v>93</v>
      </c>
      <c r="D42" s="91" t="s">
        <v>107</v>
      </c>
      <c r="E42" s="92">
        <v>50</v>
      </c>
      <c r="F42" s="92">
        <v>50</v>
      </c>
      <c r="G42" s="92">
        <v>1</v>
      </c>
      <c r="H42" s="93">
        <v>8032.5058454061</v>
      </c>
      <c r="I42" s="93">
        <v>14465839.01743059</v>
      </c>
      <c r="J42" s="94">
        <f>H42/I42</f>
        <v>5.5527410720714813E-4</v>
      </c>
      <c r="K42" s="100">
        <f t="shared" si="5"/>
        <v>0.17312145650324348</v>
      </c>
      <c r="L42" s="138">
        <f t="shared" si="6"/>
        <v>0.17312145650324345</v>
      </c>
      <c r="M42" s="163">
        <f t="shared" si="7"/>
        <v>173.12145650324345</v>
      </c>
      <c r="N42" s="215">
        <f t="shared" ref="N42" si="14">AVERAGE(L42:L43)</f>
        <v>0.1739782228221711</v>
      </c>
      <c r="O42" s="184">
        <f t="shared" ref="O42" si="15">ABS(L42-L43)/N42*100</f>
        <v>0.9849121401859271</v>
      </c>
      <c r="P42" s="184">
        <f t="shared" ref="P42" si="16">2/3*2^(1-(0.5*LOG(N42/1000000000)))</f>
        <v>39.254606393976815</v>
      </c>
      <c r="Q42" s="96"/>
    </row>
    <row r="43" spans="1:21" s="90" customFormat="1" ht="18" customHeight="1" x14ac:dyDescent="0.3">
      <c r="A43" s="90" t="e">
        <f>C43&amp;#REF!</f>
        <v>#REF!</v>
      </c>
      <c r="C43" s="91" t="s">
        <v>94</v>
      </c>
      <c r="D43" s="91" t="s">
        <v>107</v>
      </c>
      <c r="E43" s="92">
        <v>50</v>
      </c>
      <c r="F43" s="92">
        <v>50</v>
      </c>
      <c r="G43" s="92">
        <v>1</v>
      </c>
      <c r="H43" s="93">
        <v>8166.0295264498045</v>
      </c>
      <c r="I43" s="93">
        <v>14490278.658827201</v>
      </c>
      <c r="J43" s="94">
        <f>H43/I43</f>
        <v>5.6355227657925097E-4</v>
      </c>
      <c r="K43" s="100">
        <f t="shared" si="5"/>
        <v>0.17483498914109874</v>
      </c>
      <c r="L43" s="138">
        <f t="shared" si="6"/>
        <v>0.17483498914109874</v>
      </c>
      <c r="M43" s="163">
        <f t="shared" si="7"/>
        <v>174.83498914109873</v>
      </c>
      <c r="N43" s="216"/>
      <c r="O43" s="185"/>
      <c r="P43" s="185"/>
      <c r="Q43" s="96"/>
    </row>
    <row r="44" spans="1:21" s="90" customFormat="1" ht="18" customHeight="1" x14ac:dyDescent="0.3">
      <c r="A44" s="90" t="e">
        <f>C44&amp;#REF!</f>
        <v>#REF!</v>
      </c>
      <c r="C44" s="91" t="s">
        <v>95</v>
      </c>
      <c r="D44" s="91" t="s">
        <v>107</v>
      </c>
      <c r="E44" s="92">
        <v>50</v>
      </c>
      <c r="F44" s="92">
        <v>50</v>
      </c>
      <c r="G44" s="92">
        <v>1</v>
      </c>
      <c r="H44" s="93">
        <v>7482.2719789301618</v>
      </c>
      <c r="I44" s="93">
        <v>14106942.883521341</v>
      </c>
      <c r="J44" s="94">
        <f t="shared" si="4"/>
        <v>5.303964183246523E-4</v>
      </c>
      <c r="K44" s="100">
        <f t="shared" si="5"/>
        <v>0.16797192042365766</v>
      </c>
      <c r="L44" s="138">
        <f t="shared" si="6"/>
        <v>0.16797192042365766</v>
      </c>
      <c r="M44" s="163">
        <f t="shared" si="7"/>
        <v>167.97192042365765</v>
      </c>
      <c r="N44" s="215">
        <f t="shared" ref="N44" si="17">AVERAGE(L44:L45)</f>
        <v>0.16648694058984809</v>
      </c>
      <c r="O44" s="184">
        <f t="shared" ref="O44" si="18">ABS(L44-L45)/N44*100</f>
        <v>1.7838994801014565</v>
      </c>
      <c r="P44" s="184">
        <f t="shared" ref="P44" si="19">2/3*2^(1-(0.5*LOG(N44/1000000000)))</f>
        <v>39.515517939840777</v>
      </c>
      <c r="Q44" s="96"/>
    </row>
    <row r="45" spans="1:21" s="90" customFormat="1" ht="18" customHeight="1" x14ac:dyDescent="0.3">
      <c r="A45" s="90" t="e">
        <f>C45&amp;#REF!</f>
        <v>#REF!</v>
      </c>
      <c r="C45" s="91" t="s">
        <v>96</v>
      </c>
      <c r="D45" s="91" t="s">
        <v>107</v>
      </c>
      <c r="E45" s="92">
        <v>50</v>
      </c>
      <c r="F45" s="92">
        <v>50</v>
      </c>
      <c r="G45" s="92">
        <v>1</v>
      </c>
      <c r="H45" s="93">
        <v>7432.2499866288063</v>
      </c>
      <c r="I45" s="93">
        <v>14402234.850695908</v>
      </c>
      <c r="J45" s="94">
        <f t="shared" si="4"/>
        <v>5.1604838163499906E-4</v>
      </c>
      <c r="K45" s="100">
        <f t="shared" si="5"/>
        <v>0.16500196075603851</v>
      </c>
      <c r="L45" s="138">
        <f t="shared" si="6"/>
        <v>0.16500196075603854</v>
      </c>
      <c r="M45" s="163">
        <f t="shared" si="7"/>
        <v>165.00196075603853</v>
      </c>
      <c r="N45" s="216"/>
      <c r="O45" s="185"/>
      <c r="P45" s="185"/>
      <c r="Q45" s="96"/>
    </row>
    <row r="46" spans="1:21" s="90" customFormat="1" ht="18" customHeight="1" x14ac:dyDescent="0.3">
      <c r="A46" s="90" t="e">
        <f>C46&amp;#REF!</f>
        <v>#REF!</v>
      </c>
      <c r="C46" s="91" t="s">
        <v>97</v>
      </c>
      <c r="D46" s="91" t="s">
        <v>107</v>
      </c>
      <c r="E46" s="92">
        <v>50</v>
      </c>
      <c r="F46" s="92">
        <v>50</v>
      </c>
      <c r="G46" s="92">
        <v>1</v>
      </c>
      <c r="H46" s="93">
        <v>4357.4488506940515</v>
      </c>
      <c r="I46" s="93">
        <v>14838512.999177178</v>
      </c>
      <c r="J46" s="94">
        <f t="shared" si="4"/>
        <v>2.936580539394803E-4</v>
      </c>
      <c r="K46" s="100">
        <f t="shared" si="5"/>
        <v>0.11896846376891436</v>
      </c>
      <c r="L46" s="138">
        <f t="shared" si="6"/>
        <v>0.11896846376891436</v>
      </c>
      <c r="M46" s="163">
        <f t="shared" si="7"/>
        <v>118.96846376891436</v>
      </c>
      <c r="N46" s="215">
        <f t="shared" ref="N46" si="20">AVERAGE(L46:L47)</f>
        <v>0.1181195759608694</v>
      </c>
      <c r="O46" s="184">
        <f t="shared" ref="O46" si="21">ABS(L46-L47)/N46*100</f>
        <v>1.4373363621389499</v>
      </c>
      <c r="P46" s="184">
        <f t="shared" ref="P46" si="22">2/3*2^(1-(0.5*LOG(N46/1000000000)))</f>
        <v>41.610524244404793</v>
      </c>
      <c r="Q46" s="96"/>
    </row>
    <row r="47" spans="1:21" s="102" customFormat="1" x14ac:dyDescent="0.3">
      <c r="A47" s="90" t="e">
        <f>C47&amp;#REF!</f>
        <v>#REF!</v>
      </c>
      <c r="B47" s="90"/>
      <c r="C47" s="91" t="s">
        <v>98</v>
      </c>
      <c r="D47" s="91" t="s">
        <v>107</v>
      </c>
      <c r="E47" s="92">
        <v>50</v>
      </c>
      <c r="F47" s="92">
        <v>50</v>
      </c>
      <c r="G47" s="92">
        <v>1</v>
      </c>
      <c r="H47" s="93">
        <v>4220.7258870190626</v>
      </c>
      <c r="I47" s="93">
        <v>14785906.671070971</v>
      </c>
      <c r="J47" s="94">
        <f t="shared" si="4"/>
        <v>2.8545600759654651E-4</v>
      </c>
      <c r="K47" s="100">
        <f t="shared" si="5"/>
        <v>0.11727068815282446</v>
      </c>
      <c r="L47" s="138">
        <f t="shared" si="6"/>
        <v>0.11727068815282445</v>
      </c>
      <c r="M47" s="163">
        <f t="shared" si="7"/>
        <v>117.27068815282445</v>
      </c>
      <c r="N47" s="216"/>
      <c r="O47" s="185"/>
      <c r="P47" s="185"/>
      <c r="Q47" s="96"/>
      <c r="R47" s="90"/>
    </row>
    <row r="48" spans="1:21" s="103" customFormat="1" ht="18" customHeight="1" x14ac:dyDescent="0.3">
      <c r="A48" s="103" t="e">
        <f>C48&amp;#REF!</f>
        <v>#REF!</v>
      </c>
      <c r="C48" s="104" t="s">
        <v>81</v>
      </c>
      <c r="D48" s="104" t="s">
        <v>108</v>
      </c>
      <c r="E48" s="105">
        <v>50</v>
      </c>
      <c r="F48" s="105">
        <v>50</v>
      </c>
      <c r="G48" s="105">
        <v>1</v>
      </c>
      <c r="H48" s="106">
        <v>143867.66987310917</v>
      </c>
      <c r="I48" s="106">
        <v>14713870.828054456</v>
      </c>
      <c r="J48" s="107">
        <f t="shared" si="4"/>
        <v>9.7776901506299342E-3</v>
      </c>
      <c r="K48" s="108">
        <f t="shared" si="5"/>
        <v>2.0821076320628151</v>
      </c>
      <c r="L48" s="139">
        <f t="shared" si="6"/>
        <v>2.0821076320628151</v>
      </c>
      <c r="M48" s="163">
        <f t="shared" si="7"/>
        <v>2082.1076320628154</v>
      </c>
      <c r="N48" s="213">
        <f t="shared" ref="N48" si="23">AVERAGE(L48:L49)</f>
        <v>2.0462854505668817</v>
      </c>
      <c r="O48" s="180">
        <f t="shared" ref="O48" si="24">ABS(L48-L49)/N48*100</f>
        <v>3.5011910470271279</v>
      </c>
      <c r="P48" s="180">
        <f t="shared" ref="P48" si="25">2/3*2^(1-(0.5*LOG(N48/1000000000)))</f>
        <v>27.087482123639788</v>
      </c>
      <c r="Q48" s="110"/>
    </row>
    <row r="49" spans="1:21" s="103" customFormat="1" ht="18" customHeight="1" x14ac:dyDescent="0.3">
      <c r="A49" s="103" t="e">
        <f>C49&amp;#REF!</f>
        <v>#REF!</v>
      </c>
      <c r="C49" s="104" t="s">
        <v>82</v>
      </c>
      <c r="D49" s="104" t="s">
        <v>108</v>
      </c>
      <c r="E49" s="105">
        <v>50</v>
      </c>
      <c r="F49" s="105">
        <v>50</v>
      </c>
      <c r="G49" s="105">
        <v>1</v>
      </c>
      <c r="H49" s="106">
        <v>140718.3759833246</v>
      </c>
      <c r="I49" s="106">
        <v>14919927.554579644</v>
      </c>
      <c r="J49" s="107">
        <f t="shared" si="4"/>
        <v>9.431572336296724E-3</v>
      </c>
      <c r="K49" s="108">
        <f t="shared" si="5"/>
        <v>2.0104632690709487</v>
      </c>
      <c r="L49" s="139">
        <f t="shared" si="6"/>
        <v>2.0104632690709487</v>
      </c>
      <c r="M49" s="163">
        <f t="shared" si="7"/>
        <v>2010.4632690709489</v>
      </c>
      <c r="N49" s="214"/>
      <c r="O49" s="181"/>
      <c r="P49" s="181"/>
      <c r="Q49" s="110"/>
    </row>
    <row r="50" spans="1:21" s="103" customFormat="1" ht="18" customHeight="1" x14ac:dyDescent="0.3">
      <c r="A50" s="103" t="e">
        <f>C50&amp;#REF!</f>
        <v>#REF!</v>
      </c>
      <c r="C50" s="104" t="s">
        <v>83</v>
      </c>
      <c r="D50" s="104" t="s">
        <v>108</v>
      </c>
      <c r="E50" s="105">
        <v>50</v>
      </c>
      <c r="F50" s="105">
        <v>50</v>
      </c>
      <c r="G50" s="105">
        <v>1</v>
      </c>
      <c r="H50" s="106">
        <v>143443.11397095892</v>
      </c>
      <c r="I50" s="106">
        <v>14899184.40894427</v>
      </c>
      <c r="J50" s="107">
        <f t="shared" si="4"/>
        <v>9.6275816201621903E-3</v>
      </c>
      <c r="K50" s="108">
        <f t="shared" si="5"/>
        <v>2.0510360442980393</v>
      </c>
      <c r="L50" s="139">
        <f t="shared" si="6"/>
        <v>2.0510360442980393</v>
      </c>
      <c r="M50" s="163">
        <f t="shared" si="7"/>
        <v>2051.0360442980395</v>
      </c>
      <c r="N50" s="213">
        <f t="shared" ref="N50" si="26">AVERAGE(L50:L51)</f>
        <v>2.0783289056717642</v>
      </c>
      <c r="O50" s="180">
        <f t="shared" ref="O50" si="27">ABS(L50-L51)/N50*100</f>
        <v>2.6264236906143998</v>
      </c>
      <c r="P50" s="180">
        <f t="shared" ref="P50" si="28">2/3*2^(1-(0.5*LOG(N50/1000000000)))</f>
        <v>27.024206651670255</v>
      </c>
      <c r="Q50" s="110"/>
    </row>
    <row r="51" spans="1:21" s="103" customFormat="1" ht="18" customHeight="1" x14ac:dyDescent="0.3">
      <c r="A51" s="103" t="e">
        <f>C51&amp;#REF!</f>
        <v>#REF!</v>
      </c>
      <c r="C51" s="104" t="s">
        <v>84</v>
      </c>
      <c r="D51" s="104" t="s">
        <v>108</v>
      </c>
      <c r="E51" s="105">
        <v>50</v>
      </c>
      <c r="F51" s="105">
        <v>50</v>
      </c>
      <c r="G51" s="105">
        <v>1</v>
      </c>
      <c r="H51" s="106">
        <v>143897.42349801629</v>
      </c>
      <c r="I51" s="106">
        <v>14547895.113419713</v>
      </c>
      <c r="J51" s="107">
        <f t="shared" si="4"/>
        <v>9.8912882156593253E-3</v>
      </c>
      <c r="K51" s="108">
        <f t="shared" si="5"/>
        <v>2.1056217670454895</v>
      </c>
      <c r="L51" s="139">
        <f t="shared" si="6"/>
        <v>2.1056217670454895</v>
      </c>
      <c r="M51" s="163">
        <f t="shared" si="7"/>
        <v>2105.6217670454894</v>
      </c>
      <c r="N51" s="214"/>
      <c r="O51" s="181"/>
      <c r="P51" s="181"/>
      <c r="Q51" s="110"/>
    </row>
    <row r="52" spans="1:21" s="103" customFormat="1" ht="18" customHeight="1" x14ac:dyDescent="0.3">
      <c r="A52" s="103" t="e">
        <f>C52&amp;#REF!</f>
        <v>#REF!</v>
      </c>
      <c r="C52" s="104" t="s">
        <v>85</v>
      </c>
      <c r="D52" s="104" t="s">
        <v>108</v>
      </c>
      <c r="E52" s="105">
        <v>50</v>
      </c>
      <c r="F52" s="105">
        <v>50</v>
      </c>
      <c r="G52" s="105">
        <v>1</v>
      </c>
      <c r="H52" s="106">
        <v>147172.60938984019</v>
      </c>
      <c r="I52" s="106">
        <v>14782057.427551007</v>
      </c>
      <c r="J52" s="107">
        <f t="shared" si="4"/>
        <v>9.9561654465999978E-3</v>
      </c>
      <c r="K52" s="108">
        <f t="shared" si="5"/>
        <v>2.1190509743585402</v>
      </c>
      <c r="L52" s="139">
        <f t="shared" si="6"/>
        <v>2.1190509743585402</v>
      </c>
      <c r="M52" s="163">
        <f t="shared" si="7"/>
        <v>2119.0509743585403</v>
      </c>
      <c r="N52" s="213">
        <f t="shared" ref="N52" si="29">AVERAGE(L52:L53)</f>
        <v>2.1032890370522885</v>
      </c>
      <c r="O52" s="180">
        <f t="shared" ref="O52" si="30">ABS(L52-L53)/N52*100</f>
        <v>1.4987894700712567</v>
      </c>
      <c r="P52" s="180">
        <f t="shared" ref="P52" si="31">2/3*2^(1-(0.5*LOG(N52/1000000000)))</f>
        <v>26.975691178404148</v>
      </c>
      <c r="Q52" s="110"/>
    </row>
    <row r="53" spans="1:21" s="111" customFormat="1" x14ac:dyDescent="0.3">
      <c r="A53" s="103" t="e">
        <f>C53&amp;#REF!</f>
        <v>#REF!</v>
      </c>
      <c r="B53" s="103"/>
      <c r="C53" s="104" t="s">
        <v>86</v>
      </c>
      <c r="D53" s="104" t="s">
        <v>108</v>
      </c>
      <c r="E53" s="105">
        <v>50</v>
      </c>
      <c r="F53" s="105">
        <v>50</v>
      </c>
      <c r="G53" s="105">
        <v>1</v>
      </c>
      <c r="H53" s="106">
        <v>144036.06384213094</v>
      </c>
      <c r="I53" s="106">
        <v>14691752.95259052</v>
      </c>
      <c r="J53" s="107">
        <f t="shared" si="4"/>
        <v>9.8038718937711114E-3</v>
      </c>
      <c r="K53" s="108">
        <f t="shared" si="5"/>
        <v>2.0875270997460373</v>
      </c>
      <c r="L53" s="139">
        <f t="shared" si="6"/>
        <v>2.0875270997460373</v>
      </c>
      <c r="M53" s="163">
        <f t="shared" si="7"/>
        <v>2087.5270997460375</v>
      </c>
      <c r="N53" s="214"/>
      <c r="O53" s="181"/>
      <c r="P53" s="181"/>
      <c r="Q53" s="110"/>
      <c r="R53" s="103"/>
    </row>
    <row r="54" spans="1:21" s="121" customFormat="1" x14ac:dyDescent="0.3">
      <c r="A54" s="82"/>
      <c r="B54" s="82"/>
      <c r="C54" s="113" t="s">
        <v>100</v>
      </c>
      <c r="D54" s="113" t="s">
        <v>150</v>
      </c>
      <c r="E54" s="114">
        <v>50</v>
      </c>
      <c r="F54" s="114">
        <v>50</v>
      </c>
      <c r="G54" s="114">
        <v>1</v>
      </c>
      <c r="H54" s="115">
        <v>7215.4406762552198</v>
      </c>
      <c r="I54" s="115">
        <v>14651916.337114044</v>
      </c>
      <c r="J54" s="116">
        <f t="shared" si="4"/>
        <v>4.924571305378085E-4</v>
      </c>
      <c r="K54" s="117">
        <f t="shared" si="5"/>
        <v>0.16011870977314563</v>
      </c>
      <c r="L54" s="143">
        <f t="shared" si="6"/>
        <v>0.16011870977314563</v>
      </c>
      <c r="M54" s="163">
        <f t="shared" si="7"/>
        <v>160.11870977314564</v>
      </c>
      <c r="N54" s="209">
        <f t="shared" ref="N54" si="32">AVERAGE(L54:L55)</f>
        <v>0.1527489952662609</v>
      </c>
      <c r="O54" s="211">
        <f t="shared" ref="O54" si="33">ABS(L54-L55)/N54*100</f>
        <v>9.6494441669333142</v>
      </c>
      <c r="P54" s="211">
        <f t="shared" ref="P54" si="34">2/3*2^(1-(0.5*LOG(N54/1000000000)))</f>
        <v>40.031071245141582</v>
      </c>
      <c r="Q54" s="118"/>
      <c r="R54" s="82"/>
    </row>
    <row r="55" spans="1:21" s="121" customFormat="1" x14ac:dyDescent="0.3">
      <c r="A55" s="82"/>
      <c r="B55" s="82"/>
      <c r="C55" s="113" t="s">
        <v>101</v>
      </c>
      <c r="D55" s="113" t="s">
        <v>150</v>
      </c>
      <c r="E55" s="114">
        <v>50</v>
      </c>
      <c r="F55" s="114">
        <v>50</v>
      </c>
      <c r="G55" s="114">
        <v>1</v>
      </c>
      <c r="H55" s="115">
        <v>6191.5669790061102</v>
      </c>
      <c r="I55" s="115">
        <v>14698076.709801897</v>
      </c>
      <c r="J55" s="116">
        <f t="shared" si="4"/>
        <v>4.2125014729832368E-4</v>
      </c>
      <c r="K55" s="117">
        <f t="shared" si="5"/>
        <v>0.14537928075937617</v>
      </c>
      <c r="L55" s="143">
        <f t="shared" si="6"/>
        <v>0.14537928075937617</v>
      </c>
      <c r="M55" s="163">
        <f t="shared" si="7"/>
        <v>145.37928075937617</v>
      </c>
      <c r="N55" s="210"/>
      <c r="O55" s="212"/>
      <c r="P55" s="212"/>
      <c r="Q55" s="118"/>
      <c r="R55" s="82"/>
    </row>
    <row r="56" spans="1:21" s="121" customFormat="1" x14ac:dyDescent="0.3">
      <c r="A56" s="82"/>
      <c r="B56" s="82"/>
      <c r="C56" s="113" t="s">
        <v>102</v>
      </c>
      <c r="D56" s="113" t="s">
        <v>150</v>
      </c>
      <c r="E56" s="114">
        <v>50</v>
      </c>
      <c r="F56" s="114">
        <v>50</v>
      </c>
      <c r="G56" s="114">
        <v>1</v>
      </c>
      <c r="H56" s="115">
        <v>5337.8277636431121</v>
      </c>
      <c r="I56" s="115">
        <v>14553577.330044426</v>
      </c>
      <c r="J56" s="116">
        <f t="shared" si="4"/>
        <v>3.6677083871493869E-4</v>
      </c>
      <c r="K56" s="117">
        <f t="shared" si="5"/>
        <v>0.13410238255287024</v>
      </c>
      <c r="L56" s="143">
        <f t="shared" si="6"/>
        <v>0.13410238255287024</v>
      </c>
      <c r="M56" s="163">
        <f t="shared" si="7"/>
        <v>134.10238255287024</v>
      </c>
      <c r="N56" s="209">
        <f t="shared" ref="N56" si="35">AVERAGE(L56:L57)</f>
        <v>0.13399721378700469</v>
      </c>
      <c r="O56" s="211">
        <f t="shared" ref="O56" si="36">ABS(L56-L57)/N56*100</f>
        <v>0.15697157111449389</v>
      </c>
      <c r="P56" s="211">
        <f t="shared" ref="P56" si="37">2/3*2^(1-(0.5*LOG(N56/1000000000)))</f>
        <v>40.828074226800204</v>
      </c>
      <c r="Q56" s="118"/>
      <c r="R56" s="82"/>
    </row>
    <row r="57" spans="1:21" s="121" customFormat="1" x14ac:dyDescent="0.3">
      <c r="A57" s="82"/>
      <c r="B57" s="82"/>
      <c r="C57" s="113" t="s">
        <v>103</v>
      </c>
      <c r="D57" s="113" t="s">
        <v>150</v>
      </c>
      <c r="E57" s="114">
        <v>50</v>
      </c>
      <c r="F57" s="114">
        <v>50</v>
      </c>
      <c r="G57" s="114">
        <v>1</v>
      </c>
      <c r="H57" s="115">
        <v>5381.3990468537195</v>
      </c>
      <c r="I57" s="115">
        <v>14713137.638812557</v>
      </c>
      <c r="J57" s="116">
        <f t="shared" si="4"/>
        <v>3.657546866589384E-4</v>
      </c>
      <c r="K57" s="117">
        <f t="shared" si="5"/>
        <v>0.13389204502113913</v>
      </c>
      <c r="L57" s="143">
        <f t="shared" si="6"/>
        <v>0.13389204502113913</v>
      </c>
      <c r="M57" s="163">
        <f t="shared" si="7"/>
        <v>133.89204502113913</v>
      </c>
      <c r="N57" s="210"/>
      <c r="O57" s="212"/>
      <c r="P57" s="212"/>
      <c r="Q57" s="118"/>
      <c r="R57" s="82"/>
    </row>
    <row r="58" spans="1:21" s="121" customFormat="1" x14ac:dyDescent="0.3">
      <c r="A58" s="82"/>
      <c r="B58" s="82"/>
      <c r="C58" s="113" t="s">
        <v>104</v>
      </c>
      <c r="D58" s="113" t="s">
        <v>150</v>
      </c>
      <c r="E58" s="114">
        <v>50</v>
      </c>
      <c r="F58" s="114">
        <v>50</v>
      </c>
      <c r="G58" s="114">
        <v>1</v>
      </c>
      <c r="H58" s="115">
        <v>4900.9850296436098</v>
      </c>
      <c r="I58" s="115">
        <v>14962299.782851018</v>
      </c>
      <c r="J58" s="116">
        <f t="shared" si="4"/>
        <v>3.2755559645054395E-4</v>
      </c>
      <c r="K58" s="117">
        <f t="shared" si="5"/>
        <v>0.12598505678904956</v>
      </c>
      <c r="L58" s="143">
        <f t="shared" si="6"/>
        <v>0.12598505678904956</v>
      </c>
      <c r="M58" s="163">
        <f t="shared" si="7"/>
        <v>125.98505678904957</v>
      </c>
      <c r="N58" s="209">
        <f t="shared" ref="N58" si="38">AVERAGE(L58:L59)</f>
        <v>0.12362787414253081</v>
      </c>
      <c r="O58" s="211">
        <f t="shared" ref="O58" si="39">ABS(L58-L59)/N58*100</f>
        <v>3.813351419116298</v>
      </c>
      <c r="P58" s="211">
        <f t="shared" ref="P58" si="40">2/3*2^(1-(0.5*LOG(N58/1000000000)))</f>
        <v>41.326042213353048</v>
      </c>
      <c r="Q58" s="118"/>
      <c r="R58" s="82"/>
    </row>
    <row r="59" spans="1:21" s="121" customFormat="1" x14ac:dyDescent="0.3">
      <c r="A59" s="82"/>
      <c r="B59" s="82"/>
      <c r="C59" s="113" t="s">
        <v>105</v>
      </c>
      <c r="D59" s="113" t="s">
        <v>150</v>
      </c>
      <c r="E59" s="114">
        <v>50</v>
      </c>
      <c r="F59" s="114">
        <v>50</v>
      </c>
      <c r="G59" s="114">
        <v>1</v>
      </c>
      <c r="H59" s="115">
        <v>4570.8556967380109</v>
      </c>
      <c r="I59" s="115">
        <v>14997217.920496428</v>
      </c>
      <c r="J59" s="116">
        <f t="shared" si="4"/>
        <v>3.0478024130669624E-4</v>
      </c>
      <c r="K59" s="117">
        <f t="shared" si="5"/>
        <v>0.12127069149601205</v>
      </c>
      <c r="L59" s="143">
        <f t="shared" si="6"/>
        <v>0.12127069149601205</v>
      </c>
      <c r="M59" s="163">
        <f t="shared" si="7"/>
        <v>121.27069149601205</v>
      </c>
      <c r="N59" s="210"/>
      <c r="O59" s="212"/>
      <c r="P59" s="212"/>
      <c r="Q59" s="118"/>
      <c r="R59" s="82"/>
    </row>
    <row r="60" spans="1:21" x14ac:dyDescent="0.3">
      <c r="C60" s="36"/>
      <c r="D60" s="36"/>
      <c r="E60" s="36"/>
      <c r="F60" s="36"/>
      <c r="G60" s="36"/>
      <c r="H60" s="36"/>
      <c r="I60" s="30"/>
      <c r="J60" s="30"/>
      <c r="K60" s="30"/>
      <c r="L60" s="30"/>
      <c r="M60" s="30"/>
      <c r="N60" s="30"/>
      <c r="O60" s="30"/>
      <c r="P60" s="30"/>
      <c r="Q60" s="30"/>
      <c r="R60" s="30"/>
      <c r="T60" s="15"/>
      <c r="U60" s="15"/>
    </row>
    <row r="61" spans="1:21" x14ac:dyDescent="0.3"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</row>
    <row r="62" spans="1:21" x14ac:dyDescent="0.3">
      <c r="C62" s="61" t="s">
        <v>47</v>
      </c>
      <c r="D62" s="54"/>
      <c r="E62" s="55"/>
      <c r="F62" s="30"/>
      <c r="G62" s="30"/>
      <c r="H62" s="58" t="s">
        <v>48</v>
      </c>
      <c r="I62" s="30"/>
      <c r="J62" s="30"/>
      <c r="K62" s="30"/>
      <c r="L62" s="30"/>
      <c r="M62" s="30"/>
      <c r="N62" s="30"/>
      <c r="O62" s="30"/>
      <c r="P62" s="30"/>
      <c r="Q62" s="30"/>
      <c r="R62" s="30"/>
    </row>
    <row r="63" spans="1:21" ht="14.5" x14ac:dyDescent="0.35">
      <c r="C63" s="53" t="s">
        <v>30</v>
      </c>
      <c r="D63" s="56" t="s">
        <v>51</v>
      </c>
      <c r="E63" s="55"/>
      <c r="F63" s="30"/>
      <c r="G63" s="30"/>
      <c r="H63" s="57" t="s">
        <v>54</v>
      </c>
      <c r="I63" s="30"/>
      <c r="J63" s="30"/>
      <c r="K63" s="30"/>
      <c r="L63" s="30"/>
      <c r="M63" s="30"/>
      <c r="N63" s="30"/>
      <c r="O63" s="30"/>
      <c r="P63" s="30"/>
      <c r="Q63" s="30"/>
      <c r="R63" s="30"/>
    </row>
    <row r="64" spans="1:21" x14ac:dyDescent="0.3">
      <c r="C64" s="53" t="s">
        <v>31</v>
      </c>
      <c r="D64" s="56" t="s">
        <v>52</v>
      </c>
      <c r="E64" s="55"/>
      <c r="F64" s="30"/>
      <c r="G64" s="30"/>
      <c r="H64" s="57"/>
      <c r="I64" s="30"/>
      <c r="J64" s="30"/>
      <c r="K64" s="30"/>
      <c r="L64" s="30"/>
      <c r="M64" s="30"/>
      <c r="N64" s="30"/>
      <c r="O64" s="30"/>
      <c r="P64" s="30"/>
      <c r="Q64" s="30"/>
      <c r="R64" s="30"/>
    </row>
    <row r="65" spans="3:8" x14ac:dyDescent="0.3">
      <c r="C65" s="22" t="s">
        <v>39</v>
      </c>
      <c r="D65" s="21" t="s">
        <v>53</v>
      </c>
      <c r="E65" s="20"/>
      <c r="H65" s="46"/>
    </row>
    <row r="66" spans="3:8" x14ac:dyDescent="0.3">
      <c r="C66" s="57" t="s">
        <v>139</v>
      </c>
      <c r="D66" s="64" t="s">
        <v>140</v>
      </c>
      <c r="E66" s="30"/>
      <c r="F66" s="30"/>
    </row>
  </sheetData>
  <mergeCells count="45">
    <mergeCell ref="C1:S1"/>
    <mergeCell ref="C7:D7"/>
    <mergeCell ref="C8:D8"/>
    <mergeCell ref="C12:D12"/>
    <mergeCell ref="B28:B31"/>
    <mergeCell ref="C28:G28"/>
    <mergeCell ref="C29:G29"/>
    <mergeCell ref="C30:G30"/>
    <mergeCell ref="C31:G31"/>
    <mergeCell ref="N36:N37"/>
    <mergeCell ref="O36:O37"/>
    <mergeCell ref="P36:P37"/>
    <mergeCell ref="N38:N39"/>
    <mergeCell ref="O38:O39"/>
    <mergeCell ref="P38:P39"/>
    <mergeCell ref="N40:N41"/>
    <mergeCell ref="O40:O41"/>
    <mergeCell ref="P40:P41"/>
    <mergeCell ref="N42:N43"/>
    <mergeCell ref="O42:O43"/>
    <mergeCell ref="P42:P43"/>
    <mergeCell ref="N44:N45"/>
    <mergeCell ref="O44:O45"/>
    <mergeCell ref="P44:P45"/>
    <mergeCell ref="N46:N47"/>
    <mergeCell ref="O46:O47"/>
    <mergeCell ref="P46:P47"/>
    <mergeCell ref="N48:N49"/>
    <mergeCell ref="O48:O49"/>
    <mergeCell ref="P48:P49"/>
    <mergeCell ref="N50:N51"/>
    <mergeCell ref="O50:O51"/>
    <mergeCell ref="P50:P51"/>
    <mergeCell ref="N52:N53"/>
    <mergeCell ref="O52:O53"/>
    <mergeCell ref="P52:P53"/>
    <mergeCell ref="N54:N55"/>
    <mergeCell ref="O54:O55"/>
    <mergeCell ref="P54:P55"/>
    <mergeCell ref="N56:N57"/>
    <mergeCell ref="O56:O57"/>
    <mergeCell ref="P56:P57"/>
    <mergeCell ref="N58:N59"/>
    <mergeCell ref="O58:O59"/>
    <mergeCell ref="P58:P59"/>
  </mergeCells>
  <conditionalFormatting sqref="C17:D17 D16">
    <cfRule type="duplicateValues" dxfId="9" priority="2"/>
  </conditionalFormatting>
  <conditionalFormatting sqref="C32:D34">
    <cfRule type="duplicateValues" dxfId="8" priority="1"/>
  </conditionalFormatting>
  <printOptions horizontalCentered="1"/>
  <pageMargins left="0.31496062992125984" right="0.31496062992125984" top="0.55118110236220474" bottom="0.55118110236220474" header="0.31496062992125984" footer="0.31496062992125984"/>
  <pageSetup paperSize="9" scale="39" fitToHeight="0" orientation="portrait" horizontalDpi="4294967292" verticalDpi="360" r:id="rId1"/>
  <headerFooter>
    <oddHeader xml:space="preserve">&amp;R&amp;"Arial,Regular"&amp;10No.: 18-13-14.1/F-MU
Revisi 7
</oddHead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252EB-1CBD-4366-9957-342C01BDA89E}">
  <sheetPr codeName="Sheet8">
    <tabColor rgb="FF92D050"/>
    <pageSetUpPr fitToPage="1"/>
  </sheetPr>
  <dimension ref="A1:V78"/>
  <sheetViews>
    <sheetView view="pageBreakPreview" topLeftCell="B31" zoomScale="68" zoomScaleNormal="68" zoomScaleSheetLayoutView="68" zoomScalePageLayoutView="70" workbookViewId="0">
      <selection activeCell="M35" sqref="M35"/>
    </sheetView>
  </sheetViews>
  <sheetFormatPr defaultColWidth="8.54296875" defaultRowHeight="14" x14ac:dyDescent="0.3"/>
  <cols>
    <col min="1" max="1" width="8.54296875" style="5" hidden="1" customWidth="1"/>
    <col min="2" max="2" width="8.7265625" style="5" customWidth="1"/>
    <col min="3" max="3" width="18.7265625" style="5" customWidth="1"/>
    <col min="4" max="4" width="32.26953125" style="5" customWidth="1"/>
    <col min="5" max="5" width="12.7265625" style="5" customWidth="1"/>
    <col min="6" max="6" width="14.81640625" style="5" bestFit="1" customWidth="1"/>
    <col min="7" max="7" width="10.453125" style="5" bestFit="1" customWidth="1"/>
    <col min="8" max="8" width="13.7265625" style="5" customWidth="1"/>
    <col min="9" max="9" width="16.1796875" style="5" bestFit="1" customWidth="1"/>
    <col min="10" max="10" width="13.453125" style="5" bestFit="1" customWidth="1"/>
    <col min="11" max="11" width="12.1796875" style="5" customWidth="1"/>
    <col min="12" max="13" width="15.1796875" style="5" customWidth="1"/>
    <col min="14" max="14" width="13.54296875" style="8" customWidth="1"/>
    <col min="15" max="16" width="17.453125" style="5" customWidth="1"/>
    <col min="17" max="17" width="29.453125" style="5" bestFit="1" customWidth="1"/>
    <col min="18" max="19" width="17.453125" style="5" customWidth="1"/>
    <col min="20" max="20" width="12.26953125" style="5" customWidth="1"/>
    <col min="21" max="21" width="9.1796875" style="5" customWidth="1"/>
    <col min="22" max="22" width="10.453125" style="5" customWidth="1"/>
    <col min="23" max="16384" width="8.54296875" style="5"/>
  </cols>
  <sheetData>
    <row r="1" spans="3:22" ht="39.75" customHeight="1" x14ac:dyDescent="0.3">
      <c r="C1" s="192" t="s">
        <v>50</v>
      </c>
      <c r="D1" s="192"/>
      <c r="E1" s="192"/>
      <c r="F1" s="192"/>
      <c r="G1" s="192"/>
      <c r="H1" s="192"/>
      <c r="I1" s="192"/>
      <c r="J1" s="192"/>
      <c r="K1" s="192"/>
      <c r="L1" s="192"/>
      <c r="M1" s="192"/>
      <c r="N1" s="192"/>
      <c r="O1" s="192"/>
      <c r="P1" s="192"/>
      <c r="Q1" s="192"/>
      <c r="R1" s="192"/>
      <c r="S1" s="192"/>
      <c r="T1" s="4"/>
      <c r="U1" s="4"/>
      <c r="V1" s="4"/>
    </row>
    <row r="2" spans="3:22" ht="15" customHeight="1" x14ac:dyDescent="0.3">
      <c r="C2" s="3"/>
      <c r="D2" s="3"/>
      <c r="E2" s="3"/>
      <c r="F2" s="3"/>
      <c r="G2" s="6"/>
      <c r="H2" s="6"/>
      <c r="I2" s="6"/>
      <c r="J2" s="6"/>
      <c r="K2" s="7"/>
      <c r="O2" s="9"/>
      <c r="P2" s="9"/>
      <c r="Q2" s="9"/>
      <c r="R2" s="9"/>
      <c r="T2" s="4"/>
      <c r="U2" s="4"/>
      <c r="V2" s="4"/>
    </row>
    <row r="3" spans="3:22" ht="15" customHeight="1" x14ac:dyDescent="0.35">
      <c r="C3" s="3"/>
      <c r="D3" s="3"/>
      <c r="E3" s="3"/>
      <c r="F3" s="3"/>
      <c r="G3" s="6"/>
      <c r="H3" s="6"/>
      <c r="I3" s="6"/>
      <c r="J3" s="6"/>
      <c r="K3" s="6"/>
      <c r="O3"/>
      <c r="P3"/>
      <c r="Q3"/>
      <c r="R3"/>
      <c r="S3"/>
      <c r="T3" s="4"/>
      <c r="U3" s="4"/>
      <c r="V3" s="4"/>
    </row>
    <row r="4" spans="3:22" ht="14.5" x14ac:dyDescent="0.35">
      <c r="G4" s="6"/>
      <c r="H4" s="6"/>
      <c r="I4" s="6"/>
      <c r="J4" s="6"/>
      <c r="K4" s="6"/>
      <c r="O4"/>
      <c r="P4"/>
      <c r="Q4"/>
      <c r="R4"/>
      <c r="S4"/>
    </row>
    <row r="5" spans="3:22" ht="14.5" x14ac:dyDescent="0.35">
      <c r="C5" s="10" t="s">
        <v>7</v>
      </c>
      <c r="D5" s="11"/>
      <c r="E5" s="12" t="s">
        <v>58</v>
      </c>
      <c r="G5" s="13"/>
      <c r="H5" s="6"/>
      <c r="I5" s="14"/>
      <c r="K5" s="6"/>
      <c r="L5" s="15"/>
      <c r="M5" s="15"/>
      <c r="O5"/>
      <c r="P5"/>
      <c r="Q5"/>
      <c r="R5"/>
      <c r="S5"/>
    </row>
    <row r="6" spans="3:22" ht="14.5" x14ac:dyDescent="0.35">
      <c r="C6" s="10" t="s">
        <v>10</v>
      </c>
      <c r="D6" s="11"/>
      <c r="E6" s="12" t="s">
        <v>59</v>
      </c>
      <c r="F6" s="17"/>
      <c r="G6" s="24"/>
      <c r="H6" s="17"/>
      <c r="I6" s="16"/>
      <c r="J6" s="17"/>
      <c r="K6" s="6"/>
      <c r="L6" s="15"/>
      <c r="M6" s="15"/>
      <c r="O6"/>
      <c r="P6"/>
      <c r="Q6"/>
      <c r="R6"/>
      <c r="S6"/>
    </row>
    <row r="7" spans="3:22" x14ac:dyDescent="0.3">
      <c r="C7" s="193" t="s">
        <v>35</v>
      </c>
      <c r="D7" s="193"/>
      <c r="E7" s="12" t="s">
        <v>60</v>
      </c>
      <c r="G7" s="24"/>
      <c r="H7" s="17"/>
      <c r="I7" s="16"/>
      <c r="J7" s="17"/>
      <c r="K7" s="6"/>
      <c r="L7" s="15"/>
      <c r="M7" s="15"/>
      <c r="N7" s="9"/>
      <c r="O7" s="15"/>
      <c r="P7" s="15"/>
      <c r="Q7" s="15"/>
      <c r="R7" s="15"/>
    </row>
    <row r="8" spans="3:22" ht="14.5" x14ac:dyDescent="0.35">
      <c r="C8" s="194" t="s">
        <v>36</v>
      </c>
      <c r="D8" s="194"/>
      <c r="E8" s="60" t="s">
        <v>141</v>
      </c>
      <c r="F8" s="30"/>
      <c r="G8" s="63"/>
      <c r="H8" s="63"/>
      <c r="I8" s="8"/>
      <c r="N8" s="154" t="s">
        <v>45</v>
      </c>
      <c r="O8" s="26"/>
      <c r="P8" s="27"/>
      <c r="Q8"/>
    </row>
    <row r="9" spans="3:22" ht="14.5" x14ac:dyDescent="0.35">
      <c r="C9" s="10" t="s">
        <v>24</v>
      </c>
      <c r="D9" s="18"/>
      <c r="E9" s="12" t="s">
        <v>131</v>
      </c>
      <c r="N9" s="155" t="s">
        <v>25</v>
      </c>
      <c r="O9" s="29" t="s">
        <v>55</v>
      </c>
      <c r="P9" s="23"/>
      <c r="Q9"/>
    </row>
    <row r="10" spans="3:22" ht="14.5" x14ac:dyDescent="0.35">
      <c r="C10" s="10" t="s">
        <v>41</v>
      </c>
      <c r="D10" s="18"/>
      <c r="E10" s="12" t="s">
        <v>144</v>
      </c>
      <c r="N10" s="155"/>
      <c r="O10" s="36" t="s">
        <v>56</v>
      </c>
      <c r="P10" s="23"/>
      <c r="Q10"/>
    </row>
    <row r="11" spans="3:22" ht="14.5" x14ac:dyDescent="0.35">
      <c r="C11" s="31" t="s">
        <v>26</v>
      </c>
      <c r="D11" s="32"/>
      <c r="E11" s="33" t="s">
        <v>132</v>
      </c>
      <c r="F11" s="30"/>
      <c r="G11" s="30"/>
      <c r="H11" s="30"/>
      <c r="I11" s="30"/>
      <c r="N11" s="156"/>
      <c r="O11" s="59"/>
      <c r="P11" s="35"/>
      <c r="Q11"/>
    </row>
    <row r="12" spans="3:22" x14ac:dyDescent="0.3">
      <c r="C12" s="195" t="s">
        <v>37</v>
      </c>
      <c r="D12" s="195"/>
      <c r="E12" s="33" t="str">
        <f>E6</f>
        <v>: 8 September 2023</v>
      </c>
      <c r="F12" s="30"/>
      <c r="G12" s="36"/>
      <c r="H12" s="30"/>
      <c r="I12" s="37"/>
      <c r="J12" s="30"/>
      <c r="K12" s="36"/>
      <c r="L12" s="38"/>
      <c r="M12" s="38"/>
      <c r="N12" s="157"/>
      <c r="O12" s="30"/>
      <c r="P12" s="30"/>
      <c r="Q12" s="30"/>
      <c r="R12" s="30"/>
    </row>
    <row r="13" spans="3:22" x14ac:dyDescent="0.3">
      <c r="C13" s="30" t="s">
        <v>40</v>
      </c>
      <c r="D13" s="33"/>
      <c r="E13" s="30" t="s">
        <v>145</v>
      </c>
      <c r="F13" s="30"/>
      <c r="G13" s="36"/>
      <c r="H13" s="30"/>
      <c r="I13" s="37"/>
      <c r="J13" s="30"/>
      <c r="K13" s="36"/>
      <c r="L13" s="30"/>
      <c r="M13" s="30"/>
    </row>
    <row r="14" spans="3:22" x14ac:dyDescent="0.3">
      <c r="C14" s="30" t="s">
        <v>44</v>
      </c>
      <c r="D14" s="33"/>
      <c r="E14" s="30" t="s">
        <v>146</v>
      </c>
      <c r="F14" s="33"/>
      <c r="G14" s="36"/>
      <c r="H14" s="30"/>
      <c r="I14" s="37"/>
      <c r="J14" s="30"/>
      <c r="K14" s="36"/>
      <c r="L14" s="30"/>
      <c r="M14" s="30"/>
    </row>
    <row r="15" spans="3:22" x14ac:dyDescent="0.3">
      <c r="C15" s="30"/>
      <c r="D15" s="33"/>
      <c r="E15" s="30"/>
      <c r="F15" s="33"/>
      <c r="G15" s="36"/>
      <c r="H15" s="30"/>
      <c r="I15" s="37"/>
      <c r="J15" s="30"/>
      <c r="K15" s="36"/>
      <c r="L15" s="30"/>
      <c r="M15" s="30"/>
    </row>
    <row r="16" spans="3:22" x14ac:dyDescent="0.3">
      <c r="C16" s="31" t="s">
        <v>9</v>
      </c>
      <c r="D16" s="31"/>
      <c r="E16" s="31" t="s">
        <v>138</v>
      </c>
      <c r="F16" s="39"/>
      <c r="G16" s="39"/>
      <c r="H16" s="39"/>
      <c r="I16" s="39"/>
      <c r="J16" s="39"/>
      <c r="K16" s="39"/>
      <c r="L16" s="30"/>
      <c r="M16" s="30"/>
      <c r="S16" s="4"/>
      <c r="T16" s="4"/>
      <c r="U16" s="4"/>
    </row>
    <row r="17" spans="1:22" x14ac:dyDescent="0.3">
      <c r="C17" s="31"/>
      <c r="D17" s="31"/>
      <c r="E17" s="30"/>
      <c r="F17" s="40"/>
      <c r="G17" s="40"/>
      <c r="H17" s="40"/>
      <c r="I17" s="40"/>
      <c r="J17" s="40"/>
      <c r="K17" s="40"/>
      <c r="L17" s="30"/>
      <c r="M17" s="30"/>
      <c r="N17" s="63"/>
      <c r="O17" s="30"/>
      <c r="P17" s="30"/>
      <c r="Q17" s="30"/>
      <c r="R17" s="30"/>
    </row>
    <row r="18" spans="1:22" x14ac:dyDescent="0.3">
      <c r="C18" s="41"/>
      <c r="D18" s="41"/>
      <c r="E18" s="41"/>
      <c r="F18" s="41"/>
      <c r="G18" s="42"/>
      <c r="H18" s="42"/>
      <c r="I18" s="30"/>
      <c r="J18" s="30"/>
      <c r="K18" s="41"/>
      <c r="L18" s="41"/>
      <c r="M18" s="41"/>
      <c r="N18" s="41"/>
      <c r="O18" s="41"/>
      <c r="P18" s="41"/>
      <c r="Q18" s="41"/>
      <c r="R18" s="41"/>
      <c r="S18" s="4"/>
      <c r="T18" s="4"/>
      <c r="U18" s="4"/>
      <c r="V18" s="4"/>
    </row>
    <row r="19" spans="1:22" ht="57.75" customHeight="1" x14ac:dyDescent="0.3">
      <c r="B19" s="19" t="s">
        <v>27</v>
      </c>
      <c r="C19" s="43" t="s">
        <v>6</v>
      </c>
      <c r="D19" s="43" t="s">
        <v>28</v>
      </c>
      <c r="E19" s="43" t="s">
        <v>42</v>
      </c>
      <c r="F19" s="43" t="s">
        <v>43</v>
      </c>
      <c r="G19" s="43" t="s">
        <v>8</v>
      </c>
      <c r="H19" s="44" t="s">
        <v>23</v>
      </c>
      <c r="I19" s="30"/>
      <c r="J19" s="45"/>
      <c r="K19" s="45"/>
      <c r="L19" s="46"/>
      <c r="M19" s="46"/>
      <c r="N19" s="46"/>
      <c r="O19" s="46"/>
      <c r="P19" s="46"/>
      <c r="Q19" s="46"/>
      <c r="R19" s="46"/>
      <c r="S19" s="4"/>
    </row>
    <row r="20" spans="1:22" x14ac:dyDescent="0.3">
      <c r="A20" s="5" t="str">
        <f>"CalBlk"&amp;B20</f>
        <v>CalBlk1</v>
      </c>
      <c r="B20" s="19">
        <v>1</v>
      </c>
      <c r="C20" s="67">
        <v>0</v>
      </c>
      <c r="D20" s="43">
        <f>C20*1000/1000</f>
        <v>0</v>
      </c>
      <c r="E20" s="48">
        <v>666.6890942515638</v>
      </c>
      <c r="F20" s="48">
        <v>46818513.364166714</v>
      </c>
      <c r="G20" s="66">
        <f>E20/F20</f>
        <v>1.4239860395948087E-5</v>
      </c>
      <c r="H20" s="49">
        <f>G20-$G$20</f>
        <v>0</v>
      </c>
      <c r="I20" s="30"/>
      <c r="J20" s="45"/>
      <c r="K20" s="45"/>
      <c r="L20" s="46"/>
      <c r="M20" s="46"/>
      <c r="N20" s="46"/>
      <c r="O20" s="46"/>
      <c r="P20" s="46"/>
      <c r="Q20" s="46"/>
      <c r="R20" s="46"/>
      <c r="S20" s="4"/>
    </row>
    <row r="21" spans="1:22" x14ac:dyDescent="0.3">
      <c r="A21" s="5" t="str">
        <f>"CalStd"&amp;B21</f>
        <v>CalStd2</v>
      </c>
      <c r="B21" s="19">
        <v>2</v>
      </c>
      <c r="C21" s="43">
        <f>0.125</f>
        <v>0.125</v>
      </c>
      <c r="D21" s="43">
        <f t="shared" ref="D21:D27" si="0">C21*1000/1000</f>
        <v>0.125</v>
      </c>
      <c r="E21" s="48">
        <v>7288.8512043508017</v>
      </c>
      <c r="F21" s="48">
        <v>51835009.968877591</v>
      </c>
      <c r="G21" s="49">
        <f t="shared" ref="G21:G27" si="1">E21/F21</f>
        <v>1.4061637508562498E-4</v>
      </c>
      <c r="H21" s="49">
        <f t="shared" ref="H21:H27" si="2">G21-$G$20</f>
        <v>1.263765146896769E-4</v>
      </c>
      <c r="I21" s="30"/>
      <c r="J21" s="45"/>
      <c r="K21" s="45"/>
      <c r="L21" s="46"/>
      <c r="M21" s="46"/>
      <c r="N21" s="46"/>
      <c r="O21" s="46"/>
      <c r="P21" s="46"/>
      <c r="Q21" s="46"/>
      <c r="R21" s="46"/>
      <c r="S21" s="4"/>
    </row>
    <row r="22" spans="1:22" x14ac:dyDescent="0.3">
      <c r="A22" s="5" t="str">
        <f t="shared" ref="A22:A27" si="3">"CalStd"&amp;B22</f>
        <v>CalStd3</v>
      </c>
      <c r="B22" s="19">
        <v>3</v>
      </c>
      <c r="C22" s="48">
        <f>0.25</f>
        <v>0.25</v>
      </c>
      <c r="D22" s="48">
        <f t="shared" si="0"/>
        <v>0.25</v>
      </c>
      <c r="E22" s="48">
        <v>12638.8480957519</v>
      </c>
      <c r="F22" s="48">
        <v>54350733.136529997</v>
      </c>
      <c r="G22" s="49">
        <f t="shared" si="1"/>
        <v>2.3254236633759643E-4</v>
      </c>
      <c r="H22" s="49">
        <f t="shared" si="2"/>
        <v>2.1830250594164836E-4</v>
      </c>
      <c r="I22" s="30"/>
      <c r="J22" s="45"/>
      <c r="K22" s="45"/>
      <c r="L22" s="46"/>
      <c r="M22" s="46"/>
      <c r="N22" s="46"/>
      <c r="O22" s="46"/>
      <c r="P22" s="46"/>
      <c r="Q22" s="46"/>
      <c r="R22" s="46"/>
      <c r="S22" s="4"/>
    </row>
    <row r="23" spans="1:22" x14ac:dyDescent="0.3">
      <c r="A23" s="5" t="str">
        <f t="shared" si="3"/>
        <v>CalStd4</v>
      </c>
      <c r="B23" s="19">
        <v>4</v>
      </c>
      <c r="C23" s="48">
        <f>0.5</f>
        <v>0.5</v>
      </c>
      <c r="D23" s="48">
        <f t="shared" si="0"/>
        <v>0.5</v>
      </c>
      <c r="E23" s="48">
        <v>19460.686582074599</v>
      </c>
      <c r="F23" s="48">
        <v>51092018.742968343</v>
      </c>
      <c r="G23" s="49">
        <f>E23/F23</f>
        <v>3.8089484543518687E-4</v>
      </c>
      <c r="H23" s="49">
        <f t="shared" si="2"/>
        <v>3.6665498503923877E-4</v>
      </c>
      <c r="I23" s="30"/>
      <c r="J23" s="45"/>
      <c r="K23" s="45"/>
      <c r="L23" s="46"/>
      <c r="M23" s="46"/>
      <c r="N23" s="46"/>
      <c r="O23" s="46"/>
      <c r="P23" s="46"/>
      <c r="Q23" s="46"/>
      <c r="R23" s="46"/>
      <c r="S23" s="4"/>
    </row>
    <row r="24" spans="1:22" x14ac:dyDescent="0.3">
      <c r="A24" s="5" t="str">
        <f t="shared" si="3"/>
        <v>CalStd5</v>
      </c>
      <c r="B24" s="19">
        <v>5</v>
      </c>
      <c r="C24" s="48">
        <f>1</f>
        <v>1</v>
      </c>
      <c r="D24" s="48">
        <f t="shared" si="0"/>
        <v>1</v>
      </c>
      <c r="E24" s="48">
        <v>35098.811848101403</v>
      </c>
      <c r="F24" s="48">
        <v>53599696.285268508</v>
      </c>
      <c r="G24" s="47">
        <f t="shared" si="1"/>
        <v>6.5483228974467264E-4</v>
      </c>
      <c r="H24" s="49">
        <f t="shared" si="2"/>
        <v>6.4059242934872459E-4</v>
      </c>
      <c r="I24" s="30"/>
      <c r="J24" s="45"/>
      <c r="K24" s="45"/>
      <c r="L24" s="46"/>
      <c r="M24" s="46"/>
      <c r="N24" s="46"/>
      <c r="O24" s="46"/>
      <c r="P24" s="46"/>
      <c r="Q24" s="46"/>
      <c r="R24" s="46"/>
      <c r="S24" s="4"/>
    </row>
    <row r="25" spans="1:22" x14ac:dyDescent="0.3">
      <c r="A25" s="5" t="str">
        <f t="shared" si="3"/>
        <v>CalStd6</v>
      </c>
      <c r="B25" s="19">
        <v>6</v>
      </c>
      <c r="C25" s="48">
        <f>2</f>
        <v>2</v>
      </c>
      <c r="D25" s="48">
        <f t="shared" si="0"/>
        <v>2</v>
      </c>
      <c r="E25" s="48">
        <v>77658.524314762835</v>
      </c>
      <c r="F25" s="48">
        <v>56980228.713164598</v>
      </c>
      <c r="G25" s="47">
        <f t="shared" si="1"/>
        <v>1.3629029940488949E-3</v>
      </c>
      <c r="H25" s="47">
        <f t="shared" si="2"/>
        <v>1.3486631336529467E-3</v>
      </c>
      <c r="I25" s="30"/>
      <c r="J25" s="45"/>
      <c r="K25" s="45"/>
      <c r="L25" s="46"/>
      <c r="M25" s="46"/>
      <c r="N25" s="46"/>
      <c r="O25" s="46"/>
      <c r="P25" s="46"/>
      <c r="Q25" s="46"/>
      <c r="R25" s="46"/>
      <c r="S25" s="4"/>
    </row>
    <row r="26" spans="1:22" x14ac:dyDescent="0.3">
      <c r="A26" s="5" t="str">
        <f t="shared" si="3"/>
        <v>CalStd7</v>
      </c>
      <c r="B26" s="19">
        <v>7</v>
      </c>
      <c r="C26" s="48">
        <f>3</f>
        <v>3</v>
      </c>
      <c r="D26" s="48">
        <f t="shared" si="0"/>
        <v>3</v>
      </c>
      <c r="E26" s="48">
        <v>139406.97755541204</v>
      </c>
      <c r="F26" s="48">
        <v>61641774.647294797</v>
      </c>
      <c r="G26" s="47">
        <f t="shared" si="1"/>
        <v>2.2615665813172695E-3</v>
      </c>
      <c r="H26" s="47">
        <f t="shared" si="2"/>
        <v>2.2473267209213213E-3</v>
      </c>
      <c r="I26" s="30"/>
      <c r="J26" s="45"/>
      <c r="K26" s="45"/>
      <c r="L26" s="46"/>
      <c r="M26" s="46"/>
      <c r="N26" s="46"/>
      <c r="O26" s="46"/>
      <c r="P26" s="46"/>
      <c r="Q26" s="46"/>
      <c r="R26" s="46"/>
      <c r="S26" s="4"/>
    </row>
    <row r="27" spans="1:22" x14ac:dyDescent="0.3">
      <c r="A27" s="5" t="str">
        <f t="shared" si="3"/>
        <v>CalStd8</v>
      </c>
      <c r="B27" s="19">
        <v>8</v>
      </c>
      <c r="C27" s="48">
        <f>5</f>
        <v>5</v>
      </c>
      <c r="D27" s="48">
        <f t="shared" si="0"/>
        <v>5</v>
      </c>
      <c r="E27" s="48">
        <v>224689.83417498856</v>
      </c>
      <c r="F27" s="48">
        <v>62619649.383063503</v>
      </c>
      <c r="G27" s="47">
        <f t="shared" si="1"/>
        <v>3.5881681930298314E-3</v>
      </c>
      <c r="H27" s="47">
        <f t="shared" si="2"/>
        <v>3.5739283326338832E-3</v>
      </c>
      <c r="I27" s="30"/>
      <c r="J27" s="45"/>
      <c r="K27" s="45"/>
      <c r="L27" s="46"/>
      <c r="M27" s="46"/>
      <c r="N27" s="46"/>
      <c r="O27" s="46"/>
      <c r="P27" s="46"/>
      <c r="Q27" s="46"/>
      <c r="R27" s="46"/>
      <c r="S27" s="4"/>
    </row>
    <row r="28" spans="1:22" ht="14.5" x14ac:dyDescent="0.3">
      <c r="B28" s="196"/>
      <c r="C28" s="197" t="s">
        <v>5</v>
      </c>
      <c r="D28" s="197"/>
      <c r="E28" s="197"/>
      <c r="F28" s="197"/>
      <c r="G28" s="197"/>
      <c r="H28" s="47">
        <f>SLOPE(H20:H27,D20:D27)</f>
        <v>7.1671832675212989E-4</v>
      </c>
      <c r="I28" s="50"/>
      <c r="J28" s="45"/>
      <c r="K28" s="45"/>
      <c r="L28" s="45"/>
      <c r="M28" s="45"/>
      <c r="N28" s="46"/>
      <c r="O28" s="46"/>
      <c r="P28" s="46"/>
      <c r="Q28" s="46"/>
      <c r="R28" s="46"/>
      <c r="S28" s="4"/>
    </row>
    <row r="29" spans="1:22" ht="14.5" x14ac:dyDescent="0.3">
      <c r="B29" s="196"/>
      <c r="C29" s="197" t="s">
        <v>4</v>
      </c>
      <c r="D29" s="197"/>
      <c r="E29" s="197"/>
      <c r="F29" s="197"/>
      <c r="G29" s="197"/>
      <c r="H29" s="66">
        <f>INTERCEPT(H20:H27,D20:D27)</f>
        <v>1.3518115057373041E-6</v>
      </c>
      <c r="I29" s="50"/>
      <c r="J29" s="45"/>
      <c r="K29" s="45"/>
      <c r="L29" s="45"/>
      <c r="M29" s="45"/>
      <c r="N29" s="46"/>
      <c r="O29" s="46"/>
      <c r="P29" s="46"/>
      <c r="Q29" s="46"/>
      <c r="R29" s="46"/>
      <c r="S29" s="4"/>
    </row>
    <row r="30" spans="1:22" x14ac:dyDescent="0.3">
      <c r="B30" s="196"/>
      <c r="C30" s="198" t="s">
        <v>29</v>
      </c>
      <c r="D30" s="198"/>
      <c r="E30" s="198"/>
      <c r="F30" s="198"/>
      <c r="G30" s="198"/>
      <c r="H30" s="47">
        <f>RSQ(H20:H27,D20:D27)</f>
        <v>0.99772170068113675</v>
      </c>
      <c r="I30" s="39"/>
      <c r="J30" s="46"/>
      <c r="K30" s="46"/>
      <c r="L30" s="46"/>
      <c r="M30" s="46"/>
      <c r="N30" s="46"/>
      <c r="O30" s="46"/>
      <c r="P30" s="46"/>
      <c r="Q30" s="46"/>
      <c r="R30" s="46"/>
      <c r="S30" s="4"/>
    </row>
    <row r="31" spans="1:22" x14ac:dyDescent="0.3">
      <c r="B31" s="196"/>
      <c r="C31" s="198" t="s">
        <v>3</v>
      </c>
      <c r="D31" s="198"/>
      <c r="E31" s="198"/>
      <c r="F31" s="198"/>
      <c r="G31" s="198"/>
      <c r="H31" s="47">
        <f>SQRT(H30)</f>
        <v>0.99886020076942539</v>
      </c>
      <c r="I31" s="39"/>
      <c r="J31" s="46"/>
      <c r="K31" s="46"/>
      <c r="L31" s="46"/>
      <c r="M31" s="46"/>
      <c r="N31" s="46"/>
      <c r="O31" s="46"/>
      <c r="P31" s="46"/>
      <c r="Q31" s="46"/>
      <c r="R31" s="46"/>
      <c r="S31" s="4"/>
    </row>
    <row r="32" spans="1:22" x14ac:dyDescent="0.3">
      <c r="C32" s="31"/>
      <c r="D32" s="31"/>
      <c r="E32" s="31"/>
      <c r="F32" s="39"/>
      <c r="G32" s="39"/>
      <c r="H32" s="39"/>
      <c r="I32" s="39"/>
      <c r="J32" s="39"/>
      <c r="K32" s="39"/>
      <c r="L32" s="51"/>
      <c r="M32" s="51"/>
      <c r="N32" s="150"/>
      <c r="O32" s="39"/>
      <c r="P32" s="39"/>
      <c r="Q32" s="39"/>
      <c r="R32" s="39"/>
      <c r="S32" s="4"/>
      <c r="T32" s="4"/>
      <c r="U32" s="4"/>
    </row>
    <row r="33" spans="1:21" x14ac:dyDescent="0.3">
      <c r="C33" s="31"/>
      <c r="D33" s="31"/>
      <c r="E33" s="31"/>
      <c r="F33" s="39"/>
      <c r="G33" s="39"/>
      <c r="H33" s="39"/>
      <c r="I33" s="39"/>
      <c r="J33" s="39"/>
      <c r="K33" s="39"/>
      <c r="L33" s="51"/>
      <c r="M33" s="51"/>
      <c r="N33" s="150"/>
      <c r="O33" s="39"/>
      <c r="P33" s="39"/>
      <c r="Q33" s="39"/>
      <c r="R33" s="39"/>
      <c r="S33" s="4"/>
      <c r="T33" s="4"/>
      <c r="U33" s="4"/>
    </row>
    <row r="34" spans="1:21" ht="14.5" thickBot="1" x14ac:dyDescent="0.35">
      <c r="C34" s="31"/>
      <c r="D34" s="31"/>
      <c r="E34" s="31"/>
      <c r="F34" s="39"/>
      <c r="G34" s="39"/>
      <c r="H34" s="39"/>
      <c r="I34" s="39"/>
      <c r="J34" s="39"/>
      <c r="K34" s="39"/>
      <c r="L34" s="51"/>
      <c r="M34" s="51"/>
      <c r="N34" s="150"/>
      <c r="O34" s="39"/>
      <c r="P34" s="39"/>
      <c r="Q34" s="39"/>
      <c r="R34" s="39"/>
      <c r="S34" s="4"/>
      <c r="T34" s="4"/>
      <c r="U34" s="4"/>
    </row>
    <row r="35" spans="1:21" s="81" customFormat="1" ht="48.75" customHeight="1" thickBot="1" x14ac:dyDescent="0.4">
      <c r="A35" s="73"/>
      <c r="B35" s="74" t="s">
        <v>21</v>
      </c>
      <c r="C35" s="75" t="s">
        <v>46</v>
      </c>
      <c r="D35" s="75" t="s">
        <v>2</v>
      </c>
      <c r="E35" s="76" t="s">
        <v>57</v>
      </c>
      <c r="F35" s="62" t="s">
        <v>1</v>
      </c>
      <c r="G35" s="62" t="s">
        <v>0</v>
      </c>
      <c r="H35" s="77" t="s">
        <v>42</v>
      </c>
      <c r="I35" s="77" t="s">
        <v>43</v>
      </c>
      <c r="J35" s="78" t="s">
        <v>8</v>
      </c>
      <c r="K35" s="79" t="s">
        <v>134</v>
      </c>
      <c r="L35" s="76" t="s">
        <v>135</v>
      </c>
      <c r="M35" s="76" t="s">
        <v>243</v>
      </c>
      <c r="N35" s="158" t="s">
        <v>136</v>
      </c>
      <c r="O35" s="52" t="s">
        <v>38</v>
      </c>
      <c r="P35" s="65" t="s">
        <v>137</v>
      </c>
      <c r="Q35" s="80" t="s">
        <v>49</v>
      </c>
    </row>
    <row r="36" spans="1:21" s="82" customFormat="1" ht="18" customHeight="1" x14ac:dyDescent="0.3">
      <c r="A36" s="82" t="e">
        <f>C36&amp;#REF!</f>
        <v>#REF!</v>
      </c>
      <c r="C36" s="83" t="s">
        <v>87</v>
      </c>
      <c r="D36" s="83" t="s">
        <v>106</v>
      </c>
      <c r="E36" s="84">
        <v>50</v>
      </c>
      <c r="F36" s="84">
        <v>50</v>
      </c>
      <c r="G36" s="84">
        <v>1</v>
      </c>
      <c r="H36" s="85">
        <v>1160.19756577261</v>
      </c>
      <c r="I36" s="85">
        <v>2913827.1125545404</v>
      </c>
      <c r="J36" s="86">
        <f>H36/I36</f>
        <v>3.9816966517120141E-4</v>
      </c>
      <c r="K36" s="87">
        <f>((J36)-$H$29)/$H$28</f>
        <v>0.55365942079879271</v>
      </c>
      <c r="L36" s="88">
        <f t="shared" ref="L36:L71" si="4">K36*F36*G36/E36</f>
        <v>0.55365942079879271</v>
      </c>
      <c r="M36" s="164">
        <f>L36*1000</f>
        <v>553.65942079879267</v>
      </c>
      <c r="N36" s="217">
        <f>AVERAGE(L36:L37)</f>
        <v>0.56767827548448502</v>
      </c>
      <c r="O36" s="188">
        <f>ABS(L36-L37)/N36*100</f>
        <v>4.9390139771432739</v>
      </c>
      <c r="P36" s="188">
        <f>2/3*2^(1-(0.5*LOG(N36/1000000000)))</f>
        <v>32.853754891035763</v>
      </c>
      <c r="Q36" s="89"/>
    </row>
    <row r="37" spans="1:21" s="82" customFormat="1" ht="18" customHeight="1" x14ac:dyDescent="0.3">
      <c r="A37" s="82" t="e">
        <f>C37&amp;#REF!</f>
        <v>#REF!</v>
      </c>
      <c r="C37" s="83" t="s">
        <v>88</v>
      </c>
      <c r="D37" s="83" t="s">
        <v>106</v>
      </c>
      <c r="E37" s="84">
        <v>50</v>
      </c>
      <c r="F37" s="84">
        <v>50</v>
      </c>
      <c r="G37" s="84">
        <v>1</v>
      </c>
      <c r="H37" s="85">
        <v>1146.80243855243</v>
      </c>
      <c r="I37" s="85">
        <v>2741809.5521592372</v>
      </c>
      <c r="J37" s="86">
        <f t="shared" ref="J37:J71" si="5">H37/I37</f>
        <v>4.1826480531782269E-4</v>
      </c>
      <c r="K37" s="87">
        <f t="shared" ref="K37:K71" si="6">((J37)-$H$29)/$H$28</f>
        <v>0.58169713017017732</v>
      </c>
      <c r="L37" s="88">
        <f t="shared" si="4"/>
        <v>0.58169713017017732</v>
      </c>
      <c r="M37" s="164">
        <f t="shared" ref="M37:M71" si="7">L37*1000</f>
        <v>581.69713017017727</v>
      </c>
      <c r="N37" s="218"/>
      <c r="O37" s="189"/>
      <c r="P37" s="189"/>
      <c r="Q37" s="89"/>
    </row>
    <row r="38" spans="1:21" s="82" customFormat="1" ht="18" customHeight="1" x14ac:dyDescent="0.3">
      <c r="A38" s="82" t="e">
        <f>C38&amp;#REF!</f>
        <v>#REF!</v>
      </c>
      <c r="C38" s="83" t="s">
        <v>89</v>
      </c>
      <c r="D38" s="83" t="s">
        <v>106</v>
      </c>
      <c r="E38" s="84">
        <v>50</v>
      </c>
      <c r="F38" s="84">
        <v>50</v>
      </c>
      <c r="G38" s="84">
        <v>1</v>
      </c>
      <c r="H38" s="85">
        <v>1360.0800316727555</v>
      </c>
      <c r="I38" s="85">
        <v>3977914.64481937</v>
      </c>
      <c r="J38" s="86">
        <f t="shared" si="5"/>
        <v>3.4190779670047801E-4</v>
      </c>
      <c r="K38" s="87">
        <f t="shared" si="6"/>
        <v>0.47516014657808342</v>
      </c>
      <c r="L38" s="88">
        <f t="shared" si="4"/>
        <v>0.47516014657808342</v>
      </c>
      <c r="M38" s="164">
        <f t="shared" si="7"/>
        <v>475.16014657808341</v>
      </c>
      <c r="N38" s="217">
        <f t="shared" ref="N38" si="8">AVERAGE(L38:L39)</f>
        <v>0.47254985128148375</v>
      </c>
      <c r="O38" s="188">
        <f t="shared" ref="O38" si="9">ABS(L38-L39)/N38*100</f>
        <v>1.1047703388418892</v>
      </c>
      <c r="P38" s="188">
        <f t="shared" ref="P38" si="10">2/3*2^(1-(0.5*LOG(N38/1000000000)))</f>
        <v>33.773357039385239</v>
      </c>
      <c r="Q38" s="89"/>
    </row>
    <row r="39" spans="1:21" s="82" customFormat="1" ht="18" customHeight="1" x14ac:dyDescent="0.3">
      <c r="A39" s="82" t="e">
        <f>C39&amp;#REF!</f>
        <v>#REF!</v>
      </c>
      <c r="C39" s="83" t="s">
        <v>90</v>
      </c>
      <c r="D39" s="83" t="s">
        <v>106</v>
      </c>
      <c r="E39" s="84">
        <v>50</v>
      </c>
      <c r="F39" s="84">
        <v>50</v>
      </c>
      <c r="G39" s="84">
        <v>1</v>
      </c>
      <c r="H39" s="85">
        <v>1160.0588298562886</v>
      </c>
      <c r="I39" s="85">
        <v>3430440.889865452</v>
      </c>
      <c r="J39" s="86">
        <f t="shared" si="5"/>
        <v>3.3816610374586231E-4</v>
      </c>
      <c r="K39" s="87">
        <f t="shared" si="6"/>
        <v>0.46993955598488413</v>
      </c>
      <c r="L39" s="88">
        <f t="shared" si="4"/>
        <v>0.46993955598488413</v>
      </c>
      <c r="M39" s="164">
        <f t="shared" si="7"/>
        <v>469.93955598488412</v>
      </c>
      <c r="N39" s="218"/>
      <c r="O39" s="189"/>
      <c r="P39" s="189"/>
      <c r="Q39" s="89"/>
    </row>
    <row r="40" spans="1:21" s="82" customFormat="1" ht="18" customHeight="1" x14ac:dyDescent="0.3">
      <c r="A40" s="82" t="e">
        <f>C40&amp;#REF!</f>
        <v>#REF!</v>
      </c>
      <c r="C40" s="83" t="s">
        <v>91</v>
      </c>
      <c r="D40" s="83" t="s">
        <v>106</v>
      </c>
      <c r="E40" s="84">
        <v>50</v>
      </c>
      <c r="F40" s="84">
        <v>50</v>
      </c>
      <c r="G40" s="84">
        <v>1</v>
      </c>
      <c r="H40" s="85">
        <v>700.02282750478071</v>
      </c>
      <c r="I40" s="85">
        <v>2546834.1940217079</v>
      </c>
      <c r="J40" s="86">
        <f t="shared" si="5"/>
        <v>2.7485999251461836E-4</v>
      </c>
      <c r="K40" s="87">
        <f t="shared" si="6"/>
        <v>0.38161181429294083</v>
      </c>
      <c r="L40" s="88">
        <f t="shared" si="4"/>
        <v>0.38161181429294083</v>
      </c>
      <c r="M40" s="164">
        <f t="shared" si="7"/>
        <v>381.61181429294084</v>
      </c>
      <c r="N40" s="217">
        <f t="shared" ref="N40" si="11">AVERAGE(L40:L41)</f>
        <v>0.36604673256929021</v>
      </c>
      <c r="O40" s="188">
        <f t="shared" ref="O40" si="12">ABS(L40-L41)/N40*100</f>
        <v>8.504423254593199</v>
      </c>
      <c r="P40" s="188">
        <f t="shared" ref="P40" si="13">2/3*2^(1-(0.5*LOG(N40/1000000000)))</f>
        <v>35.096839904527485</v>
      </c>
      <c r="Q40" s="89"/>
    </row>
    <row r="41" spans="1:21" s="82" customFormat="1" ht="18" customHeight="1" x14ac:dyDescent="0.3">
      <c r="A41" s="82" t="e">
        <f>C41&amp;#REF!</f>
        <v>#REF!</v>
      </c>
      <c r="C41" s="83" t="s">
        <v>92</v>
      </c>
      <c r="D41" s="83" t="s">
        <v>106</v>
      </c>
      <c r="E41" s="84">
        <v>50</v>
      </c>
      <c r="F41" s="84">
        <v>50</v>
      </c>
      <c r="G41" s="84">
        <v>1</v>
      </c>
      <c r="H41" s="85">
        <v>550.01558719740717</v>
      </c>
      <c r="I41" s="85">
        <v>2177861.8017822215</v>
      </c>
      <c r="J41" s="86">
        <f t="shared" si="5"/>
        <v>2.525484338571483E-4</v>
      </c>
      <c r="K41" s="87">
        <f t="shared" si="6"/>
        <v>0.35048165084563954</v>
      </c>
      <c r="L41" s="88">
        <f t="shared" si="4"/>
        <v>0.35048165084563954</v>
      </c>
      <c r="M41" s="164">
        <f t="shared" si="7"/>
        <v>350.48165084563954</v>
      </c>
      <c r="N41" s="218"/>
      <c r="O41" s="189"/>
      <c r="P41" s="189"/>
      <c r="Q41" s="89"/>
    </row>
    <row r="42" spans="1:21" s="90" customFormat="1" ht="18" customHeight="1" x14ac:dyDescent="0.3">
      <c r="A42" s="90" t="e">
        <f>C42&amp;#REF!</f>
        <v>#REF!</v>
      </c>
      <c r="C42" s="91" t="s">
        <v>93</v>
      </c>
      <c r="D42" s="91" t="s">
        <v>107</v>
      </c>
      <c r="E42" s="92">
        <v>50</v>
      </c>
      <c r="F42" s="92">
        <v>50</v>
      </c>
      <c r="G42" s="92">
        <v>1</v>
      </c>
      <c r="H42" s="93">
        <v>2050.214500331776</v>
      </c>
      <c r="I42" s="93">
        <v>59228084.572314195</v>
      </c>
      <c r="J42" s="94">
        <f>H42/I42</f>
        <v>3.461558000965873E-5</v>
      </c>
      <c r="K42" s="100">
        <f t="shared" si="6"/>
        <v>4.6411215204526755E-2</v>
      </c>
      <c r="L42" s="141">
        <f t="shared" si="4"/>
        <v>4.6411215204526755E-2</v>
      </c>
      <c r="M42" s="164">
        <f t="shared" si="7"/>
        <v>46.411215204526755</v>
      </c>
      <c r="N42" s="201">
        <f t="shared" ref="N42" si="14">AVERAGE(L42:L43)</f>
        <v>4.6249799129997313E-2</v>
      </c>
      <c r="O42" s="184">
        <f t="shared" ref="O42" si="15">ABS(L42-L43)/N42*100</f>
        <v>0.69801848901326713</v>
      </c>
      <c r="P42" s="184">
        <f t="shared" ref="P42" si="16">2/3*2^(1-(0.5*LOG(N42/1000000000)))</f>
        <v>47.917561067153322</v>
      </c>
      <c r="Q42" s="96"/>
    </row>
    <row r="43" spans="1:21" s="90" customFormat="1" ht="18" customHeight="1" x14ac:dyDescent="0.3">
      <c r="A43" s="90" t="e">
        <f>C43&amp;#REF!</f>
        <v>#REF!</v>
      </c>
      <c r="C43" s="91" t="s">
        <v>94</v>
      </c>
      <c r="D43" s="91" t="s">
        <v>107</v>
      </c>
      <c r="E43" s="92">
        <v>50</v>
      </c>
      <c r="F43" s="92">
        <v>50</v>
      </c>
      <c r="G43" s="92">
        <v>1</v>
      </c>
      <c r="H43" s="93">
        <v>2100.2465809159598</v>
      </c>
      <c r="I43" s="93">
        <v>61081734.141911872</v>
      </c>
      <c r="J43" s="94">
        <f>H43/I43</f>
        <v>3.438420029196345E-5</v>
      </c>
      <c r="K43" s="100">
        <f t="shared" si="6"/>
        <v>4.608838305546787E-2</v>
      </c>
      <c r="L43" s="141">
        <f t="shared" si="4"/>
        <v>4.6088383055467877E-2</v>
      </c>
      <c r="M43" s="164">
        <f t="shared" si="7"/>
        <v>46.08838305546788</v>
      </c>
      <c r="N43" s="202"/>
      <c r="O43" s="185"/>
      <c r="P43" s="185"/>
      <c r="Q43" s="96"/>
    </row>
    <row r="44" spans="1:21" s="90" customFormat="1" ht="18" customHeight="1" x14ac:dyDescent="0.3">
      <c r="A44" s="90" t="e">
        <f>C44&amp;#REF!</f>
        <v>#REF!</v>
      </c>
      <c r="C44" s="91" t="s">
        <v>95</v>
      </c>
      <c r="D44" s="91" t="s">
        <v>107</v>
      </c>
      <c r="E44" s="92">
        <v>50</v>
      </c>
      <c r="F44" s="92">
        <v>50</v>
      </c>
      <c r="G44" s="92">
        <v>1</v>
      </c>
      <c r="H44" s="93">
        <v>1280.0725910743104</v>
      </c>
      <c r="I44" s="93">
        <v>57492602.929337941</v>
      </c>
      <c r="J44" s="94">
        <f t="shared" si="5"/>
        <v>2.2264996292611781E-5</v>
      </c>
      <c r="K44" s="100">
        <f t="shared" si="6"/>
        <v>2.9179084734227954E-2</v>
      </c>
      <c r="L44" s="141">
        <f t="shared" si="4"/>
        <v>2.9179084734227954E-2</v>
      </c>
      <c r="M44" s="164">
        <f t="shared" si="7"/>
        <v>29.179084734227953</v>
      </c>
      <c r="N44" s="201">
        <f t="shared" ref="N44" si="17">AVERAGE(L44:L45)</f>
        <v>3.0446611051984873E-2</v>
      </c>
      <c r="O44" s="184">
        <f t="shared" ref="O44" si="18">ABS(L44-L45)/N44*100</f>
        <v>8.3262226826672627</v>
      </c>
      <c r="P44" s="184">
        <f t="shared" ref="P44" si="19">2/3*2^(1-(0.5*LOG(N44/1000000000)))</f>
        <v>51.02979778411067</v>
      </c>
      <c r="Q44" s="96"/>
    </row>
    <row r="45" spans="1:21" s="90" customFormat="1" ht="18" customHeight="1" x14ac:dyDescent="0.3">
      <c r="A45" s="90" t="e">
        <f>C45&amp;#REF!</f>
        <v>#REF!</v>
      </c>
      <c r="C45" s="91" t="s">
        <v>96</v>
      </c>
      <c r="D45" s="91" t="s">
        <v>107</v>
      </c>
      <c r="E45" s="92">
        <v>50</v>
      </c>
      <c r="F45" s="92">
        <v>50</v>
      </c>
      <c r="G45" s="92">
        <v>1</v>
      </c>
      <c r="H45" s="93">
        <v>1330.0784183283906</v>
      </c>
      <c r="I45" s="93">
        <v>55231422.40419326</v>
      </c>
      <c r="J45" s="94">
        <f t="shared" si="5"/>
        <v>2.408191497576584E-5</v>
      </c>
      <c r="K45" s="100">
        <f t="shared" si="6"/>
        <v>3.1714137369741796E-2</v>
      </c>
      <c r="L45" s="141">
        <f t="shared" si="4"/>
        <v>3.1714137369741796E-2</v>
      </c>
      <c r="M45" s="164">
        <f t="shared" si="7"/>
        <v>31.714137369741795</v>
      </c>
      <c r="N45" s="202"/>
      <c r="O45" s="185"/>
      <c r="P45" s="185"/>
      <c r="Q45" s="96"/>
    </row>
    <row r="46" spans="1:21" s="90" customFormat="1" ht="18" customHeight="1" x14ac:dyDescent="0.3">
      <c r="A46" s="90" t="e">
        <f>C46&amp;#REF!</f>
        <v>#REF!</v>
      </c>
      <c r="C46" s="91" t="s">
        <v>97</v>
      </c>
      <c r="D46" s="91" t="s">
        <v>107</v>
      </c>
      <c r="E46" s="92">
        <v>50</v>
      </c>
      <c r="F46" s="92">
        <v>50</v>
      </c>
      <c r="G46" s="92">
        <v>1</v>
      </c>
      <c r="H46" s="93">
        <v>1830.03260158841</v>
      </c>
      <c r="I46" s="93">
        <v>56231579.745197572</v>
      </c>
      <c r="J46" s="94">
        <f t="shared" si="5"/>
        <v>3.2544570326511284E-5</v>
      </c>
      <c r="K46" s="100">
        <f t="shared" si="6"/>
        <v>4.35216425427917E-2</v>
      </c>
      <c r="L46" s="141">
        <f t="shared" si="4"/>
        <v>4.35216425427917E-2</v>
      </c>
      <c r="M46" s="164">
        <f t="shared" si="7"/>
        <v>43.521642542791703</v>
      </c>
      <c r="N46" s="201">
        <f t="shared" ref="N46" si="20">AVERAGE(L46:L47)</f>
        <v>4.3028217615762199E-2</v>
      </c>
      <c r="O46" s="184">
        <f t="shared" ref="O46" si="21">ABS(L46-L47)/N46*100</f>
        <v>2.293494615257988</v>
      </c>
      <c r="P46" s="184">
        <f t="shared" ref="P46" si="22">2/3*2^(1-(0.5*LOG(N46/1000000000)))</f>
        <v>48.441136937154688</v>
      </c>
      <c r="Q46" s="96"/>
    </row>
    <row r="47" spans="1:21" s="102" customFormat="1" x14ac:dyDescent="0.3">
      <c r="A47" s="90" t="e">
        <f>C47&amp;#REF!</f>
        <v>#REF!</v>
      </c>
      <c r="B47" s="90"/>
      <c r="C47" s="91" t="s">
        <v>98</v>
      </c>
      <c r="D47" s="91" t="s">
        <v>107</v>
      </c>
      <c r="E47" s="92">
        <v>50</v>
      </c>
      <c r="F47" s="92">
        <v>50</v>
      </c>
      <c r="G47" s="92">
        <v>1</v>
      </c>
      <c r="H47" s="93">
        <v>1800.02922783343</v>
      </c>
      <c r="I47" s="93">
        <v>56538416.606429808</v>
      </c>
      <c r="J47" s="94">
        <f t="shared" si="5"/>
        <v>3.1837276950354536E-5</v>
      </c>
      <c r="K47" s="100">
        <f t="shared" si="6"/>
        <v>4.2534792688732705E-2</v>
      </c>
      <c r="L47" s="141">
        <f t="shared" si="4"/>
        <v>4.2534792688732705E-2</v>
      </c>
      <c r="M47" s="164">
        <f t="shared" si="7"/>
        <v>42.534792688732708</v>
      </c>
      <c r="N47" s="202"/>
      <c r="O47" s="185"/>
      <c r="P47" s="185"/>
      <c r="Q47" s="96"/>
      <c r="R47" s="90"/>
    </row>
    <row r="48" spans="1:21" s="103" customFormat="1" ht="18" customHeight="1" x14ac:dyDescent="0.3">
      <c r="A48" s="103" t="e">
        <f>C48&amp;#REF!</f>
        <v>#REF!</v>
      </c>
      <c r="C48" s="104" t="s">
        <v>81</v>
      </c>
      <c r="D48" s="104" t="s">
        <v>108</v>
      </c>
      <c r="E48" s="105">
        <v>50</v>
      </c>
      <c r="F48" s="105">
        <v>50</v>
      </c>
      <c r="G48" s="105">
        <v>1</v>
      </c>
      <c r="H48" s="106">
        <v>263.33705339322773</v>
      </c>
      <c r="I48" s="106">
        <v>1842730.7574741791</v>
      </c>
      <c r="J48" s="107">
        <f t="shared" si="5"/>
        <v>1.4290587614339406E-4</v>
      </c>
      <c r="K48" s="108">
        <f t="shared" si="6"/>
        <v>0.19750306271519671</v>
      </c>
      <c r="L48" s="139">
        <f t="shared" si="4"/>
        <v>0.19750306271519671</v>
      </c>
      <c r="M48" s="164">
        <f t="shared" si="7"/>
        <v>197.50306271519671</v>
      </c>
      <c r="N48" s="213">
        <f t="shared" ref="N48" si="23">AVERAGE(L48:L49)</f>
        <v>0.2153125305879513</v>
      </c>
      <c r="O48" s="180">
        <f t="shared" ref="O48" si="24">ABS(L48-L49)/N48*100</f>
        <v>16.542899592627055</v>
      </c>
      <c r="P48" s="180">
        <f t="shared" ref="P48" si="25">2/3*2^(1-(0.5*LOG(N48/1000000000)))</f>
        <v>38.015157064104258</v>
      </c>
      <c r="Q48" s="110"/>
    </row>
    <row r="49" spans="1:18" s="103" customFormat="1" ht="18" customHeight="1" x14ac:dyDescent="0.3">
      <c r="A49" s="103" t="e">
        <f>C49&amp;#REF!</f>
        <v>#REF!</v>
      </c>
      <c r="C49" s="104" t="s">
        <v>82</v>
      </c>
      <c r="D49" s="104" t="s">
        <v>108</v>
      </c>
      <c r="E49" s="105">
        <v>50</v>
      </c>
      <c r="F49" s="105">
        <v>50</v>
      </c>
      <c r="G49" s="105">
        <v>1</v>
      </c>
      <c r="H49" s="106">
        <v>300.00576012544298</v>
      </c>
      <c r="I49" s="106">
        <v>1781140.7169131066</v>
      </c>
      <c r="J49" s="107">
        <f>H49/I49</f>
        <v>1.6843462017160704E-4</v>
      </c>
      <c r="K49" s="108">
        <f t="shared" si="6"/>
        <v>0.23312199846070591</v>
      </c>
      <c r="L49" s="139">
        <f t="shared" si="4"/>
        <v>0.23312199846070591</v>
      </c>
      <c r="M49" s="164">
        <f t="shared" si="7"/>
        <v>233.12199846070592</v>
      </c>
      <c r="N49" s="214"/>
      <c r="O49" s="181"/>
      <c r="P49" s="181"/>
      <c r="Q49" s="110"/>
    </row>
    <row r="50" spans="1:18" s="103" customFormat="1" ht="18" customHeight="1" x14ac:dyDescent="0.3">
      <c r="A50" s="103" t="e">
        <f>C50&amp;#REF!</f>
        <v>#REF!</v>
      </c>
      <c r="C50" s="104" t="s">
        <v>83</v>
      </c>
      <c r="D50" s="104" t="s">
        <v>108</v>
      </c>
      <c r="E50" s="105">
        <v>50</v>
      </c>
      <c r="F50" s="105">
        <v>50</v>
      </c>
      <c r="G50" s="105">
        <v>1</v>
      </c>
      <c r="H50" s="106">
        <v>280.00448008384177</v>
      </c>
      <c r="I50" s="106">
        <v>1996691.8264541684</v>
      </c>
      <c r="J50" s="107">
        <f>H50/I50</f>
        <v>1.4023419957655088E-4</v>
      </c>
      <c r="K50" s="108">
        <f t="shared" si="6"/>
        <v>0.19377541062773007</v>
      </c>
      <c r="L50" s="139">
        <f t="shared" si="4"/>
        <v>0.19377541062773004</v>
      </c>
      <c r="M50" s="164">
        <f t="shared" si="7"/>
        <v>193.77541062773005</v>
      </c>
      <c r="N50" s="213">
        <f t="shared" ref="N50" si="26">AVERAGE(L50:L51)</f>
        <v>0.17449884840079385</v>
      </c>
      <c r="O50" s="180">
        <f t="shared" ref="O50" si="27">ABS(L50-L51)/N50*100</f>
        <v>22.093626867566758</v>
      </c>
      <c r="P50" s="180">
        <f t="shared" ref="P50" si="28">2/3*2^(1-(0.5*LOG(N50/1000000000)))</f>
        <v>39.236956001788698</v>
      </c>
      <c r="Q50" s="110"/>
    </row>
    <row r="51" spans="1:18" s="103" customFormat="1" ht="18" customHeight="1" x14ac:dyDescent="0.3">
      <c r="A51" s="103" t="e">
        <f>C51&amp;#REF!</f>
        <v>#REF!</v>
      </c>
      <c r="C51" s="104" t="s">
        <v>84</v>
      </c>
      <c r="D51" s="104" t="s">
        <v>108</v>
      </c>
      <c r="E51" s="105">
        <v>50</v>
      </c>
      <c r="F51" s="105">
        <v>50</v>
      </c>
      <c r="G51" s="105">
        <v>1</v>
      </c>
      <c r="H51" s="106">
        <v>260.00445343445608</v>
      </c>
      <c r="I51" s="106">
        <v>2309047.5402013236</v>
      </c>
      <c r="J51" s="107">
        <f>H51/I51</f>
        <v>1.1260246872690484E-4</v>
      </c>
      <c r="K51" s="108">
        <f t="shared" si="6"/>
        <v>0.15522228617385767</v>
      </c>
      <c r="L51" s="139">
        <f t="shared" si="4"/>
        <v>0.15522228617385767</v>
      </c>
      <c r="M51" s="164">
        <f t="shared" si="7"/>
        <v>155.22228617385767</v>
      </c>
      <c r="N51" s="214"/>
      <c r="O51" s="181"/>
      <c r="P51" s="181"/>
      <c r="Q51" s="110"/>
    </row>
    <row r="52" spans="1:18" s="103" customFormat="1" ht="18" customHeight="1" x14ac:dyDescent="0.3">
      <c r="A52" s="103" t="e">
        <f>C52&amp;#REF!</f>
        <v>#REF!</v>
      </c>
      <c r="C52" s="104" t="s">
        <v>85</v>
      </c>
      <c r="D52" s="104" t="s">
        <v>108</v>
      </c>
      <c r="E52" s="105">
        <v>50</v>
      </c>
      <c r="F52" s="105">
        <v>50</v>
      </c>
      <c r="G52" s="105">
        <v>1</v>
      </c>
      <c r="H52" s="106">
        <v>276.66854669093402</v>
      </c>
      <c r="I52" s="106">
        <v>2375796.1567264679</v>
      </c>
      <c r="J52" s="107">
        <f>H52/I52</f>
        <v>1.1645298183836891E-4</v>
      </c>
      <c r="K52" s="108">
        <f t="shared" si="6"/>
        <v>0.16059470790180902</v>
      </c>
      <c r="L52" s="139">
        <f t="shared" si="4"/>
        <v>0.16059470790180902</v>
      </c>
      <c r="M52" s="164">
        <f t="shared" si="7"/>
        <v>160.59470790180902</v>
      </c>
      <c r="N52" s="213">
        <f t="shared" ref="N52" si="29">AVERAGE(L52:L53)</f>
        <v>0.16073996780819705</v>
      </c>
      <c r="O52" s="180">
        <f t="shared" ref="O52" si="30">ABS(L52-L53)/N52*100</f>
        <v>0.18073900146771243</v>
      </c>
      <c r="P52" s="180">
        <f t="shared" ref="P52" si="31">2/3*2^(1-(0.5*LOG(N52/1000000000)))</f>
        <v>39.725006782224007</v>
      </c>
      <c r="Q52" s="110"/>
    </row>
    <row r="53" spans="1:18" s="111" customFormat="1" x14ac:dyDescent="0.3">
      <c r="A53" s="103" t="e">
        <f>C53&amp;#REF!</f>
        <v>#REF!</v>
      </c>
      <c r="B53" s="103"/>
      <c r="C53" s="104" t="s">
        <v>86</v>
      </c>
      <c r="D53" s="104" t="s">
        <v>108</v>
      </c>
      <c r="E53" s="105">
        <v>50</v>
      </c>
      <c r="F53" s="105">
        <v>50</v>
      </c>
      <c r="G53" s="105">
        <v>1</v>
      </c>
      <c r="H53" s="106">
        <v>303.33588003653398</v>
      </c>
      <c r="I53" s="106">
        <v>2600143.6037321934</v>
      </c>
      <c r="J53" s="107">
        <f>H53/I53</f>
        <v>1.1666120271247011E-4</v>
      </c>
      <c r="K53" s="108">
        <f t="shared" si="6"/>
        <v>0.16088522771458508</v>
      </c>
      <c r="L53" s="139">
        <f t="shared" si="4"/>
        <v>0.16088522771458508</v>
      </c>
      <c r="M53" s="164">
        <f t="shared" si="7"/>
        <v>160.88522771458508</v>
      </c>
      <c r="N53" s="214"/>
      <c r="O53" s="181"/>
      <c r="P53" s="181"/>
      <c r="Q53" s="110"/>
      <c r="R53" s="103"/>
    </row>
    <row r="54" spans="1:18" s="121" customFormat="1" x14ac:dyDescent="0.3">
      <c r="A54" s="82"/>
      <c r="B54" s="82"/>
      <c r="C54" s="83" t="s">
        <v>109</v>
      </c>
      <c r="D54" s="83" t="s">
        <v>127</v>
      </c>
      <c r="E54" s="84">
        <v>50</v>
      </c>
      <c r="F54" s="84">
        <v>50</v>
      </c>
      <c r="G54" s="84">
        <v>1</v>
      </c>
      <c r="H54" s="85">
        <v>790.03209500431979</v>
      </c>
      <c r="I54" s="85">
        <v>2524236.4541095239</v>
      </c>
      <c r="J54" s="120">
        <f t="shared" si="5"/>
        <v>3.1297864101365247E-4</v>
      </c>
      <c r="K54" s="87">
        <f t="shared" si="6"/>
        <v>0.43479679237459806</v>
      </c>
      <c r="L54" s="137">
        <f t="shared" si="4"/>
        <v>0.43479679237459806</v>
      </c>
      <c r="M54" s="164">
        <f t="shared" si="7"/>
        <v>434.79679237459806</v>
      </c>
      <c r="N54" s="217">
        <f t="shared" ref="N54" si="32">AVERAGE(L54:L55)</f>
        <v>0.42518194184812197</v>
      </c>
      <c r="O54" s="188">
        <f t="shared" ref="O54" si="33">ABS(L54-L55)/N54*100</f>
        <v>4.5226993812030774</v>
      </c>
      <c r="P54" s="188">
        <f t="shared" ref="P54" si="34">2/3*2^(1-(0.5*LOG(N54/1000000000)))</f>
        <v>34.314587188223975</v>
      </c>
      <c r="Q54" s="89"/>
      <c r="R54" s="82"/>
    </row>
    <row r="55" spans="1:18" s="121" customFormat="1" x14ac:dyDescent="0.3">
      <c r="A55" s="82"/>
      <c r="B55" s="82"/>
      <c r="C55" s="83" t="s">
        <v>110</v>
      </c>
      <c r="D55" s="83" t="s">
        <v>127</v>
      </c>
      <c r="E55" s="84">
        <v>50</v>
      </c>
      <c r="F55" s="84">
        <v>50</v>
      </c>
      <c r="G55" s="84">
        <v>1</v>
      </c>
      <c r="H55" s="85">
        <v>653.35189390092512</v>
      </c>
      <c r="I55" s="85">
        <v>2183689.2997589801</v>
      </c>
      <c r="J55" s="120">
        <f t="shared" si="5"/>
        <v>2.9919636185103687E-4</v>
      </c>
      <c r="K55" s="87">
        <f t="shared" si="6"/>
        <v>0.41556709132164582</v>
      </c>
      <c r="L55" s="137">
        <f t="shared" si="4"/>
        <v>0.41556709132164582</v>
      </c>
      <c r="M55" s="164">
        <f t="shared" si="7"/>
        <v>415.56709132164582</v>
      </c>
      <c r="N55" s="218"/>
      <c r="O55" s="189"/>
      <c r="P55" s="189"/>
      <c r="Q55" s="89"/>
      <c r="R55" s="82"/>
    </row>
    <row r="56" spans="1:18" s="121" customFormat="1" x14ac:dyDescent="0.3">
      <c r="A56" s="82"/>
      <c r="B56" s="82"/>
      <c r="C56" s="83" t="s">
        <v>111</v>
      </c>
      <c r="D56" s="83" t="s">
        <v>127</v>
      </c>
      <c r="E56" s="84">
        <v>50</v>
      </c>
      <c r="F56" s="84">
        <v>50</v>
      </c>
      <c r="G56" s="84">
        <v>1</v>
      </c>
      <c r="H56" s="85">
        <v>683.35452072135968</v>
      </c>
      <c r="I56" s="85">
        <v>2514298.5843466599</v>
      </c>
      <c r="J56" s="120">
        <f t="shared" si="5"/>
        <v>2.7178733861433135E-4</v>
      </c>
      <c r="K56" s="87">
        <f t="shared" si="6"/>
        <v>0.37732469927774231</v>
      </c>
      <c r="L56" s="137">
        <f t="shared" si="4"/>
        <v>0.37732469927774231</v>
      </c>
      <c r="M56" s="164">
        <f t="shared" si="7"/>
        <v>377.3246992777423</v>
      </c>
      <c r="N56" s="217">
        <f t="shared" ref="N56" si="35">AVERAGE(L56:L57)</f>
        <v>0.37615807939388141</v>
      </c>
      <c r="O56" s="188">
        <f t="shared" ref="O56" si="36">ABS(L56-L57)/N56*100</f>
        <v>0.62028171014735622</v>
      </c>
      <c r="P56" s="188">
        <f t="shared" ref="P56" si="37">2/3*2^(1-(0.5*LOG(N56/1000000000)))</f>
        <v>34.953191893780563</v>
      </c>
      <c r="Q56" s="89"/>
      <c r="R56" s="82"/>
    </row>
    <row r="57" spans="1:18" s="121" customFormat="1" x14ac:dyDescent="0.3">
      <c r="A57" s="82"/>
      <c r="B57" s="82"/>
      <c r="C57" s="83" t="s">
        <v>112</v>
      </c>
      <c r="D57" s="83" t="s">
        <v>127</v>
      </c>
      <c r="E57" s="84">
        <v>50</v>
      </c>
      <c r="F57" s="84">
        <v>50</v>
      </c>
      <c r="G57" s="84">
        <v>1</v>
      </c>
      <c r="H57" s="85">
        <v>590.01713392295642</v>
      </c>
      <c r="I57" s="85">
        <v>2184317.7776241298</v>
      </c>
      <c r="J57" s="120">
        <f t="shared" si="5"/>
        <v>2.7011506291209824E-4</v>
      </c>
      <c r="K57" s="87">
        <f t="shared" si="6"/>
        <v>0.3749914595100205</v>
      </c>
      <c r="L57" s="137">
        <f t="shared" si="4"/>
        <v>0.3749914595100205</v>
      </c>
      <c r="M57" s="164">
        <f t="shared" si="7"/>
        <v>374.99145951002049</v>
      </c>
      <c r="N57" s="218"/>
      <c r="O57" s="189"/>
      <c r="P57" s="189"/>
      <c r="Q57" s="89"/>
      <c r="R57" s="82"/>
    </row>
    <row r="58" spans="1:18" s="121" customFormat="1" x14ac:dyDescent="0.3">
      <c r="A58" s="82"/>
      <c r="B58" s="82"/>
      <c r="C58" s="83" t="s">
        <v>113</v>
      </c>
      <c r="D58" s="83" t="s">
        <v>127</v>
      </c>
      <c r="E58" s="84">
        <v>50</v>
      </c>
      <c r="F58" s="84">
        <v>50</v>
      </c>
      <c r="G58" s="84">
        <v>1</v>
      </c>
      <c r="H58" s="85">
        <v>716.69070758697251</v>
      </c>
      <c r="I58" s="85">
        <v>2055810.9519490844</v>
      </c>
      <c r="J58" s="120">
        <f t="shared" si="5"/>
        <v>3.4861702964831881E-4</v>
      </c>
      <c r="K58" s="87">
        <f t="shared" si="6"/>
        <v>0.48452119219030354</v>
      </c>
      <c r="L58" s="137">
        <f t="shared" si="4"/>
        <v>0.48452119219030348</v>
      </c>
      <c r="M58" s="164">
        <f t="shared" si="7"/>
        <v>484.52119219030351</v>
      </c>
      <c r="N58" s="217">
        <f t="shared" ref="N58" si="38">AVERAGE(L58:L59)</f>
        <v>0.46217666524342216</v>
      </c>
      <c r="O58" s="188">
        <f t="shared" ref="O58" si="39">ABS(L58-L59)/N58*100</f>
        <v>9.6692579384607384</v>
      </c>
      <c r="P58" s="188">
        <f t="shared" ref="P58" si="40">2/3*2^(1-(0.5*LOG(N58/1000000000)))</f>
        <v>33.886376984575449</v>
      </c>
      <c r="Q58" s="89"/>
      <c r="R58" s="82"/>
    </row>
    <row r="59" spans="1:18" s="121" customFormat="1" x14ac:dyDescent="0.3">
      <c r="A59" s="82"/>
      <c r="B59" s="82"/>
      <c r="C59" s="83" t="s">
        <v>114</v>
      </c>
      <c r="D59" s="83" t="s">
        <v>127</v>
      </c>
      <c r="E59" s="84">
        <v>50</v>
      </c>
      <c r="F59" s="84">
        <v>50</v>
      </c>
      <c r="G59" s="84">
        <v>1</v>
      </c>
      <c r="H59" s="85">
        <v>700.02250748045935</v>
      </c>
      <c r="I59" s="85">
        <v>2211149.7205965123</v>
      </c>
      <c r="J59" s="120">
        <f t="shared" si="5"/>
        <v>3.1658756571744539E-4</v>
      </c>
      <c r="K59" s="87">
        <f t="shared" si="6"/>
        <v>0.43983213829654078</v>
      </c>
      <c r="L59" s="137">
        <f t="shared" si="4"/>
        <v>0.43983213829654078</v>
      </c>
      <c r="M59" s="164">
        <f t="shared" si="7"/>
        <v>439.83213829654079</v>
      </c>
      <c r="N59" s="218"/>
      <c r="O59" s="189"/>
      <c r="P59" s="189"/>
      <c r="Q59" s="89"/>
      <c r="R59" s="82"/>
    </row>
    <row r="60" spans="1:18" s="102" customFormat="1" x14ac:dyDescent="0.3">
      <c r="A60" s="90"/>
      <c r="B60" s="90"/>
      <c r="C60" s="91" t="s">
        <v>115</v>
      </c>
      <c r="D60" s="91" t="s">
        <v>128</v>
      </c>
      <c r="E60" s="92">
        <v>50</v>
      </c>
      <c r="F60" s="92">
        <v>50</v>
      </c>
      <c r="G60" s="92">
        <v>1</v>
      </c>
      <c r="H60" s="93">
        <v>1863.4807190617475</v>
      </c>
      <c r="I60" s="93">
        <v>88394274.488059044</v>
      </c>
      <c r="J60" s="122">
        <f t="shared" si="5"/>
        <v>2.10814640411295E-5</v>
      </c>
      <c r="K60" s="100">
        <f t="shared" si="6"/>
        <v>2.7527763416904372E-2</v>
      </c>
      <c r="L60" s="141">
        <f t="shared" si="4"/>
        <v>2.7527763416904372E-2</v>
      </c>
      <c r="M60" s="164">
        <f t="shared" si="7"/>
        <v>27.527763416904371</v>
      </c>
      <c r="N60" s="201">
        <f t="shared" ref="N60" si="41">AVERAGE(L60:L61)</f>
        <v>2.9850581837354812E-2</v>
      </c>
      <c r="O60" s="184">
        <f t="shared" ref="O60" si="42">ABS(L60-L61)/N60*100</f>
        <v>15.562969144833765</v>
      </c>
      <c r="P60" s="184">
        <f t="shared" ref="P60" si="43">2/3*2^(1-(0.5*LOG(N60/1000000000)))</f>
        <v>51.181875139496142</v>
      </c>
      <c r="Q60" s="96"/>
      <c r="R60" s="90"/>
    </row>
    <row r="61" spans="1:18" s="102" customFormat="1" x14ac:dyDescent="0.3">
      <c r="A61" s="90"/>
      <c r="B61" s="90"/>
      <c r="C61" s="91" t="s">
        <v>116</v>
      </c>
      <c r="D61" s="91" t="s">
        <v>128</v>
      </c>
      <c r="E61" s="92">
        <v>50</v>
      </c>
      <c r="F61" s="92">
        <v>50</v>
      </c>
      <c r="G61" s="92">
        <v>1</v>
      </c>
      <c r="H61" s="93">
        <v>1526.6829339446599</v>
      </c>
      <c r="I61" s="93">
        <v>62540580.549274616</v>
      </c>
      <c r="J61" s="122">
        <f t="shared" si="5"/>
        <v>2.4411077104438029E-5</v>
      </c>
      <c r="K61" s="100">
        <f t="shared" si="6"/>
        <v>3.2173400257805254E-2</v>
      </c>
      <c r="L61" s="141">
        <f t="shared" si="4"/>
        <v>3.2173400257805254E-2</v>
      </c>
      <c r="M61" s="164">
        <f t="shared" si="7"/>
        <v>32.173400257805255</v>
      </c>
      <c r="N61" s="202"/>
      <c r="O61" s="185"/>
      <c r="P61" s="185"/>
      <c r="Q61" s="96"/>
      <c r="R61" s="90"/>
    </row>
    <row r="62" spans="1:18" s="102" customFormat="1" x14ac:dyDescent="0.3">
      <c r="A62" s="90" t="e">
        <f>C62&amp;#REF!</f>
        <v>#REF!</v>
      </c>
      <c r="B62" s="90"/>
      <c r="C62" s="91" t="s">
        <v>117</v>
      </c>
      <c r="D62" s="91" t="s">
        <v>128</v>
      </c>
      <c r="E62" s="92">
        <v>50</v>
      </c>
      <c r="F62" s="92">
        <v>50</v>
      </c>
      <c r="G62" s="92">
        <v>1</v>
      </c>
      <c r="H62" s="93">
        <v>1510.0345497145599</v>
      </c>
      <c r="I62" s="93">
        <v>64324698.910755798</v>
      </c>
      <c r="J62" s="122">
        <f t="shared" si="5"/>
        <v>2.3475190327895427E-5</v>
      </c>
      <c r="K62" s="100">
        <f t="shared" si="6"/>
        <v>3.0867605859071719E-2</v>
      </c>
      <c r="L62" s="141">
        <f t="shared" si="4"/>
        <v>3.0867605859071719E-2</v>
      </c>
      <c r="M62" s="164">
        <f t="shared" si="7"/>
        <v>30.86760585907172</v>
      </c>
      <c r="N62" s="201">
        <f t="shared" ref="N62" si="44">AVERAGE(L62:L63)</f>
        <v>2.8413260349215021E-2</v>
      </c>
      <c r="O62" s="184">
        <f t="shared" ref="O62" si="45">ABS(L62-L63)/N62*100</f>
        <v>17.276056881128067</v>
      </c>
      <c r="P62" s="184">
        <f t="shared" ref="P62" si="46">2/3*2^(1-(0.5*LOG(N62/1000000000)))</f>
        <v>51.563452660695972</v>
      </c>
      <c r="Q62" s="96"/>
      <c r="R62" s="90"/>
    </row>
    <row r="63" spans="1:18" s="90" customFormat="1" ht="18" customHeight="1" x14ac:dyDescent="0.3">
      <c r="A63" s="90" t="e">
        <f>C63&amp;#REF!</f>
        <v>#REF!</v>
      </c>
      <c r="C63" s="91" t="s">
        <v>118</v>
      </c>
      <c r="D63" s="91" t="s">
        <v>128</v>
      </c>
      <c r="E63" s="92">
        <v>50</v>
      </c>
      <c r="F63" s="92">
        <v>50</v>
      </c>
      <c r="G63" s="92">
        <v>1</v>
      </c>
      <c r="H63" s="93">
        <v>1360.0075735365399</v>
      </c>
      <c r="I63" s="93">
        <v>68146752.744023144</v>
      </c>
      <c r="J63" s="122">
        <f t="shared" si="5"/>
        <v>1.9957041513703237E-5</v>
      </c>
      <c r="K63" s="100">
        <f t="shared" si="6"/>
        <v>2.5958914839358325E-2</v>
      </c>
      <c r="L63" s="141">
        <f t="shared" si="4"/>
        <v>2.5958914839358325E-2</v>
      </c>
      <c r="M63" s="164">
        <f t="shared" si="7"/>
        <v>25.958914839358325</v>
      </c>
      <c r="N63" s="202"/>
      <c r="O63" s="185"/>
      <c r="P63" s="185"/>
      <c r="Q63" s="96"/>
    </row>
    <row r="64" spans="1:18" s="90" customFormat="1" ht="18" customHeight="1" x14ac:dyDescent="0.3">
      <c r="A64" s="90" t="e">
        <f>C64&amp;#REF!</f>
        <v>#REF!</v>
      </c>
      <c r="C64" s="91" t="s">
        <v>119</v>
      </c>
      <c r="D64" s="91" t="s">
        <v>128</v>
      </c>
      <c r="E64" s="92">
        <v>50</v>
      </c>
      <c r="F64" s="92">
        <v>50</v>
      </c>
      <c r="G64" s="92">
        <v>1</v>
      </c>
      <c r="H64" s="93">
        <v>1310.0053467769001</v>
      </c>
      <c r="I64" s="93">
        <v>65409611.931213826</v>
      </c>
      <c r="J64" s="122">
        <f t="shared" si="5"/>
        <v>2.0027719292304168E-5</v>
      </c>
      <c r="K64" s="100">
        <f t="shared" si="6"/>
        <v>2.6057527887138495E-2</v>
      </c>
      <c r="L64" s="141">
        <f t="shared" si="4"/>
        <v>2.6057527887138495E-2</v>
      </c>
      <c r="M64" s="164">
        <f t="shared" si="7"/>
        <v>26.057527887138495</v>
      </c>
      <c r="N64" s="201">
        <f t="shared" ref="N64" si="47">AVERAGE(L64:L65)</f>
        <v>2.5211661320357397E-2</v>
      </c>
      <c r="O64" s="184">
        <f t="shared" ref="O64" si="48">ABS(L64-L65)/N64*100</f>
        <v>6.7101216062909517</v>
      </c>
      <c r="P64" s="184">
        <f t="shared" ref="P64" si="49">2/3*2^(1-(0.5*LOG(N64/1000000000)))</f>
        <v>52.499681564768579</v>
      </c>
      <c r="Q64" s="96"/>
    </row>
    <row r="65" spans="1:21" s="90" customFormat="1" ht="18" customHeight="1" x14ac:dyDescent="0.3">
      <c r="A65" s="90" t="e">
        <f>C65&amp;#REF!</f>
        <v>#REF!</v>
      </c>
      <c r="C65" s="91" t="s">
        <v>120</v>
      </c>
      <c r="D65" s="91" t="s">
        <v>128</v>
      </c>
      <c r="E65" s="92">
        <v>50</v>
      </c>
      <c r="F65" s="92">
        <v>50</v>
      </c>
      <c r="G65" s="92">
        <v>1</v>
      </c>
      <c r="H65" s="93">
        <v>1310.0052667791499</v>
      </c>
      <c r="I65" s="93">
        <v>69624753.117757842</v>
      </c>
      <c r="J65" s="122">
        <f t="shared" si="5"/>
        <v>1.8815223151506329E-5</v>
      </c>
      <c r="K65" s="100">
        <f t="shared" si="6"/>
        <v>2.4365794753576291E-2</v>
      </c>
      <c r="L65" s="141">
        <f t="shared" si="4"/>
        <v>2.4365794753576295E-2</v>
      </c>
      <c r="M65" s="164">
        <f t="shared" si="7"/>
        <v>24.365794753576296</v>
      </c>
      <c r="N65" s="202"/>
      <c r="O65" s="185"/>
      <c r="P65" s="185"/>
      <c r="Q65" s="96"/>
    </row>
    <row r="66" spans="1:21" s="103" customFormat="1" ht="18" customHeight="1" x14ac:dyDescent="0.3">
      <c r="C66" s="104" t="s">
        <v>121</v>
      </c>
      <c r="D66" s="104" t="s">
        <v>129</v>
      </c>
      <c r="E66" s="105">
        <v>50</v>
      </c>
      <c r="F66" s="105">
        <v>50</v>
      </c>
      <c r="G66" s="105">
        <v>1</v>
      </c>
      <c r="H66" s="106">
        <v>216.66934670501396</v>
      </c>
      <c r="I66" s="106">
        <v>4458130.5345382597</v>
      </c>
      <c r="J66" s="123">
        <f t="shared" si="5"/>
        <v>4.8600942710497591E-5</v>
      </c>
      <c r="K66" s="108">
        <f t="shared" si="6"/>
        <v>6.5924268211298223E-2</v>
      </c>
      <c r="L66" s="139">
        <f t="shared" si="4"/>
        <v>6.5924268211298223E-2</v>
      </c>
      <c r="M66" s="164">
        <f t="shared" si="7"/>
        <v>65.924268211298227</v>
      </c>
      <c r="N66" s="203">
        <f t="shared" ref="N66" si="50">AVERAGE(L66:L67)</f>
        <v>7.0620854601991287E-2</v>
      </c>
      <c r="O66" s="180">
        <f t="shared" ref="O66" si="51">ABS(L66-L67)/N66*100</f>
        <v>13.300848360338687</v>
      </c>
      <c r="P66" s="180">
        <f t="shared" ref="P66" si="52">2/3*2^(1-(0.5*LOG(N66/1000000000)))</f>
        <v>44.96002756279043</v>
      </c>
      <c r="Q66" s="110"/>
    </row>
    <row r="67" spans="1:21" s="103" customFormat="1" ht="18" customHeight="1" x14ac:dyDescent="0.3">
      <c r="C67" s="104" t="s">
        <v>122</v>
      </c>
      <c r="D67" s="104" t="s">
        <v>129</v>
      </c>
      <c r="E67" s="105">
        <v>50</v>
      </c>
      <c r="F67" s="105">
        <v>50</v>
      </c>
      <c r="G67" s="105">
        <v>1</v>
      </c>
      <c r="H67" s="106">
        <v>253.33680005653443</v>
      </c>
      <c r="I67" s="106">
        <v>4578386.7888461398</v>
      </c>
      <c r="J67" s="123">
        <f t="shared" si="5"/>
        <v>5.5333201789266307E-5</v>
      </c>
      <c r="K67" s="108">
        <f t="shared" si="6"/>
        <v>7.5317440992684351E-2</v>
      </c>
      <c r="L67" s="139">
        <f t="shared" si="4"/>
        <v>7.5317440992684351E-2</v>
      </c>
      <c r="M67" s="164">
        <f t="shared" si="7"/>
        <v>75.317440992684354</v>
      </c>
      <c r="N67" s="204"/>
      <c r="O67" s="181"/>
      <c r="P67" s="181"/>
      <c r="Q67" s="110"/>
    </row>
    <row r="68" spans="1:21" s="103" customFormat="1" ht="18" customHeight="1" x14ac:dyDescent="0.3">
      <c r="C68" s="104" t="s">
        <v>123</v>
      </c>
      <c r="D68" s="104" t="s">
        <v>129</v>
      </c>
      <c r="E68" s="105">
        <v>50</v>
      </c>
      <c r="F68" s="105">
        <v>50</v>
      </c>
      <c r="G68" s="105">
        <v>1</v>
      </c>
      <c r="H68" s="106">
        <v>246.67026673077467</v>
      </c>
      <c r="I68" s="106">
        <v>4673421.0029833801</v>
      </c>
      <c r="J68" s="123">
        <f t="shared" si="5"/>
        <v>5.2781520554922682E-5</v>
      </c>
      <c r="K68" s="108">
        <f t="shared" si="6"/>
        <v>7.1757212184378596E-2</v>
      </c>
      <c r="L68" s="142">
        <f t="shared" si="4"/>
        <v>7.1757212184378596E-2</v>
      </c>
      <c r="M68" s="164">
        <f t="shared" si="7"/>
        <v>71.757212184378602</v>
      </c>
      <c r="N68" s="203">
        <f t="shared" ref="N68" si="53">AVERAGE(L68:L69)</f>
        <v>6.8734624982151299E-2</v>
      </c>
      <c r="O68" s="180">
        <f t="shared" ref="O68" si="54">ABS(L68-L69)/N68*100</f>
        <v>8.794947824367112</v>
      </c>
      <c r="P68" s="180">
        <f t="shared" ref="P68" si="55">2/3*2^(1-(0.5*LOG(N68/1000000000)))</f>
        <v>45.143604664225201</v>
      </c>
      <c r="Q68" s="110"/>
    </row>
    <row r="69" spans="1:21" s="103" customFormat="1" ht="18" customHeight="1" x14ac:dyDescent="0.3">
      <c r="C69" s="104" t="s">
        <v>124</v>
      </c>
      <c r="D69" s="104" t="s">
        <v>129</v>
      </c>
      <c r="E69" s="105">
        <v>50</v>
      </c>
      <c r="F69" s="105">
        <v>50</v>
      </c>
      <c r="G69" s="105">
        <v>1</v>
      </c>
      <c r="H69" s="106">
        <v>200.00288005440117</v>
      </c>
      <c r="I69" s="106">
        <v>4128125.8299111412</v>
      </c>
      <c r="J69" s="123">
        <f t="shared" si="5"/>
        <v>4.8448833270837165E-5</v>
      </c>
      <c r="K69" s="108">
        <f t="shared" si="6"/>
        <v>6.5712037779923987E-2</v>
      </c>
      <c r="L69" s="142">
        <f t="shared" si="4"/>
        <v>6.5712037779923987E-2</v>
      </c>
      <c r="M69" s="164">
        <f t="shared" si="7"/>
        <v>65.712037779923989</v>
      </c>
      <c r="N69" s="204"/>
      <c r="O69" s="181"/>
      <c r="P69" s="181"/>
      <c r="Q69" s="110"/>
    </row>
    <row r="70" spans="1:21" s="103" customFormat="1" ht="18" customHeight="1" x14ac:dyDescent="0.3">
      <c r="A70" s="103" t="e">
        <f>C70&amp;#REF!</f>
        <v>#REF!</v>
      </c>
      <c r="C70" s="104" t="s">
        <v>125</v>
      </c>
      <c r="D70" s="104" t="s">
        <v>129</v>
      </c>
      <c r="E70" s="105">
        <v>50</v>
      </c>
      <c r="F70" s="105">
        <v>50</v>
      </c>
      <c r="G70" s="105">
        <v>1</v>
      </c>
      <c r="H70" s="106">
        <v>210.0026267093875</v>
      </c>
      <c r="I70" s="106">
        <v>4150948.7463265923</v>
      </c>
      <c r="J70" s="123">
        <f t="shared" si="5"/>
        <v>5.0591476682344155E-5</v>
      </c>
      <c r="K70" s="108">
        <f t="shared" si="6"/>
        <v>6.8701557276678815E-2</v>
      </c>
      <c r="L70" s="142">
        <f t="shared" si="4"/>
        <v>6.8701557276678815E-2</v>
      </c>
      <c r="M70" s="164">
        <f t="shared" si="7"/>
        <v>68.701557276678813</v>
      </c>
      <c r="N70" s="203">
        <f t="shared" ref="N70" si="56">AVERAGE(L70:L71)</f>
        <v>7.2369507908501773E-2</v>
      </c>
      <c r="O70" s="180">
        <f>ABS(L70-L71)/N70*100</f>
        <v>10.136729508954044</v>
      </c>
      <c r="P70" s="180">
        <f t="shared" ref="P70" si="57">2/3*2^(1-(0.5*LOG(N70/1000000000)))</f>
        <v>44.794810175564962</v>
      </c>
      <c r="Q70" s="110"/>
    </row>
    <row r="71" spans="1:21" s="103" customFormat="1" ht="18" customHeight="1" x14ac:dyDescent="0.3">
      <c r="A71" s="103" t="e">
        <f>C71&amp;#REF!</f>
        <v>#REF!</v>
      </c>
      <c r="C71" s="104" t="s">
        <v>126</v>
      </c>
      <c r="D71" s="104" t="s">
        <v>129</v>
      </c>
      <c r="E71" s="105">
        <v>50</v>
      </c>
      <c r="F71" s="105">
        <v>50</v>
      </c>
      <c r="G71" s="105">
        <v>1</v>
      </c>
      <c r="H71" s="106">
        <v>246.67016005802773</v>
      </c>
      <c r="I71" s="106">
        <v>4416713.7994236788</v>
      </c>
      <c r="J71" s="123">
        <f t="shared" si="5"/>
        <v>5.5849251561243306E-5</v>
      </c>
      <c r="K71" s="108">
        <f t="shared" si="6"/>
        <v>7.6037458540324745E-2</v>
      </c>
      <c r="L71" s="142">
        <f t="shared" si="4"/>
        <v>7.6037458540324745E-2</v>
      </c>
      <c r="M71" s="164">
        <f t="shared" si="7"/>
        <v>76.037458540324749</v>
      </c>
      <c r="N71" s="204"/>
      <c r="O71" s="181"/>
      <c r="P71" s="181"/>
      <c r="Q71" s="110"/>
    </row>
    <row r="72" spans="1:21" x14ac:dyDescent="0.3">
      <c r="C72" s="36"/>
      <c r="D72" s="36"/>
      <c r="E72" s="36"/>
      <c r="F72" s="36"/>
      <c r="G72" s="36"/>
      <c r="H72" s="36"/>
      <c r="I72" s="30"/>
      <c r="J72" s="30"/>
      <c r="K72" s="30"/>
      <c r="L72" s="30"/>
      <c r="M72" s="30"/>
      <c r="N72" s="63"/>
      <c r="O72" s="30"/>
      <c r="P72" s="30"/>
      <c r="Q72" s="30"/>
      <c r="R72" s="30"/>
      <c r="T72" s="15"/>
      <c r="U72" s="15"/>
    </row>
    <row r="73" spans="1:21" x14ac:dyDescent="0.3"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63"/>
      <c r="O73" s="30"/>
      <c r="P73" s="30"/>
      <c r="Q73" s="30"/>
      <c r="R73" s="30"/>
    </row>
    <row r="74" spans="1:21" x14ac:dyDescent="0.3">
      <c r="C74" s="61" t="s">
        <v>47</v>
      </c>
      <c r="D74" s="54"/>
      <c r="E74" s="55"/>
      <c r="F74" s="30"/>
      <c r="G74" s="30"/>
      <c r="H74" s="58" t="s">
        <v>48</v>
      </c>
      <c r="I74" s="30"/>
      <c r="J74" s="30"/>
      <c r="K74" s="30"/>
      <c r="L74" s="30"/>
      <c r="M74" s="30"/>
      <c r="N74" s="63"/>
      <c r="O74" s="30"/>
      <c r="P74" s="30"/>
      <c r="Q74" s="30"/>
      <c r="R74" s="30"/>
    </row>
    <row r="75" spans="1:21" ht="14.5" x14ac:dyDescent="0.35">
      <c r="C75" s="53" t="s">
        <v>30</v>
      </c>
      <c r="D75" s="56" t="s">
        <v>51</v>
      </c>
      <c r="E75" s="55"/>
      <c r="F75" s="30"/>
      <c r="G75" s="30"/>
      <c r="H75" s="57" t="s">
        <v>54</v>
      </c>
      <c r="I75" s="30"/>
      <c r="J75" s="30"/>
      <c r="K75" s="30"/>
      <c r="L75" s="30"/>
      <c r="M75" s="30"/>
      <c r="N75" s="63"/>
      <c r="O75" s="30"/>
      <c r="P75" s="30"/>
      <c r="Q75" s="30"/>
      <c r="R75" s="30"/>
    </row>
    <row r="76" spans="1:21" x14ac:dyDescent="0.3">
      <c r="C76" s="53" t="s">
        <v>31</v>
      </c>
      <c r="D76" s="56" t="s">
        <v>52</v>
      </c>
      <c r="E76" s="55"/>
      <c r="F76" s="30"/>
      <c r="G76" s="30"/>
      <c r="H76" s="57"/>
      <c r="I76" s="30"/>
      <c r="J76" s="30"/>
      <c r="K76" s="30"/>
      <c r="L76" s="30"/>
      <c r="M76" s="30"/>
      <c r="N76" s="63"/>
      <c r="O76" s="30"/>
      <c r="P76" s="30"/>
      <c r="Q76" s="30"/>
      <c r="R76" s="30"/>
    </row>
    <row r="77" spans="1:21" x14ac:dyDescent="0.3">
      <c r="C77" s="22" t="s">
        <v>39</v>
      </c>
      <c r="D77" s="21" t="s">
        <v>53</v>
      </c>
      <c r="E77" s="20"/>
      <c r="H77" s="46"/>
    </row>
    <row r="78" spans="1:21" x14ac:dyDescent="0.3">
      <c r="C78" s="57" t="s">
        <v>139</v>
      </c>
      <c r="D78" s="64" t="s">
        <v>140</v>
      </c>
      <c r="E78" s="30"/>
      <c r="F78" s="30"/>
    </row>
  </sheetData>
  <mergeCells count="63">
    <mergeCell ref="C1:S1"/>
    <mergeCell ref="C7:D7"/>
    <mergeCell ref="C8:D8"/>
    <mergeCell ref="C12:D12"/>
    <mergeCell ref="B28:B31"/>
    <mergeCell ref="C28:G28"/>
    <mergeCell ref="C29:G29"/>
    <mergeCell ref="C30:G30"/>
    <mergeCell ref="C31:G31"/>
    <mergeCell ref="N36:N37"/>
    <mergeCell ref="O36:O37"/>
    <mergeCell ref="P36:P37"/>
    <mergeCell ref="N38:N39"/>
    <mergeCell ref="O38:O39"/>
    <mergeCell ref="P38:P39"/>
    <mergeCell ref="N40:N41"/>
    <mergeCell ref="O40:O41"/>
    <mergeCell ref="P40:P41"/>
    <mergeCell ref="N42:N43"/>
    <mergeCell ref="O42:O43"/>
    <mergeCell ref="P42:P43"/>
    <mergeCell ref="N44:N45"/>
    <mergeCell ref="O44:O45"/>
    <mergeCell ref="P44:P45"/>
    <mergeCell ref="N46:N47"/>
    <mergeCell ref="O46:O47"/>
    <mergeCell ref="P46:P47"/>
    <mergeCell ref="N48:N49"/>
    <mergeCell ref="O48:O49"/>
    <mergeCell ref="P48:P49"/>
    <mergeCell ref="N50:N51"/>
    <mergeCell ref="O50:O51"/>
    <mergeCell ref="P50:P51"/>
    <mergeCell ref="N52:N53"/>
    <mergeCell ref="O52:O53"/>
    <mergeCell ref="P52:P53"/>
    <mergeCell ref="N54:N55"/>
    <mergeCell ref="O54:O55"/>
    <mergeCell ref="P54:P55"/>
    <mergeCell ref="N56:N57"/>
    <mergeCell ref="O56:O57"/>
    <mergeCell ref="P56:P57"/>
    <mergeCell ref="N58:N59"/>
    <mergeCell ref="O58:O59"/>
    <mergeCell ref="P58:P59"/>
    <mergeCell ref="N60:N61"/>
    <mergeCell ref="O60:O61"/>
    <mergeCell ref="P60:P61"/>
    <mergeCell ref="N62:N63"/>
    <mergeCell ref="O62:O63"/>
    <mergeCell ref="P62:P63"/>
    <mergeCell ref="N64:N65"/>
    <mergeCell ref="O64:O65"/>
    <mergeCell ref="P64:P65"/>
    <mergeCell ref="N66:N67"/>
    <mergeCell ref="O66:O67"/>
    <mergeCell ref="P66:P67"/>
    <mergeCell ref="N68:N69"/>
    <mergeCell ref="O68:O69"/>
    <mergeCell ref="P68:P69"/>
    <mergeCell ref="N70:N71"/>
    <mergeCell ref="O70:O71"/>
    <mergeCell ref="P70:P71"/>
  </mergeCells>
  <conditionalFormatting sqref="C17:D17 D16">
    <cfRule type="duplicateValues" dxfId="7" priority="2"/>
  </conditionalFormatting>
  <conditionalFormatting sqref="C32:D34">
    <cfRule type="duplicateValues" dxfId="6" priority="1"/>
  </conditionalFormatting>
  <printOptions horizontalCentered="1"/>
  <pageMargins left="0.31496062992125984" right="0.31496062992125984" top="0.55118110236220474" bottom="0.55118110236220474" header="0.31496062992125984" footer="0.31496062992125984"/>
  <pageSetup paperSize="9" scale="38" fitToHeight="0" orientation="portrait" horizontalDpi="4294967292" verticalDpi="360" r:id="rId1"/>
  <headerFooter>
    <oddHeader xml:space="preserve">&amp;R&amp;"Arial,Regular"&amp;10No.: 18-13-14.1/F-MU
Revisi 7
</oddHead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00A22-5472-4FF8-BF52-9BB7E4E57C0D}">
  <sheetPr codeName="Sheet9">
    <tabColor rgb="FF7030A0"/>
    <pageSetUpPr fitToPage="1"/>
  </sheetPr>
  <dimension ref="A1:V66"/>
  <sheetViews>
    <sheetView view="pageBreakPreview" topLeftCell="B26" zoomScale="68" zoomScaleNormal="68" zoomScaleSheetLayoutView="68" zoomScalePageLayoutView="70" workbookViewId="0">
      <selection activeCell="M35" sqref="M35"/>
    </sheetView>
  </sheetViews>
  <sheetFormatPr defaultColWidth="8.54296875" defaultRowHeight="14" x14ac:dyDescent="0.3"/>
  <cols>
    <col min="1" max="1" width="8.54296875" style="5" hidden="1" customWidth="1"/>
    <col min="2" max="2" width="8.7265625" style="5" customWidth="1"/>
    <col min="3" max="3" width="18.7265625" style="5" customWidth="1"/>
    <col min="4" max="4" width="32.26953125" style="5" customWidth="1"/>
    <col min="5" max="5" width="12.7265625" style="5" customWidth="1"/>
    <col min="6" max="6" width="14.81640625" style="5" bestFit="1" customWidth="1"/>
    <col min="7" max="7" width="10.453125" style="5" bestFit="1" customWidth="1"/>
    <col min="8" max="8" width="13.7265625" style="5" customWidth="1"/>
    <col min="9" max="9" width="16.1796875" style="5" bestFit="1" customWidth="1"/>
    <col min="10" max="10" width="13.453125" style="5" bestFit="1" customWidth="1"/>
    <col min="11" max="11" width="12.1796875" style="5" customWidth="1"/>
    <col min="12" max="13" width="15.1796875" style="5" customWidth="1"/>
    <col min="14" max="14" width="17.1796875" style="5" customWidth="1"/>
    <col min="15" max="16" width="17.453125" style="5" customWidth="1"/>
    <col min="17" max="17" width="29.453125" style="5" bestFit="1" customWidth="1"/>
    <col min="18" max="19" width="17.453125" style="5" customWidth="1"/>
    <col min="20" max="20" width="12.26953125" style="5" customWidth="1"/>
    <col min="21" max="21" width="9.1796875" style="5" customWidth="1"/>
    <col min="22" max="22" width="10.453125" style="5" customWidth="1"/>
    <col min="23" max="16384" width="8.54296875" style="5"/>
  </cols>
  <sheetData>
    <row r="1" spans="3:22" ht="39.75" customHeight="1" x14ac:dyDescent="0.3">
      <c r="C1" s="192" t="s">
        <v>50</v>
      </c>
      <c r="D1" s="192"/>
      <c r="E1" s="192"/>
      <c r="F1" s="192"/>
      <c r="G1" s="192"/>
      <c r="H1" s="192"/>
      <c r="I1" s="192"/>
      <c r="J1" s="192"/>
      <c r="K1" s="192"/>
      <c r="L1" s="192"/>
      <c r="M1" s="192"/>
      <c r="N1" s="192"/>
      <c r="O1" s="192"/>
      <c r="P1" s="192"/>
      <c r="Q1" s="192"/>
      <c r="R1" s="192"/>
      <c r="S1" s="192"/>
      <c r="T1" s="4"/>
      <c r="U1" s="4"/>
      <c r="V1" s="4"/>
    </row>
    <row r="2" spans="3:22" ht="15" customHeight="1" x14ac:dyDescent="0.3">
      <c r="C2" s="3"/>
      <c r="D2" s="3"/>
      <c r="E2" s="3"/>
      <c r="F2" s="3"/>
      <c r="G2" s="6"/>
      <c r="H2" s="6"/>
      <c r="I2" s="6"/>
      <c r="J2" s="6"/>
      <c r="K2" s="7"/>
      <c r="N2" s="8"/>
      <c r="O2" s="9"/>
      <c r="P2" s="9"/>
      <c r="Q2" s="9"/>
      <c r="R2" s="9"/>
      <c r="T2" s="4"/>
      <c r="U2" s="4"/>
      <c r="V2" s="4"/>
    </row>
    <row r="3" spans="3:22" ht="15" customHeight="1" x14ac:dyDescent="0.35">
      <c r="C3" s="3"/>
      <c r="D3" s="3"/>
      <c r="E3" s="3"/>
      <c r="F3" s="3"/>
      <c r="G3" s="6"/>
      <c r="H3" s="6"/>
      <c r="I3" s="6"/>
      <c r="J3" s="6"/>
      <c r="K3" s="6"/>
      <c r="O3"/>
      <c r="P3"/>
      <c r="Q3"/>
      <c r="R3"/>
      <c r="S3"/>
      <c r="T3" s="4"/>
      <c r="U3" s="4"/>
      <c r="V3" s="4"/>
    </row>
    <row r="4" spans="3:22" ht="14.5" x14ac:dyDescent="0.35">
      <c r="G4" s="6"/>
      <c r="H4" s="6"/>
      <c r="I4" s="6"/>
      <c r="J4" s="6"/>
      <c r="K4" s="6"/>
      <c r="O4"/>
      <c r="P4"/>
      <c r="Q4"/>
      <c r="R4"/>
      <c r="S4"/>
    </row>
    <row r="5" spans="3:22" ht="14.5" x14ac:dyDescent="0.35">
      <c r="C5" s="10" t="s">
        <v>7</v>
      </c>
      <c r="D5" s="11"/>
      <c r="E5" s="12" t="s">
        <v>58</v>
      </c>
      <c r="G5" s="13"/>
      <c r="H5" s="6"/>
      <c r="I5" s="14"/>
      <c r="K5" s="6"/>
      <c r="L5" s="15"/>
      <c r="M5" s="15"/>
      <c r="O5"/>
      <c r="P5"/>
      <c r="Q5"/>
      <c r="R5"/>
      <c r="S5"/>
    </row>
    <row r="6" spans="3:22" ht="14.5" x14ac:dyDescent="0.35">
      <c r="C6" s="10" t="s">
        <v>10</v>
      </c>
      <c r="D6" s="11"/>
      <c r="E6" s="12" t="s">
        <v>59</v>
      </c>
      <c r="F6" s="17"/>
      <c r="G6" s="24"/>
      <c r="H6" s="17"/>
      <c r="I6" s="16"/>
      <c r="J6" s="17"/>
      <c r="K6" s="6"/>
      <c r="L6" s="15"/>
      <c r="M6" s="15"/>
      <c r="O6"/>
      <c r="P6"/>
      <c r="Q6"/>
      <c r="R6"/>
      <c r="S6"/>
    </row>
    <row r="7" spans="3:22" x14ac:dyDescent="0.3">
      <c r="C7" s="193" t="s">
        <v>35</v>
      </c>
      <c r="D7" s="193"/>
      <c r="E7" s="12" t="s">
        <v>60</v>
      </c>
      <c r="G7" s="24"/>
      <c r="H7" s="17"/>
      <c r="I7" s="16"/>
      <c r="J7" s="17"/>
      <c r="K7" s="6"/>
      <c r="L7" s="15"/>
      <c r="M7" s="15"/>
      <c r="N7" s="6"/>
      <c r="O7" s="15"/>
      <c r="P7" s="15"/>
      <c r="Q7" s="15"/>
      <c r="R7" s="15"/>
    </row>
    <row r="8" spans="3:22" ht="14.5" x14ac:dyDescent="0.35">
      <c r="C8" s="194" t="s">
        <v>36</v>
      </c>
      <c r="D8" s="194"/>
      <c r="E8" s="60" t="s">
        <v>141</v>
      </c>
      <c r="F8" s="30"/>
      <c r="G8" s="63"/>
      <c r="H8" s="63"/>
      <c r="I8" s="8"/>
      <c r="N8" s="25" t="s">
        <v>45</v>
      </c>
      <c r="O8" s="26"/>
      <c r="P8" s="27"/>
      <c r="Q8"/>
    </row>
    <row r="9" spans="3:22" ht="14.5" x14ac:dyDescent="0.35">
      <c r="C9" s="10" t="s">
        <v>24</v>
      </c>
      <c r="D9" s="18"/>
      <c r="E9" s="12" t="s">
        <v>131</v>
      </c>
      <c r="N9" s="28" t="s">
        <v>25</v>
      </c>
      <c r="O9" s="29" t="s">
        <v>55</v>
      </c>
      <c r="P9" s="23"/>
      <c r="Q9"/>
    </row>
    <row r="10" spans="3:22" ht="14.5" x14ac:dyDescent="0.35">
      <c r="C10" s="10" t="s">
        <v>41</v>
      </c>
      <c r="D10" s="18"/>
      <c r="E10" s="12" t="s">
        <v>144</v>
      </c>
      <c r="N10" s="28"/>
      <c r="O10" s="36" t="s">
        <v>56</v>
      </c>
      <c r="P10" s="23"/>
      <c r="Q10"/>
    </row>
    <row r="11" spans="3:22" ht="14.5" x14ac:dyDescent="0.35">
      <c r="C11" s="31" t="s">
        <v>26</v>
      </c>
      <c r="D11" s="32"/>
      <c r="E11" s="33" t="s">
        <v>132</v>
      </c>
      <c r="F11" s="30"/>
      <c r="G11" s="30"/>
      <c r="H11" s="30"/>
      <c r="I11" s="30"/>
      <c r="N11" s="34"/>
      <c r="O11" s="59"/>
      <c r="P11" s="35"/>
      <c r="Q11"/>
    </row>
    <row r="12" spans="3:22" x14ac:dyDescent="0.3">
      <c r="C12" s="195" t="s">
        <v>37</v>
      </c>
      <c r="D12" s="195"/>
      <c r="E12" s="33" t="str">
        <f>E6</f>
        <v>: 8 September 2023</v>
      </c>
      <c r="F12" s="30"/>
      <c r="G12" s="36"/>
      <c r="H12" s="30"/>
      <c r="I12" s="37"/>
      <c r="J12" s="30"/>
      <c r="K12" s="36"/>
      <c r="L12" s="38"/>
      <c r="M12" s="38"/>
      <c r="N12" s="38"/>
      <c r="O12" s="30"/>
      <c r="P12" s="30"/>
      <c r="Q12" s="30"/>
      <c r="R12" s="30"/>
    </row>
    <row r="13" spans="3:22" x14ac:dyDescent="0.3">
      <c r="C13" s="30" t="s">
        <v>40</v>
      </c>
      <c r="D13" s="33"/>
      <c r="E13" s="30" t="s">
        <v>145</v>
      </c>
      <c r="F13" s="30"/>
      <c r="G13" s="36"/>
      <c r="H13" s="30"/>
      <c r="I13" s="37"/>
      <c r="J13" s="30"/>
      <c r="K13" s="36"/>
      <c r="L13" s="30"/>
      <c r="M13" s="30"/>
    </row>
    <row r="14" spans="3:22" x14ac:dyDescent="0.3">
      <c r="C14" s="30" t="s">
        <v>44</v>
      </c>
      <c r="D14" s="33"/>
      <c r="E14" s="30" t="s">
        <v>146</v>
      </c>
      <c r="F14" s="33"/>
      <c r="G14" s="36"/>
      <c r="H14" s="30"/>
      <c r="I14" s="37"/>
      <c r="J14" s="30"/>
      <c r="K14" s="36"/>
      <c r="L14" s="30"/>
      <c r="M14" s="30"/>
    </row>
    <row r="15" spans="3:22" x14ac:dyDescent="0.3">
      <c r="C15" s="30"/>
      <c r="D15" s="33"/>
      <c r="E15" s="30"/>
      <c r="F15" s="33"/>
      <c r="G15" s="36"/>
      <c r="H15" s="30"/>
      <c r="I15" s="37"/>
      <c r="J15" s="30"/>
      <c r="K15" s="36"/>
      <c r="L15" s="30"/>
      <c r="M15" s="30"/>
    </row>
    <row r="16" spans="3:22" x14ac:dyDescent="0.3">
      <c r="C16" s="31" t="s">
        <v>9</v>
      </c>
      <c r="D16" s="31"/>
      <c r="E16" s="31" t="s">
        <v>138</v>
      </c>
      <c r="F16" s="39"/>
      <c r="G16" s="39"/>
      <c r="H16" s="39"/>
      <c r="I16" s="39"/>
      <c r="J16" s="39"/>
      <c r="K16" s="39"/>
      <c r="L16" s="30"/>
      <c r="M16" s="30"/>
      <c r="S16" s="4"/>
      <c r="T16" s="4"/>
      <c r="U16" s="4"/>
    </row>
    <row r="17" spans="1:22" x14ac:dyDescent="0.3">
      <c r="C17" s="31"/>
      <c r="D17" s="31"/>
      <c r="E17" s="30"/>
      <c r="F17" s="40"/>
      <c r="G17" s="40"/>
      <c r="H17" s="40"/>
      <c r="I17" s="40"/>
      <c r="J17" s="40"/>
      <c r="K17" s="40"/>
      <c r="L17" s="30"/>
      <c r="M17" s="30"/>
      <c r="N17" s="30"/>
      <c r="O17" s="30"/>
      <c r="P17" s="30"/>
      <c r="Q17" s="30"/>
      <c r="R17" s="30"/>
    </row>
    <row r="18" spans="1:22" x14ac:dyDescent="0.3">
      <c r="C18" s="41"/>
      <c r="D18" s="41"/>
      <c r="E18" s="41"/>
      <c r="F18" s="41"/>
      <c r="G18" s="42"/>
      <c r="H18" s="42"/>
      <c r="I18" s="30"/>
      <c r="J18" s="30"/>
      <c r="K18" s="41"/>
      <c r="L18" s="41"/>
      <c r="M18" s="41"/>
      <c r="N18" s="41"/>
      <c r="O18" s="41"/>
      <c r="P18" s="41"/>
      <c r="Q18" s="41"/>
      <c r="R18" s="41"/>
      <c r="S18" s="4"/>
      <c r="T18" s="4"/>
      <c r="U18" s="4"/>
      <c r="V18" s="4"/>
    </row>
    <row r="19" spans="1:22" ht="57.75" customHeight="1" x14ac:dyDescent="0.3">
      <c r="B19" s="19" t="s">
        <v>27</v>
      </c>
      <c r="C19" s="43" t="s">
        <v>6</v>
      </c>
      <c r="D19" s="43" t="s">
        <v>28</v>
      </c>
      <c r="E19" s="43" t="s">
        <v>42</v>
      </c>
      <c r="F19" s="43" t="s">
        <v>43</v>
      </c>
      <c r="G19" s="43" t="s">
        <v>8</v>
      </c>
      <c r="H19" s="44" t="s">
        <v>23</v>
      </c>
      <c r="I19" s="30"/>
      <c r="J19" s="45"/>
      <c r="K19" s="45"/>
      <c r="L19" s="46"/>
      <c r="M19" s="46"/>
      <c r="N19" s="46"/>
      <c r="O19" s="46"/>
      <c r="P19" s="46"/>
      <c r="Q19" s="46"/>
      <c r="R19" s="46"/>
      <c r="S19" s="4"/>
    </row>
    <row r="20" spans="1:22" x14ac:dyDescent="0.3">
      <c r="A20" s="5" t="str">
        <f>"CalBlk"&amp;B20</f>
        <v>CalBlk1</v>
      </c>
      <c r="B20" s="19">
        <v>1</v>
      </c>
      <c r="C20" s="67">
        <v>0</v>
      </c>
      <c r="D20" s="43">
        <f>C20*1000/1000</f>
        <v>0</v>
      </c>
      <c r="E20" s="48">
        <v>270.00457343109571</v>
      </c>
      <c r="F20" s="48">
        <v>35781006.689816773</v>
      </c>
      <c r="G20" s="66">
        <f>E20/F20</f>
        <v>7.5460306573190587E-6</v>
      </c>
      <c r="H20" s="66">
        <f>G20-$G$20</f>
        <v>0</v>
      </c>
      <c r="I20" s="30"/>
      <c r="J20" s="45"/>
      <c r="K20" s="45"/>
      <c r="L20" s="46"/>
      <c r="M20" s="46"/>
      <c r="N20" s="46"/>
      <c r="O20" s="46"/>
      <c r="P20" s="46"/>
      <c r="Q20" s="46"/>
      <c r="R20" s="46"/>
      <c r="S20" s="4"/>
    </row>
    <row r="21" spans="1:22" x14ac:dyDescent="0.3">
      <c r="A21" s="5" t="str">
        <f>"CalStd"&amp;B21</f>
        <v>CalStd2</v>
      </c>
      <c r="B21" s="19">
        <v>2</v>
      </c>
      <c r="C21" s="43">
        <f>0.125</f>
        <v>0.125</v>
      </c>
      <c r="D21" s="43">
        <f t="shared" ref="D21:D27" si="0">C21*1000/1000</f>
        <v>0.125</v>
      </c>
      <c r="E21" s="48">
        <v>1633.4507826265126</v>
      </c>
      <c r="F21" s="48">
        <v>36241031.243544362</v>
      </c>
      <c r="G21" s="49">
        <f t="shared" ref="G21:G27" si="1">E21/F21</f>
        <v>4.507186265339732E-5</v>
      </c>
      <c r="H21" s="66">
        <f t="shared" ref="H21:H27" si="2">G21-$G$20</f>
        <v>3.7525831996078265E-5</v>
      </c>
      <c r="I21" s="30"/>
      <c r="J21" s="45"/>
      <c r="K21" s="45"/>
      <c r="L21" s="46"/>
      <c r="M21" s="46"/>
      <c r="N21" s="46"/>
      <c r="O21" s="46"/>
      <c r="P21" s="46"/>
      <c r="Q21" s="46"/>
      <c r="R21" s="46"/>
      <c r="S21" s="4"/>
    </row>
    <row r="22" spans="1:22" x14ac:dyDescent="0.3">
      <c r="A22" s="5" t="str">
        <f t="shared" ref="A22:A27" si="3">"CalStd"&amp;B22</f>
        <v>CalStd3</v>
      </c>
      <c r="B22" s="19">
        <v>3</v>
      </c>
      <c r="C22" s="48">
        <f>0.25</f>
        <v>0.25</v>
      </c>
      <c r="D22" s="48">
        <f t="shared" si="0"/>
        <v>0.25</v>
      </c>
      <c r="E22" s="48">
        <v>2504.1751361604802</v>
      </c>
      <c r="F22" s="48">
        <v>36161582.766049914</v>
      </c>
      <c r="G22" s="49">
        <f t="shared" si="1"/>
        <v>6.9249599840842972E-5</v>
      </c>
      <c r="H22" s="66">
        <f t="shared" si="2"/>
        <v>6.170356918352391E-5</v>
      </c>
      <c r="I22" s="30"/>
      <c r="J22" s="45"/>
      <c r="K22" s="45"/>
      <c r="L22" s="46"/>
      <c r="M22" s="46"/>
      <c r="N22" s="46"/>
      <c r="O22" s="46"/>
      <c r="P22" s="46"/>
      <c r="Q22" s="46"/>
      <c r="R22" s="46"/>
      <c r="S22" s="4"/>
    </row>
    <row r="23" spans="1:22" x14ac:dyDescent="0.3">
      <c r="A23" s="5" t="str">
        <f t="shared" si="3"/>
        <v>CalStd4</v>
      </c>
      <c r="B23" s="19">
        <v>4</v>
      </c>
      <c r="C23" s="48">
        <f>0.5</f>
        <v>0.5</v>
      </c>
      <c r="D23" s="48">
        <f t="shared" si="0"/>
        <v>0.5</v>
      </c>
      <c r="E23" s="48">
        <v>5047.7260721462471</v>
      </c>
      <c r="F23" s="48">
        <v>36865382.189736687</v>
      </c>
      <c r="G23" s="49">
        <f>E23/F23</f>
        <v>1.3692319928129031E-4</v>
      </c>
      <c r="H23" s="49">
        <f t="shared" si="2"/>
        <v>1.2937716862397125E-4</v>
      </c>
      <c r="I23" s="30"/>
      <c r="J23" s="45"/>
      <c r="K23" s="45"/>
      <c r="L23" s="46"/>
      <c r="M23" s="46"/>
      <c r="N23" s="46"/>
      <c r="O23" s="46"/>
      <c r="P23" s="46"/>
      <c r="Q23" s="46"/>
      <c r="R23" s="46"/>
      <c r="S23" s="4"/>
    </row>
    <row r="24" spans="1:22" x14ac:dyDescent="0.3">
      <c r="A24" s="5" t="str">
        <f t="shared" si="3"/>
        <v>CalStd5</v>
      </c>
      <c r="B24" s="19">
        <v>5</v>
      </c>
      <c r="C24" s="48">
        <f>1</f>
        <v>1</v>
      </c>
      <c r="D24" s="48">
        <f t="shared" si="0"/>
        <v>1</v>
      </c>
      <c r="E24" s="48">
        <v>10150.062158676301</v>
      </c>
      <c r="F24" s="48">
        <v>36286288.010352395</v>
      </c>
      <c r="G24" s="47">
        <f t="shared" si="1"/>
        <v>2.7972169971699807E-4</v>
      </c>
      <c r="H24" s="49">
        <f t="shared" si="2"/>
        <v>2.7217566905967901E-4</v>
      </c>
      <c r="I24" s="30"/>
      <c r="J24" s="45"/>
      <c r="K24" s="45"/>
      <c r="L24" s="46"/>
      <c r="M24" s="46"/>
      <c r="N24" s="46"/>
      <c r="O24" s="46"/>
      <c r="P24" s="46"/>
      <c r="Q24" s="46"/>
      <c r="R24" s="46"/>
      <c r="S24" s="4"/>
    </row>
    <row r="25" spans="1:22" x14ac:dyDescent="0.3">
      <c r="A25" s="5" t="str">
        <f t="shared" si="3"/>
        <v>CalStd6</v>
      </c>
      <c r="B25" s="19">
        <v>6</v>
      </c>
      <c r="C25" s="48">
        <f>2</f>
        <v>2</v>
      </c>
      <c r="D25" s="48">
        <f t="shared" si="0"/>
        <v>2</v>
      </c>
      <c r="E25" s="48">
        <v>22082.908080471014</v>
      </c>
      <c r="F25" s="48">
        <v>36549959.363213532</v>
      </c>
      <c r="G25" s="47">
        <f t="shared" si="1"/>
        <v>6.0418420335363809E-4</v>
      </c>
      <c r="H25" s="49">
        <f t="shared" si="2"/>
        <v>5.9663817269631908E-4</v>
      </c>
      <c r="I25" s="30"/>
      <c r="J25" s="45"/>
      <c r="K25" s="45"/>
      <c r="L25" s="46"/>
      <c r="M25" s="46"/>
      <c r="N25" s="46"/>
      <c r="O25" s="46"/>
      <c r="P25" s="46"/>
      <c r="Q25" s="46"/>
      <c r="R25" s="46"/>
      <c r="S25" s="4"/>
    </row>
    <row r="26" spans="1:22" x14ac:dyDescent="0.3">
      <c r="A26" s="5" t="str">
        <f t="shared" si="3"/>
        <v>CalStd7</v>
      </c>
      <c r="B26" s="19">
        <v>7</v>
      </c>
      <c r="C26" s="48">
        <f>3</f>
        <v>3</v>
      </c>
      <c r="D26" s="48">
        <f t="shared" si="0"/>
        <v>3</v>
      </c>
      <c r="E26" s="48">
        <v>30671.118807412597</v>
      </c>
      <c r="F26" s="48">
        <v>36490613.549790978</v>
      </c>
      <c r="G26" s="47">
        <f t="shared" si="1"/>
        <v>8.4052077572119321E-4</v>
      </c>
      <c r="H26" s="49">
        <f t="shared" si="2"/>
        <v>8.329747450638742E-4</v>
      </c>
      <c r="I26" s="30"/>
      <c r="J26" s="45"/>
      <c r="K26" s="45"/>
      <c r="L26" s="46"/>
      <c r="M26" s="46"/>
      <c r="N26" s="46"/>
      <c r="O26" s="46"/>
      <c r="P26" s="46"/>
      <c r="Q26" s="46"/>
      <c r="R26" s="46"/>
      <c r="S26" s="4"/>
    </row>
    <row r="27" spans="1:22" x14ac:dyDescent="0.3">
      <c r="A27" s="5" t="str">
        <f t="shared" si="3"/>
        <v>CalStd8</v>
      </c>
      <c r="B27" s="19">
        <v>8</v>
      </c>
      <c r="C27" s="48">
        <f>5</f>
        <v>5</v>
      </c>
      <c r="D27" s="48">
        <f t="shared" si="0"/>
        <v>5</v>
      </c>
      <c r="E27" s="48">
        <v>52015.328337147941</v>
      </c>
      <c r="F27" s="48">
        <v>36009283.608499996</v>
      </c>
      <c r="G27" s="47">
        <f t="shared" si="1"/>
        <v>1.4444977273824385E-3</v>
      </c>
      <c r="H27" s="47">
        <f t="shared" si="2"/>
        <v>1.4369516967251193E-3</v>
      </c>
      <c r="I27" s="30"/>
      <c r="J27" s="45"/>
      <c r="K27" s="45"/>
      <c r="L27" s="46"/>
      <c r="M27" s="46"/>
      <c r="N27" s="46"/>
      <c r="O27" s="46"/>
      <c r="P27" s="46"/>
      <c r="Q27" s="46"/>
      <c r="R27" s="46"/>
      <c r="S27" s="4"/>
    </row>
    <row r="28" spans="1:22" ht="14.5" x14ac:dyDescent="0.3">
      <c r="B28" s="196"/>
      <c r="C28" s="197" t="s">
        <v>5</v>
      </c>
      <c r="D28" s="197"/>
      <c r="E28" s="197"/>
      <c r="F28" s="197"/>
      <c r="G28" s="197"/>
      <c r="H28" s="47">
        <f>SLOPE(H20:H27,D20:D27)</f>
        <v>2.8733630097741613E-4</v>
      </c>
      <c r="I28" s="50"/>
      <c r="J28" s="45"/>
      <c r="K28" s="45"/>
      <c r="L28" s="45"/>
      <c r="M28" s="45"/>
      <c r="N28" s="46"/>
      <c r="O28" s="46"/>
      <c r="P28" s="46"/>
      <c r="Q28" s="46"/>
      <c r="R28" s="46"/>
      <c r="S28" s="4"/>
    </row>
    <row r="29" spans="1:22" ht="14.5" x14ac:dyDescent="0.3">
      <c r="B29" s="196"/>
      <c r="C29" s="197" t="s">
        <v>4</v>
      </c>
      <c r="D29" s="197"/>
      <c r="E29" s="197"/>
      <c r="F29" s="197"/>
      <c r="G29" s="197"/>
      <c r="H29" s="66">
        <f>INTERCEPT(H20:H27,D20:D27)</f>
        <v>-5.5964650947814458E-6</v>
      </c>
      <c r="I29" s="50"/>
      <c r="J29" s="45"/>
      <c r="K29" s="45"/>
      <c r="L29" s="45"/>
      <c r="M29" s="45"/>
      <c r="N29" s="46"/>
      <c r="O29" s="46"/>
      <c r="P29" s="46"/>
      <c r="Q29" s="46"/>
      <c r="R29" s="46"/>
      <c r="S29" s="4"/>
    </row>
    <row r="30" spans="1:22" x14ac:dyDescent="0.3">
      <c r="B30" s="196"/>
      <c r="C30" s="198" t="s">
        <v>29</v>
      </c>
      <c r="D30" s="198"/>
      <c r="E30" s="198"/>
      <c r="F30" s="198"/>
      <c r="G30" s="198"/>
      <c r="H30" s="47">
        <f>RSQ(H20:H27,D20:D27)</f>
        <v>0.99909983726180873</v>
      </c>
      <c r="I30" s="39"/>
      <c r="J30" s="46"/>
      <c r="K30" s="46"/>
      <c r="L30" s="46"/>
      <c r="M30" s="46"/>
      <c r="N30" s="46"/>
      <c r="O30" s="46"/>
      <c r="P30" s="46"/>
      <c r="Q30" s="46"/>
      <c r="R30" s="46"/>
      <c r="S30" s="4"/>
    </row>
    <row r="31" spans="1:22" x14ac:dyDescent="0.3">
      <c r="B31" s="196"/>
      <c r="C31" s="198" t="s">
        <v>3</v>
      </c>
      <c r="D31" s="198"/>
      <c r="E31" s="198"/>
      <c r="F31" s="198"/>
      <c r="G31" s="198"/>
      <c r="H31" s="47">
        <f>SQRT(H30)</f>
        <v>0.99954981729867209</v>
      </c>
      <c r="I31" s="39"/>
      <c r="J31" s="46"/>
      <c r="K31" s="46"/>
      <c r="L31" s="46"/>
      <c r="M31" s="46"/>
      <c r="N31" s="46"/>
      <c r="O31" s="46"/>
      <c r="P31" s="46"/>
      <c r="Q31" s="46"/>
      <c r="R31" s="46"/>
      <c r="S31" s="4"/>
    </row>
    <row r="32" spans="1:22" x14ac:dyDescent="0.3">
      <c r="C32" s="31"/>
      <c r="D32" s="31"/>
      <c r="E32" s="31"/>
      <c r="F32" s="39"/>
      <c r="G32" s="39"/>
      <c r="H32" s="39"/>
      <c r="I32" s="39"/>
      <c r="J32" s="39"/>
      <c r="K32" s="39"/>
      <c r="L32" s="51"/>
      <c r="M32" s="51"/>
      <c r="N32" s="51"/>
      <c r="O32" s="39"/>
      <c r="P32" s="39"/>
      <c r="Q32" s="39"/>
      <c r="R32" s="39"/>
      <c r="S32" s="4"/>
      <c r="T32" s="4"/>
      <c r="U32" s="4"/>
    </row>
    <row r="33" spans="1:21" x14ac:dyDescent="0.3">
      <c r="C33" s="31"/>
      <c r="D33" s="31"/>
      <c r="E33" s="31"/>
      <c r="F33" s="39"/>
      <c r="G33" s="39"/>
      <c r="H33" s="39"/>
      <c r="I33" s="39"/>
      <c r="J33" s="39"/>
      <c r="K33" s="39"/>
      <c r="L33" s="51"/>
      <c r="M33" s="51"/>
      <c r="N33" s="51"/>
      <c r="O33" s="39"/>
      <c r="P33" s="39"/>
      <c r="Q33" s="39"/>
      <c r="R33" s="39"/>
      <c r="S33" s="4"/>
      <c r="T33" s="4"/>
      <c r="U33" s="4"/>
    </row>
    <row r="34" spans="1:21" ht="14.5" thickBot="1" x14ac:dyDescent="0.35">
      <c r="C34" s="31"/>
      <c r="D34" s="31"/>
      <c r="E34" s="31"/>
      <c r="F34" s="39"/>
      <c r="G34" s="39"/>
      <c r="H34" s="39"/>
      <c r="I34" s="39"/>
      <c r="J34" s="39"/>
      <c r="K34" s="39"/>
      <c r="L34" s="51"/>
      <c r="M34" s="51"/>
      <c r="N34" s="51"/>
      <c r="O34" s="39"/>
      <c r="P34" s="39"/>
      <c r="Q34" s="39"/>
      <c r="R34" s="39"/>
      <c r="S34" s="4"/>
      <c r="T34" s="4"/>
      <c r="U34" s="4"/>
    </row>
    <row r="35" spans="1:21" s="81" customFormat="1" ht="48.75" customHeight="1" thickBot="1" x14ac:dyDescent="0.4">
      <c r="A35" s="73"/>
      <c r="B35" s="74" t="s">
        <v>21</v>
      </c>
      <c r="C35" s="75" t="s">
        <v>46</v>
      </c>
      <c r="D35" s="75" t="s">
        <v>2</v>
      </c>
      <c r="E35" s="76" t="s">
        <v>57</v>
      </c>
      <c r="F35" s="62" t="s">
        <v>1</v>
      </c>
      <c r="G35" s="62" t="s">
        <v>0</v>
      </c>
      <c r="H35" s="77" t="s">
        <v>42</v>
      </c>
      <c r="I35" s="77" t="s">
        <v>43</v>
      </c>
      <c r="J35" s="78" t="s">
        <v>8</v>
      </c>
      <c r="K35" s="79" t="s">
        <v>134</v>
      </c>
      <c r="L35" s="76" t="s">
        <v>135</v>
      </c>
      <c r="M35" s="76" t="s">
        <v>243</v>
      </c>
      <c r="N35" s="76" t="s">
        <v>136</v>
      </c>
      <c r="O35" s="52" t="s">
        <v>38</v>
      </c>
      <c r="P35" s="65" t="s">
        <v>137</v>
      </c>
      <c r="Q35" s="80" t="s">
        <v>49</v>
      </c>
    </row>
    <row r="36" spans="1:21" s="82" customFormat="1" ht="18" customHeight="1" x14ac:dyDescent="0.3">
      <c r="A36" s="82" t="e">
        <f>C36&amp;#REF!</f>
        <v>#REF!</v>
      </c>
      <c r="C36" s="83" t="s">
        <v>87</v>
      </c>
      <c r="D36" s="83" t="s">
        <v>106</v>
      </c>
      <c r="E36" s="84">
        <v>50</v>
      </c>
      <c r="F36" s="84">
        <v>50</v>
      </c>
      <c r="G36" s="84">
        <v>1</v>
      </c>
      <c r="H36" s="85">
        <v>80.000560005440079</v>
      </c>
      <c r="I36" s="85">
        <v>23063264.428200871</v>
      </c>
      <c r="J36" s="86">
        <f>H36/I36</f>
        <v>3.4687439956513043E-6</v>
      </c>
      <c r="K36" s="125">
        <f>((J36)-$H$29)/$H$28</f>
        <v>3.1549125744279878E-2</v>
      </c>
      <c r="L36" s="140">
        <f>K36*F36*G36/E36</f>
        <v>3.1549125744279878E-2</v>
      </c>
      <c r="M36" s="163">
        <f>L36*1000</f>
        <v>31.549125744279877</v>
      </c>
      <c r="N36" s="205">
        <f>AVERAGE(L36:L37)</f>
        <v>3.1747919014662847E-2</v>
      </c>
      <c r="O36" s="188">
        <f>ABS(L36-L37)/N36*100</f>
        <v>1.2523231541012534</v>
      </c>
      <c r="P36" s="188">
        <f>2/3*2^(1-(0.5*LOG(N36/1000000000)))</f>
        <v>50.709349671312481</v>
      </c>
      <c r="Q36" s="89"/>
    </row>
    <row r="37" spans="1:21" s="82" customFormat="1" ht="18" customHeight="1" x14ac:dyDescent="0.3">
      <c r="A37" s="82" t="e">
        <f>C37&amp;#REF!</f>
        <v>#REF!</v>
      </c>
      <c r="C37" s="83" t="s">
        <v>88</v>
      </c>
      <c r="D37" s="83" t="s">
        <v>106</v>
      </c>
      <c r="E37" s="84">
        <v>50</v>
      </c>
      <c r="F37" s="84">
        <v>50</v>
      </c>
      <c r="G37" s="84">
        <v>1</v>
      </c>
      <c r="H37" s="85">
        <v>116.66764000986679</v>
      </c>
      <c r="I37" s="85">
        <v>32561576.075679988</v>
      </c>
      <c r="J37" s="86">
        <f t="shared" ref="J37:J59" si="4">H37/I37</f>
        <v>3.5829850415933958E-6</v>
      </c>
      <c r="K37" s="125">
        <f t="shared" ref="K37:K59" si="5">((J37)-$H$29)/$H$28</f>
        <v>3.1946712285045815E-2</v>
      </c>
      <c r="L37" s="140">
        <f t="shared" ref="L37:L59" si="6">K37*F37*G37/E37</f>
        <v>3.1946712285045815E-2</v>
      </c>
      <c r="M37" s="163">
        <f t="shared" ref="M37:M59" si="7">L37*1000</f>
        <v>31.946712285045816</v>
      </c>
      <c r="N37" s="206"/>
      <c r="O37" s="189"/>
      <c r="P37" s="189"/>
      <c r="Q37" s="89"/>
    </row>
    <row r="38" spans="1:21" s="82" customFormat="1" ht="18" customHeight="1" x14ac:dyDescent="0.3">
      <c r="A38" s="82" t="e">
        <f>C38&amp;#REF!</f>
        <v>#REF!</v>
      </c>
      <c r="C38" s="83" t="s">
        <v>89</v>
      </c>
      <c r="D38" s="83" t="s">
        <v>106</v>
      </c>
      <c r="E38" s="84">
        <v>50</v>
      </c>
      <c r="F38" s="84">
        <v>50</v>
      </c>
      <c r="G38" s="84">
        <v>1</v>
      </c>
      <c r="H38" s="85">
        <v>113.3342933434668</v>
      </c>
      <c r="I38" s="85">
        <v>32049621.418909799</v>
      </c>
      <c r="J38" s="86">
        <f t="shared" si="4"/>
        <v>3.5362131696381821E-6</v>
      </c>
      <c r="K38" s="125">
        <f t="shared" si="5"/>
        <v>3.1783934829513354E-2</v>
      </c>
      <c r="L38" s="140">
        <f t="shared" si="6"/>
        <v>3.1783934829513354E-2</v>
      </c>
      <c r="M38" s="163">
        <f t="shared" si="7"/>
        <v>31.783934829513353</v>
      </c>
      <c r="N38" s="205">
        <f t="shared" ref="N38" si="8">AVERAGE(L38:L39)</f>
        <v>3.4470738028665272E-2</v>
      </c>
      <c r="O38" s="188">
        <f t="shared" ref="O38" si="9">ABS(L38-L39)/N38*100</f>
        <v>15.588892798974129</v>
      </c>
      <c r="P38" s="188">
        <f t="shared" ref="P38" si="10">2/3*2^(1-(0.5*LOG(N38/1000000000)))</f>
        <v>50.085191610921704</v>
      </c>
      <c r="Q38" s="89"/>
    </row>
    <row r="39" spans="1:21" s="82" customFormat="1" ht="18" customHeight="1" x14ac:dyDescent="0.3">
      <c r="A39" s="82" t="e">
        <f>C39&amp;#REF!</f>
        <v>#REF!</v>
      </c>
      <c r="C39" s="83" t="s">
        <v>90</v>
      </c>
      <c r="D39" s="83" t="s">
        <v>106</v>
      </c>
      <c r="E39" s="84">
        <v>50</v>
      </c>
      <c r="F39" s="84">
        <v>50</v>
      </c>
      <c r="G39" s="84">
        <v>1</v>
      </c>
      <c r="H39" s="85">
        <v>163.33540004005434</v>
      </c>
      <c r="I39" s="85">
        <v>32151084.962493259</v>
      </c>
      <c r="J39" s="86">
        <f t="shared" si="4"/>
        <v>5.0802453550353835E-6</v>
      </c>
      <c r="K39" s="125">
        <f t="shared" si="5"/>
        <v>3.7157541227817191E-2</v>
      </c>
      <c r="L39" s="140">
        <f t="shared" si="6"/>
        <v>3.7157541227817191E-2</v>
      </c>
      <c r="M39" s="163">
        <f t="shared" si="7"/>
        <v>37.157541227817191</v>
      </c>
      <c r="N39" s="206"/>
      <c r="O39" s="189"/>
      <c r="P39" s="189"/>
      <c r="Q39" s="89"/>
    </row>
    <row r="40" spans="1:21" s="82" customFormat="1" ht="18" customHeight="1" x14ac:dyDescent="0.3">
      <c r="A40" s="82" t="e">
        <f>C40&amp;#REF!</f>
        <v>#REF!</v>
      </c>
      <c r="C40" s="83" t="s">
        <v>91</v>
      </c>
      <c r="D40" s="83" t="s">
        <v>106</v>
      </c>
      <c r="E40" s="84">
        <v>50</v>
      </c>
      <c r="F40" s="84">
        <v>50</v>
      </c>
      <c r="G40" s="84">
        <v>1</v>
      </c>
      <c r="H40" s="85">
        <v>136.66873338736173</v>
      </c>
      <c r="I40" s="85">
        <v>33312668.6513169</v>
      </c>
      <c r="J40" s="86">
        <f t="shared" si="4"/>
        <v>4.102605372684815E-6</v>
      </c>
      <c r="K40" s="125">
        <f t="shared" si="5"/>
        <v>3.3755117033502084E-2</v>
      </c>
      <c r="L40" s="140">
        <f t="shared" si="6"/>
        <v>3.3755117033502084E-2</v>
      </c>
      <c r="M40" s="163">
        <f t="shared" si="7"/>
        <v>33.755117033502081</v>
      </c>
      <c r="N40" s="205">
        <f t="shared" ref="N40" si="11">AVERAGE(L40:L41)</f>
        <v>3.2902960946181489E-2</v>
      </c>
      <c r="O40" s="188">
        <f t="shared" ref="O40" si="12">ABS(L40-L41)/N40*100</f>
        <v>5.1798139912966965</v>
      </c>
      <c r="P40" s="188">
        <f t="shared" ref="P40" si="13">2/3*2^(1-(0.5*LOG(N40/1000000000)))</f>
        <v>50.43733026683303</v>
      </c>
      <c r="Q40" s="89"/>
    </row>
    <row r="41" spans="1:21" s="82" customFormat="1" ht="18" customHeight="1" x14ac:dyDescent="0.3">
      <c r="A41" s="82" t="e">
        <f>C41&amp;#REF!</f>
        <v>#REF!</v>
      </c>
      <c r="C41" s="83" t="s">
        <v>92</v>
      </c>
      <c r="D41" s="83" t="s">
        <v>106</v>
      </c>
      <c r="E41" s="84">
        <v>50</v>
      </c>
      <c r="F41" s="84">
        <v>50</v>
      </c>
      <c r="G41" s="84">
        <v>1</v>
      </c>
      <c r="H41" s="85">
        <v>123.33484002373378</v>
      </c>
      <c r="I41" s="85">
        <v>34137403.137419991</v>
      </c>
      <c r="J41" s="86">
        <f t="shared" si="4"/>
        <v>3.6128946167126373E-6</v>
      </c>
      <c r="K41" s="125">
        <f t="shared" si="5"/>
        <v>3.2050804858860887E-2</v>
      </c>
      <c r="L41" s="140">
        <f t="shared" si="6"/>
        <v>3.2050804858860887E-2</v>
      </c>
      <c r="M41" s="163">
        <f t="shared" si="7"/>
        <v>32.050804858860886</v>
      </c>
      <c r="N41" s="206"/>
      <c r="O41" s="189"/>
      <c r="P41" s="189"/>
      <c r="Q41" s="89"/>
    </row>
    <row r="42" spans="1:21" s="90" customFormat="1" ht="18" customHeight="1" x14ac:dyDescent="0.3">
      <c r="A42" s="90" t="e">
        <f>C42&amp;#REF!</f>
        <v>#REF!</v>
      </c>
      <c r="C42" s="91" t="s">
        <v>93</v>
      </c>
      <c r="D42" s="91" t="s">
        <v>107</v>
      </c>
      <c r="E42" s="92">
        <v>50</v>
      </c>
      <c r="F42" s="92">
        <v>50</v>
      </c>
      <c r="G42" s="92">
        <v>1</v>
      </c>
      <c r="H42" s="93">
        <v>146.66821335200027</v>
      </c>
      <c r="I42" s="93">
        <v>34614519.740440227</v>
      </c>
      <c r="J42" s="94">
        <f>H42/I42</f>
        <v>4.2371875863598199E-6</v>
      </c>
      <c r="K42" s="95">
        <f t="shared" si="5"/>
        <v>3.4223495770254818E-2</v>
      </c>
      <c r="L42" s="141">
        <f t="shared" si="6"/>
        <v>3.4223495770254818E-2</v>
      </c>
      <c r="M42" s="163">
        <f t="shared" si="7"/>
        <v>34.223495770254814</v>
      </c>
      <c r="N42" s="201">
        <f t="shared" ref="N42" si="14">AVERAGE(L42:L43)</f>
        <v>3.2192742820262132E-2</v>
      </c>
      <c r="O42" s="184">
        <f t="shared" ref="O42" si="15">ABS(L42-L43)/N42*100</f>
        <v>12.616215780871778</v>
      </c>
      <c r="P42" s="184">
        <f t="shared" ref="P42" si="16">2/3*2^(1-(0.5*LOG(N42/1000000000)))</f>
        <v>50.603262948553329</v>
      </c>
      <c r="Q42" s="96"/>
    </row>
    <row r="43" spans="1:21" s="90" customFormat="1" ht="18" customHeight="1" x14ac:dyDescent="0.3">
      <c r="A43" s="90" t="e">
        <f>C43&amp;#REF!</f>
        <v>#REF!</v>
      </c>
      <c r="C43" s="91" t="s">
        <v>94</v>
      </c>
      <c r="D43" s="91" t="s">
        <v>107</v>
      </c>
      <c r="E43" s="92">
        <v>50</v>
      </c>
      <c r="F43" s="92">
        <v>50</v>
      </c>
      <c r="G43" s="92">
        <v>1</v>
      </c>
      <c r="H43" s="93">
        <v>110.00110668122689</v>
      </c>
      <c r="I43" s="93">
        <v>35829001.13959872</v>
      </c>
      <c r="J43" s="94">
        <f>H43/I43</f>
        <v>3.0701695046600701E-6</v>
      </c>
      <c r="K43" s="95">
        <f t="shared" si="5"/>
        <v>3.016198987026944E-2</v>
      </c>
      <c r="L43" s="141">
        <f t="shared" si="6"/>
        <v>3.016198987026944E-2</v>
      </c>
      <c r="M43" s="163">
        <f t="shared" si="7"/>
        <v>30.161989870269441</v>
      </c>
      <c r="N43" s="202"/>
      <c r="O43" s="185"/>
      <c r="P43" s="185"/>
      <c r="Q43" s="96"/>
    </row>
    <row r="44" spans="1:21" s="90" customFormat="1" ht="18" customHeight="1" x14ac:dyDescent="0.3">
      <c r="A44" s="90" t="e">
        <f>C44&amp;#REF!</f>
        <v>#REF!</v>
      </c>
      <c r="C44" s="91" t="s">
        <v>95</v>
      </c>
      <c r="D44" s="91" t="s">
        <v>107</v>
      </c>
      <c r="E44" s="92">
        <v>50</v>
      </c>
      <c r="F44" s="92">
        <v>50</v>
      </c>
      <c r="G44" s="92">
        <v>1</v>
      </c>
      <c r="H44" s="93">
        <v>180.00274672714841</v>
      </c>
      <c r="I44" s="93">
        <v>34954724.622593798</v>
      </c>
      <c r="J44" s="94">
        <f t="shared" si="4"/>
        <v>5.1495970479137874E-6</v>
      </c>
      <c r="K44" s="95">
        <f t="shared" si="5"/>
        <v>3.7398901935261727E-2</v>
      </c>
      <c r="L44" s="141">
        <f t="shared" si="6"/>
        <v>3.7398901935261727E-2</v>
      </c>
      <c r="M44" s="163">
        <f t="shared" si="7"/>
        <v>37.398901935261726</v>
      </c>
      <c r="N44" s="201">
        <f t="shared" ref="N44" si="17">AVERAGE(L44:L45)</f>
        <v>3.4214095346972784E-2</v>
      </c>
      <c r="O44" s="184">
        <f t="shared" ref="O44" si="18">ABS(L44-L45)/N44*100</f>
        <v>18.616927064656309</v>
      </c>
      <c r="P44" s="184">
        <f t="shared" ref="P44" si="19">2/3*2^(1-(0.5*LOG(N44/1000000000)))</f>
        <v>50.141559716771127</v>
      </c>
      <c r="Q44" s="96"/>
    </row>
    <row r="45" spans="1:21" s="90" customFormat="1" ht="18" customHeight="1" x14ac:dyDescent="0.3">
      <c r="A45" s="90" t="e">
        <f>C45&amp;#REF!</f>
        <v>#REF!</v>
      </c>
      <c r="C45" s="91" t="s">
        <v>96</v>
      </c>
      <c r="D45" s="91" t="s">
        <v>107</v>
      </c>
      <c r="E45" s="92">
        <v>50</v>
      </c>
      <c r="F45" s="92">
        <v>50</v>
      </c>
      <c r="G45" s="92">
        <v>1</v>
      </c>
      <c r="H45" s="93">
        <v>116.667440010026</v>
      </c>
      <c r="I45" s="93">
        <v>35147401.634401701</v>
      </c>
      <c r="J45" s="94">
        <f t="shared" si="4"/>
        <v>3.3193759590988886E-6</v>
      </c>
      <c r="K45" s="95">
        <f t="shared" si="5"/>
        <v>3.1029288758683837E-2</v>
      </c>
      <c r="L45" s="141">
        <f t="shared" si="6"/>
        <v>3.1029288758683837E-2</v>
      </c>
      <c r="M45" s="163">
        <f t="shared" si="7"/>
        <v>31.029288758683837</v>
      </c>
      <c r="N45" s="202"/>
      <c r="O45" s="185"/>
      <c r="P45" s="185"/>
      <c r="Q45" s="96"/>
    </row>
    <row r="46" spans="1:21" s="90" customFormat="1" ht="18" customHeight="1" x14ac:dyDescent="0.3">
      <c r="A46" s="90" t="e">
        <f>C46&amp;#REF!</f>
        <v>#REF!</v>
      </c>
      <c r="C46" s="91" t="s">
        <v>97</v>
      </c>
      <c r="D46" s="91" t="s">
        <v>107</v>
      </c>
      <c r="E46" s="92">
        <v>50</v>
      </c>
      <c r="F46" s="92">
        <v>50</v>
      </c>
      <c r="G46" s="92">
        <v>1</v>
      </c>
      <c r="H46" s="93">
        <v>140.00133334837352</v>
      </c>
      <c r="I46" s="93">
        <v>35452219.35162539</v>
      </c>
      <c r="J46" s="94">
        <f t="shared" si="4"/>
        <v>3.9490146430551983E-6</v>
      </c>
      <c r="K46" s="95">
        <f t="shared" si="5"/>
        <v>3.3220584052089171E-2</v>
      </c>
      <c r="L46" s="141">
        <f t="shared" si="6"/>
        <v>3.3220584052089171E-2</v>
      </c>
      <c r="M46" s="163">
        <f t="shared" si="7"/>
        <v>33.220584052089173</v>
      </c>
      <c r="N46" s="201">
        <f t="shared" ref="N46" si="20">AVERAGE(L46:L47)</f>
        <v>3.292930994800624E-2</v>
      </c>
      <c r="O46" s="184">
        <f t="shared" ref="O46" si="21">ABS(L46-L47)/N46*100</f>
        <v>1.7690872025125235</v>
      </c>
      <c r="P46" s="184">
        <f t="shared" ref="P46" si="22">2/3*2^(1-(0.5*LOG(N46/1000000000)))</f>
        <v>50.431253661164938</v>
      </c>
      <c r="Q46" s="96"/>
    </row>
    <row r="47" spans="1:21" s="102" customFormat="1" x14ac:dyDescent="0.3">
      <c r="A47" s="90" t="e">
        <f>C47&amp;#REF!</f>
        <v>#REF!</v>
      </c>
      <c r="B47" s="90"/>
      <c r="C47" s="91" t="s">
        <v>98</v>
      </c>
      <c r="D47" s="91" t="s">
        <v>107</v>
      </c>
      <c r="E47" s="92">
        <v>50</v>
      </c>
      <c r="F47" s="92">
        <v>50</v>
      </c>
      <c r="G47" s="92">
        <v>1</v>
      </c>
      <c r="H47" s="93">
        <v>136.6681733537603</v>
      </c>
      <c r="I47" s="93">
        <v>36140042.11686179</v>
      </c>
      <c r="J47" s="94">
        <f t="shared" si="4"/>
        <v>3.7816273957797987E-6</v>
      </c>
      <c r="K47" s="95">
        <f t="shared" si="5"/>
        <v>3.2638035843923309E-2</v>
      </c>
      <c r="L47" s="141">
        <f t="shared" si="6"/>
        <v>3.2638035843923309E-2</v>
      </c>
      <c r="M47" s="163">
        <f t="shared" si="7"/>
        <v>32.638035843923312</v>
      </c>
      <c r="N47" s="202"/>
      <c r="O47" s="185"/>
      <c r="P47" s="185"/>
      <c r="Q47" s="96"/>
      <c r="R47" s="90"/>
    </row>
    <row r="48" spans="1:21" s="103" customFormat="1" ht="18" customHeight="1" x14ac:dyDescent="0.3">
      <c r="A48" s="103" t="e">
        <f>C48&amp;#REF!</f>
        <v>#REF!</v>
      </c>
      <c r="C48" s="104" t="s">
        <v>81</v>
      </c>
      <c r="D48" s="104" t="s">
        <v>108</v>
      </c>
      <c r="E48" s="105">
        <v>50</v>
      </c>
      <c r="F48" s="105">
        <v>50</v>
      </c>
      <c r="G48" s="105">
        <v>1</v>
      </c>
      <c r="H48" s="106">
        <v>220.00728050948172</v>
      </c>
      <c r="I48" s="106">
        <v>37143573.30439081</v>
      </c>
      <c r="J48" s="107">
        <f t="shared" si="4"/>
        <v>5.9231587307587945E-6</v>
      </c>
      <c r="K48" s="128">
        <f t="shared" si="5"/>
        <v>4.0091084162894031E-2</v>
      </c>
      <c r="L48" s="142">
        <f t="shared" si="6"/>
        <v>4.0091084162894031E-2</v>
      </c>
      <c r="M48" s="163">
        <f t="shared" si="7"/>
        <v>40.091084162894028</v>
      </c>
      <c r="N48" s="203">
        <f t="shared" ref="N48" si="23">AVERAGE(L48:L49)</f>
        <v>3.8207319517196504E-2</v>
      </c>
      <c r="O48" s="180">
        <f t="shared" ref="O48" si="24">ABS(L48-L49)/N48*100</f>
        <v>9.8607527013229692</v>
      </c>
      <c r="P48" s="180">
        <f t="shared" ref="P48" si="25">2/3*2^(1-(0.5*LOG(N48/1000000000)))</f>
        <v>49.315327659557923</v>
      </c>
      <c r="Q48" s="110"/>
    </row>
    <row r="49" spans="1:21" s="103" customFormat="1" ht="18" customHeight="1" x14ac:dyDescent="0.3">
      <c r="A49" s="103" t="e">
        <f>C49&amp;#REF!</f>
        <v>#REF!</v>
      </c>
      <c r="C49" s="104" t="s">
        <v>82</v>
      </c>
      <c r="D49" s="104" t="s">
        <v>108</v>
      </c>
      <c r="E49" s="105">
        <v>50</v>
      </c>
      <c r="F49" s="105">
        <v>50</v>
      </c>
      <c r="G49" s="105">
        <v>1</v>
      </c>
      <c r="H49" s="106">
        <v>183.33572003717401</v>
      </c>
      <c r="I49" s="106">
        <v>37874501.29725302</v>
      </c>
      <c r="J49" s="107">
        <f>H49/I49</f>
        <v>4.8406108003452727E-6</v>
      </c>
      <c r="K49" s="128">
        <f t="shared" si="5"/>
        <v>3.6323554871498978E-2</v>
      </c>
      <c r="L49" s="142">
        <f t="shared" si="6"/>
        <v>3.6323554871498978E-2</v>
      </c>
      <c r="M49" s="163">
        <f t="shared" si="7"/>
        <v>36.323554871498978</v>
      </c>
      <c r="N49" s="204"/>
      <c r="O49" s="181"/>
      <c r="P49" s="181"/>
      <c r="Q49" s="110"/>
    </row>
    <row r="50" spans="1:21" s="103" customFormat="1" ht="18" customHeight="1" x14ac:dyDescent="0.3">
      <c r="A50" s="103" t="e">
        <f>C50&amp;#REF!</f>
        <v>#REF!</v>
      </c>
      <c r="C50" s="104" t="s">
        <v>83</v>
      </c>
      <c r="D50" s="104" t="s">
        <v>108</v>
      </c>
      <c r="E50" s="105">
        <v>50</v>
      </c>
      <c r="F50" s="105">
        <v>50</v>
      </c>
      <c r="G50" s="105">
        <v>1</v>
      </c>
      <c r="H50" s="106">
        <v>196.66934671557442</v>
      </c>
      <c r="I50" s="106">
        <v>36933294.228647932</v>
      </c>
      <c r="J50" s="107">
        <f>H50/I50</f>
        <v>5.3249879498434916E-6</v>
      </c>
      <c r="K50" s="128">
        <f t="shared" si="5"/>
        <v>3.8009304802331029E-2</v>
      </c>
      <c r="L50" s="142">
        <f t="shared" si="6"/>
        <v>3.8009304802331029E-2</v>
      </c>
      <c r="M50" s="163">
        <f t="shared" si="7"/>
        <v>38.00930480233103</v>
      </c>
      <c r="N50" s="203">
        <f t="shared" ref="N50" si="26">AVERAGE(L50:L51)</f>
        <v>3.7089553022110491E-2</v>
      </c>
      <c r="O50" s="180">
        <f t="shared" ref="O50" si="27">ABS(L50-L51)/N50*100</f>
        <v>4.9596272010732614</v>
      </c>
      <c r="P50" s="180">
        <f t="shared" ref="P50" si="28">2/3*2^(1-(0.5*LOG(N50/1000000000)))</f>
        <v>49.536213844344282</v>
      </c>
      <c r="Q50" s="110"/>
    </row>
    <row r="51" spans="1:21" s="103" customFormat="1" ht="18" customHeight="1" x14ac:dyDescent="0.3">
      <c r="A51" s="103" t="e">
        <f>C51&amp;#REF!</f>
        <v>#REF!</v>
      </c>
      <c r="C51" s="104" t="s">
        <v>84</v>
      </c>
      <c r="D51" s="104" t="s">
        <v>108</v>
      </c>
      <c r="E51" s="105">
        <v>50</v>
      </c>
      <c r="F51" s="105">
        <v>50</v>
      </c>
      <c r="G51" s="105">
        <v>1</v>
      </c>
      <c r="H51" s="106">
        <v>176.66868003226736</v>
      </c>
      <c r="I51" s="106">
        <v>36833355.993897669</v>
      </c>
      <c r="J51" s="107">
        <f>H51/I51</f>
        <v>4.7964318011515638E-6</v>
      </c>
      <c r="K51" s="128">
        <f t="shared" si="5"/>
        <v>3.6169801241889947E-2</v>
      </c>
      <c r="L51" s="142">
        <f t="shared" si="6"/>
        <v>3.6169801241889947E-2</v>
      </c>
      <c r="M51" s="163">
        <f t="shared" si="7"/>
        <v>36.169801241889949</v>
      </c>
      <c r="N51" s="204"/>
      <c r="O51" s="181"/>
      <c r="P51" s="181"/>
      <c r="Q51" s="110"/>
    </row>
    <row r="52" spans="1:21" s="103" customFormat="1" ht="18" customHeight="1" x14ac:dyDescent="0.3">
      <c r="A52" s="103" t="e">
        <f>C52&amp;#REF!</f>
        <v>#REF!</v>
      </c>
      <c r="C52" s="104" t="s">
        <v>85</v>
      </c>
      <c r="D52" s="104" t="s">
        <v>108</v>
      </c>
      <c r="E52" s="105">
        <v>50</v>
      </c>
      <c r="F52" s="105">
        <v>50</v>
      </c>
      <c r="G52" s="105">
        <v>1</v>
      </c>
      <c r="H52" s="106">
        <v>123.33462668336024</v>
      </c>
      <c r="I52" s="106">
        <v>37691311.706387512</v>
      </c>
      <c r="J52" s="107">
        <f>H52/I52</f>
        <v>3.2722296226814214E-6</v>
      </c>
      <c r="K52" s="128">
        <f t="shared" si="5"/>
        <v>3.0865208076023512E-2</v>
      </c>
      <c r="L52" s="142">
        <f t="shared" si="6"/>
        <v>3.0865208076023512E-2</v>
      </c>
      <c r="M52" s="163">
        <f t="shared" si="7"/>
        <v>30.865208076023514</v>
      </c>
      <c r="N52" s="203">
        <f t="shared" ref="N52" si="29">AVERAGE(L52:L53)</f>
        <v>2.9649057865600629E-2</v>
      </c>
      <c r="O52" s="180">
        <f t="shared" ref="O52" si="30">ABS(L52-L53)/N52*100</f>
        <v>8.2036347727182424</v>
      </c>
      <c r="P52" s="180">
        <f t="shared" ref="P52" si="31">2/3*2^(1-(0.5*LOG(N52/1000000000)))</f>
        <v>51.234086068779597</v>
      </c>
      <c r="Q52" s="110"/>
    </row>
    <row r="53" spans="1:21" s="111" customFormat="1" x14ac:dyDescent="0.3">
      <c r="A53" s="103" t="e">
        <f>C53&amp;#REF!</f>
        <v>#REF!</v>
      </c>
      <c r="B53" s="103"/>
      <c r="C53" s="104" t="s">
        <v>86</v>
      </c>
      <c r="D53" s="104" t="s">
        <v>108</v>
      </c>
      <c r="E53" s="105">
        <v>50</v>
      </c>
      <c r="F53" s="105">
        <v>50</v>
      </c>
      <c r="G53" s="105">
        <v>1</v>
      </c>
      <c r="H53" s="106">
        <v>96.667533343520162</v>
      </c>
      <c r="I53" s="106">
        <v>37564985.628823139</v>
      </c>
      <c r="J53" s="107">
        <f>H53/I53</f>
        <v>2.5733414168897855E-6</v>
      </c>
      <c r="K53" s="128">
        <f t="shared" si="5"/>
        <v>2.8432907655177746E-2</v>
      </c>
      <c r="L53" s="142">
        <f t="shared" si="6"/>
        <v>2.8432907655177746E-2</v>
      </c>
      <c r="M53" s="163">
        <f t="shared" si="7"/>
        <v>28.432907655177747</v>
      </c>
      <c r="N53" s="204"/>
      <c r="O53" s="181"/>
      <c r="P53" s="181"/>
      <c r="Q53" s="110"/>
      <c r="R53" s="103"/>
    </row>
    <row r="54" spans="1:21" s="121" customFormat="1" x14ac:dyDescent="0.3">
      <c r="A54" s="82"/>
      <c r="B54" s="82"/>
      <c r="C54" s="83" t="s">
        <v>109</v>
      </c>
      <c r="D54" s="83" t="s">
        <v>127</v>
      </c>
      <c r="E54" s="84">
        <v>50</v>
      </c>
      <c r="F54" s="84">
        <v>50</v>
      </c>
      <c r="G54" s="84">
        <v>1</v>
      </c>
      <c r="H54" s="85">
        <v>350.0068135011781</v>
      </c>
      <c r="I54" s="85">
        <v>36494615.408223949</v>
      </c>
      <c r="J54" s="120">
        <f t="shared" si="4"/>
        <v>9.5906426081230922E-6</v>
      </c>
      <c r="K54" s="125">
        <f t="shared" si="5"/>
        <v>5.2854817338579871E-2</v>
      </c>
      <c r="L54" s="140">
        <f t="shared" si="6"/>
        <v>5.2854817338579864E-2</v>
      </c>
      <c r="M54" s="163">
        <f t="shared" si="7"/>
        <v>52.854817338579863</v>
      </c>
      <c r="N54" s="205">
        <f t="shared" ref="N54" si="32">AVERAGE(L54:L55)</f>
        <v>5.3610676445347651E-2</v>
      </c>
      <c r="O54" s="188">
        <f t="shared" ref="O54" si="33">ABS(L54-L55)/N54*100</f>
        <v>2.8198081310849803</v>
      </c>
      <c r="P54" s="188">
        <f t="shared" ref="P54" si="34">2/3*2^(1-(0.5*LOG(N54/1000000000)))</f>
        <v>46.86411897233333</v>
      </c>
      <c r="Q54" s="89"/>
      <c r="R54" s="82"/>
    </row>
    <row r="55" spans="1:21" s="121" customFormat="1" x14ac:dyDescent="0.3">
      <c r="A55" s="82"/>
      <c r="B55" s="82"/>
      <c r="C55" s="83" t="s">
        <v>110</v>
      </c>
      <c r="D55" s="83" t="s">
        <v>127</v>
      </c>
      <c r="E55" s="84">
        <v>50</v>
      </c>
      <c r="F55" s="84">
        <v>50</v>
      </c>
      <c r="G55" s="84">
        <v>1</v>
      </c>
      <c r="H55" s="85">
        <v>376.67361347088286</v>
      </c>
      <c r="I55" s="85">
        <v>37573374.827405654</v>
      </c>
      <c r="J55" s="120">
        <f t="shared" si="4"/>
        <v>1.0025014127720589E-5</v>
      </c>
      <c r="K55" s="125">
        <f t="shared" si="5"/>
        <v>5.4366535552115437E-2</v>
      </c>
      <c r="L55" s="140">
        <f t="shared" si="6"/>
        <v>5.4366535552115437E-2</v>
      </c>
      <c r="M55" s="163">
        <f t="shared" si="7"/>
        <v>54.366535552115437</v>
      </c>
      <c r="N55" s="206"/>
      <c r="O55" s="189"/>
      <c r="P55" s="189"/>
      <c r="Q55" s="89"/>
      <c r="R55" s="82"/>
    </row>
    <row r="56" spans="1:21" s="121" customFormat="1" x14ac:dyDescent="0.3">
      <c r="A56" s="82"/>
      <c r="B56" s="82"/>
      <c r="C56" s="83" t="s">
        <v>111</v>
      </c>
      <c r="D56" s="83" t="s">
        <v>127</v>
      </c>
      <c r="E56" s="84">
        <v>50</v>
      </c>
      <c r="F56" s="84">
        <v>50</v>
      </c>
      <c r="G56" s="84">
        <v>1</v>
      </c>
      <c r="H56" s="85">
        <v>386.67546691382125</v>
      </c>
      <c r="I56" s="85">
        <v>37223591.005779691</v>
      </c>
      <c r="J56" s="120">
        <f t="shared" si="4"/>
        <v>1.0387914128268343E-5</v>
      </c>
      <c r="K56" s="125">
        <f t="shared" si="5"/>
        <v>5.5629515549119976E-2</v>
      </c>
      <c r="L56" s="140">
        <f t="shared" si="6"/>
        <v>5.5629515549119969E-2</v>
      </c>
      <c r="M56" s="163">
        <f t="shared" si="7"/>
        <v>55.629515549119972</v>
      </c>
      <c r="N56" s="205">
        <f t="shared" ref="N56" si="35">AVERAGE(L56:L57)</f>
        <v>5.6588752956808541E-2</v>
      </c>
      <c r="O56" s="188">
        <f t="shared" ref="O56" si="36">ABS(L56-L57)/N56*100</f>
        <v>3.3902051470217471</v>
      </c>
      <c r="P56" s="188">
        <f t="shared" ref="P56" si="37">2/3*2^(1-(0.5*LOG(N56/1000000000)))</f>
        <v>46.484326167821081</v>
      </c>
      <c r="Q56" s="89"/>
      <c r="R56" s="82"/>
    </row>
    <row r="57" spans="1:21" s="121" customFormat="1" x14ac:dyDescent="0.3">
      <c r="A57" s="82"/>
      <c r="B57" s="82"/>
      <c r="C57" s="83" t="s">
        <v>112</v>
      </c>
      <c r="D57" s="83" t="s">
        <v>127</v>
      </c>
      <c r="E57" s="84">
        <v>50</v>
      </c>
      <c r="F57" s="84">
        <v>50</v>
      </c>
      <c r="G57" s="84">
        <v>1</v>
      </c>
      <c r="H57" s="85">
        <v>413.34352031894514</v>
      </c>
      <c r="I57" s="85">
        <v>37785667.310808331</v>
      </c>
      <c r="J57" s="120">
        <f t="shared" si="4"/>
        <v>1.0939161585237137E-5</v>
      </c>
      <c r="K57" s="125">
        <f t="shared" si="5"/>
        <v>5.7547990364497106E-2</v>
      </c>
      <c r="L57" s="140">
        <f t="shared" si="6"/>
        <v>5.7547990364497113E-2</v>
      </c>
      <c r="M57" s="163">
        <f t="shared" si="7"/>
        <v>57.54799036449711</v>
      </c>
      <c r="N57" s="206"/>
      <c r="O57" s="189"/>
      <c r="P57" s="189"/>
      <c r="Q57" s="89"/>
      <c r="R57" s="82"/>
    </row>
    <row r="58" spans="1:21" s="121" customFormat="1" x14ac:dyDescent="0.3">
      <c r="A58" s="82"/>
      <c r="B58" s="82"/>
      <c r="C58" s="83" t="s">
        <v>113</v>
      </c>
      <c r="D58" s="83" t="s">
        <v>127</v>
      </c>
      <c r="E58" s="84">
        <v>50</v>
      </c>
      <c r="F58" s="84">
        <v>50</v>
      </c>
      <c r="G58" s="84">
        <v>1</v>
      </c>
      <c r="H58" s="85">
        <v>116.66804002458724</v>
      </c>
      <c r="I58" s="85">
        <v>38704299.808682285</v>
      </c>
      <c r="J58" s="120">
        <f t="shared" si="4"/>
        <v>3.0143431246989219E-6</v>
      </c>
      <c r="K58" s="125">
        <f t="shared" si="5"/>
        <v>2.9967700531361524E-2</v>
      </c>
      <c r="L58" s="140">
        <f t="shared" si="6"/>
        <v>2.9967700531361524E-2</v>
      </c>
      <c r="M58" s="163">
        <f t="shared" si="7"/>
        <v>29.967700531361523</v>
      </c>
      <c r="N58" s="205">
        <f t="shared" ref="N58" si="38">AVERAGE(L58:L59)</f>
        <v>2.8690370639787945E-2</v>
      </c>
      <c r="O58" s="188">
        <f t="shared" ref="O58" si="39">ABS(L58-L59)/N58*100</f>
        <v>8.9042411310097922</v>
      </c>
      <c r="P58" s="188">
        <f t="shared" ref="P58" si="40">2/3*2^(1-(0.5*LOG(N58/1000000000)))</f>
        <v>51.488181792995</v>
      </c>
      <c r="Q58" s="89"/>
      <c r="R58" s="82"/>
    </row>
    <row r="59" spans="1:21" s="121" customFormat="1" x14ac:dyDescent="0.3">
      <c r="A59" s="82"/>
      <c r="B59" s="82"/>
      <c r="C59" s="83" t="s">
        <v>114</v>
      </c>
      <c r="D59" s="83" t="s">
        <v>127</v>
      </c>
      <c r="E59" s="84">
        <v>50</v>
      </c>
      <c r="F59" s="84">
        <v>50</v>
      </c>
      <c r="G59" s="84">
        <v>1</v>
      </c>
      <c r="H59" s="85">
        <v>86.667280005226715</v>
      </c>
      <c r="I59" s="85">
        <v>38007020.128680125</v>
      </c>
      <c r="J59" s="120">
        <f t="shared" si="4"/>
        <v>2.2802966323536511E-6</v>
      </c>
      <c r="K59" s="125">
        <f t="shared" si="5"/>
        <v>2.7413040748214372E-2</v>
      </c>
      <c r="L59" s="140">
        <f t="shared" si="6"/>
        <v>2.7413040748214369E-2</v>
      </c>
      <c r="M59" s="163">
        <f t="shared" si="7"/>
        <v>27.413040748214367</v>
      </c>
      <c r="N59" s="206"/>
      <c r="O59" s="189"/>
      <c r="P59" s="189"/>
      <c r="Q59" s="89"/>
      <c r="R59" s="82"/>
    </row>
    <row r="60" spans="1:21" x14ac:dyDescent="0.3">
      <c r="C60" s="36"/>
      <c r="D60" s="36"/>
      <c r="E60" s="36"/>
      <c r="F60" s="36"/>
      <c r="G60" s="36"/>
      <c r="H60" s="36"/>
      <c r="I60" s="30"/>
      <c r="J60" s="30"/>
      <c r="K60" s="30"/>
      <c r="L60" s="30"/>
      <c r="M60" s="30"/>
      <c r="N60" s="30"/>
      <c r="O60" s="30"/>
      <c r="P60" s="30"/>
      <c r="Q60" s="30"/>
      <c r="R60" s="30"/>
      <c r="T60" s="15"/>
      <c r="U60" s="15"/>
    </row>
    <row r="61" spans="1:21" x14ac:dyDescent="0.3"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</row>
    <row r="62" spans="1:21" x14ac:dyDescent="0.3">
      <c r="C62" s="61" t="s">
        <v>47</v>
      </c>
      <c r="D62" s="54"/>
      <c r="E62" s="55"/>
      <c r="F62" s="30"/>
      <c r="G62" s="30"/>
      <c r="H62" s="58" t="s">
        <v>48</v>
      </c>
      <c r="I62" s="30"/>
      <c r="J62" s="30"/>
      <c r="K62" s="30"/>
      <c r="L62" s="30"/>
      <c r="M62" s="30"/>
      <c r="N62" s="30"/>
      <c r="O62" s="30"/>
      <c r="P62" s="30"/>
      <c r="Q62" s="30"/>
      <c r="R62" s="30"/>
    </row>
    <row r="63" spans="1:21" ht="14.5" x14ac:dyDescent="0.35">
      <c r="C63" s="53" t="s">
        <v>30</v>
      </c>
      <c r="D63" s="56" t="s">
        <v>51</v>
      </c>
      <c r="E63" s="55"/>
      <c r="F63" s="30"/>
      <c r="G63" s="30"/>
      <c r="H63" s="57" t="s">
        <v>54</v>
      </c>
      <c r="I63" s="30"/>
      <c r="J63" s="30"/>
      <c r="K63" s="30"/>
      <c r="L63" s="30"/>
      <c r="M63" s="30"/>
      <c r="N63" s="30"/>
      <c r="O63" s="30"/>
      <c r="P63" s="30"/>
      <c r="Q63" s="30"/>
      <c r="R63" s="30"/>
    </row>
    <row r="64" spans="1:21" x14ac:dyDescent="0.3">
      <c r="C64" s="53" t="s">
        <v>31</v>
      </c>
      <c r="D64" s="56" t="s">
        <v>52</v>
      </c>
      <c r="E64" s="55"/>
      <c r="F64" s="30"/>
      <c r="G64" s="30"/>
      <c r="H64" s="57"/>
      <c r="I64" s="30"/>
      <c r="J64" s="30"/>
      <c r="K64" s="30"/>
      <c r="L64" s="30"/>
      <c r="M64" s="30"/>
      <c r="N64" s="30"/>
      <c r="O64" s="30"/>
      <c r="P64" s="30"/>
      <c r="Q64" s="30"/>
      <c r="R64" s="30"/>
    </row>
    <row r="65" spans="3:8" x14ac:dyDescent="0.3">
      <c r="C65" s="22" t="s">
        <v>39</v>
      </c>
      <c r="D65" s="21" t="s">
        <v>53</v>
      </c>
      <c r="E65" s="20"/>
      <c r="H65" s="46"/>
    </row>
    <row r="66" spans="3:8" x14ac:dyDescent="0.3">
      <c r="C66" s="57" t="s">
        <v>139</v>
      </c>
      <c r="D66" s="64" t="s">
        <v>140</v>
      </c>
      <c r="E66" s="30"/>
      <c r="F66" s="30"/>
    </row>
  </sheetData>
  <mergeCells count="45">
    <mergeCell ref="N56:N57"/>
    <mergeCell ref="O56:O57"/>
    <mergeCell ref="P56:P57"/>
    <mergeCell ref="N58:N59"/>
    <mergeCell ref="O58:O59"/>
    <mergeCell ref="P58:P59"/>
    <mergeCell ref="N52:N53"/>
    <mergeCell ref="O52:O53"/>
    <mergeCell ref="P52:P53"/>
    <mergeCell ref="N54:N55"/>
    <mergeCell ref="O54:O55"/>
    <mergeCell ref="P54:P55"/>
    <mergeCell ref="N48:N49"/>
    <mergeCell ref="O48:O49"/>
    <mergeCell ref="P48:P49"/>
    <mergeCell ref="N50:N51"/>
    <mergeCell ref="O50:O51"/>
    <mergeCell ref="P50:P51"/>
    <mergeCell ref="N44:N45"/>
    <mergeCell ref="O44:O45"/>
    <mergeCell ref="P44:P45"/>
    <mergeCell ref="N46:N47"/>
    <mergeCell ref="O46:O47"/>
    <mergeCell ref="P46:P47"/>
    <mergeCell ref="N40:N41"/>
    <mergeCell ref="O40:O41"/>
    <mergeCell ref="P40:P41"/>
    <mergeCell ref="N42:N43"/>
    <mergeCell ref="O42:O43"/>
    <mergeCell ref="P42:P43"/>
    <mergeCell ref="N36:N37"/>
    <mergeCell ref="O36:O37"/>
    <mergeCell ref="P36:P37"/>
    <mergeCell ref="N38:N39"/>
    <mergeCell ref="O38:O39"/>
    <mergeCell ref="P38:P39"/>
    <mergeCell ref="C1:S1"/>
    <mergeCell ref="C7:D7"/>
    <mergeCell ref="C8:D8"/>
    <mergeCell ref="C12:D12"/>
    <mergeCell ref="B28:B31"/>
    <mergeCell ref="C28:G28"/>
    <mergeCell ref="C29:G29"/>
    <mergeCell ref="C30:G30"/>
    <mergeCell ref="C31:G31"/>
  </mergeCells>
  <conditionalFormatting sqref="C17:D17 D16">
    <cfRule type="duplicateValues" dxfId="5" priority="2"/>
  </conditionalFormatting>
  <conditionalFormatting sqref="C32:D34">
    <cfRule type="duplicateValues" dxfId="4" priority="1"/>
  </conditionalFormatting>
  <printOptions horizontalCentered="1"/>
  <pageMargins left="0.31496062992125984" right="0.31496062992125984" top="0.55118110236220474" bottom="0.55118110236220474" header="0.31496062992125984" footer="0.31496062992125984"/>
  <pageSetup paperSize="9" scale="38" fitToHeight="0" orientation="portrait" horizontalDpi="4294967292" verticalDpi="360" r:id="rId1"/>
  <headerFooter>
    <oddHeader xml:space="preserve">&amp;R&amp;"Arial,Regular"&amp;10No.: 18-13-14.1/F-MU
Revisi 7
</oddHead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29FBA6-D168-4311-B6B7-AABF9DF33018}">
  <sheetPr codeName="Sheet10">
    <tabColor rgb="FF92D050"/>
    <pageSetUpPr fitToPage="1"/>
  </sheetPr>
  <dimension ref="A1:V78"/>
  <sheetViews>
    <sheetView view="pageBreakPreview" topLeftCell="B34" zoomScale="68" zoomScaleNormal="68" zoomScaleSheetLayoutView="68" zoomScalePageLayoutView="70" workbookViewId="0">
      <selection activeCell="M36" sqref="M36"/>
    </sheetView>
  </sheetViews>
  <sheetFormatPr defaultColWidth="8.54296875" defaultRowHeight="14" x14ac:dyDescent="0.3"/>
  <cols>
    <col min="1" max="1" width="8.54296875" style="5" hidden="1" customWidth="1"/>
    <col min="2" max="2" width="8.7265625" style="5" customWidth="1"/>
    <col min="3" max="3" width="18.7265625" style="5" customWidth="1"/>
    <col min="4" max="4" width="30.453125" style="5" customWidth="1"/>
    <col min="5" max="5" width="15.1796875" style="5" customWidth="1"/>
    <col min="6" max="6" width="14.81640625" style="5" bestFit="1" customWidth="1"/>
    <col min="7" max="7" width="10.81640625" style="5" bestFit="1" customWidth="1"/>
    <col min="8" max="8" width="13.7265625" style="5" customWidth="1"/>
    <col min="9" max="9" width="16.1796875" style="5" bestFit="1" customWidth="1"/>
    <col min="10" max="10" width="13.453125" style="5" bestFit="1" customWidth="1"/>
    <col min="11" max="11" width="12.1796875" style="146" customWidth="1"/>
    <col min="12" max="13" width="15.1796875" style="5" customWidth="1"/>
    <col min="14" max="14" width="15.26953125" style="5" bestFit="1" customWidth="1"/>
    <col min="15" max="16" width="17.453125" style="5" customWidth="1"/>
    <col min="17" max="17" width="29.453125" style="5" bestFit="1" customWidth="1"/>
    <col min="18" max="19" width="17.453125" style="5" customWidth="1"/>
    <col min="20" max="20" width="12.26953125" style="5" customWidth="1"/>
    <col min="21" max="21" width="9.1796875" style="5" customWidth="1"/>
    <col min="22" max="22" width="10.453125" style="5" customWidth="1"/>
    <col min="23" max="16384" width="8.54296875" style="5"/>
  </cols>
  <sheetData>
    <row r="1" spans="3:22" ht="39.75" customHeight="1" x14ac:dyDescent="0.3">
      <c r="C1" s="192" t="s">
        <v>50</v>
      </c>
      <c r="D1" s="192"/>
      <c r="E1" s="192"/>
      <c r="F1" s="192"/>
      <c r="G1" s="192"/>
      <c r="H1" s="192"/>
      <c r="I1" s="192"/>
      <c r="J1" s="192"/>
      <c r="K1" s="192"/>
      <c r="L1" s="192"/>
      <c r="M1" s="192"/>
      <c r="N1" s="192"/>
      <c r="O1" s="192"/>
      <c r="P1" s="192"/>
      <c r="Q1" s="192"/>
      <c r="R1" s="192"/>
      <c r="S1" s="192"/>
      <c r="T1" s="4"/>
      <c r="U1" s="4"/>
      <c r="V1" s="4"/>
    </row>
    <row r="2" spans="3:22" ht="15" customHeight="1" x14ac:dyDescent="0.3">
      <c r="C2" s="3"/>
      <c r="D2" s="3"/>
      <c r="E2" s="3"/>
      <c r="F2" s="3"/>
      <c r="G2" s="6"/>
      <c r="H2" s="6"/>
      <c r="I2" s="6"/>
      <c r="J2" s="6"/>
      <c r="K2" s="144"/>
      <c r="N2" s="8"/>
      <c r="O2" s="9"/>
      <c r="P2" s="9"/>
      <c r="Q2" s="9"/>
      <c r="R2" s="9"/>
      <c r="T2" s="4"/>
      <c r="U2" s="4"/>
      <c r="V2" s="4"/>
    </row>
    <row r="3" spans="3:22" ht="15" customHeight="1" x14ac:dyDescent="0.35">
      <c r="C3" s="3"/>
      <c r="D3" s="3"/>
      <c r="E3" s="3"/>
      <c r="F3" s="3"/>
      <c r="G3" s="6"/>
      <c r="H3" s="6"/>
      <c r="I3" s="6"/>
      <c r="J3" s="6"/>
      <c r="K3" s="145"/>
      <c r="O3"/>
      <c r="P3"/>
      <c r="Q3"/>
      <c r="R3"/>
      <c r="S3"/>
      <c r="T3" s="4"/>
      <c r="U3" s="4"/>
      <c r="V3" s="4"/>
    </row>
    <row r="4" spans="3:22" ht="14.5" x14ac:dyDescent="0.35">
      <c r="G4" s="6"/>
      <c r="H4" s="6"/>
      <c r="I4" s="6"/>
      <c r="J4" s="6"/>
      <c r="K4" s="145"/>
      <c r="O4"/>
      <c r="P4"/>
      <c r="Q4"/>
      <c r="R4"/>
      <c r="S4"/>
    </row>
    <row r="5" spans="3:22" ht="14.5" x14ac:dyDescent="0.35">
      <c r="C5" s="10" t="s">
        <v>7</v>
      </c>
      <c r="D5" s="11"/>
      <c r="E5" s="12" t="s">
        <v>58</v>
      </c>
      <c r="G5" s="13"/>
      <c r="H5" s="6"/>
      <c r="I5" s="14"/>
      <c r="K5" s="145"/>
      <c r="L5" s="15"/>
      <c r="M5" s="15"/>
      <c r="O5"/>
      <c r="P5"/>
      <c r="Q5"/>
      <c r="R5"/>
      <c r="S5"/>
    </row>
    <row r="6" spans="3:22" ht="14.5" x14ac:dyDescent="0.35">
      <c r="C6" s="10" t="s">
        <v>10</v>
      </c>
      <c r="D6" s="11"/>
      <c r="E6" s="12" t="s">
        <v>59</v>
      </c>
      <c r="F6" s="17"/>
      <c r="G6" s="24"/>
      <c r="H6" s="17"/>
      <c r="I6" s="16"/>
      <c r="J6" s="17"/>
      <c r="K6" s="145"/>
      <c r="L6" s="15"/>
      <c r="M6" s="15"/>
      <c r="O6"/>
      <c r="P6"/>
      <c r="Q6"/>
      <c r="R6"/>
      <c r="S6"/>
    </row>
    <row r="7" spans="3:22" x14ac:dyDescent="0.3">
      <c r="C7" s="193" t="s">
        <v>35</v>
      </c>
      <c r="D7" s="193"/>
      <c r="E7" s="12" t="s">
        <v>60</v>
      </c>
      <c r="G7" s="24"/>
      <c r="H7" s="17"/>
      <c r="I7" s="16"/>
      <c r="J7" s="17"/>
      <c r="K7" s="145"/>
      <c r="L7" s="15"/>
      <c r="M7" s="15"/>
      <c r="N7" s="6"/>
      <c r="O7" s="15"/>
      <c r="P7" s="15"/>
      <c r="Q7" s="15"/>
      <c r="R7" s="15"/>
    </row>
    <row r="8" spans="3:22" ht="14.5" x14ac:dyDescent="0.35">
      <c r="C8" s="194" t="s">
        <v>36</v>
      </c>
      <c r="D8" s="194"/>
      <c r="E8" s="60" t="s">
        <v>147</v>
      </c>
      <c r="F8" s="30"/>
      <c r="G8" s="63"/>
      <c r="H8" s="63"/>
      <c r="I8" s="8"/>
      <c r="N8" s="25" t="s">
        <v>45</v>
      </c>
      <c r="O8" s="26"/>
      <c r="P8" s="27"/>
      <c r="Q8"/>
    </row>
    <row r="9" spans="3:22" ht="14.5" x14ac:dyDescent="0.35">
      <c r="C9" s="10" t="s">
        <v>24</v>
      </c>
      <c r="D9" s="18"/>
      <c r="E9" s="12" t="s">
        <v>131</v>
      </c>
      <c r="N9" s="28" t="s">
        <v>25</v>
      </c>
      <c r="O9" s="29" t="s">
        <v>55</v>
      </c>
      <c r="P9" s="23"/>
      <c r="Q9"/>
    </row>
    <row r="10" spans="3:22" ht="14.5" x14ac:dyDescent="0.35">
      <c r="C10" s="10" t="s">
        <v>41</v>
      </c>
      <c r="D10" s="18"/>
      <c r="E10" s="12" t="s">
        <v>148</v>
      </c>
      <c r="N10" s="28"/>
      <c r="O10" s="36" t="s">
        <v>56</v>
      </c>
      <c r="P10" s="23"/>
      <c r="Q10"/>
    </row>
    <row r="11" spans="3:22" ht="14.5" x14ac:dyDescent="0.35">
      <c r="C11" s="31" t="s">
        <v>26</v>
      </c>
      <c r="D11" s="32"/>
      <c r="E11" s="33" t="s">
        <v>132</v>
      </c>
      <c r="F11" s="30"/>
      <c r="G11" s="30"/>
      <c r="H11" s="30"/>
      <c r="I11" s="30"/>
      <c r="N11" s="34"/>
      <c r="O11" s="59"/>
      <c r="P11" s="35"/>
      <c r="Q11"/>
    </row>
    <row r="12" spans="3:22" x14ac:dyDescent="0.3">
      <c r="C12" s="195" t="s">
        <v>37</v>
      </c>
      <c r="D12" s="195"/>
      <c r="E12" s="33" t="str">
        <f>E6</f>
        <v>: 8 September 2023</v>
      </c>
      <c r="F12" s="30"/>
      <c r="G12" s="36"/>
      <c r="H12" s="30"/>
      <c r="I12" s="37"/>
      <c r="J12" s="30"/>
      <c r="K12" s="147"/>
      <c r="L12" s="38"/>
      <c r="M12" s="38"/>
      <c r="N12" s="38"/>
      <c r="O12" s="30"/>
      <c r="P12" s="30"/>
      <c r="Q12" s="30"/>
      <c r="R12" s="30"/>
    </row>
    <row r="13" spans="3:22" x14ac:dyDescent="0.3">
      <c r="C13" s="30" t="s">
        <v>40</v>
      </c>
      <c r="D13" s="33"/>
      <c r="E13" s="30" t="s">
        <v>149</v>
      </c>
      <c r="F13" s="30"/>
      <c r="G13" s="36"/>
      <c r="H13" s="30"/>
      <c r="I13" s="37"/>
      <c r="J13" s="30"/>
      <c r="K13" s="147"/>
      <c r="L13" s="30"/>
      <c r="M13" s="30"/>
    </row>
    <row r="14" spans="3:22" x14ac:dyDescent="0.3">
      <c r="C14" s="30" t="s">
        <v>44</v>
      </c>
      <c r="D14" s="33"/>
      <c r="E14" s="30" t="s">
        <v>146</v>
      </c>
      <c r="F14" s="33"/>
      <c r="G14" s="36"/>
      <c r="H14" s="30"/>
      <c r="I14" s="37"/>
      <c r="J14" s="30"/>
      <c r="K14" s="147"/>
      <c r="L14" s="30"/>
      <c r="M14" s="30"/>
    </row>
    <row r="15" spans="3:22" x14ac:dyDescent="0.3">
      <c r="C15" s="30"/>
      <c r="D15" s="33"/>
      <c r="E15" s="30"/>
      <c r="F15" s="33"/>
      <c r="G15" s="36"/>
      <c r="H15" s="30"/>
      <c r="I15" s="37"/>
      <c r="J15" s="30"/>
      <c r="K15" s="147"/>
      <c r="L15" s="30"/>
      <c r="M15" s="30"/>
    </row>
    <row r="16" spans="3:22" x14ac:dyDescent="0.3">
      <c r="C16" s="31" t="s">
        <v>9</v>
      </c>
      <c r="D16" s="31"/>
      <c r="E16" s="31" t="s">
        <v>138</v>
      </c>
      <c r="F16" s="39"/>
      <c r="G16" s="39"/>
      <c r="H16" s="39"/>
      <c r="I16" s="39"/>
      <c r="J16" s="39"/>
      <c r="K16" s="51"/>
      <c r="L16" s="30"/>
      <c r="M16" s="30"/>
      <c r="S16" s="4"/>
      <c r="T16" s="4"/>
      <c r="U16" s="4"/>
    </row>
    <row r="17" spans="1:22" x14ac:dyDescent="0.3">
      <c r="C17" s="31"/>
      <c r="D17" s="31"/>
      <c r="E17" s="30"/>
      <c r="F17" s="40"/>
      <c r="G17" s="40"/>
      <c r="H17" s="40"/>
      <c r="I17" s="40"/>
      <c r="J17" s="40"/>
      <c r="K17" s="148"/>
      <c r="L17" s="30"/>
      <c r="M17" s="30"/>
      <c r="N17" s="30"/>
      <c r="O17" s="30"/>
      <c r="P17" s="30"/>
      <c r="Q17" s="30"/>
      <c r="R17" s="30"/>
    </row>
    <row r="18" spans="1:22" x14ac:dyDescent="0.3">
      <c r="C18" s="41"/>
      <c r="D18" s="41"/>
      <c r="E18" s="41"/>
      <c r="F18" s="41"/>
      <c r="G18" s="42"/>
      <c r="H18" s="42"/>
      <c r="I18" s="30"/>
      <c r="J18" s="30"/>
      <c r="K18" s="149"/>
      <c r="L18" s="41"/>
      <c r="M18" s="41"/>
      <c r="N18" s="41"/>
      <c r="O18" s="41"/>
      <c r="P18" s="41"/>
      <c r="Q18" s="41"/>
      <c r="R18" s="41"/>
      <c r="S18" s="4"/>
      <c r="T18" s="4"/>
      <c r="U18" s="4"/>
      <c r="V18" s="4"/>
    </row>
    <row r="19" spans="1:22" ht="57.75" customHeight="1" x14ac:dyDescent="0.3">
      <c r="B19" s="19" t="s">
        <v>27</v>
      </c>
      <c r="C19" s="43" t="s">
        <v>6</v>
      </c>
      <c r="D19" s="43" t="s">
        <v>28</v>
      </c>
      <c r="E19" s="43" t="s">
        <v>42</v>
      </c>
      <c r="F19" s="43" t="s">
        <v>43</v>
      </c>
      <c r="G19" s="43" t="s">
        <v>8</v>
      </c>
      <c r="H19" s="44" t="s">
        <v>23</v>
      </c>
      <c r="I19" s="30"/>
      <c r="J19" s="45"/>
      <c r="K19" s="150"/>
      <c r="L19" s="46"/>
      <c r="M19" s="46"/>
      <c r="N19" s="46"/>
      <c r="O19" s="46"/>
      <c r="P19" s="46"/>
      <c r="Q19" s="46"/>
      <c r="R19" s="46"/>
      <c r="S19" s="4"/>
    </row>
    <row r="20" spans="1:22" x14ac:dyDescent="0.3">
      <c r="A20" s="5" t="str">
        <f>"CalBlk"&amp;B20</f>
        <v>CalBlk1</v>
      </c>
      <c r="B20" s="19">
        <v>1</v>
      </c>
      <c r="C20" s="67">
        <v>0</v>
      </c>
      <c r="D20" s="43">
        <f>C20*1000/1000</f>
        <v>0</v>
      </c>
      <c r="E20" s="48">
        <v>21188.252605612415</v>
      </c>
      <c r="F20" s="48">
        <v>46818513.364166714</v>
      </c>
      <c r="G20" s="66">
        <f>E20/F20</f>
        <v>4.5256141391770841E-4</v>
      </c>
      <c r="H20" s="49">
        <f>G20-$G$20</f>
        <v>0</v>
      </c>
      <c r="I20" s="30"/>
      <c r="J20" s="45"/>
      <c r="K20" s="150"/>
      <c r="L20" s="46"/>
      <c r="M20" s="46"/>
      <c r="N20" s="46"/>
      <c r="O20" s="46"/>
      <c r="P20" s="46"/>
      <c r="Q20" s="46"/>
      <c r="R20" s="46"/>
      <c r="S20" s="4"/>
    </row>
    <row r="21" spans="1:22" x14ac:dyDescent="0.3">
      <c r="A21" s="5" t="str">
        <f>"CalStd"&amp;B21</f>
        <v>CalStd2</v>
      </c>
      <c r="B21" s="19">
        <v>2</v>
      </c>
      <c r="C21" s="43">
        <f>0.125</f>
        <v>0.125</v>
      </c>
      <c r="D21" s="43">
        <f t="shared" ref="D21:D27" si="0">C21*1000/1000</f>
        <v>0.125</v>
      </c>
      <c r="E21" s="48">
        <v>47812.822041405365</v>
      </c>
      <c r="F21" s="48">
        <v>51835009.968877591</v>
      </c>
      <c r="G21" s="49">
        <f t="shared" ref="G21:G27" si="1">E21/F21</f>
        <v>9.2240402905512705E-4</v>
      </c>
      <c r="H21" s="49">
        <f t="shared" ref="H21:H27" si="2">G21-$G$20</f>
        <v>4.6984261513741864E-4</v>
      </c>
      <c r="I21" s="30"/>
      <c r="J21" s="45"/>
      <c r="K21" s="150"/>
      <c r="L21" s="46"/>
      <c r="M21" s="46"/>
      <c r="N21" s="46"/>
      <c r="O21" s="46"/>
      <c r="P21" s="46"/>
      <c r="Q21" s="46"/>
      <c r="R21" s="46"/>
      <c r="S21" s="4"/>
    </row>
    <row r="22" spans="1:22" x14ac:dyDescent="0.3">
      <c r="A22" s="5" t="str">
        <f t="shared" ref="A22:A27" si="3">"CalStd"&amp;B22</f>
        <v>CalStd3</v>
      </c>
      <c r="B22" s="19">
        <v>3</v>
      </c>
      <c r="C22" s="48">
        <f>0.25</f>
        <v>0.25</v>
      </c>
      <c r="D22" s="48">
        <f t="shared" si="0"/>
        <v>0.25</v>
      </c>
      <c r="E22" s="48">
        <v>84883.857865028753</v>
      </c>
      <c r="F22" s="48">
        <v>54350733.136529997</v>
      </c>
      <c r="G22" s="49">
        <f t="shared" si="1"/>
        <v>1.56177944558354E-3</v>
      </c>
      <c r="H22" s="47">
        <f t="shared" si="2"/>
        <v>1.1092180316658316E-3</v>
      </c>
      <c r="I22" s="30"/>
      <c r="J22" s="45"/>
      <c r="K22" s="150"/>
      <c r="L22" s="46"/>
      <c r="M22" s="46"/>
      <c r="N22" s="46"/>
      <c r="O22" s="46"/>
      <c r="P22" s="46"/>
      <c r="Q22" s="46"/>
      <c r="R22" s="46"/>
      <c r="S22" s="4"/>
    </row>
    <row r="23" spans="1:22" x14ac:dyDescent="0.3">
      <c r="A23" s="5" t="str">
        <f t="shared" si="3"/>
        <v>CalStd4</v>
      </c>
      <c r="B23" s="19">
        <v>4</v>
      </c>
      <c r="C23" s="48">
        <f>0.5</f>
        <v>0.5</v>
      </c>
      <c r="D23" s="48">
        <f t="shared" si="0"/>
        <v>0.5</v>
      </c>
      <c r="E23" s="48">
        <v>115821.48409441824</v>
      </c>
      <c r="F23" s="48">
        <v>51092018.742968343</v>
      </c>
      <c r="G23" s="49">
        <f>E23/F23</f>
        <v>2.266919314288368E-3</v>
      </c>
      <c r="H23" s="47">
        <f t="shared" si="2"/>
        <v>1.8143579003706595E-3</v>
      </c>
      <c r="I23" s="30"/>
      <c r="J23" s="45"/>
      <c r="K23" s="150"/>
      <c r="L23" s="46"/>
      <c r="M23" s="46"/>
      <c r="N23" s="46"/>
      <c r="O23" s="46"/>
      <c r="P23" s="46"/>
      <c r="Q23" s="46"/>
      <c r="R23" s="46"/>
      <c r="S23" s="4"/>
    </row>
    <row r="24" spans="1:22" x14ac:dyDescent="0.3">
      <c r="A24" s="5" t="str">
        <f t="shared" si="3"/>
        <v>CalStd5</v>
      </c>
      <c r="B24" s="19">
        <v>5</v>
      </c>
      <c r="C24" s="48">
        <f>1</f>
        <v>1</v>
      </c>
      <c r="D24" s="48">
        <f t="shared" si="0"/>
        <v>1</v>
      </c>
      <c r="E24" s="48">
        <v>229947.38840512015</v>
      </c>
      <c r="F24" s="48">
        <v>53599696.285268508</v>
      </c>
      <c r="G24" s="47">
        <f t="shared" si="1"/>
        <v>4.2900875255205417E-3</v>
      </c>
      <c r="H24" s="47">
        <f t="shared" si="2"/>
        <v>3.8375261116028333E-3</v>
      </c>
      <c r="I24" s="30"/>
      <c r="J24" s="45"/>
      <c r="K24" s="150"/>
      <c r="L24" s="46"/>
      <c r="M24" s="46"/>
      <c r="N24" s="46"/>
      <c r="O24" s="46"/>
      <c r="P24" s="46"/>
      <c r="Q24" s="46"/>
      <c r="R24" s="46"/>
      <c r="S24" s="4"/>
    </row>
    <row r="25" spans="1:22" x14ac:dyDescent="0.3">
      <c r="A25" s="5" t="str">
        <f t="shared" si="3"/>
        <v>CalStd6</v>
      </c>
      <c r="B25" s="19">
        <v>6</v>
      </c>
      <c r="C25" s="48">
        <f>2</f>
        <v>2</v>
      </c>
      <c r="D25" s="48">
        <f t="shared" si="0"/>
        <v>2</v>
      </c>
      <c r="E25" s="48">
        <v>435693.11452880106</v>
      </c>
      <c r="F25" s="48">
        <v>56980228.713164598</v>
      </c>
      <c r="G25" s="47">
        <f t="shared" si="1"/>
        <v>7.6463911143996406E-3</v>
      </c>
      <c r="H25" s="47">
        <f t="shared" si="2"/>
        <v>7.1938297004819326E-3</v>
      </c>
      <c r="I25" s="30"/>
      <c r="J25" s="45"/>
      <c r="K25" s="150"/>
      <c r="L25" s="46"/>
      <c r="M25" s="46"/>
      <c r="N25" s="46"/>
      <c r="O25" s="46"/>
      <c r="P25" s="46"/>
      <c r="Q25" s="46"/>
      <c r="R25" s="46"/>
      <c r="S25" s="4"/>
    </row>
    <row r="26" spans="1:22" x14ac:dyDescent="0.3">
      <c r="A26" s="5" t="str">
        <f t="shared" si="3"/>
        <v>CalStd7</v>
      </c>
      <c r="B26" s="19">
        <v>7</v>
      </c>
      <c r="C26" s="48">
        <f>3</f>
        <v>3</v>
      </c>
      <c r="D26" s="48">
        <f t="shared" si="0"/>
        <v>3</v>
      </c>
      <c r="E26" s="48">
        <v>655802.11566500214</v>
      </c>
      <c r="F26" s="48">
        <v>61641774.647294797</v>
      </c>
      <c r="G26" s="47">
        <f t="shared" si="1"/>
        <v>1.0638923350559028E-2</v>
      </c>
      <c r="H26" s="43">
        <f t="shared" si="2"/>
        <v>1.018636193664132E-2</v>
      </c>
      <c r="I26" s="30"/>
      <c r="J26" s="45"/>
      <c r="K26" s="150"/>
      <c r="L26" s="46"/>
      <c r="M26" s="46"/>
      <c r="N26" s="46"/>
      <c r="O26" s="46"/>
      <c r="P26" s="46"/>
      <c r="Q26" s="46"/>
      <c r="R26" s="46"/>
      <c r="S26" s="4"/>
    </row>
    <row r="27" spans="1:22" x14ac:dyDescent="0.3">
      <c r="A27" s="5" t="str">
        <f t="shared" si="3"/>
        <v>CalStd8</v>
      </c>
      <c r="B27" s="19">
        <v>8</v>
      </c>
      <c r="C27" s="48">
        <f>5</f>
        <v>5</v>
      </c>
      <c r="D27" s="48">
        <f t="shared" si="0"/>
        <v>5</v>
      </c>
      <c r="E27" s="48">
        <v>1080469.6994306417</v>
      </c>
      <c r="F27" s="48">
        <v>62619649.383063503</v>
      </c>
      <c r="G27" s="47">
        <f t="shared" si="1"/>
        <v>1.7254483378229712E-2</v>
      </c>
      <c r="H27" s="43">
        <f t="shared" si="2"/>
        <v>1.6801921964312003E-2</v>
      </c>
      <c r="I27" s="30"/>
      <c r="J27" s="45"/>
      <c r="K27" s="150"/>
      <c r="L27" s="46"/>
      <c r="M27" s="46"/>
      <c r="N27" s="46"/>
      <c r="O27" s="46"/>
      <c r="P27" s="46"/>
      <c r="Q27" s="46"/>
      <c r="R27" s="46"/>
      <c r="S27" s="4"/>
    </row>
    <row r="28" spans="1:22" ht="14.5" x14ac:dyDescent="0.3">
      <c r="B28" s="196"/>
      <c r="C28" s="197" t="s">
        <v>5</v>
      </c>
      <c r="D28" s="197"/>
      <c r="E28" s="197"/>
      <c r="F28" s="197"/>
      <c r="G28" s="197"/>
      <c r="H28" s="47">
        <f>SLOPE(H20:H27,D20:D27)</f>
        <v>3.3438095874277506E-3</v>
      </c>
      <c r="I28" s="50"/>
      <c r="J28" s="45"/>
      <c r="K28" s="150"/>
      <c r="L28" s="45"/>
      <c r="M28" s="45"/>
      <c r="N28" s="46"/>
      <c r="O28" s="46"/>
      <c r="P28" s="46"/>
      <c r="Q28" s="46"/>
      <c r="R28" s="46"/>
      <c r="S28" s="4"/>
    </row>
    <row r="29" spans="1:22" ht="14.5" x14ac:dyDescent="0.3">
      <c r="B29" s="196"/>
      <c r="C29" s="197" t="s">
        <v>4</v>
      </c>
      <c r="D29" s="197"/>
      <c r="E29" s="197"/>
      <c r="F29" s="197"/>
      <c r="G29" s="197"/>
      <c r="H29" s="49">
        <f>INTERCEPT(H20:H27,D20:D27)</f>
        <v>2.1316492618843243E-4</v>
      </c>
      <c r="I29" s="50"/>
      <c r="J29" s="45"/>
      <c r="K29" s="150"/>
      <c r="L29" s="45"/>
      <c r="M29" s="45"/>
      <c r="N29" s="46"/>
      <c r="O29" s="46"/>
      <c r="P29" s="46"/>
      <c r="Q29" s="46"/>
      <c r="R29" s="46"/>
      <c r="S29" s="4"/>
    </row>
    <row r="30" spans="1:22" x14ac:dyDescent="0.3">
      <c r="B30" s="196"/>
      <c r="C30" s="198" t="s">
        <v>29</v>
      </c>
      <c r="D30" s="198"/>
      <c r="E30" s="198"/>
      <c r="F30" s="198"/>
      <c r="G30" s="198"/>
      <c r="H30" s="47">
        <f>RSQ(H20:H27,D20:D27)</f>
        <v>0.99890896461518508</v>
      </c>
      <c r="I30" s="39"/>
      <c r="J30" s="46"/>
      <c r="K30" s="149"/>
      <c r="L30" s="46"/>
      <c r="M30" s="46"/>
      <c r="N30" s="46"/>
      <c r="O30" s="46"/>
      <c r="P30" s="46"/>
      <c r="Q30" s="46"/>
      <c r="R30" s="46"/>
      <c r="S30" s="4"/>
    </row>
    <row r="31" spans="1:22" x14ac:dyDescent="0.3">
      <c r="B31" s="196"/>
      <c r="C31" s="198" t="s">
        <v>3</v>
      </c>
      <c r="D31" s="198"/>
      <c r="E31" s="198"/>
      <c r="F31" s="198"/>
      <c r="G31" s="198"/>
      <c r="H31" s="47">
        <f>SQRT(H30)</f>
        <v>0.99945433343159062</v>
      </c>
      <c r="I31" s="39"/>
      <c r="J31" s="46"/>
      <c r="K31" s="149"/>
      <c r="L31" s="46"/>
      <c r="M31" s="46"/>
      <c r="N31" s="46"/>
      <c r="O31" s="46"/>
      <c r="P31" s="46"/>
      <c r="Q31" s="46"/>
      <c r="R31" s="46"/>
      <c r="S31" s="4"/>
    </row>
    <row r="32" spans="1:22" x14ac:dyDescent="0.3">
      <c r="C32" s="31"/>
      <c r="D32" s="31"/>
      <c r="E32" s="31"/>
      <c r="F32" s="39"/>
      <c r="G32" s="39"/>
      <c r="H32" s="39"/>
      <c r="I32" s="39"/>
      <c r="J32" s="39"/>
      <c r="K32" s="51"/>
      <c r="L32" s="51"/>
      <c r="M32" s="51"/>
      <c r="N32" s="51"/>
      <c r="O32" s="39"/>
      <c r="P32" s="39"/>
      <c r="Q32" s="39"/>
      <c r="R32" s="39"/>
      <c r="S32" s="4"/>
      <c r="T32" s="4"/>
      <c r="U32" s="4"/>
    </row>
    <row r="33" spans="1:21" x14ac:dyDescent="0.3">
      <c r="C33" s="31"/>
      <c r="D33" s="31"/>
      <c r="E33" s="31"/>
      <c r="F33" s="39"/>
      <c r="G33" s="39"/>
      <c r="H33" s="39"/>
      <c r="I33" s="39"/>
      <c r="J33" s="39"/>
      <c r="K33" s="51"/>
      <c r="L33" s="51"/>
      <c r="M33" s="51"/>
      <c r="N33" s="51"/>
      <c r="O33" s="39"/>
      <c r="P33" s="39"/>
      <c r="Q33" s="39"/>
      <c r="R33" s="39"/>
      <c r="S33" s="4"/>
      <c r="T33" s="4"/>
      <c r="U33" s="4"/>
    </row>
    <row r="34" spans="1:21" ht="14.5" thickBot="1" x14ac:dyDescent="0.35">
      <c r="C34" s="31"/>
      <c r="D34" s="31"/>
      <c r="E34" s="31"/>
      <c r="F34" s="39"/>
      <c r="G34" s="39"/>
      <c r="H34" s="39"/>
      <c r="I34" s="39"/>
      <c r="J34" s="39"/>
      <c r="K34" s="51"/>
      <c r="L34" s="51"/>
      <c r="M34" s="51"/>
      <c r="N34" s="51"/>
      <c r="O34" s="39"/>
      <c r="P34" s="39"/>
      <c r="Q34" s="39"/>
      <c r="R34" s="39"/>
      <c r="S34" s="4"/>
      <c r="T34" s="4"/>
      <c r="U34" s="4"/>
    </row>
    <row r="35" spans="1:21" s="81" customFormat="1" ht="48.75" customHeight="1" thickBot="1" x14ac:dyDescent="0.4">
      <c r="A35" s="73"/>
      <c r="B35" s="74" t="s">
        <v>21</v>
      </c>
      <c r="C35" s="75" t="s">
        <v>46</v>
      </c>
      <c r="D35" s="75" t="s">
        <v>2</v>
      </c>
      <c r="E35" s="76" t="s">
        <v>57</v>
      </c>
      <c r="F35" s="62" t="s">
        <v>1</v>
      </c>
      <c r="G35" s="62" t="s">
        <v>0</v>
      </c>
      <c r="H35" s="77" t="s">
        <v>42</v>
      </c>
      <c r="I35" s="77" t="s">
        <v>43</v>
      </c>
      <c r="J35" s="78" t="s">
        <v>8</v>
      </c>
      <c r="K35" s="79" t="s">
        <v>134</v>
      </c>
      <c r="L35" s="76" t="s">
        <v>135</v>
      </c>
      <c r="M35" s="76" t="s">
        <v>243</v>
      </c>
      <c r="N35" s="76" t="s">
        <v>136</v>
      </c>
      <c r="O35" s="52" t="s">
        <v>38</v>
      </c>
      <c r="P35" s="65" t="s">
        <v>137</v>
      </c>
      <c r="Q35" s="80" t="s">
        <v>49</v>
      </c>
    </row>
    <row r="36" spans="1:21" s="82" customFormat="1" ht="18" customHeight="1" x14ac:dyDescent="0.3">
      <c r="A36" s="82" t="e">
        <f>C36&amp;#REF!</f>
        <v>#REF!</v>
      </c>
      <c r="C36" s="83" t="s">
        <v>87</v>
      </c>
      <c r="D36" s="83" t="s">
        <v>106</v>
      </c>
      <c r="E36" s="84">
        <v>50</v>
      </c>
      <c r="F36" s="84">
        <v>50</v>
      </c>
      <c r="G36" s="84">
        <v>1</v>
      </c>
      <c r="H36" s="85">
        <v>5931.4446676735506</v>
      </c>
      <c r="I36" s="85">
        <v>2441401.568778757</v>
      </c>
      <c r="J36" s="120">
        <f>H36/I36</f>
        <v>2.4295243943177241E-3</v>
      </c>
      <c r="K36" s="87">
        <f>((J36)-$H$29)/$H$28</f>
        <v>0.66282466455700362</v>
      </c>
      <c r="L36" s="88">
        <f t="shared" ref="L36:L71" si="4">K36*F36*G36/E36</f>
        <v>0.66282466455700362</v>
      </c>
      <c r="M36" s="164">
        <f>L36*1000</f>
        <v>662.82466455700364</v>
      </c>
      <c r="N36" s="188">
        <f>AVERAGE(L36:L37)</f>
        <v>0.6215657432265953</v>
      </c>
      <c r="O36" s="188">
        <f>ABS(L36-L37)/N36*100</f>
        <v>13.275802851112752</v>
      </c>
      <c r="P36" s="188">
        <f>2/3*2^(1-(0.5*LOG(N36/1000000000)))</f>
        <v>32.408356695855943</v>
      </c>
      <c r="Q36" s="89" t="s">
        <v>152</v>
      </c>
    </row>
    <row r="37" spans="1:21" s="82" customFormat="1" ht="18" customHeight="1" x14ac:dyDescent="0.3">
      <c r="A37" s="82" t="e">
        <f>C37&amp;#REF!</f>
        <v>#REF!</v>
      </c>
      <c r="C37" s="83" t="s">
        <v>88</v>
      </c>
      <c r="D37" s="83" t="s">
        <v>106</v>
      </c>
      <c r="E37" s="84">
        <v>50</v>
      </c>
      <c r="F37" s="84">
        <v>50</v>
      </c>
      <c r="G37" s="84">
        <v>1</v>
      </c>
      <c r="H37" s="85">
        <v>5904.7622603792443</v>
      </c>
      <c r="I37" s="85">
        <v>2741809.5521592372</v>
      </c>
      <c r="J37" s="120">
        <f t="shared" ref="J37:J71" si="5">H37/I37</f>
        <v>2.153600440894631E-3</v>
      </c>
      <c r="K37" s="87">
        <f t="shared" ref="K37:K71" si="6">((J37)-$H$29)/$H$28</f>
        <v>0.5803068218961871</v>
      </c>
      <c r="L37" s="88">
        <f t="shared" si="4"/>
        <v>0.5803068218961871</v>
      </c>
      <c r="M37" s="164">
        <f t="shared" ref="M37:M71" si="7">L37*1000</f>
        <v>580.3068218961871</v>
      </c>
      <c r="N37" s="189"/>
      <c r="O37" s="189"/>
      <c r="P37" s="189"/>
      <c r="Q37" s="89"/>
    </row>
    <row r="38" spans="1:21" s="82" customFormat="1" ht="18" customHeight="1" x14ac:dyDescent="0.3">
      <c r="A38" s="82" t="e">
        <f>C38&amp;#REF!</f>
        <v>#REF!</v>
      </c>
      <c r="C38" s="83" t="s">
        <v>89</v>
      </c>
      <c r="D38" s="83" t="s">
        <v>106</v>
      </c>
      <c r="E38" s="84">
        <v>50</v>
      </c>
      <c r="F38" s="84">
        <v>50</v>
      </c>
      <c r="G38" s="84">
        <v>1</v>
      </c>
      <c r="H38" s="85">
        <v>5617.9579165867517</v>
      </c>
      <c r="I38" s="85">
        <v>2977914.6448193709</v>
      </c>
      <c r="J38" s="120">
        <f t="shared" si="5"/>
        <v>1.8865409478274404E-3</v>
      </c>
      <c r="K38" s="87">
        <f t="shared" si="6"/>
        <v>0.50043998555739067</v>
      </c>
      <c r="L38" s="88">
        <f t="shared" si="4"/>
        <v>0.50043998555739067</v>
      </c>
      <c r="M38" s="164">
        <f t="shared" si="7"/>
        <v>500.43998555739068</v>
      </c>
      <c r="N38" s="188">
        <f t="shared" ref="N38" si="8">AVERAGE(L38:L39)</f>
        <v>0.51570425183767066</v>
      </c>
      <c r="O38" s="188">
        <f t="shared" ref="O38" si="9">ABS(L38-L39)/N38*100</f>
        <v>5.919775230042049</v>
      </c>
      <c r="P38" s="188">
        <f t="shared" ref="P38" si="10">2/3*2^(1-(0.5*LOG(N38/1000000000)))</f>
        <v>33.332026873452193</v>
      </c>
      <c r="Q38" s="89"/>
    </row>
    <row r="39" spans="1:21" s="82" customFormat="1" ht="18" customHeight="1" x14ac:dyDescent="0.3">
      <c r="A39" s="82" t="e">
        <f>C39&amp;#REF!</f>
        <v>#REF!</v>
      </c>
      <c r="C39" s="83" t="s">
        <v>90</v>
      </c>
      <c r="D39" s="83" t="s">
        <v>106</v>
      </c>
      <c r="E39" s="84">
        <v>50</v>
      </c>
      <c r="F39" s="84">
        <v>50</v>
      </c>
      <c r="G39" s="84">
        <v>1</v>
      </c>
      <c r="H39" s="85">
        <v>5334.9676291180003</v>
      </c>
      <c r="I39" s="85">
        <v>2682745.2174399015</v>
      </c>
      <c r="J39" s="120">
        <f t="shared" si="5"/>
        <v>1.9886225476935413E-3</v>
      </c>
      <c r="K39" s="87">
        <f t="shared" si="6"/>
        <v>0.53096851811795076</v>
      </c>
      <c r="L39" s="88">
        <f t="shared" si="4"/>
        <v>0.53096851811795076</v>
      </c>
      <c r="M39" s="164">
        <f t="shared" si="7"/>
        <v>530.96851811795079</v>
      </c>
      <c r="N39" s="189"/>
      <c r="O39" s="189"/>
      <c r="P39" s="189"/>
      <c r="Q39" s="89"/>
    </row>
    <row r="40" spans="1:21" s="82" customFormat="1" ht="18" customHeight="1" x14ac:dyDescent="0.3">
      <c r="A40" s="82" t="e">
        <f>C40&amp;#REF!</f>
        <v>#REF!</v>
      </c>
      <c r="C40" s="83" t="s">
        <v>91</v>
      </c>
      <c r="D40" s="83" t="s">
        <v>106</v>
      </c>
      <c r="E40" s="84">
        <v>50</v>
      </c>
      <c r="F40" s="84">
        <v>50</v>
      </c>
      <c r="G40" s="84">
        <v>1</v>
      </c>
      <c r="H40" s="85">
        <v>4537.5013690190517</v>
      </c>
      <c r="I40" s="85">
        <v>2546834.1940217079</v>
      </c>
      <c r="J40" s="120">
        <f t="shared" si="5"/>
        <v>1.7816241746989739E-3</v>
      </c>
      <c r="K40" s="87">
        <f t="shared" si="6"/>
        <v>0.46906356582256525</v>
      </c>
      <c r="L40" s="88">
        <f t="shared" si="4"/>
        <v>0.46906356582256525</v>
      </c>
      <c r="M40" s="164">
        <f t="shared" si="7"/>
        <v>469.06356582256524</v>
      </c>
      <c r="N40" s="188">
        <f t="shared" ref="N40" si="11">AVERAGE(L40:L41)</f>
        <v>0.4862677616685252</v>
      </c>
      <c r="O40" s="188">
        <f t="shared" ref="O40" si="12">ABS(L40-L41)/N40*100</f>
        <v>7.0760174546333809</v>
      </c>
      <c r="P40" s="188">
        <f t="shared" ref="P40" si="13">2/3*2^(1-(0.5*LOG(N40/1000000000)))</f>
        <v>33.628202492660279</v>
      </c>
      <c r="Q40" s="89"/>
    </row>
    <row r="41" spans="1:21" s="82" customFormat="1" ht="18" customHeight="1" x14ac:dyDescent="0.3">
      <c r="A41" s="82" t="e">
        <f>C41&amp;#REF!</f>
        <v>#REF!</v>
      </c>
      <c r="C41" s="83" t="s">
        <v>92</v>
      </c>
      <c r="D41" s="83" t="s">
        <v>106</v>
      </c>
      <c r="E41" s="84">
        <v>50</v>
      </c>
      <c r="F41" s="84">
        <v>50</v>
      </c>
      <c r="G41" s="84">
        <v>1</v>
      </c>
      <c r="H41" s="85">
        <v>4130.7053644372199</v>
      </c>
      <c r="I41" s="85">
        <v>2177861.8017822215</v>
      </c>
      <c r="J41" s="120">
        <f t="shared" si="5"/>
        <v>1.8966792847263849E-3</v>
      </c>
      <c r="K41" s="87">
        <f t="shared" si="6"/>
        <v>0.50347195751448515</v>
      </c>
      <c r="L41" s="88">
        <f t="shared" si="4"/>
        <v>0.50347195751448515</v>
      </c>
      <c r="M41" s="164">
        <f t="shared" si="7"/>
        <v>503.47195751448515</v>
      </c>
      <c r="N41" s="189"/>
      <c r="O41" s="189"/>
      <c r="P41" s="189"/>
      <c r="Q41" s="89"/>
    </row>
    <row r="42" spans="1:21" s="90" customFormat="1" ht="18" customHeight="1" x14ac:dyDescent="0.3">
      <c r="A42" s="90" t="e">
        <f>C42&amp;#REF!</f>
        <v>#REF!</v>
      </c>
      <c r="C42" s="91" t="s">
        <v>93</v>
      </c>
      <c r="D42" s="91" t="s">
        <v>107</v>
      </c>
      <c r="E42" s="92">
        <v>50</v>
      </c>
      <c r="F42" s="92">
        <v>50</v>
      </c>
      <c r="G42" s="92">
        <v>1</v>
      </c>
      <c r="H42" s="93">
        <v>17562.446115991868</v>
      </c>
      <c r="I42" s="93">
        <v>61081734.141911872</v>
      </c>
      <c r="J42" s="94">
        <f>H42/I42</f>
        <v>2.8752369857720219E-4</v>
      </c>
      <c r="K42" s="95">
        <f t="shared" si="6"/>
        <v>2.2237741248290029E-2</v>
      </c>
      <c r="L42" s="141">
        <f t="shared" si="4"/>
        <v>2.2237741248290029E-2</v>
      </c>
      <c r="M42" s="164">
        <f t="shared" si="7"/>
        <v>22.237741248290028</v>
      </c>
      <c r="N42" s="207">
        <f t="shared" ref="N42" si="14">AVERAGE(L42:L43)</f>
        <v>2.4583164961265523E-2</v>
      </c>
      <c r="O42" s="184">
        <f t="shared" ref="O42" si="15">ABS(L42-L43)/N42*100</f>
        <v>19.081543948234984</v>
      </c>
      <c r="P42" s="184">
        <f t="shared" ref="P42" si="16">2/3*2^(1-(0.5*LOG(N42/1000000000)))</f>
        <v>52.699545028390474</v>
      </c>
      <c r="Q42" s="96"/>
    </row>
    <row r="43" spans="1:21" s="90" customFormat="1" ht="18" customHeight="1" x14ac:dyDescent="0.3">
      <c r="A43" s="90" t="e">
        <f>C43&amp;#REF!</f>
        <v>#REF!</v>
      </c>
      <c r="C43" s="91" t="s">
        <v>94</v>
      </c>
      <c r="D43" s="91" t="s">
        <v>107</v>
      </c>
      <c r="E43" s="92">
        <v>50</v>
      </c>
      <c r="F43" s="92">
        <v>50</v>
      </c>
      <c r="G43" s="92">
        <v>1</v>
      </c>
      <c r="H43" s="93">
        <v>17949.673178049048</v>
      </c>
      <c r="I43" s="93">
        <v>59199011.991700001</v>
      </c>
      <c r="J43" s="94">
        <f>H43/I43</f>
        <v>3.0320899917325787E-4</v>
      </c>
      <c r="K43" s="95">
        <f t="shared" si="6"/>
        <v>2.6928588674241014E-2</v>
      </c>
      <c r="L43" s="141">
        <f t="shared" si="4"/>
        <v>2.6928588674241014E-2</v>
      </c>
      <c r="M43" s="164">
        <f t="shared" si="7"/>
        <v>26.928588674241013</v>
      </c>
      <c r="N43" s="208"/>
      <c r="O43" s="185"/>
      <c r="P43" s="185"/>
      <c r="Q43" s="96"/>
    </row>
    <row r="44" spans="1:21" s="90" customFormat="1" ht="18" customHeight="1" x14ac:dyDescent="0.3">
      <c r="A44" s="90" t="e">
        <f>C44&amp;#REF!</f>
        <v>#REF!</v>
      </c>
      <c r="C44" s="91" t="s">
        <v>95</v>
      </c>
      <c r="D44" s="91" t="s">
        <v>107</v>
      </c>
      <c r="E44" s="92">
        <v>50</v>
      </c>
      <c r="F44" s="92">
        <v>50</v>
      </c>
      <c r="G44" s="92">
        <v>1</v>
      </c>
      <c r="H44" s="93">
        <v>29321.264034031687</v>
      </c>
      <c r="I44" s="93">
        <v>55231422.40419326</v>
      </c>
      <c r="J44" s="94">
        <f t="shared" si="5"/>
        <v>5.3088011783316972E-4</v>
      </c>
      <c r="K44" s="100">
        <f t="shared" si="6"/>
        <v>9.5015934172598016E-2</v>
      </c>
      <c r="L44" s="141">
        <f t="shared" si="4"/>
        <v>9.5015934172598016E-2</v>
      </c>
      <c r="M44" s="164">
        <f t="shared" si="7"/>
        <v>95.015934172598008</v>
      </c>
      <c r="N44" s="207">
        <f t="shared" ref="N44" si="17">AVERAGE(L44:L45)</f>
        <v>8.8894969932743539E-2</v>
      </c>
      <c r="O44" s="184">
        <f t="shared" ref="O44" si="18">ABS(L44-L45)/N44*100</f>
        <v>13.771227425996086</v>
      </c>
      <c r="P44" s="184">
        <f t="shared" ref="P44" si="19">2/3*2^(1-(0.5*LOG(N44/1000000000)))</f>
        <v>43.429363556255765</v>
      </c>
      <c r="Q44" s="96"/>
    </row>
    <row r="45" spans="1:21" s="90" customFormat="1" ht="18" customHeight="1" x14ac:dyDescent="0.3">
      <c r="A45" s="90" t="e">
        <f>C45&amp;#REF!</f>
        <v>#REF!</v>
      </c>
      <c r="C45" s="91" t="s">
        <v>96</v>
      </c>
      <c r="D45" s="91" t="s">
        <v>107</v>
      </c>
      <c r="E45" s="92">
        <v>50</v>
      </c>
      <c r="F45" s="92">
        <v>50</v>
      </c>
      <c r="G45" s="92">
        <v>1</v>
      </c>
      <c r="H45" s="93">
        <v>28693.11440269907</v>
      </c>
      <c r="I45" s="93">
        <v>58563897.241032578</v>
      </c>
      <c r="J45" s="94">
        <f t="shared" si="5"/>
        <v>4.8994544001411411E-4</v>
      </c>
      <c r="K45" s="100">
        <f t="shared" si="6"/>
        <v>8.2774005692889063E-2</v>
      </c>
      <c r="L45" s="141">
        <f t="shared" si="4"/>
        <v>8.2774005692889063E-2</v>
      </c>
      <c r="M45" s="164">
        <f t="shared" si="7"/>
        <v>82.774005692889062</v>
      </c>
      <c r="N45" s="208"/>
      <c r="O45" s="185"/>
      <c r="P45" s="185"/>
      <c r="Q45" s="96"/>
    </row>
    <row r="46" spans="1:21" s="90" customFormat="1" ht="18" customHeight="1" x14ac:dyDescent="0.3">
      <c r="A46" s="90" t="e">
        <f>C46&amp;#REF!</f>
        <v>#REF!</v>
      </c>
      <c r="C46" s="91" t="s">
        <v>97</v>
      </c>
      <c r="D46" s="91" t="s">
        <v>107</v>
      </c>
      <c r="E46" s="92">
        <v>50</v>
      </c>
      <c r="F46" s="92">
        <v>50</v>
      </c>
      <c r="G46" s="92">
        <v>1</v>
      </c>
      <c r="H46" s="93">
        <v>20264.257251713101</v>
      </c>
      <c r="I46" s="93">
        <v>56538416.606429808</v>
      </c>
      <c r="J46" s="94">
        <f t="shared" si="5"/>
        <v>3.5841571922282231E-4</v>
      </c>
      <c r="K46" s="100">
        <f t="shared" si="6"/>
        <v>4.3438715404283852E-2</v>
      </c>
      <c r="L46" s="141">
        <f t="shared" si="4"/>
        <v>4.3438715404283859E-2</v>
      </c>
      <c r="M46" s="164">
        <f t="shared" si="7"/>
        <v>43.438715404283862</v>
      </c>
      <c r="N46" s="207">
        <f t="shared" ref="N46" si="20">AVERAGE(L46:L47)</f>
        <v>4.3502408538959592E-2</v>
      </c>
      <c r="O46" s="184">
        <f t="shared" ref="O46" si="21">ABS(L46-L47)/N46*100</f>
        <v>0.2928257851226197</v>
      </c>
      <c r="P46" s="184">
        <f t="shared" ref="P46" si="22">2/3*2^(1-(0.5*LOG(N46/1000000000)))</f>
        <v>48.361290845061149</v>
      </c>
      <c r="Q46" s="96"/>
    </row>
    <row r="47" spans="1:21" s="102" customFormat="1" x14ac:dyDescent="0.3">
      <c r="A47" s="90" t="e">
        <f>C47&amp;#REF!</f>
        <v>#REF!</v>
      </c>
      <c r="B47" s="90"/>
      <c r="C47" s="91" t="s">
        <v>98</v>
      </c>
      <c r="D47" s="91" t="s">
        <v>107</v>
      </c>
      <c r="E47" s="92">
        <v>50</v>
      </c>
      <c r="F47" s="92">
        <v>50</v>
      </c>
      <c r="G47" s="92">
        <v>1</v>
      </c>
      <c r="H47" s="93">
        <v>20387.730951199701</v>
      </c>
      <c r="I47" s="93">
        <v>56815393.504656218</v>
      </c>
      <c r="J47" s="94">
        <f t="shared" si="5"/>
        <v>3.5884167465158638E-4</v>
      </c>
      <c r="K47" s="100">
        <f t="shared" si="6"/>
        <v>4.3566101673635317E-2</v>
      </c>
      <c r="L47" s="141">
        <f t="shared" si="4"/>
        <v>4.3566101673635317E-2</v>
      </c>
      <c r="M47" s="164">
        <f t="shared" si="7"/>
        <v>43.566101673635316</v>
      </c>
      <c r="N47" s="208"/>
      <c r="O47" s="185"/>
      <c r="P47" s="185"/>
      <c r="Q47" s="96"/>
      <c r="R47" s="90"/>
    </row>
    <row r="48" spans="1:21" s="103" customFormat="1" ht="18" customHeight="1" x14ac:dyDescent="0.3">
      <c r="A48" s="103" t="e">
        <f>C48&amp;#REF!</f>
        <v>#REF!</v>
      </c>
      <c r="C48" s="104" t="s">
        <v>81</v>
      </c>
      <c r="D48" s="104" t="s">
        <v>108</v>
      </c>
      <c r="E48" s="105">
        <v>50</v>
      </c>
      <c r="F48" s="105">
        <v>50</v>
      </c>
      <c r="G48" s="105">
        <v>1</v>
      </c>
      <c r="H48" s="106">
        <v>5181.092047485201</v>
      </c>
      <c r="I48" s="106">
        <v>1842730.7574741791</v>
      </c>
      <c r="J48" s="107">
        <f t="shared" si="5"/>
        <v>2.8116381226451635E-3</v>
      </c>
      <c r="K48" s="108">
        <f t="shared" si="6"/>
        <v>0.77709963097977275</v>
      </c>
      <c r="L48" s="109">
        <f t="shared" si="4"/>
        <v>0.77709963097977275</v>
      </c>
      <c r="M48" s="164">
        <f t="shared" si="7"/>
        <v>777.09963097977277</v>
      </c>
      <c r="N48" s="180">
        <f t="shared" ref="N48" si="23">AVERAGE(L48:L49)</f>
        <v>0.72401883503039133</v>
      </c>
      <c r="O48" s="180">
        <f t="shared" ref="O48" si="24">ABS(L48-L49)/N48*100</f>
        <v>14.66282184417298</v>
      </c>
      <c r="P48" s="180">
        <f t="shared" ref="P48" si="25">2/3*2^(1-(0.5*LOG(N48/1000000000)))</f>
        <v>31.672581763810062</v>
      </c>
      <c r="Q48" s="110"/>
    </row>
    <row r="49" spans="1:18" s="103" customFormat="1" ht="18" customHeight="1" x14ac:dyDescent="0.3">
      <c r="A49" s="103" t="e">
        <f>C49&amp;#REF!</f>
        <v>#REF!</v>
      </c>
      <c r="C49" s="104" t="s">
        <v>82</v>
      </c>
      <c r="D49" s="104" t="s">
        <v>108</v>
      </c>
      <c r="E49" s="105">
        <v>50</v>
      </c>
      <c r="F49" s="105">
        <v>50</v>
      </c>
      <c r="G49" s="105">
        <v>1</v>
      </c>
      <c r="H49" s="106">
        <v>4937.6636856551222</v>
      </c>
      <c r="I49" s="106">
        <v>2009914.1915139563</v>
      </c>
      <c r="J49" s="107">
        <f>H49/I49</f>
        <v>2.4566539738374877E-3</v>
      </c>
      <c r="K49" s="108">
        <f t="shared" si="6"/>
        <v>0.6709380390810098</v>
      </c>
      <c r="L49" s="109">
        <f t="shared" si="4"/>
        <v>0.6709380390810098</v>
      </c>
      <c r="M49" s="164">
        <f t="shared" si="7"/>
        <v>670.93803908100983</v>
      </c>
      <c r="N49" s="181"/>
      <c r="O49" s="181"/>
      <c r="P49" s="181"/>
      <c r="Q49" s="110"/>
    </row>
    <row r="50" spans="1:18" s="103" customFormat="1" ht="18" customHeight="1" x14ac:dyDescent="0.3">
      <c r="A50" s="103" t="e">
        <f>C50&amp;#REF!</f>
        <v>#REF!</v>
      </c>
      <c r="C50" s="104" t="s">
        <v>83</v>
      </c>
      <c r="D50" s="104" t="s">
        <v>108</v>
      </c>
      <c r="E50" s="105">
        <v>50</v>
      </c>
      <c r="F50" s="105">
        <v>50</v>
      </c>
      <c r="G50" s="105">
        <v>1</v>
      </c>
      <c r="H50" s="106">
        <v>3530.5116094321493</v>
      </c>
      <c r="I50" s="106">
        <v>2309047.5402013236</v>
      </c>
      <c r="J50" s="107">
        <f>H50/I50</f>
        <v>1.5289904378167664E-3</v>
      </c>
      <c r="K50" s="108">
        <f t="shared" si="6"/>
        <v>0.39351089744333861</v>
      </c>
      <c r="L50" s="109">
        <f t="shared" si="4"/>
        <v>0.39351089744333861</v>
      </c>
      <c r="M50" s="164">
        <f t="shared" si="7"/>
        <v>393.51089744333859</v>
      </c>
      <c r="N50" s="180">
        <f t="shared" ref="N50" si="26">AVERAGE(L50:L51)</f>
        <v>0.42783432820629103</v>
      </c>
      <c r="O50" s="180">
        <f t="shared" ref="O50" si="27">ABS(L50-L51)/N50*100</f>
        <v>16.045197170995831</v>
      </c>
      <c r="P50" s="180">
        <f t="shared" ref="P50" si="28">2/3*2^(1-(0.5*LOG(N50/1000000000)))</f>
        <v>34.282482668267086</v>
      </c>
      <c r="Q50" s="110"/>
    </row>
    <row r="51" spans="1:18" s="103" customFormat="1" ht="18" customHeight="1" x14ac:dyDescent="0.3">
      <c r="A51" s="103" t="e">
        <f>C51&amp;#REF!</f>
        <v>#REF!</v>
      </c>
      <c r="C51" s="104" t="s">
        <v>84</v>
      </c>
      <c r="D51" s="104" t="s">
        <v>108</v>
      </c>
      <c r="E51" s="105">
        <v>50</v>
      </c>
      <c r="F51" s="105">
        <v>50</v>
      </c>
      <c r="G51" s="105">
        <v>1</v>
      </c>
      <c r="H51" s="106">
        <v>3257.1008992414959</v>
      </c>
      <c r="I51" s="106">
        <v>1852169.8927745305</v>
      </c>
      <c r="J51" s="107">
        <f>H51/I51</f>
        <v>1.7585324715339121E-3</v>
      </c>
      <c r="K51" s="108">
        <f t="shared" si="6"/>
        <v>0.46215775896924344</v>
      </c>
      <c r="L51" s="109">
        <f t="shared" si="4"/>
        <v>0.46215775896924344</v>
      </c>
      <c r="M51" s="164">
        <f t="shared" si="7"/>
        <v>462.15775896924345</v>
      </c>
      <c r="N51" s="181"/>
      <c r="O51" s="181"/>
      <c r="P51" s="181"/>
      <c r="Q51" s="110"/>
    </row>
    <row r="52" spans="1:18" s="103" customFormat="1" ht="18" customHeight="1" x14ac:dyDescent="0.3">
      <c r="A52" s="103" t="e">
        <f>C52&amp;#REF!</f>
        <v>#REF!</v>
      </c>
      <c r="C52" s="104" t="s">
        <v>85</v>
      </c>
      <c r="D52" s="104" t="s">
        <v>108</v>
      </c>
      <c r="E52" s="105">
        <v>50</v>
      </c>
      <c r="F52" s="105">
        <v>50</v>
      </c>
      <c r="G52" s="105">
        <v>1</v>
      </c>
      <c r="H52" s="106">
        <v>3820.597055165837</v>
      </c>
      <c r="I52" s="106">
        <v>2028979.8412507765</v>
      </c>
      <c r="J52" s="107">
        <f>H52/I52</f>
        <v>1.8830138069832214E-3</v>
      </c>
      <c r="K52" s="108">
        <f t="shared" si="6"/>
        <v>0.49938515849502424</v>
      </c>
      <c r="L52" s="109">
        <f t="shared" si="4"/>
        <v>0.49938515849502424</v>
      </c>
      <c r="M52" s="164">
        <f t="shared" si="7"/>
        <v>499.38515849502426</v>
      </c>
      <c r="N52" s="180">
        <f t="shared" ref="N52" si="29">AVERAGE(L52:L53)</f>
        <v>0.4891326373163396</v>
      </c>
      <c r="O52" s="180">
        <f t="shared" ref="O52" si="30">ABS(L52-L53)/N52*100</f>
        <v>4.1921231161084576</v>
      </c>
      <c r="P52" s="180">
        <f t="shared" ref="P52" si="31">2/3*2^(1-(0.5*LOG(N52/1000000000)))</f>
        <v>33.598482715969503</v>
      </c>
      <c r="Q52" s="110"/>
    </row>
    <row r="53" spans="1:18" s="111" customFormat="1" x14ac:dyDescent="0.3">
      <c r="A53" s="103" t="e">
        <f>C53&amp;#REF!</f>
        <v>#REF!</v>
      </c>
      <c r="B53" s="103"/>
      <c r="C53" s="104" t="s">
        <v>86</v>
      </c>
      <c r="D53" s="104" t="s">
        <v>108</v>
      </c>
      <c r="E53" s="105">
        <v>50</v>
      </c>
      <c r="F53" s="105">
        <v>50</v>
      </c>
      <c r="G53" s="105">
        <v>1</v>
      </c>
      <c r="H53" s="106">
        <v>4310.7606038319072</v>
      </c>
      <c r="I53" s="106">
        <v>2375796.1567264679</v>
      </c>
      <c r="J53" s="107">
        <f>H53/I53</f>
        <v>1.814448849758038E-3</v>
      </c>
      <c r="K53" s="108">
        <f t="shared" si="6"/>
        <v>0.47888011613765502</v>
      </c>
      <c r="L53" s="109">
        <f t="shared" si="4"/>
        <v>0.47888011613765502</v>
      </c>
      <c r="M53" s="164">
        <f t="shared" si="7"/>
        <v>478.88011613765502</v>
      </c>
      <c r="N53" s="181"/>
      <c r="O53" s="181"/>
      <c r="P53" s="181"/>
      <c r="Q53" s="110"/>
      <c r="R53" s="103"/>
    </row>
    <row r="54" spans="1:18" s="121" customFormat="1" x14ac:dyDescent="0.3">
      <c r="A54" s="82"/>
      <c r="B54" s="82"/>
      <c r="C54" s="83" t="s">
        <v>109</v>
      </c>
      <c r="D54" s="83" t="s">
        <v>127</v>
      </c>
      <c r="E54" s="84">
        <v>50</v>
      </c>
      <c r="F54" s="84">
        <v>50</v>
      </c>
      <c r="G54" s="84">
        <v>1</v>
      </c>
      <c r="H54" s="85">
        <v>4740.9302954387267</v>
      </c>
      <c r="I54" s="85">
        <v>2524236.4541095239</v>
      </c>
      <c r="J54" s="120">
        <f t="shared" si="5"/>
        <v>1.8781641029390755E-3</v>
      </c>
      <c r="K54" s="87">
        <f t="shared" si="6"/>
        <v>0.49793480556153785</v>
      </c>
      <c r="L54" s="88">
        <f t="shared" si="4"/>
        <v>0.49793480556153791</v>
      </c>
      <c r="M54" s="164">
        <f t="shared" si="7"/>
        <v>497.93480556153793</v>
      </c>
      <c r="N54" s="188">
        <f t="shared" ref="N54" si="32">AVERAGE(L54:L55)</f>
        <v>0.45824336360349954</v>
      </c>
      <c r="O54" s="188">
        <f t="shared" ref="O54" si="33">ABS(L54-L55)/N54*100</f>
        <v>17.323302467892081</v>
      </c>
      <c r="P54" s="188">
        <f t="shared" ref="P54" si="34">2/3*2^(1-(0.5*LOG(N54/1000000000)))</f>
        <v>33.929997231499584</v>
      </c>
      <c r="Q54" s="89"/>
      <c r="R54" s="82"/>
    </row>
    <row r="55" spans="1:18" s="121" customFormat="1" x14ac:dyDescent="0.3">
      <c r="A55" s="82"/>
      <c r="B55" s="82"/>
      <c r="C55" s="83" t="s">
        <v>110</v>
      </c>
      <c r="D55" s="83" t="s">
        <v>127</v>
      </c>
      <c r="E55" s="84">
        <v>50</v>
      </c>
      <c r="F55" s="84">
        <v>50</v>
      </c>
      <c r="G55" s="84">
        <v>1</v>
      </c>
      <c r="H55" s="85">
        <v>5134.4084957394743</v>
      </c>
      <c r="I55" s="85">
        <v>3183689.2997589801</v>
      </c>
      <c r="J55" s="120">
        <f t="shared" si="5"/>
        <v>1.6127228546228341E-3</v>
      </c>
      <c r="K55" s="87">
        <f t="shared" si="6"/>
        <v>0.41855192164546118</v>
      </c>
      <c r="L55" s="88">
        <f t="shared" si="4"/>
        <v>0.41855192164546118</v>
      </c>
      <c r="M55" s="164">
        <f t="shared" si="7"/>
        <v>418.55192164546116</v>
      </c>
      <c r="N55" s="189"/>
      <c r="O55" s="189"/>
      <c r="P55" s="189"/>
      <c r="Q55" s="89"/>
      <c r="R55" s="82"/>
    </row>
    <row r="56" spans="1:18" s="121" customFormat="1" x14ac:dyDescent="0.3">
      <c r="A56" s="82"/>
      <c r="B56" s="82"/>
      <c r="C56" s="83" t="s">
        <v>111</v>
      </c>
      <c r="D56" s="83" t="s">
        <v>127</v>
      </c>
      <c r="E56" s="84">
        <v>50</v>
      </c>
      <c r="F56" s="84">
        <v>50</v>
      </c>
      <c r="G56" s="84">
        <v>1</v>
      </c>
      <c r="H56" s="85">
        <v>4900.9868708892882</v>
      </c>
      <c r="I56" s="85">
        <v>3514298.5843466609</v>
      </c>
      <c r="J56" s="120">
        <f t="shared" si="5"/>
        <v>1.3945846527438489E-3</v>
      </c>
      <c r="K56" s="87">
        <f t="shared" si="6"/>
        <v>0.35331549110852095</v>
      </c>
      <c r="L56" s="88">
        <f t="shared" si="4"/>
        <v>0.35331549110852095</v>
      </c>
      <c r="M56" s="164">
        <f t="shared" si="7"/>
        <v>353.31549110852097</v>
      </c>
      <c r="N56" s="188">
        <f t="shared" ref="N56" si="35">AVERAGE(L56:L57)</f>
        <v>0.3705400887356658</v>
      </c>
      <c r="O56" s="188">
        <f t="shared" ref="O56" si="36">ABS(L56-L57)/N56*100</f>
        <v>9.2970224549346518</v>
      </c>
      <c r="P56" s="188">
        <f t="shared" ref="P56" si="37">2/3*2^(1-(0.5*LOG(N56/1000000000)))</f>
        <v>35.032447985121991</v>
      </c>
      <c r="Q56" s="89"/>
      <c r="R56" s="82"/>
    </row>
    <row r="57" spans="1:18" s="121" customFormat="1" x14ac:dyDescent="0.3">
      <c r="A57" s="82"/>
      <c r="B57" s="82"/>
      <c r="C57" s="83" t="s">
        <v>112</v>
      </c>
      <c r="D57" s="83" t="s">
        <v>127</v>
      </c>
      <c r="E57" s="84">
        <v>50</v>
      </c>
      <c r="F57" s="84">
        <v>50</v>
      </c>
      <c r="G57" s="84">
        <v>1</v>
      </c>
      <c r="H57" s="85">
        <v>4807.6072006264521</v>
      </c>
      <c r="I57" s="85">
        <v>3184317.7776241321</v>
      </c>
      <c r="J57" s="120">
        <f t="shared" si="5"/>
        <v>1.5097762021143131E-3</v>
      </c>
      <c r="K57" s="87">
        <f t="shared" si="6"/>
        <v>0.38776468636281058</v>
      </c>
      <c r="L57" s="88">
        <f t="shared" si="4"/>
        <v>0.38776468636281058</v>
      </c>
      <c r="M57" s="164">
        <f t="shared" si="7"/>
        <v>387.76468636281061</v>
      </c>
      <c r="N57" s="189"/>
      <c r="O57" s="189"/>
      <c r="P57" s="189"/>
      <c r="Q57" s="89"/>
      <c r="R57" s="82"/>
    </row>
    <row r="58" spans="1:18" s="121" customFormat="1" x14ac:dyDescent="0.3">
      <c r="A58" s="82"/>
      <c r="B58" s="82"/>
      <c r="C58" s="83" t="s">
        <v>113</v>
      </c>
      <c r="D58" s="83" t="s">
        <v>127</v>
      </c>
      <c r="E58" s="84">
        <v>50</v>
      </c>
      <c r="F58" s="84">
        <v>50</v>
      </c>
      <c r="G58" s="84">
        <v>1</v>
      </c>
      <c r="H58" s="85">
        <v>4917.6621932656044</v>
      </c>
      <c r="I58" s="85">
        <v>2055810.9519490844</v>
      </c>
      <c r="J58" s="120">
        <f t="shared" si="5"/>
        <v>2.3920789937436808E-3</v>
      </c>
      <c r="K58" s="87">
        <f t="shared" si="6"/>
        <v>0.65162623964823119</v>
      </c>
      <c r="L58" s="88">
        <f t="shared" si="4"/>
        <v>0.65162623964823108</v>
      </c>
      <c r="M58" s="164">
        <f t="shared" si="7"/>
        <v>651.62623964823104</v>
      </c>
      <c r="N58" s="188">
        <f t="shared" ref="N58" si="38">AVERAGE(L58:L59)</f>
        <v>0.62334071363754462</v>
      </c>
      <c r="O58" s="188">
        <f t="shared" ref="O58" si="39">ABS(L58-L59)/N58*100</f>
        <v>9.0754623889796839</v>
      </c>
      <c r="P58" s="188">
        <f t="shared" ref="P58" si="40">2/3*2^(1-(0.5*LOG(N58/1000000000)))</f>
        <v>32.394449861630093</v>
      </c>
      <c r="Q58" s="89"/>
      <c r="R58" s="82"/>
    </row>
    <row r="59" spans="1:18" s="121" customFormat="1" x14ac:dyDescent="0.3">
      <c r="A59" s="82"/>
      <c r="B59" s="82"/>
      <c r="C59" s="83" t="s">
        <v>114</v>
      </c>
      <c r="D59" s="83" t="s">
        <v>127</v>
      </c>
      <c r="E59" s="84">
        <v>50</v>
      </c>
      <c r="F59" s="84">
        <v>50</v>
      </c>
      <c r="G59" s="84">
        <v>1</v>
      </c>
      <c r="H59" s="85">
        <v>4870.9774685387711</v>
      </c>
      <c r="I59" s="85">
        <v>2211149.7205965123</v>
      </c>
      <c r="J59" s="120">
        <f t="shared" si="5"/>
        <v>2.2029161676237396E-3</v>
      </c>
      <c r="K59" s="87">
        <f t="shared" si="6"/>
        <v>0.59505518762685816</v>
      </c>
      <c r="L59" s="88">
        <f t="shared" si="4"/>
        <v>0.59505518762685816</v>
      </c>
      <c r="M59" s="164">
        <f t="shared" si="7"/>
        <v>595.05518762685813</v>
      </c>
      <c r="N59" s="189"/>
      <c r="O59" s="189"/>
      <c r="P59" s="189"/>
      <c r="Q59" s="89"/>
      <c r="R59" s="82"/>
    </row>
    <row r="60" spans="1:18" s="102" customFormat="1" x14ac:dyDescent="0.3">
      <c r="A60" s="90"/>
      <c r="B60" s="90"/>
      <c r="C60" s="91" t="s">
        <v>115</v>
      </c>
      <c r="D60" s="91" t="s">
        <v>128</v>
      </c>
      <c r="E60" s="92">
        <v>50</v>
      </c>
      <c r="F60" s="92">
        <v>50</v>
      </c>
      <c r="G60" s="92">
        <v>1</v>
      </c>
      <c r="H60" s="93">
        <v>14757.563513757999</v>
      </c>
      <c r="I60" s="93">
        <v>62394274.488058999</v>
      </c>
      <c r="J60" s="122">
        <f t="shared" si="5"/>
        <v>2.3652111727947566E-4</v>
      </c>
      <c r="K60" s="99">
        <f t="shared" si="6"/>
        <v>6.9849046365735631E-3</v>
      </c>
      <c r="L60" s="152">
        <f t="shared" si="4"/>
        <v>6.9849046365735631E-3</v>
      </c>
      <c r="M60" s="164">
        <f t="shared" si="7"/>
        <v>6.984904636573563</v>
      </c>
      <c r="N60" s="182">
        <f t="shared" ref="N60" si="41">AVERAGE(L60:L61)</f>
        <v>7.6633569915284154E-3</v>
      </c>
      <c r="O60" s="184">
        <f t="shared" ref="O60" si="42">ABS(L60-L61)/N60*100</f>
        <v>17.706400881620386</v>
      </c>
      <c r="P60" s="184">
        <f t="shared" ref="P60" si="43">2/3*2^(1-(0.5*LOG(N60/1000000000)))</f>
        <v>62.805890560624626</v>
      </c>
      <c r="Q60" s="96"/>
      <c r="R60" s="90"/>
    </row>
    <row r="61" spans="1:18" s="102" customFormat="1" x14ac:dyDescent="0.3">
      <c r="A61" s="90"/>
      <c r="B61" s="90"/>
      <c r="C61" s="91" t="s">
        <v>116</v>
      </c>
      <c r="D61" s="91" t="s">
        <v>128</v>
      </c>
      <c r="E61" s="92">
        <v>50</v>
      </c>
      <c r="F61" s="92">
        <v>50</v>
      </c>
      <c r="G61" s="92">
        <v>1</v>
      </c>
      <c r="H61" s="93">
        <v>15075.92904628563</v>
      </c>
      <c r="I61" s="93">
        <v>62540580.549274616</v>
      </c>
      <c r="J61" s="122">
        <f t="shared" si="5"/>
        <v>2.410583482576976E-4</v>
      </c>
      <c r="K61" s="99">
        <f t="shared" si="6"/>
        <v>8.3418093464832678E-3</v>
      </c>
      <c r="L61" s="152">
        <f t="shared" si="4"/>
        <v>8.3418093464832678E-3</v>
      </c>
      <c r="M61" s="164">
        <f t="shared" si="7"/>
        <v>8.3418093464832683</v>
      </c>
      <c r="N61" s="183"/>
      <c r="O61" s="185"/>
      <c r="P61" s="185"/>
      <c r="Q61" s="96"/>
      <c r="R61" s="90"/>
    </row>
    <row r="62" spans="1:18" s="102" customFormat="1" x14ac:dyDescent="0.3">
      <c r="A62" s="90" t="e">
        <f>C62&amp;#REF!</f>
        <v>#REF!</v>
      </c>
      <c r="B62" s="90"/>
      <c r="C62" s="91" t="s">
        <v>117</v>
      </c>
      <c r="D62" s="91" t="s">
        <v>128</v>
      </c>
      <c r="E62" s="92">
        <v>50</v>
      </c>
      <c r="F62" s="92">
        <v>50</v>
      </c>
      <c r="G62" s="92">
        <v>1</v>
      </c>
      <c r="H62" s="93">
        <v>15560.7031483106</v>
      </c>
      <c r="I62" s="93">
        <v>64324698.910755798</v>
      </c>
      <c r="J62" s="122">
        <f t="shared" si="5"/>
        <v>2.4190868222950484E-4</v>
      </c>
      <c r="K62" s="95">
        <f t="shared" si="6"/>
        <v>8.5961103015987656E-3</v>
      </c>
      <c r="L62" s="152">
        <f t="shared" si="4"/>
        <v>8.5961103015987656E-3</v>
      </c>
      <c r="M62" s="164">
        <f t="shared" si="7"/>
        <v>8.596110301598765</v>
      </c>
      <c r="N62" s="182">
        <f t="shared" ref="N62" si="44">AVERAGE(L62:L63)</f>
        <v>8.1400789205864944E-3</v>
      </c>
      <c r="O62" s="184">
        <f t="shared" ref="O62" si="45">ABS(L62-L63)/N62*100</f>
        <v>11.204593603114944</v>
      </c>
      <c r="P62" s="184">
        <f t="shared" ref="P62" si="46">2/3*2^(1-(0.5*LOG(N62/1000000000)))</f>
        <v>62.237973949549499</v>
      </c>
      <c r="Q62" s="96"/>
      <c r="R62" s="90"/>
    </row>
    <row r="63" spans="1:18" s="90" customFormat="1" ht="18" customHeight="1" x14ac:dyDescent="0.3">
      <c r="A63" s="90" t="e">
        <f>C63&amp;#REF!</f>
        <v>#REF!</v>
      </c>
      <c r="C63" s="91" t="s">
        <v>118</v>
      </c>
      <c r="D63" s="91" t="s">
        <v>128</v>
      </c>
      <c r="E63" s="92">
        <v>50</v>
      </c>
      <c r="F63" s="92">
        <v>50</v>
      </c>
      <c r="G63" s="92">
        <v>1</v>
      </c>
      <c r="H63" s="93">
        <v>16277.459627116827</v>
      </c>
      <c r="I63" s="93">
        <v>68146752.744023144</v>
      </c>
      <c r="J63" s="122">
        <f t="shared" si="5"/>
        <v>2.3885891802151134E-4</v>
      </c>
      <c r="K63" s="100">
        <f t="shared" si="6"/>
        <v>7.6840475395742241E-3</v>
      </c>
      <c r="L63" s="152">
        <f t="shared" si="4"/>
        <v>7.6840475395742232E-3</v>
      </c>
      <c r="M63" s="164">
        <f t="shared" si="7"/>
        <v>7.6840475395742232</v>
      </c>
      <c r="N63" s="183"/>
      <c r="O63" s="185"/>
      <c r="P63" s="185"/>
      <c r="Q63" s="96"/>
    </row>
    <row r="64" spans="1:18" s="90" customFormat="1" ht="18" customHeight="1" x14ac:dyDescent="0.3">
      <c r="A64" s="90" t="e">
        <f>C64&amp;#REF!</f>
        <v>#REF!</v>
      </c>
      <c r="C64" s="91" t="s">
        <v>119</v>
      </c>
      <c r="D64" s="91" t="s">
        <v>128</v>
      </c>
      <c r="E64" s="92">
        <v>50</v>
      </c>
      <c r="F64" s="92">
        <v>50</v>
      </c>
      <c r="G64" s="92">
        <v>1</v>
      </c>
      <c r="H64" s="93">
        <v>15770.132150530189</v>
      </c>
      <c r="I64" s="93">
        <v>65409611.931213826</v>
      </c>
      <c r="J64" s="122">
        <f t="shared" si="5"/>
        <v>2.4109808459213004E-4</v>
      </c>
      <c r="K64" s="100">
        <f t="shared" si="6"/>
        <v>8.3536928982805465E-3</v>
      </c>
      <c r="L64" s="152">
        <f t="shared" si="4"/>
        <v>8.3536928982805465E-3</v>
      </c>
      <c r="M64" s="164">
        <f t="shared" si="7"/>
        <v>8.3536928982805474</v>
      </c>
      <c r="N64" s="182">
        <f t="shared" ref="N64" si="47">AVERAGE(L64:L65)</f>
        <v>7.6693609007414884E-3</v>
      </c>
      <c r="O64" s="184">
        <f t="shared" ref="O64" si="48">ABS(L64-L65)/N64*100</f>
        <v>17.845867638668448</v>
      </c>
      <c r="P64" s="184">
        <f t="shared" ref="P64" si="49">2/3*2^(1-(0.5*LOG(N64/1000000000)))</f>
        <v>62.798487700426577</v>
      </c>
      <c r="Q64" s="96"/>
    </row>
    <row r="65" spans="1:20" s="90" customFormat="1" ht="18" customHeight="1" x14ac:dyDescent="0.3">
      <c r="A65" s="90" t="e">
        <f>C65&amp;#REF!</f>
        <v>#REF!</v>
      </c>
      <c r="C65" s="91" t="s">
        <v>120</v>
      </c>
      <c r="D65" s="91" t="s">
        <v>128</v>
      </c>
      <c r="E65" s="92">
        <v>50</v>
      </c>
      <c r="F65" s="92">
        <v>50</v>
      </c>
      <c r="G65" s="92">
        <v>1</v>
      </c>
      <c r="H65" s="93">
        <v>16467.753328471827</v>
      </c>
      <c r="I65" s="93">
        <v>69624753.117757842</v>
      </c>
      <c r="J65" s="122">
        <f t="shared" si="5"/>
        <v>2.3652153280342067E-4</v>
      </c>
      <c r="K65" s="100">
        <f t="shared" si="6"/>
        <v>6.9850289032024303E-3</v>
      </c>
      <c r="L65" s="152">
        <f t="shared" si="4"/>
        <v>6.9850289032024303E-3</v>
      </c>
      <c r="M65" s="164">
        <f t="shared" si="7"/>
        <v>6.98502890320243</v>
      </c>
      <c r="N65" s="183"/>
      <c r="O65" s="185"/>
      <c r="P65" s="185"/>
      <c r="Q65" s="96"/>
    </row>
    <row r="66" spans="1:20" s="103" customFormat="1" ht="18" customHeight="1" x14ac:dyDescent="0.3">
      <c r="C66" s="104" t="s">
        <v>121</v>
      </c>
      <c r="D66" s="104" t="s">
        <v>129</v>
      </c>
      <c r="E66" s="105">
        <v>50</v>
      </c>
      <c r="F66" s="105">
        <v>50</v>
      </c>
      <c r="G66" s="105">
        <v>1</v>
      </c>
      <c r="H66" s="106">
        <v>6561.7387587119592</v>
      </c>
      <c r="I66" s="106">
        <v>2458130.5345382602</v>
      </c>
      <c r="J66" s="123">
        <f t="shared" si="5"/>
        <v>2.6694020787405128E-3</v>
      </c>
      <c r="K66" s="108">
        <f t="shared" si="6"/>
        <v>0.7345625067250191</v>
      </c>
      <c r="L66" s="109">
        <f t="shared" si="4"/>
        <v>0.7345625067250191</v>
      </c>
      <c r="M66" s="164">
        <f t="shared" si="7"/>
        <v>734.56250672501915</v>
      </c>
      <c r="N66" s="180">
        <f t="shared" ref="N66" si="50">AVERAGE(L66:L67)</f>
        <v>0.71091784022645677</v>
      </c>
      <c r="O66" s="180">
        <f t="shared" ref="O66" si="51">ABS(L66-L67)/N66*100</f>
        <v>6.6518703458139514</v>
      </c>
      <c r="P66" s="180">
        <f t="shared" ref="P66" si="52">2/3*2^(1-(0.5*LOG(N66/1000000000)))</f>
        <v>31.759753120905039</v>
      </c>
      <c r="Q66" s="110"/>
    </row>
    <row r="67" spans="1:20" s="103" customFormat="1" ht="18" customHeight="1" x14ac:dyDescent="0.3">
      <c r="C67" s="104" t="s">
        <v>122</v>
      </c>
      <c r="D67" s="104" t="s">
        <v>129</v>
      </c>
      <c r="E67" s="105">
        <v>50</v>
      </c>
      <c r="F67" s="105">
        <v>50</v>
      </c>
      <c r="G67" s="105">
        <v>1</v>
      </c>
      <c r="H67" s="106">
        <v>6475.0397107650761</v>
      </c>
      <c r="I67" s="106">
        <v>2578386.7888461393</v>
      </c>
      <c r="J67" s="123">
        <f t="shared" si="5"/>
        <v>2.5112755536816638E-3</v>
      </c>
      <c r="K67" s="108">
        <f t="shared" si="6"/>
        <v>0.68727317372789443</v>
      </c>
      <c r="L67" s="109">
        <f t="shared" si="4"/>
        <v>0.68727317372789443</v>
      </c>
      <c r="M67" s="164">
        <f t="shared" si="7"/>
        <v>687.27317372789446</v>
      </c>
      <c r="N67" s="181"/>
      <c r="O67" s="181"/>
      <c r="P67" s="181"/>
      <c r="Q67" s="110"/>
    </row>
    <row r="68" spans="1:20" s="103" customFormat="1" ht="18" customHeight="1" x14ac:dyDescent="0.3">
      <c r="C68" s="104" t="s">
        <v>123</v>
      </c>
      <c r="D68" s="104" t="s">
        <v>129</v>
      </c>
      <c r="E68" s="105">
        <v>50</v>
      </c>
      <c r="F68" s="105">
        <v>50</v>
      </c>
      <c r="G68" s="105">
        <v>1</v>
      </c>
      <c r="H68" s="106">
        <v>6138.1902626511555</v>
      </c>
      <c r="I68" s="106">
        <v>3673421.0029833838</v>
      </c>
      <c r="J68" s="123">
        <f t="shared" si="5"/>
        <v>1.6709738028028911E-3</v>
      </c>
      <c r="K68" s="108">
        <f t="shared" si="6"/>
        <v>0.43597245551768649</v>
      </c>
      <c r="L68" s="109">
        <f t="shared" si="4"/>
        <v>0.43597245551768649</v>
      </c>
      <c r="M68" s="164">
        <f t="shared" si="7"/>
        <v>435.97245551768651</v>
      </c>
      <c r="N68" s="180">
        <f t="shared" ref="N68" si="53">AVERAGE(L68:L69)</f>
        <v>0.41135063197742661</v>
      </c>
      <c r="O68" s="180">
        <f t="shared" ref="O68" si="54">ABS(L68-L69)/N68*100</f>
        <v>11.971209778820061</v>
      </c>
      <c r="P68" s="180">
        <f t="shared" ref="P68" si="55">2/3*2^(1-(0.5*LOG(N68/1000000000)))</f>
        <v>34.485821160022788</v>
      </c>
      <c r="Q68" s="110"/>
    </row>
    <row r="69" spans="1:20" s="103" customFormat="1" ht="18" customHeight="1" x14ac:dyDescent="0.3">
      <c r="C69" s="104" t="s">
        <v>124</v>
      </c>
      <c r="D69" s="104" t="s">
        <v>129</v>
      </c>
      <c r="E69" s="105">
        <v>50</v>
      </c>
      <c r="F69" s="105">
        <v>50</v>
      </c>
      <c r="G69" s="105">
        <v>1</v>
      </c>
      <c r="H69" s="106">
        <v>6218.2472236765898</v>
      </c>
      <c r="I69" s="106">
        <v>4128125.8299111412</v>
      </c>
      <c r="J69" s="123">
        <f t="shared" si="5"/>
        <v>1.5063124235751406E-3</v>
      </c>
      <c r="K69" s="108">
        <f t="shared" si="6"/>
        <v>0.38672880843716673</v>
      </c>
      <c r="L69" s="109">
        <f t="shared" si="4"/>
        <v>0.38672880843716667</v>
      </c>
      <c r="M69" s="164">
        <f t="shared" si="7"/>
        <v>386.72880843716666</v>
      </c>
      <c r="N69" s="181"/>
      <c r="O69" s="181"/>
      <c r="P69" s="181"/>
      <c r="Q69" s="110"/>
    </row>
    <row r="70" spans="1:20" s="103" customFormat="1" ht="18" customHeight="1" x14ac:dyDescent="0.3">
      <c r="A70" s="103" t="e">
        <f>C70&amp;#REF!</f>
        <v>#REF!</v>
      </c>
      <c r="C70" s="104" t="s">
        <v>125</v>
      </c>
      <c r="D70" s="104" t="s">
        <v>129</v>
      </c>
      <c r="E70" s="105">
        <v>50</v>
      </c>
      <c r="F70" s="105">
        <v>50</v>
      </c>
      <c r="G70" s="105">
        <v>1</v>
      </c>
      <c r="H70" s="106">
        <v>6414.9981968984966</v>
      </c>
      <c r="I70" s="106">
        <v>4150948.7463265923</v>
      </c>
      <c r="J70" s="123">
        <f t="shared" si="5"/>
        <v>1.5454293919132315E-3</v>
      </c>
      <c r="K70" s="108">
        <f t="shared" si="6"/>
        <v>0.39842713255381657</v>
      </c>
      <c r="L70" s="109">
        <f t="shared" si="4"/>
        <v>0.39842713255381651</v>
      </c>
      <c r="M70" s="164">
        <f t="shared" si="7"/>
        <v>398.42713255381653</v>
      </c>
      <c r="N70" s="180">
        <f t="shared" ref="N70" si="56">AVERAGE(L70:L71)</f>
        <v>0.38090937196248603</v>
      </c>
      <c r="O70" s="180">
        <f>ABS(L70-L71)/N70*100</f>
        <v>9.1978627362603831</v>
      </c>
      <c r="P70" s="180">
        <f t="shared" ref="P70" si="57">2/3*2^(1-(0.5*LOG(N70/1000000000)))</f>
        <v>34.887218423300652</v>
      </c>
      <c r="Q70" s="110"/>
    </row>
    <row r="71" spans="1:20" s="103" customFormat="1" ht="18" customHeight="1" x14ac:dyDescent="0.3">
      <c r="A71" s="103" t="e">
        <f>C71&amp;#REF!</f>
        <v>#REF!</v>
      </c>
      <c r="C71" s="104" t="s">
        <v>126</v>
      </c>
      <c r="D71" s="104" t="s">
        <v>129</v>
      </c>
      <c r="E71" s="105">
        <v>50</v>
      </c>
      <c r="F71" s="105">
        <v>50</v>
      </c>
      <c r="G71" s="105">
        <v>1</v>
      </c>
      <c r="H71" s="106">
        <v>6308.2919732253677</v>
      </c>
      <c r="I71" s="106">
        <v>4416713.7994236788</v>
      </c>
      <c r="J71" s="123">
        <f t="shared" si="5"/>
        <v>1.4282772802821217E-3</v>
      </c>
      <c r="K71" s="108">
        <f t="shared" si="6"/>
        <v>0.36339161137115555</v>
      </c>
      <c r="L71" s="109">
        <f t="shared" si="4"/>
        <v>0.36339161137115555</v>
      </c>
      <c r="M71" s="164">
        <f t="shared" si="7"/>
        <v>363.39161137115553</v>
      </c>
      <c r="N71" s="181"/>
      <c r="O71" s="181"/>
      <c r="P71" s="181"/>
      <c r="Q71" s="110"/>
    </row>
    <row r="72" spans="1:20" x14ac:dyDescent="0.3">
      <c r="C72" s="36"/>
      <c r="D72" s="36"/>
      <c r="E72" s="36"/>
      <c r="F72" s="36"/>
      <c r="G72" s="36"/>
      <c r="H72" s="36"/>
      <c r="I72" s="30"/>
      <c r="J72" s="30"/>
      <c r="K72" s="151"/>
      <c r="L72" s="30"/>
      <c r="M72" s="30"/>
      <c r="N72" s="30"/>
      <c r="O72" s="30"/>
      <c r="P72" s="30"/>
      <c r="Q72" s="30"/>
      <c r="S72" s="15"/>
      <c r="T72" s="15"/>
    </row>
    <row r="73" spans="1:20" x14ac:dyDescent="0.3">
      <c r="C73" s="30"/>
      <c r="D73" s="30"/>
      <c r="E73" s="30"/>
      <c r="F73" s="30"/>
      <c r="G73" s="30"/>
      <c r="H73" s="30"/>
      <c r="I73" s="30"/>
      <c r="J73" s="30"/>
      <c r="K73" s="151"/>
      <c r="L73" s="30"/>
      <c r="M73" s="30"/>
      <c r="N73" s="30"/>
      <c r="O73" s="30"/>
      <c r="P73" s="30"/>
      <c r="Q73" s="30"/>
      <c r="R73" s="30"/>
    </row>
    <row r="74" spans="1:20" x14ac:dyDescent="0.3">
      <c r="C74" s="61" t="s">
        <v>47</v>
      </c>
      <c r="D74" s="54"/>
      <c r="E74" s="55"/>
      <c r="F74" s="30"/>
      <c r="G74" s="30"/>
      <c r="H74" s="58" t="s">
        <v>48</v>
      </c>
      <c r="I74" s="30"/>
      <c r="J74" s="30"/>
      <c r="K74" s="151"/>
      <c r="L74" s="30"/>
      <c r="M74" s="30"/>
      <c r="N74" s="30"/>
      <c r="O74" s="30"/>
      <c r="P74" s="30"/>
      <c r="Q74" s="30"/>
      <c r="R74" s="30"/>
    </row>
    <row r="75" spans="1:20" ht="14.5" x14ac:dyDescent="0.35">
      <c r="C75" s="53" t="s">
        <v>30</v>
      </c>
      <c r="D75" s="56" t="s">
        <v>51</v>
      </c>
      <c r="E75" s="55"/>
      <c r="F75" s="30"/>
      <c r="G75" s="30"/>
      <c r="H75" s="57" t="s">
        <v>54</v>
      </c>
      <c r="I75" s="30"/>
      <c r="J75" s="30"/>
      <c r="K75" s="151"/>
      <c r="L75" s="30"/>
      <c r="M75" s="30"/>
      <c r="N75" s="30"/>
      <c r="O75" s="30"/>
      <c r="P75" s="30"/>
      <c r="Q75" s="30"/>
      <c r="R75" s="30"/>
    </row>
    <row r="76" spans="1:20" x14ac:dyDescent="0.3">
      <c r="C76" s="53" t="s">
        <v>31</v>
      </c>
      <c r="D76" s="56" t="s">
        <v>52</v>
      </c>
      <c r="E76" s="55"/>
      <c r="F76" s="30"/>
      <c r="G76" s="30"/>
      <c r="H76" s="57"/>
      <c r="I76" s="30"/>
      <c r="J76" s="30"/>
      <c r="K76" s="151"/>
      <c r="L76" s="30"/>
      <c r="M76" s="30"/>
      <c r="N76" s="30"/>
      <c r="O76" s="30"/>
      <c r="P76" s="30"/>
      <c r="Q76" s="30"/>
      <c r="R76" s="30"/>
    </row>
    <row r="77" spans="1:20" x14ac:dyDescent="0.3">
      <c r="C77" s="22" t="s">
        <v>39</v>
      </c>
      <c r="D77" s="21" t="s">
        <v>53</v>
      </c>
      <c r="E77" s="20"/>
      <c r="H77" s="46"/>
    </row>
    <row r="78" spans="1:20" x14ac:dyDescent="0.3">
      <c r="C78" s="57" t="s">
        <v>139</v>
      </c>
      <c r="D78" s="64" t="s">
        <v>140</v>
      </c>
      <c r="E78" s="30"/>
      <c r="F78" s="30"/>
    </row>
  </sheetData>
  <mergeCells count="63">
    <mergeCell ref="C1:S1"/>
    <mergeCell ref="C7:D7"/>
    <mergeCell ref="C8:D8"/>
    <mergeCell ref="C12:D12"/>
    <mergeCell ref="B28:B31"/>
    <mergeCell ref="C28:G28"/>
    <mergeCell ref="C29:G29"/>
    <mergeCell ref="C30:G30"/>
    <mergeCell ref="C31:G31"/>
    <mergeCell ref="N36:N37"/>
    <mergeCell ref="O36:O37"/>
    <mergeCell ref="P36:P37"/>
    <mergeCell ref="N38:N39"/>
    <mergeCell ref="O38:O39"/>
    <mergeCell ref="P38:P39"/>
    <mergeCell ref="N40:N41"/>
    <mergeCell ref="O40:O41"/>
    <mergeCell ref="P40:P41"/>
    <mergeCell ref="N42:N43"/>
    <mergeCell ref="O42:O43"/>
    <mergeCell ref="P42:P43"/>
    <mergeCell ref="N44:N45"/>
    <mergeCell ref="O44:O45"/>
    <mergeCell ref="P44:P45"/>
    <mergeCell ref="N46:N47"/>
    <mergeCell ref="O46:O47"/>
    <mergeCell ref="P46:P47"/>
    <mergeCell ref="N48:N49"/>
    <mergeCell ref="O48:O49"/>
    <mergeCell ref="P48:P49"/>
    <mergeCell ref="N50:N51"/>
    <mergeCell ref="O50:O51"/>
    <mergeCell ref="P50:P51"/>
    <mergeCell ref="N52:N53"/>
    <mergeCell ref="O52:O53"/>
    <mergeCell ref="P52:P53"/>
    <mergeCell ref="N54:N55"/>
    <mergeCell ref="O54:O55"/>
    <mergeCell ref="P54:P55"/>
    <mergeCell ref="N56:N57"/>
    <mergeCell ref="O56:O57"/>
    <mergeCell ref="P56:P57"/>
    <mergeCell ref="N58:N59"/>
    <mergeCell ref="O58:O59"/>
    <mergeCell ref="P58:P59"/>
    <mergeCell ref="N60:N61"/>
    <mergeCell ref="O60:O61"/>
    <mergeCell ref="P60:P61"/>
    <mergeCell ref="N62:N63"/>
    <mergeCell ref="O62:O63"/>
    <mergeCell ref="P62:P63"/>
    <mergeCell ref="N64:N65"/>
    <mergeCell ref="O64:O65"/>
    <mergeCell ref="P64:P65"/>
    <mergeCell ref="N66:N67"/>
    <mergeCell ref="O66:O67"/>
    <mergeCell ref="P66:P67"/>
    <mergeCell ref="N68:N69"/>
    <mergeCell ref="O68:O69"/>
    <mergeCell ref="P68:P69"/>
    <mergeCell ref="N70:N71"/>
    <mergeCell ref="O70:O71"/>
    <mergeCell ref="P70:P71"/>
  </mergeCells>
  <conditionalFormatting sqref="C17:D17 D16">
    <cfRule type="duplicateValues" dxfId="3" priority="2"/>
  </conditionalFormatting>
  <conditionalFormatting sqref="C32:D34">
    <cfRule type="duplicateValues" dxfId="2" priority="1"/>
  </conditionalFormatting>
  <printOptions horizontalCentered="1"/>
  <pageMargins left="0.31496062992125984" right="0.31496062992125984" top="0.55118110236220474" bottom="0.55118110236220474" header="0.31496062992125984" footer="0.31496062992125984"/>
  <pageSetup paperSize="9" scale="38" fitToHeight="0" orientation="portrait" horizontalDpi="4294967292" verticalDpi="360" r:id="rId1"/>
  <headerFooter>
    <oddHeader xml:space="preserve">&amp;R&amp;"Arial,Regular"&amp;10No.: 18-13-14.1/F-MU
Revisi 7
</oddHeader>
  </headerFooter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1DF16-2C49-4AE9-82C5-4CFF77086F37}">
  <sheetPr codeName="Sheet11">
    <tabColor rgb="FF7030A0"/>
    <pageSetUpPr fitToPage="1"/>
  </sheetPr>
  <dimension ref="A1:V66"/>
  <sheetViews>
    <sheetView view="pageBreakPreview" topLeftCell="B26" zoomScale="68" zoomScaleNormal="68" zoomScaleSheetLayoutView="68" zoomScalePageLayoutView="70" workbookViewId="0">
      <selection activeCell="M36" sqref="M36:M59"/>
    </sheetView>
  </sheetViews>
  <sheetFormatPr defaultColWidth="8.54296875" defaultRowHeight="14" x14ac:dyDescent="0.3"/>
  <cols>
    <col min="1" max="1" width="8.54296875" style="5" hidden="1" customWidth="1"/>
    <col min="2" max="2" width="8.7265625" style="5" customWidth="1"/>
    <col min="3" max="3" width="18.7265625" style="5" customWidth="1"/>
    <col min="4" max="4" width="28.7265625" style="5" customWidth="1"/>
    <col min="5" max="5" width="17.7265625" style="5" customWidth="1"/>
    <col min="6" max="6" width="14.81640625" style="5" bestFit="1" customWidth="1"/>
    <col min="7" max="7" width="10.81640625" style="5" bestFit="1" customWidth="1"/>
    <col min="8" max="8" width="13.7265625" style="5" customWidth="1"/>
    <col min="9" max="9" width="16.1796875" style="5" bestFit="1" customWidth="1"/>
    <col min="10" max="10" width="13.453125" style="5" bestFit="1" customWidth="1"/>
    <col min="11" max="11" width="12.1796875" style="5" customWidth="1"/>
    <col min="12" max="13" width="15.1796875" style="5" customWidth="1"/>
    <col min="14" max="14" width="17" style="5" customWidth="1"/>
    <col min="15" max="16" width="17.453125" style="5" customWidth="1"/>
    <col min="17" max="17" width="29.453125" style="5" bestFit="1" customWidth="1"/>
    <col min="18" max="19" width="17.453125" style="5" customWidth="1"/>
    <col min="20" max="20" width="12.26953125" style="5" customWidth="1"/>
    <col min="21" max="21" width="9.1796875" style="5" customWidth="1"/>
    <col min="22" max="22" width="10.453125" style="5" customWidth="1"/>
    <col min="23" max="16384" width="8.54296875" style="5"/>
  </cols>
  <sheetData>
    <row r="1" spans="3:22" ht="39.75" customHeight="1" x14ac:dyDescent="0.3">
      <c r="C1" s="192" t="s">
        <v>50</v>
      </c>
      <c r="D1" s="192"/>
      <c r="E1" s="192"/>
      <c r="F1" s="192"/>
      <c r="G1" s="192"/>
      <c r="H1" s="192"/>
      <c r="I1" s="192"/>
      <c r="J1" s="192"/>
      <c r="K1" s="192"/>
      <c r="L1" s="192"/>
      <c r="M1" s="192"/>
      <c r="N1" s="192"/>
      <c r="O1" s="192"/>
      <c r="P1" s="192"/>
      <c r="Q1" s="192"/>
      <c r="R1" s="192"/>
      <c r="S1" s="192"/>
      <c r="T1" s="4"/>
      <c r="U1" s="4"/>
      <c r="V1" s="4"/>
    </row>
    <row r="2" spans="3:22" ht="15" customHeight="1" x14ac:dyDescent="0.3">
      <c r="C2" s="3"/>
      <c r="D2" s="3"/>
      <c r="E2" s="3"/>
      <c r="F2" s="3"/>
      <c r="G2" s="6"/>
      <c r="H2" s="6"/>
      <c r="I2" s="6"/>
      <c r="J2" s="6"/>
      <c r="K2" s="7"/>
      <c r="N2" s="8"/>
      <c r="O2" s="9"/>
      <c r="P2" s="9"/>
      <c r="Q2" s="9"/>
      <c r="R2" s="9"/>
      <c r="T2" s="4"/>
      <c r="U2" s="4"/>
      <c r="V2" s="4"/>
    </row>
    <row r="3" spans="3:22" ht="15" customHeight="1" x14ac:dyDescent="0.35">
      <c r="C3" s="3"/>
      <c r="D3" s="3"/>
      <c r="E3" s="3"/>
      <c r="F3" s="3"/>
      <c r="G3" s="6"/>
      <c r="H3" s="6"/>
      <c r="I3" s="6"/>
      <c r="J3" s="6"/>
      <c r="K3" s="6"/>
      <c r="O3"/>
      <c r="P3"/>
      <c r="Q3"/>
      <c r="R3"/>
      <c r="S3"/>
      <c r="T3" s="4"/>
      <c r="U3" s="4"/>
      <c r="V3" s="4"/>
    </row>
    <row r="4" spans="3:22" ht="14.5" x14ac:dyDescent="0.35">
      <c r="G4" s="6"/>
      <c r="H4" s="6"/>
      <c r="I4" s="6"/>
      <c r="J4" s="6"/>
      <c r="K4" s="6"/>
      <c r="O4"/>
      <c r="P4"/>
      <c r="Q4"/>
      <c r="R4"/>
      <c r="S4"/>
    </row>
    <row r="5" spans="3:22" ht="14.5" x14ac:dyDescent="0.35">
      <c r="C5" s="10" t="s">
        <v>7</v>
      </c>
      <c r="D5" s="11"/>
      <c r="E5" s="12" t="s">
        <v>58</v>
      </c>
      <c r="G5" s="13"/>
      <c r="H5" s="6"/>
      <c r="I5" s="14"/>
      <c r="K5" s="6"/>
      <c r="L5" s="15"/>
      <c r="M5" s="15"/>
      <c r="O5"/>
      <c r="P5"/>
      <c r="Q5"/>
      <c r="R5"/>
      <c r="S5"/>
    </row>
    <row r="6" spans="3:22" ht="14.5" x14ac:dyDescent="0.35">
      <c r="C6" s="10" t="s">
        <v>10</v>
      </c>
      <c r="D6" s="11"/>
      <c r="E6" s="12" t="s">
        <v>59</v>
      </c>
      <c r="F6" s="17"/>
      <c r="G6" s="24"/>
      <c r="H6" s="17"/>
      <c r="I6" s="16"/>
      <c r="J6" s="17"/>
      <c r="K6" s="6"/>
      <c r="L6" s="15"/>
      <c r="M6" s="15"/>
      <c r="O6"/>
      <c r="P6"/>
      <c r="Q6"/>
      <c r="R6"/>
      <c r="S6"/>
    </row>
    <row r="7" spans="3:22" x14ac:dyDescent="0.3">
      <c r="C7" s="193" t="s">
        <v>35</v>
      </c>
      <c r="D7" s="193"/>
      <c r="E7" s="12" t="s">
        <v>60</v>
      </c>
      <c r="G7" s="24"/>
      <c r="H7" s="17"/>
      <c r="I7" s="16"/>
      <c r="J7" s="17"/>
      <c r="K7" s="6"/>
      <c r="L7" s="15"/>
      <c r="M7" s="15"/>
      <c r="N7" s="6"/>
      <c r="O7" s="15"/>
      <c r="P7" s="15"/>
      <c r="Q7" s="15"/>
      <c r="R7" s="15"/>
    </row>
    <row r="8" spans="3:22" ht="14.5" x14ac:dyDescent="0.35">
      <c r="C8" s="194" t="s">
        <v>36</v>
      </c>
      <c r="D8" s="194"/>
      <c r="E8" s="60" t="s">
        <v>147</v>
      </c>
      <c r="F8" s="30"/>
      <c r="G8" s="63"/>
      <c r="H8" s="63"/>
      <c r="I8" s="8"/>
      <c r="N8" s="25" t="s">
        <v>45</v>
      </c>
      <c r="O8" s="26"/>
      <c r="P8" s="27"/>
      <c r="Q8"/>
    </row>
    <row r="9" spans="3:22" ht="14.5" x14ac:dyDescent="0.35">
      <c r="C9" s="10" t="s">
        <v>24</v>
      </c>
      <c r="D9" s="18"/>
      <c r="E9" s="12" t="s">
        <v>131</v>
      </c>
      <c r="N9" s="28" t="s">
        <v>25</v>
      </c>
      <c r="O9" s="29" t="s">
        <v>55</v>
      </c>
      <c r="P9" s="23"/>
      <c r="Q9"/>
    </row>
    <row r="10" spans="3:22" ht="14.5" x14ac:dyDescent="0.35">
      <c r="C10" s="10" t="s">
        <v>41</v>
      </c>
      <c r="D10" s="18"/>
      <c r="E10" s="12" t="s">
        <v>148</v>
      </c>
      <c r="N10" s="28"/>
      <c r="O10" s="36" t="s">
        <v>56</v>
      </c>
      <c r="P10" s="23"/>
      <c r="Q10"/>
    </row>
    <row r="11" spans="3:22" ht="14.5" x14ac:dyDescent="0.35">
      <c r="C11" s="31" t="s">
        <v>26</v>
      </c>
      <c r="D11" s="32"/>
      <c r="E11" s="33" t="s">
        <v>132</v>
      </c>
      <c r="F11" s="30"/>
      <c r="G11" s="30"/>
      <c r="H11" s="30"/>
      <c r="I11" s="30"/>
      <c r="N11" s="34"/>
      <c r="O11" s="59"/>
      <c r="P11" s="35"/>
      <c r="Q11"/>
    </row>
    <row r="12" spans="3:22" x14ac:dyDescent="0.3">
      <c r="C12" s="195" t="s">
        <v>37</v>
      </c>
      <c r="D12" s="195"/>
      <c r="E12" s="33" t="str">
        <f>E6</f>
        <v>: 8 September 2023</v>
      </c>
      <c r="F12" s="30"/>
      <c r="G12" s="36"/>
      <c r="H12" s="30"/>
      <c r="I12" s="37"/>
      <c r="J12" s="30"/>
      <c r="K12" s="36"/>
      <c r="L12" s="38"/>
      <c r="M12" s="38"/>
      <c r="N12" s="38"/>
      <c r="O12" s="30"/>
      <c r="P12" s="30"/>
      <c r="Q12" s="30"/>
      <c r="R12" s="30"/>
    </row>
    <row r="13" spans="3:22" x14ac:dyDescent="0.3">
      <c r="C13" s="30" t="s">
        <v>40</v>
      </c>
      <c r="D13" s="33"/>
      <c r="E13" s="30" t="s">
        <v>149</v>
      </c>
      <c r="F13" s="30"/>
      <c r="G13" s="36"/>
      <c r="H13" s="30"/>
      <c r="I13" s="37"/>
      <c r="J13" s="30"/>
      <c r="K13" s="36"/>
      <c r="L13" s="30"/>
      <c r="M13" s="30"/>
    </row>
    <row r="14" spans="3:22" x14ac:dyDescent="0.3">
      <c r="C14" s="30" t="s">
        <v>44</v>
      </c>
      <c r="D14" s="33"/>
      <c r="E14" s="30" t="s">
        <v>146</v>
      </c>
      <c r="F14" s="33"/>
      <c r="G14" s="36"/>
      <c r="H14" s="30"/>
      <c r="I14" s="37"/>
      <c r="J14" s="30"/>
      <c r="K14" s="36"/>
      <c r="L14" s="30"/>
      <c r="M14" s="30"/>
    </row>
    <row r="15" spans="3:22" x14ac:dyDescent="0.3">
      <c r="C15" s="30"/>
      <c r="D15" s="33"/>
      <c r="E15" s="30"/>
      <c r="F15" s="33"/>
      <c r="G15" s="36"/>
      <c r="H15" s="30"/>
      <c r="I15" s="37"/>
      <c r="J15" s="30"/>
      <c r="K15" s="36"/>
      <c r="L15" s="30"/>
      <c r="M15" s="30"/>
    </row>
    <row r="16" spans="3:22" x14ac:dyDescent="0.3">
      <c r="C16" s="31" t="s">
        <v>9</v>
      </c>
      <c r="D16" s="31"/>
      <c r="E16" s="31" t="s">
        <v>138</v>
      </c>
      <c r="F16" s="39"/>
      <c r="G16" s="39"/>
      <c r="H16" s="39"/>
      <c r="I16" s="39"/>
      <c r="J16" s="39"/>
      <c r="K16" s="39"/>
      <c r="L16" s="30"/>
      <c r="M16" s="30"/>
      <c r="S16" s="4"/>
      <c r="T16" s="4"/>
      <c r="U16" s="4"/>
    </row>
    <row r="17" spans="1:22" x14ac:dyDescent="0.3">
      <c r="C17" s="31"/>
      <c r="D17" s="31"/>
      <c r="E17" s="30"/>
      <c r="F17" s="40"/>
      <c r="G17" s="40"/>
      <c r="H17" s="40"/>
      <c r="I17" s="40"/>
      <c r="J17" s="40"/>
      <c r="K17" s="40"/>
      <c r="L17" s="30"/>
      <c r="M17" s="30"/>
      <c r="N17" s="30"/>
      <c r="O17" s="30"/>
      <c r="P17" s="30"/>
      <c r="Q17" s="30"/>
      <c r="R17" s="30"/>
    </row>
    <row r="18" spans="1:22" x14ac:dyDescent="0.3">
      <c r="C18" s="41"/>
      <c r="D18" s="41"/>
      <c r="E18" s="41"/>
      <c r="F18" s="41"/>
      <c r="G18" s="42"/>
      <c r="H18" s="42"/>
      <c r="I18" s="30"/>
      <c r="J18" s="30"/>
      <c r="K18" s="41"/>
      <c r="L18" s="41"/>
      <c r="M18" s="41"/>
      <c r="N18" s="41"/>
      <c r="O18" s="41"/>
      <c r="P18" s="41"/>
      <c r="Q18" s="41"/>
      <c r="R18" s="41"/>
      <c r="S18" s="4"/>
      <c r="T18" s="4"/>
      <c r="U18" s="4"/>
      <c r="V18" s="4"/>
    </row>
    <row r="19" spans="1:22" ht="57.75" customHeight="1" x14ac:dyDescent="0.3">
      <c r="B19" s="19" t="s">
        <v>27</v>
      </c>
      <c r="C19" s="43" t="s">
        <v>6</v>
      </c>
      <c r="D19" s="43" t="s">
        <v>28</v>
      </c>
      <c r="E19" s="43" t="s">
        <v>42</v>
      </c>
      <c r="F19" s="43" t="s">
        <v>43</v>
      </c>
      <c r="G19" s="43" t="s">
        <v>8</v>
      </c>
      <c r="H19" s="44" t="s">
        <v>23</v>
      </c>
      <c r="I19" s="30"/>
      <c r="J19" s="45"/>
      <c r="K19" s="45"/>
      <c r="L19" s="46"/>
      <c r="M19" s="46"/>
      <c r="N19" s="46"/>
      <c r="O19" s="46"/>
      <c r="P19" s="46"/>
      <c r="Q19" s="46"/>
      <c r="R19" s="46"/>
      <c r="S19" s="4"/>
    </row>
    <row r="20" spans="1:22" x14ac:dyDescent="0.3">
      <c r="A20" s="5" t="str">
        <f>"CalBlk"&amp;B20</f>
        <v>CalBlk1</v>
      </c>
      <c r="B20" s="19">
        <v>1</v>
      </c>
      <c r="C20" s="67">
        <v>0</v>
      </c>
      <c r="D20" s="43">
        <f>C20*1000/1000</f>
        <v>0</v>
      </c>
      <c r="E20" s="48">
        <v>17579.113116641794</v>
      </c>
      <c r="F20" s="48">
        <v>35781006.689816773</v>
      </c>
      <c r="G20" s="49">
        <f>E20/F20</f>
        <v>4.9129733182282954E-4</v>
      </c>
      <c r="H20" s="49">
        <f>G20-$G$20</f>
        <v>0</v>
      </c>
      <c r="I20" s="30"/>
      <c r="J20" s="45"/>
      <c r="K20" s="45"/>
      <c r="L20" s="46"/>
      <c r="M20" s="46"/>
      <c r="N20" s="46"/>
      <c r="O20" s="46"/>
      <c r="P20" s="46"/>
      <c r="Q20" s="46"/>
      <c r="R20" s="46"/>
      <c r="S20" s="4"/>
    </row>
    <row r="21" spans="1:22" x14ac:dyDescent="0.3">
      <c r="A21" s="5" t="str">
        <f>"CalStd"&amp;B21</f>
        <v>CalStd2</v>
      </c>
      <c r="B21" s="19">
        <v>2</v>
      </c>
      <c r="C21" s="43">
        <f>0.125</f>
        <v>0.125</v>
      </c>
      <c r="D21" s="43">
        <f t="shared" ref="D21:D27" si="0">C21*1000/1000</f>
        <v>0.125</v>
      </c>
      <c r="E21" s="48">
        <v>46135.267177381495</v>
      </c>
      <c r="F21" s="48">
        <v>36241031.243544362</v>
      </c>
      <c r="G21" s="47">
        <f t="shared" ref="G21:G27" si="1">E21/F21</f>
        <v>1.2730119865338985E-3</v>
      </c>
      <c r="H21" s="49">
        <f t="shared" ref="H21:H27" si="2">G21-$G$20</f>
        <v>7.8171465471106897E-4</v>
      </c>
      <c r="I21" s="30"/>
      <c r="J21" s="45"/>
      <c r="K21" s="45"/>
      <c r="L21" s="46"/>
      <c r="M21" s="46"/>
      <c r="N21" s="46"/>
      <c r="O21" s="46"/>
      <c r="P21" s="46"/>
      <c r="Q21" s="46"/>
      <c r="R21" s="46"/>
      <c r="S21" s="4"/>
    </row>
    <row r="22" spans="1:22" x14ac:dyDescent="0.3">
      <c r="A22" s="5" t="str">
        <f t="shared" ref="A22:A27" si="3">"CalStd"&amp;B22</f>
        <v>CalStd3</v>
      </c>
      <c r="B22" s="19">
        <v>3</v>
      </c>
      <c r="C22" s="48">
        <f>0.25</f>
        <v>0.25</v>
      </c>
      <c r="D22" s="48">
        <f t="shared" si="0"/>
        <v>0.25</v>
      </c>
      <c r="E22" s="48">
        <v>86703.657842808607</v>
      </c>
      <c r="F22" s="48">
        <v>36161582.766049914</v>
      </c>
      <c r="G22" s="47">
        <f t="shared" si="1"/>
        <v>2.3976731993105628E-3</v>
      </c>
      <c r="H22" s="49">
        <f t="shared" si="2"/>
        <v>1.9063758674877332E-3</v>
      </c>
      <c r="I22" s="30"/>
      <c r="J22" s="45"/>
      <c r="K22" s="45"/>
      <c r="L22" s="46"/>
      <c r="M22" s="46"/>
      <c r="N22" s="46"/>
      <c r="O22" s="46"/>
      <c r="P22" s="46"/>
      <c r="Q22" s="46"/>
      <c r="R22" s="46"/>
      <c r="S22" s="4"/>
    </row>
    <row r="23" spans="1:22" x14ac:dyDescent="0.3">
      <c r="A23" s="5" t="str">
        <f t="shared" si="3"/>
        <v>CalStd4</v>
      </c>
      <c r="B23" s="19">
        <v>4</v>
      </c>
      <c r="C23" s="48">
        <f>0.5</f>
        <v>0.5</v>
      </c>
      <c r="D23" s="48">
        <f t="shared" si="0"/>
        <v>0.5</v>
      </c>
      <c r="E23" s="48">
        <v>145027.82670239647</v>
      </c>
      <c r="F23" s="48">
        <v>36865382.189736687</v>
      </c>
      <c r="G23" s="47">
        <f>E23/F23</f>
        <v>3.9339840817592875E-3</v>
      </c>
      <c r="H23" s="49">
        <f t="shared" si="2"/>
        <v>3.4426867499364579E-3</v>
      </c>
      <c r="I23" s="30"/>
      <c r="J23" s="45"/>
      <c r="K23" s="45"/>
      <c r="L23" s="46"/>
      <c r="M23" s="46"/>
      <c r="N23" s="46"/>
      <c r="O23" s="46"/>
      <c r="P23" s="46"/>
      <c r="Q23" s="46"/>
      <c r="R23" s="46"/>
      <c r="S23" s="4"/>
    </row>
    <row r="24" spans="1:22" x14ac:dyDescent="0.3">
      <c r="A24" s="5" t="str">
        <f t="shared" si="3"/>
        <v>CalStd5</v>
      </c>
      <c r="B24" s="19">
        <v>5</v>
      </c>
      <c r="C24" s="48">
        <f>1</f>
        <v>1</v>
      </c>
      <c r="D24" s="48">
        <f t="shared" si="0"/>
        <v>1</v>
      </c>
      <c r="E24" s="48">
        <v>259990.57714189109</v>
      </c>
      <c r="F24" s="48">
        <v>36286288.010352395</v>
      </c>
      <c r="G24" s="47">
        <f t="shared" si="1"/>
        <v>7.1649813579089811E-3</v>
      </c>
      <c r="H24" s="47">
        <f t="shared" si="2"/>
        <v>6.6736840260861515E-3</v>
      </c>
      <c r="I24" s="30"/>
      <c r="J24" s="45"/>
      <c r="K24" s="45"/>
      <c r="L24" s="46"/>
      <c r="M24" s="46"/>
      <c r="N24" s="46"/>
      <c r="O24" s="46"/>
      <c r="P24" s="46"/>
      <c r="Q24" s="46"/>
      <c r="R24" s="46"/>
      <c r="S24" s="4"/>
    </row>
    <row r="25" spans="1:22" x14ac:dyDescent="0.3">
      <c r="A25" s="5" t="str">
        <f t="shared" si="3"/>
        <v>CalStd6</v>
      </c>
      <c r="B25" s="19">
        <v>6</v>
      </c>
      <c r="C25" s="48">
        <f>2</f>
        <v>2</v>
      </c>
      <c r="D25" s="48">
        <f t="shared" si="0"/>
        <v>2</v>
      </c>
      <c r="E25" s="48">
        <v>511706.39690868027</v>
      </c>
      <c r="F25" s="48">
        <v>36549959.363213532</v>
      </c>
      <c r="G25" s="43">
        <f t="shared" si="1"/>
        <v>1.4000190583623407E-2</v>
      </c>
      <c r="H25" s="47">
        <f t="shared" si="2"/>
        <v>1.3508893251800578E-2</v>
      </c>
      <c r="I25" s="30"/>
      <c r="J25" s="45"/>
      <c r="K25" s="45"/>
      <c r="L25" s="46"/>
      <c r="M25" s="46"/>
      <c r="N25" s="46"/>
      <c r="O25" s="46"/>
      <c r="P25" s="46"/>
      <c r="Q25" s="46"/>
      <c r="R25" s="46"/>
      <c r="S25" s="4"/>
    </row>
    <row r="26" spans="1:22" x14ac:dyDescent="0.3">
      <c r="A26" s="5" t="str">
        <f t="shared" si="3"/>
        <v>CalStd7</v>
      </c>
      <c r="B26" s="19">
        <v>7</v>
      </c>
      <c r="C26" s="48">
        <f>3</f>
        <v>3</v>
      </c>
      <c r="D26" s="48">
        <f t="shared" si="0"/>
        <v>3</v>
      </c>
      <c r="E26" s="48">
        <v>742430.73726278672</v>
      </c>
      <c r="F26" s="48">
        <v>36490613.549790978</v>
      </c>
      <c r="G26" s="43">
        <f t="shared" si="1"/>
        <v>2.0345800331631844E-2</v>
      </c>
      <c r="H26" s="47">
        <f t="shared" si="2"/>
        <v>1.9854502999809016E-2</v>
      </c>
      <c r="I26" s="30"/>
      <c r="J26" s="45"/>
      <c r="K26" s="45"/>
      <c r="L26" s="46"/>
      <c r="M26" s="46"/>
      <c r="N26" s="46"/>
      <c r="O26" s="46"/>
      <c r="P26" s="46"/>
      <c r="Q26" s="46"/>
      <c r="R26" s="46"/>
      <c r="S26" s="4"/>
    </row>
    <row r="27" spans="1:22" x14ac:dyDescent="0.3">
      <c r="A27" s="5" t="str">
        <f t="shared" si="3"/>
        <v>CalStd8</v>
      </c>
      <c r="B27" s="19">
        <v>8</v>
      </c>
      <c r="C27" s="48">
        <f>5</f>
        <v>5</v>
      </c>
      <c r="D27" s="48">
        <f t="shared" si="0"/>
        <v>5</v>
      </c>
      <c r="E27" s="48">
        <v>1250125.9363808595</v>
      </c>
      <c r="F27" s="48">
        <v>36009283.608499996</v>
      </c>
      <c r="G27" s="43">
        <f t="shared" si="1"/>
        <v>3.4716767763904283E-2</v>
      </c>
      <c r="H27" s="47">
        <f t="shared" si="2"/>
        <v>3.4225470432081455E-2</v>
      </c>
      <c r="I27" s="30"/>
      <c r="J27" s="45"/>
      <c r="K27" s="45"/>
      <c r="L27" s="46"/>
      <c r="M27" s="46"/>
      <c r="N27" s="46"/>
      <c r="O27" s="46"/>
      <c r="P27" s="46"/>
      <c r="Q27" s="46"/>
      <c r="R27" s="46"/>
      <c r="S27" s="4"/>
    </row>
    <row r="28" spans="1:22" ht="14.5" x14ac:dyDescent="0.3">
      <c r="B28" s="196"/>
      <c r="C28" s="197" t="s">
        <v>5</v>
      </c>
      <c r="D28" s="197"/>
      <c r="E28" s="197"/>
      <c r="F28" s="197"/>
      <c r="G28" s="197"/>
      <c r="H28" s="47">
        <f>SLOPE(H20:H27,D20:D27)</f>
        <v>6.7896857362708379E-3</v>
      </c>
      <c r="I28" s="50"/>
      <c r="J28" s="45"/>
      <c r="K28" s="45"/>
      <c r="L28" s="45"/>
      <c r="M28" s="45"/>
      <c r="N28" s="46"/>
      <c r="O28" s="46"/>
      <c r="P28" s="46"/>
      <c r="Q28" s="46"/>
      <c r="R28" s="46"/>
      <c r="S28" s="4"/>
    </row>
    <row r="29" spans="1:22" ht="14.5" x14ac:dyDescent="0.3">
      <c r="B29" s="196"/>
      <c r="C29" s="197" t="s">
        <v>4</v>
      </c>
      <c r="D29" s="197"/>
      <c r="E29" s="197"/>
      <c r="F29" s="197"/>
      <c r="G29" s="197"/>
      <c r="H29" s="66">
        <f>INTERCEPT(H20:H27,D20:D27)</f>
        <v>-2.9273767037967663E-5</v>
      </c>
      <c r="I29" s="50"/>
      <c r="J29" s="45"/>
      <c r="K29" s="45"/>
      <c r="L29" s="45"/>
      <c r="M29" s="45"/>
      <c r="N29" s="46"/>
      <c r="O29" s="46"/>
      <c r="P29" s="46"/>
      <c r="Q29" s="46"/>
      <c r="R29" s="46"/>
      <c r="S29" s="4"/>
    </row>
    <row r="30" spans="1:22" x14ac:dyDescent="0.3">
      <c r="B30" s="196"/>
      <c r="C30" s="198" t="s">
        <v>29</v>
      </c>
      <c r="D30" s="198"/>
      <c r="E30" s="198"/>
      <c r="F30" s="198"/>
      <c r="G30" s="198"/>
      <c r="H30" s="47">
        <f>RSQ(H20:H27,D20:D27)</f>
        <v>0.99959680661664374</v>
      </c>
      <c r="I30" s="39"/>
      <c r="J30" s="46"/>
      <c r="K30" s="46"/>
      <c r="L30" s="46"/>
      <c r="M30" s="46"/>
      <c r="N30" s="46"/>
      <c r="O30" s="46"/>
      <c r="P30" s="46"/>
      <c r="Q30" s="46"/>
      <c r="R30" s="46"/>
      <c r="S30" s="4"/>
    </row>
    <row r="31" spans="1:22" x14ac:dyDescent="0.3">
      <c r="B31" s="196"/>
      <c r="C31" s="198" t="s">
        <v>3</v>
      </c>
      <c r="D31" s="198"/>
      <c r="E31" s="198"/>
      <c r="F31" s="198"/>
      <c r="G31" s="198"/>
      <c r="H31" s="47">
        <f>SQRT(H30)</f>
        <v>0.99979838298361123</v>
      </c>
      <c r="I31" s="39"/>
      <c r="J31" s="46"/>
      <c r="K31" s="46"/>
      <c r="L31" s="46"/>
      <c r="M31" s="46"/>
      <c r="N31" s="46"/>
      <c r="O31" s="46"/>
      <c r="P31" s="46"/>
      <c r="Q31" s="46"/>
      <c r="R31" s="46"/>
      <c r="S31" s="4"/>
    </row>
    <row r="32" spans="1:22" x14ac:dyDescent="0.3">
      <c r="C32" s="31"/>
      <c r="D32" s="31"/>
      <c r="E32" s="31"/>
      <c r="F32" s="39"/>
      <c r="G32" s="39"/>
      <c r="H32" s="39"/>
      <c r="I32" s="39"/>
      <c r="J32" s="39"/>
      <c r="K32" s="39"/>
      <c r="L32" s="51"/>
      <c r="M32" s="51"/>
      <c r="N32" s="51"/>
      <c r="O32" s="39"/>
      <c r="P32" s="39"/>
      <c r="Q32" s="39"/>
      <c r="R32" s="39"/>
      <c r="S32" s="4"/>
      <c r="T32" s="4"/>
      <c r="U32" s="4"/>
    </row>
    <row r="33" spans="1:21" x14ac:dyDescent="0.3">
      <c r="C33" s="31"/>
      <c r="D33" s="31"/>
      <c r="E33" s="31"/>
      <c r="F33" s="39"/>
      <c r="G33" s="39"/>
      <c r="H33" s="39"/>
      <c r="I33" s="39"/>
      <c r="J33" s="39"/>
      <c r="K33" s="39"/>
      <c r="L33" s="51"/>
      <c r="M33" s="51"/>
      <c r="N33" s="51"/>
      <c r="O33" s="39"/>
      <c r="P33" s="39"/>
      <c r="Q33" s="39"/>
      <c r="R33" s="39"/>
      <c r="S33" s="4"/>
      <c r="T33" s="4"/>
      <c r="U33" s="4"/>
    </row>
    <row r="34" spans="1:21" ht="14.5" thickBot="1" x14ac:dyDescent="0.35">
      <c r="C34" s="31"/>
      <c r="D34" s="31"/>
      <c r="E34" s="31"/>
      <c r="F34" s="39"/>
      <c r="G34" s="39"/>
      <c r="H34" s="39"/>
      <c r="I34" s="39"/>
      <c r="J34" s="39"/>
      <c r="K34" s="39"/>
      <c r="L34" s="51"/>
      <c r="M34" s="51"/>
      <c r="N34" s="51"/>
      <c r="O34" s="39"/>
      <c r="P34" s="39"/>
      <c r="Q34" s="39"/>
      <c r="R34" s="39"/>
      <c r="S34" s="4"/>
      <c r="T34" s="4"/>
      <c r="U34" s="4"/>
    </row>
    <row r="35" spans="1:21" s="81" customFormat="1" ht="48.75" customHeight="1" thickBot="1" x14ac:dyDescent="0.4">
      <c r="A35" s="73"/>
      <c r="B35" s="74" t="s">
        <v>21</v>
      </c>
      <c r="C35" s="75" t="s">
        <v>46</v>
      </c>
      <c r="D35" s="75" t="s">
        <v>2</v>
      </c>
      <c r="E35" s="76" t="s">
        <v>57</v>
      </c>
      <c r="F35" s="62" t="s">
        <v>1</v>
      </c>
      <c r="G35" s="62" t="s">
        <v>0</v>
      </c>
      <c r="H35" s="77" t="s">
        <v>42</v>
      </c>
      <c r="I35" s="77" t="s">
        <v>43</v>
      </c>
      <c r="J35" s="78" t="s">
        <v>8</v>
      </c>
      <c r="K35" s="79" t="s">
        <v>134</v>
      </c>
      <c r="L35" s="76" t="s">
        <v>135</v>
      </c>
      <c r="M35" s="76" t="s">
        <v>243</v>
      </c>
      <c r="N35" s="76" t="s">
        <v>136</v>
      </c>
      <c r="O35" s="52" t="s">
        <v>38</v>
      </c>
      <c r="P35" s="65" t="s">
        <v>137</v>
      </c>
      <c r="Q35" s="80" t="s">
        <v>49</v>
      </c>
    </row>
    <row r="36" spans="1:21" s="82" customFormat="1" ht="18" customHeight="1" x14ac:dyDescent="0.3">
      <c r="A36" s="82" t="e">
        <f>C36&amp;#REF!</f>
        <v>#REF!</v>
      </c>
      <c r="C36" s="83" t="s">
        <v>87</v>
      </c>
      <c r="D36" s="83" t="s">
        <v>106</v>
      </c>
      <c r="E36" s="84">
        <v>50</v>
      </c>
      <c r="F36" s="84">
        <v>50</v>
      </c>
      <c r="G36" s="84">
        <v>1</v>
      </c>
      <c r="H36" s="85">
        <v>24981.497631482802</v>
      </c>
      <c r="I36" s="85">
        <v>23063264.428200871</v>
      </c>
      <c r="J36" s="120">
        <f>H36/I36</f>
        <v>1.0831726666124676E-3</v>
      </c>
      <c r="K36" s="87">
        <f>((J36)-$H$29)/$H$28</f>
        <v>0.16384358228948526</v>
      </c>
      <c r="L36" s="137">
        <f>K36*G36*F36/E36</f>
        <v>0.16384358228948526</v>
      </c>
      <c r="M36" s="163">
        <f>L36*1000</f>
        <v>163.84358228948525</v>
      </c>
      <c r="N36" s="217">
        <f>AVERAGE(L36:L37)</f>
        <v>0.14981572802556695</v>
      </c>
      <c r="O36" s="188">
        <f>ABS(L36-L37)/N36*100</f>
        <v>18.726811195049393</v>
      </c>
      <c r="P36" s="188">
        <f>2/3*2^(1-(0.5*LOG(N36/1000000000)))</f>
        <v>40.148071774245636</v>
      </c>
      <c r="Q36" s="89" t="s">
        <v>152</v>
      </c>
    </row>
    <row r="37" spans="1:21" s="82" customFormat="1" ht="18" customHeight="1" x14ac:dyDescent="0.3">
      <c r="A37" s="82" t="e">
        <f>C37&amp;#REF!</f>
        <v>#REF!</v>
      </c>
      <c r="C37" s="83" t="s">
        <v>88</v>
      </c>
      <c r="D37" s="83" t="s">
        <v>106</v>
      </c>
      <c r="E37" s="84">
        <v>50</v>
      </c>
      <c r="F37" s="84">
        <v>50</v>
      </c>
      <c r="G37" s="84">
        <v>1</v>
      </c>
      <c r="H37" s="85">
        <v>29067.172664174479</v>
      </c>
      <c r="I37" s="85">
        <v>32561576.075679988</v>
      </c>
      <c r="J37" s="134">
        <f t="shared" ref="J37:J59" si="4">H37/I37</f>
        <v>8.9268322260004323E-4</v>
      </c>
      <c r="K37" s="87">
        <f t="shared" ref="K37:K59" si="5">((J37)-$H$29)/$H$28</f>
        <v>0.13578787376164864</v>
      </c>
      <c r="L37" s="137">
        <f t="shared" ref="L37:L59" si="6">K37*G37*F37/E37</f>
        <v>0.13578787376164864</v>
      </c>
      <c r="M37" s="163">
        <f t="shared" ref="M37:M59" si="7">L37*1000</f>
        <v>135.78787376164863</v>
      </c>
      <c r="N37" s="218"/>
      <c r="O37" s="189"/>
      <c r="P37" s="189"/>
      <c r="Q37" s="89"/>
    </row>
    <row r="38" spans="1:21" s="82" customFormat="1" ht="18" customHeight="1" x14ac:dyDescent="0.3">
      <c r="A38" s="82" t="e">
        <f>C38&amp;#REF!</f>
        <v>#REF!</v>
      </c>
      <c r="C38" s="83" t="s">
        <v>89</v>
      </c>
      <c r="D38" s="83" t="s">
        <v>106</v>
      </c>
      <c r="E38" s="84">
        <v>50</v>
      </c>
      <c r="F38" s="84">
        <v>50</v>
      </c>
      <c r="G38" s="84">
        <v>1</v>
      </c>
      <c r="H38" s="85">
        <v>28916.846329763193</v>
      </c>
      <c r="I38" s="85">
        <v>32049621.418909799</v>
      </c>
      <c r="J38" s="134">
        <f t="shared" si="4"/>
        <v>9.0225235274391674E-4</v>
      </c>
      <c r="K38" s="87">
        <f t="shared" si="5"/>
        <v>0.13719723650913998</v>
      </c>
      <c r="L38" s="137">
        <f t="shared" si="6"/>
        <v>0.13719723650913998</v>
      </c>
      <c r="M38" s="163">
        <f t="shared" si="7"/>
        <v>137.19723650913997</v>
      </c>
      <c r="N38" s="217">
        <f t="shared" ref="N38" si="8">AVERAGE(L38:L39)</f>
        <v>0.13611517840102988</v>
      </c>
      <c r="O38" s="188">
        <f t="shared" ref="O38" si="9">ABS(L38-L39)/N38*100</f>
        <v>1.5899154243064402</v>
      </c>
      <c r="P38" s="188">
        <f t="shared" ref="P38" si="10">2/3*2^(1-(0.5*LOG(N38/1000000000)))</f>
        <v>40.73181568080782</v>
      </c>
      <c r="Q38" s="89"/>
    </row>
    <row r="39" spans="1:21" s="82" customFormat="1" ht="18" customHeight="1" x14ac:dyDescent="0.3">
      <c r="A39" s="82" t="e">
        <f>C39&amp;#REF!</f>
        <v>#REF!</v>
      </c>
      <c r="C39" s="83" t="s">
        <v>90</v>
      </c>
      <c r="D39" s="83" t="s">
        <v>106</v>
      </c>
      <c r="E39" s="84">
        <v>50</v>
      </c>
      <c r="F39" s="84">
        <v>50</v>
      </c>
      <c r="G39" s="84">
        <v>1</v>
      </c>
      <c r="H39" s="85">
        <v>28535.974650091724</v>
      </c>
      <c r="I39" s="85">
        <v>32151084.962493259</v>
      </c>
      <c r="J39" s="134">
        <f t="shared" si="4"/>
        <v>8.8755868373901407E-4</v>
      </c>
      <c r="K39" s="87">
        <f t="shared" si="5"/>
        <v>0.13503312029291978</v>
      </c>
      <c r="L39" s="137">
        <f t="shared" si="6"/>
        <v>0.13503312029291978</v>
      </c>
      <c r="M39" s="163">
        <f t="shared" si="7"/>
        <v>135.03312029291979</v>
      </c>
      <c r="N39" s="218"/>
      <c r="O39" s="189"/>
      <c r="P39" s="189"/>
      <c r="Q39" s="89"/>
    </row>
    <row r="40" spans="1:21" s="82" customFormat="1" ht="18" customHeight="1" x14ac:dyDescent="0.3">
      <c r="A40" s="82" t="e">
        <f>C40&amp;#REF!</f>
        <v>#REF!</v>
      </c>
      <c r="C40" s="83" t="s">
        <v>91</v>
      </c>
      <c r="D40" s="83" t="s">
        <v>106</v>
      </c>
      <c r="E40" s="84">
        <v>50</v>
      </c>
      <c r="F40" s="84">
        <v>50</v>
      </c>
      <c r="G40" s="84">
        <v>1</v>
      </c>
      <c r="H40" s="85">
        <v>28650.291576420001</v>
      </c>
      <c r="I40" s="85">
        <v>33312668.6513169</v>
      </c>
      <c r="J40" s="120">
        <f t="shared" si="4"/>
        <v>8.600419220778162E-4</v>
      </c>
      <c r="K40" s="87">
        <f t="shared" si="5"/>
        <v>0.13098039050099408</v>
      </c>
      <c r="L40" s="137">
        <f t="shared" si="6"/>
        <v>0.13098039050099408</v>
      </c>
      <c r="M40" s="163">
        <f t="shared" si="7"/>
        <v>130.98039050099408</v>
      </c>
      <c r="N40" s="217">
        <f t="shared" ref="N40" si="11">AVERAGE(L40:L41)</f>
        <v>0.12418608071372783</v>
      </c>
      <c r="O40" s="188">
        <f t="shared" ref="O40" si="12">ABS(L40-L41)/N40*100</f>
        <v>10.94214383482864</v>
      </c>
      <c r="P40" s="188">
        <f t="shared" ref="P40" si="13">2/3*2^(1-(0.5*LOG(N40/1000000000)))</f>
        <v>41.298029429295916</v>
      </c>
      <c r="Q40" s="89"/>
    </row>
    <row r="41" spans="1:21" s="82" customFormat="1" ht="18" customHeight="1" x14ac:dyDescent="0.3">
      <c r="A41" s="82" t="e">
        <f>C41&amp;#REF!</f>
        <v>#REF!</v>
      </c>
      <c r="C41" s="83" t="s">
        <v>92</v>
      </c>
      <c r="D41" s="83" t="s">
        <v>106</v>
      </c>
      <c r="E41" s="84">
        <v>50</v>
      </c>
      <c r="F41" s="84">
        <v>50</v>
      </c>
      <c r="G41" s="84">
        <v>1</v>
      </c>
      <c r="H41" s="85">
        <v>26209.997137034999</v>
      </c>
      <c r="I41" s="85">
        <v>34137403.137419991</v>
      </c>
      <c r="J41" s="120">
        <f t="shared" si="4"/>
        <v>7.677794655770022E-4</v>
      </c>
      <c r="K41" s="87">
        <f t="shared" si="5"/>
        <v>0.11739177092646158</v>
      </c>
      <c r="L41" s="137">
        <f t="shared" si="6"/>
        <v>0.11739177092646159</v>
      </c>
      <c r="M41" s="163">
        <f t="shared" si="7"/>
        <v>117.39177092646159</v>
      </c>
      <c r="N41" s="218"/>
      <c r="O41" s="189"/>
      <c r="P41" s="189"/>
      <c r="Q41" s="89"/>
    </row>
    <row r="42" spans="1:21" s="90" customFormat="1" ht="18" customHeight="1" x14ac:dyDescent="0.3">
      <c r="A42" s="90" t="e">
        <f>C42&amp;#REF!</f>
        <v>#REF!</v>
      </c>
      <c r="C42" s="91" t="s">
        <v>93</v>
      </c>
      <c r="D42" s="91" t="s">
        <v>107</v>
      </c>
      <c r="E42" s="92">
        <v>50</v>
      </c>
      <c r="F42" s="92">
        <v>50</v>
      </c>
      <c r="G42" s="92">
        <v>1</v>
      </c>
      <c r="H42" s="93">
        <v>28709.811151431601</v>
      </c>
      <c r="I42" s="93">
        <v>34614519.740440227</v>
      </c>
      <c r="J42" s="94">
        <f>H42/I42</f>
        <v>8.2941526754421087E-4</v>
      </c>
      <c r="K42" s="100">
        <f t="shared" si="5"/>
        <v>0.12646962877751752</v>
      </c>
      <c r="L42" s="138">
        <f t="shared" si="6"/>
        <v>0.12646962877751752</v>
      </c>
      <c r="M42" s="163">
        <f t="shared" si="7"/>
        <v>126.46962877751753</v>
      </c>
      <c r="N42" s="215">
        <f t="shared" ref="N42" si="14">AVERAGE(L42:L43)</f>
        <v>0.12456381163519357</v>
      </c>
      <c r="O42" s="184">
        <f t="shared" ref="O42" si="15">ABS(L42-L43)/N42*100</f>
        <v>3.0599852674795467</v>
      </c>
      <c r="P42" s="184">
        <f t="shared" ref="P42" si="16">2/3*2^(1-(0.5*LOG(N42/1000000000)))</f>
        <v>41.279155609082977</v>
      </c>
      <c r="Q42" s="96"/>
    </row>
    <row r="43" spans="1:21" s="90" customFormat="1" ht="18" customHeight="1" x14ac:dyDescent="0.3">
      <c r="A43" s="90" t="e">
        <f>C43&amp;#REF!</f>
        <v>#REF!</v>
      </c>
      <c r="C43" s="91" t="s">
        <v>94</v>
      </c>
      <c r="D43" s="91" t="s">
        <v>107</v>
      </c>
      <c r="E43" s="92">
        <v>50</v>
      </c>
      <c r="F43" s="92">
        <v>50</v>
      </c>
      <c r="G43" s="92">
        <v>1</v>
      </c>
      <c r="H43" s="93">
        <v>28789.873220530528</v>
      </c>
      <c r="I43" s="93">
        <v>35829001.13959872</v>
      </c>
      <c r="J43" s="94">
        <f>H43/I43</f>
        <v>8.0353546860985618E-4</v>
      </c>
      <c r="K43" s="100">
        <f t="shared" si="5"/>
        <v>0.12265799449286963</v>
      </c>
      <c r="L43" s="138">
        <f t="shared" si="6"/>
        <v>0.12265799449286963</v>
      </c>
      <c r="M43" s="163">
        <f t="shared" si="7"/>
        <v>122.65799449286962</v>
      </c>
      <c r="N43" s="216"/>
      <c r="O43" s="185"/>
      <c r="P43" s="185"/>
      <c r="Q43" s="96"/>
    </row>
    <row r="44" spans="1:21" s="90" customFormat="1" ht="18" customHeight="1" x14ac:dyDescent="0.3">
      <c r="A44" s="90" t="e">
        <f>C44&amp;#REF!</f>
        <v>#REF!</v>
      </c>
      <c r="C44" s="91" t="s">
        <v>95</v>
      </c>
      <c r="D44" s="91" t="s">
        <v>107</v>
      </c>
      <c r="E44" s="92">
        <v>50</v>
      </c>
      <c r="F44" s="92">
        <v>50</v>
      </c>
      <c r="G44" s="92">
        <v>1</v>
      </c>
      <c r="H44" s="93">
        <v>28649.547871780636</v>
      </c>
      <c r="I44" s="93">
        <v>34954724.622593798</v>
      </c>
      <c r="J44" s="94">
        <f t="shared" si="4"/>
        <v>8.196187548638943E-4</v>
      </c>
      <c r="K44" s="100">
        <f t="shared" si="5"/>
        <v>0.12502677662487913</v>
      </c>
      <c r="L44" s="138">
        <f t="shared" si="6"/>
        <v>0.12502677662487913</v>
      </c>
      <c r="M44" s="163">
        <f t="shared" si="7"/>
        <v>125.02677662487913</v>
      </c>
      <c r="N44" s="215">
        <f t="shared" ref="N44" si="17">AVERAGE(L44:L45)</f>
        <v>0.12454926217481568</v>
      </c>
      <c r="O44" s="184">
        <f t="shared" ref="O44" si="18">ABS(L44-L45)/N44*100</f>
        <v>0.76678808324567538</v>
      </c>
      <c r="P44" s="184">
        <f t="shared" ref="P44" si="19">2/3*2^(1-(0.5*LOG(N44/1000000000)))</f>
        <v>41.279881371978533</v>
      </c>
      <c r="Q44" s="96"/>
    </row>
    <row r="45" spans="1:21" s="90" customFormat="1" ht="18" customHeight="1" x14ac:dyDescent="0.3">
      <c r="A45" s="90" t="e">
        <f>C45&amp;#REF!</f>
        <v>#REF!</v>
      </c>
      <c r="C45" s="91" t="s">
        <v>96</v>
      </c>
      <c r="D45" s="91" t="s">
        <v>107</v>
      </c>
      <c r="E45" s="92">
        <v>50</v>
      </c>
      <c r="F45" s="92">
        <v>50</v>
      </c>
      <c r="G45" s="92">
        <v>1</v>
      </c>
      <c r="H45" s="93">
        <v>28579.561647544095</v>
      </c>
      <c r="I45" s="93">
        <v>35147401.634401701</v>
      </c>
      <c r="J45" s="94">
        <f t="shared" si="4"/>
        <v>8.1313440876297635E-4</v>
      </c>
      <c r="K45" s="100">
        <f t="shared" si="5"/>
        <v>0.12407174772475223</v>
      </c>
      <c r="L45" s="138">
        <f t="shared" si="6"/>
        <v>0.12407174772475223</v>
      </c>
      <c r="M45" s="163">
        <f t="shared" si="7"/>
        <v>124.07174772475223</v>
      </c>
      <c r="N45" s="216"/>
      <c r="O45" s="185"/>
      <c r="P45" s="185"/>
      <c r="Q45" s="96"/>
    </row>
    <row r="46" spans="1:21" s="90" customFormat="1" ht="18" customHeight="1" x14ac:dyDescent="0.3">
      <c r="A46" s="90" t="e">
        <f>C46&amp;#REF!</f>
        <v>#REF!</v>
      </c>
      <c r="C46" s="91" t="s">
        <v>97</v>
      </c>
      <c r="D46" s="91" t="s">
        <v>107</v>
      </c>
      <c r="E46" s="92">
        <v>50</v>
      </c>
      <c r="F46" s="92">
        <v>50</v>
      </c>
      <c r="G46" s="92">
        <v>1</v>
      </c>
      <c r="H46" s="93">
        <v>23335.231722861408</v>
      </c>
      <c r="I46" s="93">
        <v>35452219.35162539</v>
      </c>
      <c r="J46" s="94">
        <f t="shared" si="4"/>
        <v>6.5821638672083731E-4</v>
      </c>
      <c r="K46" s="100">
        <f t="shared" si="5"/>
        <v>0.1012550772543416</v>
      </c>
      <c r="L46" s="138">
        <f t="shared" si="6"/>
        <v>0.1012550772543416</v>
      </c>
      <c r="M46" s="163">
        <f t="shared" si="7"/>
        <v>101.2550772543416</v>
      </c>
      <c r="N46" s="215">
        <f t="shared" ref="N46" si="20">AVERAGE(L46:L47)</f>
        <v>0.10108094799605065</v>
      </c>
      <c r="O46" s="184">
        <f t="shared" ref="O46" si="21">ABS(L46-L47)/N46*100</f>
        <v>0.34453428018454396</v>
      </c>
      <c r="P46" s="184">
        <f t="shared" ref="P46" si="22">2/3*2^(1-(0.5*LOG(N46/1000000000)))</f>
        <v>42.597676817649663</v>
      </c>
      <c r="Q46" s="96"/>
    </row>
    <row r="47" spans="1:21" s="102" customFormat="1" x14ac:dyDescent="0.3">
      <c r="A47" s="90" t="e">
        <f>C47&amp;#REF!</f>
        <v>#REF!</v>
      </c>
      <c r="B47" s="90"/>
      <c r="C47" s="91" t="s">
        <v>98</v>
      </c>
      <c r="D47" s="91" t="s">
        <v>107</v>
      </c>
      <c r="E47" s="92">
        <v>50</v>
      </c>
      <c r="F47" s="92">
        <v>50</v>
      </c>
      <c r="G47" s="92">
        <v>1</v>
      </c>
      <c r="H47" s="93">
        <v>23702.512427515434</v>
      </c>
      <c r="I47" s="93">
        <v>36140042.11686179</v>
      </c>
      <c r="J47" s="94">
        <f t="shared" si="4"/>
        <v>6.5585182083826622E-4</v>
      </c>
      <c r="K47" s="100">
        <f t="shared" si="5"/>
        <v>0.1009068187377597</v>
      </c>
      <c r="L47" s="138">
        <f t="shared" si="6"/>
        <v>0.1009068187377597</v>
      </c>
      <c r="M47" s="163">
        <f t="shared" si="7"/>
        <v>100.90681873775969</v>
      </c>
      <c r="N47" s="216"/>
      <c r="O47" s="185"/>
      <c r="P47" s="185"/>
      <c r="Q47" s="96"/>
      <c r="R47" s="90"/>
    </row>
    <row r="48" spans="1:21" s="103" customFormat="1" ht="18" customHeight="1" x14ac:dyDescent="0.3">
      <c r="A48" s="103" t="e">
        <f>C48&amp;#REF!</f>
        <v>#REF!</v>
      </c>
      <c r="C48" s="104" t="s">
        <v>81</v>
      </c>
      <c r="D48" s="104" t="s">
        <v>108</v>
      </c>
      <c r="E48" s="105">
        <v>50</v>
      </c>
      <c r="F48" s="105">
        <v>50</v>
      </c>
      <c r="G48" s="105">
        <v>1</v>
      </c>
      <c r="H48" s="106">
        <v>24904.895205745284</v>
      </c>
      <c r="I48" s="106">
        <v>37143573.30439081</v>
      </c>
      <c r="J48" s="107">
        <f t="shared" si="4"/>
        <v>6.7050348122541111E-4</v>
      </c>
      <c r="K48" s="108">
        <f t="shared" si="5"/>
        <v>0.10306474783142525</v>
      </c>
      <c r="L48" s="139">
        <f t="shared" si="6"/>
        <v>0.10306474783142525</v>
      </c>
      <c r="M48" s="163">
        <f t="shared" si="7"/>
        <v>103.06474783142525</v>
      </c>
      <c r="N48" s="213">
        <f t="shared" ref="N48" si="23">AVERAGE(L48:L49)</f>
        <v>0.10461218497863835</v>
      </c>
      <c r="O48" s="180">
        <f t="shared" ref="O48" si="24">ABS(L48-L49)/N48*100</f>
        <v>2.9584262053776738</v>
      </c>
      <c r="P48" s="180">
        <f t="shared" ref="P48" si="25">2/3*2^(1-(0.5*LOG(N48/1000000000)))</f>
        <v>42.378081235067278</v>
      </c>
      <c r="Q48" s="110"/>
    </row>
    <row r="49" spans="1:21" s="103" customFormat="1" ht="18" customHeight="1" x14ac:dyDescent="0.3">
      <c r="A49" s="103" t="e">
        <f>C49&amp;#REF!</f>
        <v>#REF!</v>
      </c>
      <c r="C49" s="104" t="s">
        <v>82</v>
      </c>
      <c r="D49" s="104" t="s">
        <v>108</v>
      </c>
      <c r="E49" s="105">
        <v>50</v>
      </c>
      <c r="F49" s="105">
        <v>50</v>
      </c>
      <c r="G49" s="105">
        <v>1</v>
      </c>
      <c r="H49" s="106">
        <v>26190.85034354233</v>
      </c>
      <c r="I49" s="106">
        <v>37874501.29725302</v>
      </c>
      <c r="J49" s="107">
        <f>H49/I49</f>
        <v>6.9151670507782803E-4</v>
      </c>
      <c r="K49" s="108">
        <f t="shared" si="5"/>
        <v>0.10615962212585146</v>
      </c>
      <c r="L49" s="139">
        <f t="shared" si="6"/>
        <v>0.10615962212585145</v>
      </c>
      <c r="M49" s="163">
        <f t="shared" si="7"/>
        <v>106.15962212585146</v>
      </c>
      <c r="N49" s="214"/>
      <c r="O49" s="181"/>
      <c r="P49" s="181"/>
      <c r="Q49" s="110"/>
    </row>
    <row r="50" spans="1:21" s="103" customFormat="1" ht="18" customHeight="1" x14ac:dyDescent="0.3">
      <c r="A50" s="103" t="e">
        <f>C50&amp;#REF!</f>
        <v>#REF!</v>
      </c>
      <c r="C50" s="104" t="s">
        <v>83</v>
      </c>
      <c r="D50" s="104" t="s">
        <v>108</v>
      </c>
      <c r="E50" s="105">
        <v>50</v>
      </c>
      <c r="F50" s="105">
        <v>50</v>
      </c>
      <c r="G50" s="105">
        <v>1</v>
      </c>
      <c r="H50" s="106">
        <v>26197.560693297168</v>
      </c>
      <c r="I50" s="106">
        <v>36933294.228647932</v>
      </c>
      <c r="J50" s="107">
        <f>H50/I50</f>
        <v>7.0932098640084451E-4</v>
      </c>
      <c r="K50" s="108">
        <f t="shared" si="5"/>
        <v>0.10878187623518455</v>
      </c>
      <c r="L50" s="139">
        <f t="shared" si="6"/>
        <v>0.10878187623518455</v>
      </c>
      <c r="M50" s="163">
        <f t="shared" si="7"/>
        <v>108.78187623518455</v>
      </c>
      <c r="N50" s="213">
        <f t="shared" ref="N50" si="26">AVERAGE(L50:L51)</f>
        <v>0.10810884997908196</v>
      </c>
      <c r="O50" s="180">
        <f t="shared" ref="O50" si="27">ABS(L50-L51)/N50*100</f>
        <v>1.2450900296003795</v>
      </c>
      <c r="P50" s="180">
        <f t="shared" ref="P50" si="28">2/3*2^(1-(0.5*LOG(N50/1000000000)))</f>
        <v>42.168882230279472</v>
      </c>
      <c r="Q50" s="110"/>
    </row>
    <row r="51" spans="1:21" s="103" customFormat="1" ht="18" customHeight="1" x14ac:dyDescent="0.3">
      <c r="A51" s="103" t="e">
        <f>C51&amp;#REF!</f>
        <v>#REF!</v>
      </c>
      <c r="C51" s="104" t="s">
        <v>84</v>
      </c>
      <c r="D51" s="104" t="s">
        <v>108</v>
      </c>
      <c r="E51" s="105">
        <v>50</v>
      </c>
      <c r="F51" s="105">
        <v>50</v>
      </c>
      <c r="G51" s="105">
        <v>1</v>
      </c>
      <c r="H51" s="106">
        <v>25790.042290132453</v>
      </c>
      <c r="I51" s="106">
        <v>36833355.993897669</v>
      </c>
      <c r="J51" s="107">
        <f>H51/I51</f>
        <v>7.001817128584535E-4</v>
      </c>
      <c r="K51" s="108">
        <f t="shared" si="5"/>
        <v>0.10743582372297937</v>
      </c>
      <c r="L51" s="139">
        <f t="shared" si="6"/>
        <v>0.10743582372297937</v>
      </c>
      <c r="M51" s="163">
        <f t="shared" si="7"/>
        <v>107.43582372297936</v>
      </c>
      <c r="N51" s="214"/>
      <c r="O51" s="181"/>
      <c r="P51" s="181"/>
      <c r="Q51" s="110"/>
    </row>
    <row r="52" spans="1:21" s="103" customFormat="1" ht="18" customHeight="1" x14ac:dyDescent="0.3">
      <c r="A52" s="103" t="e">
        <f>C52&amp;#REF!</f>
        <v>#REF!</v>
      </c>
      <c r="C52" s="104" t="s">
        <v>85</v>
      </c>
      <c r="D52" s="104" t="s">
        <v>108</v>
      </c>
      <c r="E52" s="105">
        <v>50</v>
      </c>
      <c r="F52" s="105">
        <v>50</v>
      </c>
      <c r="G52" s="105">
        <v>1</v>
      </c>
      <c r="H52" s="106">
        <v>23929.650786291026</v>
      </c>
      <c r="I52" s="106">
        <v>37691311.706387512</v>
      </c>
      <c r="J52" s="107">
        <f>H52/I52</f>
        <v>6.3488506244359995E-4</v>
      </c>
      <c r="K52" s="108">
        <f t="shared" si="5"/>
        <v>9.7818787979184099E-2</v>
      </c>
      <c r="L52" s="139">
        <f t="shared" si="6"/>
        <v>9.7818787979184099E-2</v>
      </c>
      <c r="M52" s="163">
        <f t="shared" si="7"/>
        <v>97.818787979184094</v>
      </c>
      <c r="N52" s="213">
        <f t="shared" ref="N52" si="29">AVERAGE(L52:L53)</f>
        <v>9.6313082071646017E-2</v>
      </c>
      <c r="O52" s="180">
        <f t="shared" ref="O52" si="30">ABS(L52-L53)/N52*100</f>
        <v>3.1266903210884998</v>
      </c>
      <c r="P52" s="180">
        <f t="shared" ref="P52" si="31">2/3*2^(1-(0.5*LOG(N52/1000000000)))</f>
        <v>42.908598027677307</v>
      </c>
      <c r="Q52" s="110"/>
    </row>
    <row r="53" spans="1:21" s="111" customFormat="1" x14ac:dyDescent="0.3">
      <c r="A53" s="103" t="e">
        <f>C53&amp;#REF!</f>
        <v>#REF!</v>
      </c>
      <c r="B53" s="103"/>
      <c r="C53" s="104" t="s">
        <v>86</v>
      </c>
      <c r="D53" s="104" t="s">
        <v>108</v>
      </c>
      <c r="E53" s="105">
        <v>50</v>
      </c>
      <c r="F53" s="105">
        <v>50</v>
      </c>
      <c r="G53" s="105">
        <v>1</v>
      </c>
      <c r="H53" s="106">
        <v>23081.374271141849</v>
      </c>
      <c r="I53" s="106">
        <v>37564985.628823139</v>
      </c>
      <c r="J53" s="107">
        <f>H53/I53</f>
        <v>6.1443852259673967E-4</v>
      </c>
      <c r="K53" s="108">
        <f t="shared" si="5"/>
        <v>9.480737616410792E-2</v>
      </c>
      <c r="L53" s="139">
        <f t="shared" si="6"/>
        <v>9.480737616410792E-2</v>
      </c>
      <c r="M53" s="163">
        <f t="shared" si="7"/>
        <v>94.807376164107922</v>
      </c>
      <c r="N53" s="214"/>
      <c r="O53" s="181"/>
      <c r="P53" s="181"/>
      <c r="Q53" s="110"/>
      <c r="R53" s="103"/>
    </row>
    <row r="54" spans="1:21" s="121" customFormat="1" x14ac:dyDescent="0.3">
      <c r="A54" s="82"/>
      <c r="B54" s="82"/>
      <c r="C54" s="83" t="s">
        <v>109</v>
      </c>
      <c r="D54" s="83" t="s">
        <v>127</v>
      </c>
      <c r="E54" s="84">
        <v>50</v>
      </c>
      <c r="F54" s="84">
        <v>50</v>
      </c>
      <c r="G54" s="84">
        <v>1</v>
      </c>
      <c r="H54" s="85">
        <v>164280.18657386856</v>
      </c>
      <c r="I54" s="85">
        <v>36494615.408223949</v>
      </c>
      <c r="J54" s="120">
        <f t="shared" si="4"/>
        <v>4.5014911031737723E-3</v>
      </c>
      <c r="K54" s="87">
        <f t="shared" si="5"/>
        <v>0.66730111616332544</v>
      </c>
      <c r="L54" s="137">
        <f t="shared" si="6"/>
        <v>0.66730111616332555</v>
      </c>
      <c r="M54" s="163">
        <f t="shared" si="7"/>
        <v>667.30111616332556</v>
      </c>
      <c r="N54" s="217">
        <f t="shared" ref="N54" si="32">AVERAGE(L54:L55)</f>
        <v>0.6531707779657574</v>
      </c>
      <c r="O54" s="188">
        <f t="shared" ref="O54" si="33">ABS(L54-L55)/N54*100</f>
        <v>4.3266902544464383</v>
      </c>
      <c r="P54" s="188">
        <f t="shared" ref="P54" si="34">2/3*2^(1-(0.5*LOG(N54/1000000000)))</f>
        <v>32.167326405073105</v>
      </c>
      <c r="Q54" s="89"/>
      <c r="R54" s="82"/>
    </row>
    <row r="55" spans="1:21" s="121" customFormat="1" x14ac:dyDescent="0.3">
      <c r="A55" s="82"/>
      <c r="B55" s="82"/>
      <c r="C55" s="83" t="s">
        <v>110</v>
      </c>
      <c r="D55" s="83" t="s">
        <v>127</v>
      </c>
      <c r="E55" s="84">
        <v>50</v>
      </c>
      <c r="F55" s="84">
        <v>50</v>
      </c>
      <c r="G55" s="84">
        <v>1</v>
      </c>
      <c r="H55" s="85">
        <v>161926.59158019393</v>
      </c>
      <c r="I55" s="85">
        <v>37573374.827405654</v>
      </c>
      <c r="J55" s="120">
        <f t="shared" si="4"/>
        <v>4.3096099917563496E-3</v>
      </c>
      <c r="K55" s="87">
        <f t="shared" si="5"/>
        <v>0.63904043976818914</v>
      </c>
      <c r="L55" s="137">
        <f t="shared" si="6"/>
        <v>0.63904043976818914</v>
      </c>
      <c r="M55" s="163">
        <f t="shared" si="7"/>
        <v>639.04043976818912</v>
      </c>
      <c r="N55" s="218"/>
      <c r="O55" s="189"/>
      <c r="P55" s="189"/>
      <c r="Q55" s="89"/>
      <c r="R55" s="82"/>
    </row>
    <row r="56" spans="1:21" s="121" customFormat="1" x14ac:dyDescent="0.3">
      <c r="A56" s="82"/>
      <c r="B56" s="82"/>
      <c r="C56" s="83" t="s">
        <v>111</v>
      </c>
      <c r="D56" s="83" t="s">
        <v>127</v>
      </c>
      <c r="E56" s="84">
        <v>50</v>
      </c>
      <c r="F56" s="84">
        <v>50</v>
      </c>
      <c r="G56" s="84">
        <v>1</v>
      </c>
      <c r="H56" s="85">
        <v>163223.65126574066</v>
      </c>
      <c r="I56" s="85">
        <v>37223591.005779691</v>
      </c>
      <c r="J56" s="120">
        <f t="shared" si="4"/>
        <v>4.3849517699782641E-3</v>
      </c>
      <c r="K56" s="87">
        <f t="shared" si="5"/>
        <v>0.65013694425284219</v>
      </c>
      <c r="L56" s="137">
        <f t="shared" si="6"/>
        <v>0.65013694425284219</v>
      </c>
      <c r="M56" s="163">
        <f t="shared" si="7"/>
        <v>650.13694425284223</v>
      </c>
      <c r="N56" s="217">
        <f t="shared" ref="N56" si="35">AVERAGE(L56:L57)</f>
        <v>0.64465554340295061</v>
      </c>
      <c r="O56" s="188">
        <f t="shared" ref="O56" si="36">ABS(L56-L57)/N56*100</f>
        <v>1.7005673513507018</v>
      </c>
      <c r="P56" s="188">
        <f t="shared" ref="P56" si="37">2/3*2^(1-(0.5*LOG(N56/1000000000)))</f>
        <v>32.230923894684757</v>
      </c>
      <c r="Q56" s="89"/>
      <c r="R56" s="82"/>
    </row>
    <row r="57" spans="1:21" s="121" customFormat="1" x14ac:dyDescent="0.3">
      <c r="A57" s="82"/>
      <c r="B57" s="82"/>
      <c r="C57" s="83" t="s">
        <v>112</v>
      </c>
      <c r="D57" s="83" t="s">
        <v>127</v>
      </c>
      <c r="E57" s="84">
        <v>50</v>
      </c>
      <c r="F57" s="84">
        <v>50</v>
      </c>
      <c r="G57" s="84">
        <v>1</v>
      </c>
      <c r="H57" s="85">
        <v>162875.79121251951</v>
      </c>
      <c r="I57" s="85">
        <v>37785667.310808331</v>
      </c>
      <c r="J57" s="120">
        <f t="shared" si="4"/>
        <v>4.3105177916476813E-3</v>
      </c>
      <c r="K57" s="87">
        <f t="shared" si="5"/>
        <v>0.63917414255305915</v>
      </c>
      <c r="L57" s="137">
        <f t="shared" si="6"/>
        <v>0.63917414255305915</v>
      </c>
      <c r="M57" s="163">
        <f t="shared" si="7"/>
        <v>639.17414255305914</v>
      </c>
      <c r="N57" s="218"/>
      <c r="O57" s="189"/>
      <c r="P57" s="189"/>
      <c r="Q57" s="89"/>
      <c r="R57" s="82"/>
    </row>
    <row r="58" spans="1:21" s="121" customFormat="1" x14ac:dyDescent="0.3">
      <c r="A58" s="82"/>
      <c r="B58" s="82"/>
      <c r="C58" s="83" t="s">
        <v>113</v>
      </c>
      <c r="D58" s="83" t="s">
        <v>127</v>
      </c>
      <c r="E58" s="84">
        <v>50</v>
      </c>
      <c r="F58" s="84">
        <v>50</v>
      </c>
      <c r="G58" s="84">
        <v>1</v>
      </c>
      <c r="H58" s="85">
        <v>158584.008014177</v>
      </c>
      <c r="I58" s="85">
        <v>38704299.808682285</v>
      </c>
      <c r="J58" s="120">
        <f t="shared" si="4"/>
        <v>4.0973227470350176E-3</v>
      </c>
      <c r="K58" s="87">
        <f t="shared" si="5"/>
        <v>0.60777430272339439</v>
      </c>
      <c r="L58" s="137">
        <f t="shared" si="6"/>
        <v>0.60777430272339439</v>
      </c>
      <c r="M58" s="163">
        <f t="shared" si="7"/>
        <v>607.77430272339438</v>
      </c>
      <c r="N58" s="217">
        <f t="shared" ref="N58" si="38">AVERAGE(L58:L59)</f>
        <v>0.61085696587137195</v>
      </c>
      <c r="O58" s="188">
        <f t="shared" ref="O58" si="39">ABS(L58-L59)/N58*100</f>
        <v>1.0092913137464905</v>
      </c>
      <c r="P58" s="188">
        <f t="shared" ref="P58" si="40">2/3*2^(1-(0.5*LOG(N58/1000000000)))</f>
        <v>32.493240736155535</v>
      </c>
      <c r="Q58" s="89"/>
      <c r="R58" s="82"/>
    </row>
    <row r="59" spans="1:21" s="121" customFormat="1" x14ac:dyDescent="0.3">
      <c r="A59" s="82"/>
      <c r="B59" s="82"/>
      <c r="C59" s="83" t="s">
        <v>114</v>
      </c>
      <c r="D59" s="83" t="s">
        <v>127</v>
      </c>
      <c r="E59" s="84">
        <v>50</v>
      </c>
      <c r="F59" s="84">
        <v>50</v>
      </c>
      <c r="G59" s="84">
        <v>1</v>
      </c>
      <c r="H59" s="85">
        <v>157318.02585167601</v>
      </c>
      <c r="I59" s="85">
        <v>38007020.128680125</v>
      </c>
      <c r="J59" s="120">
        <f t="shared" si="4"/>
        <v>4.1391833750461194E-3</v>
      </c>
      <c r="K59" s="87">
        <f t="shared" si="5"/>
        <v>0.61393962901934951</v>
      </c>
      <c r="L59" s="137">
        <f t="shared" si="6"/>
        <v>0.61393962901934951</v>
      </c>
      <c r="M59" s="163">
        <f t="shared" si="7"/>
        <v>613.93962901934947</v>
      </c>
      <c r="N59" s="218"/>
      <c r="O59" s="189"/>
      <c r="P59" s="189"/>
      <c r="Q59" s="89"/>
      <c r="R59" s="82"/>
    </row>
    <row r="60" spans="1:21" x14ac:dyDescent="0.3">
      <c r="C60" s="36"/>
      <c r="D60" s="36"/>
      <c r="E60" s="36"/>
      <c r="F60" s="36"/>
      <c r="G60" s="36"/>
      <c r="H60" s="36"/>
      <c r="I60" s="30"/>
      <c r="J60" s="30"/>
      <c r="K60" s="30"/>
      <c r="L60" s="30"/>
      <c r="M60" s="30"/>
      <c r="N60" s="30"/>
      <c r="O60" s="30"/>
      <c r="P60" s="30"/>
      <c r="Q60" s="30"/>
      <c r="R60" s="30"/>
      <c r="T60" s="15"/>
      <c r="U60" s="15"/>
    </row>
    <row r="61" spans="1:21" x14ac:dyDescent="0.3"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</row>
    <row r="62" spans="1:21" x14ac:dyDescent="0.3">
      <c r="C62" s="61" t="s">
        <v>47</v>
      </c>
      <c r="D62" s="54"/>
      <c r="E62" s="55"/>
      <c r="F62" s="30"/>
      <c r="G62" s="30"/>
      <c r="H62" s="58" t="s">
        <v>48</v>
      </c>
      <c r="I62" s="30"/>
      <c r="J62" s="30"/>
      <c r="K62" s="30"/>
      <c r="L62" s="30"/>
      <c r="M62" s="30"/>
      <c r="N62" s="30"/>
      <c r="O62" s="30"/>
      <c r="P62" s="30"/>
      <c r="Q62" s="30"/>
      <c r="R62" s="30"/>
    </row>
    <row r="63" spans="1:21" ht="14.5" x14ac:dyDescent="0.35">
      <c r="C63" s="53" t="s">
        <v>30</v>
      </c>
      <c r="D63" s="56" t="s">
        <v>51</v>
      </c>
      <c r="E63" s="55"/>
      <c r="F63" s="30"/>
      <c r="G63" s="30"/>
      <c r="H63" s="57" t="s">
        <v>54</v>
      </c>
      <c r="I63" s="30"/>
      <c r="J63" s="30"/>
      <c r="K63" s="30"/>
      <c r="L63" s="30"/>
      <c r="M63" s="30"/>
      <c r="N63" s="30"/>
      <c r="O63" s="30"/>
      <c r="P63" s="30"/>
      <c r="Q63" s="30"/>
      <c r="R63" s="30"/>
    </row>
    <row r="64" spans="1:21" x14ac:dyDescent="0.3">
      <c r="C64" s="53" t="s">
        <v>31</v>
      </c>
      <c r="D64" s="56" t="s">
        <v>52</v>
      </c>
      <c r="E64" s="55"/>
      <c r="F64" s="30"/>
      <c r="G64" s="30"/>
      <c r="H64" s="57"/>
      <c r="I64" s="30"/>
      <c r="J64" s="30"/>
      <c r="K64" s="30"/>
      <c r="L64" s="30"/>
      <c r="M64" s="30"/>
      <c r="N64" s="30"/>
      <c r="O64" s="30"/>
      <c r="P64" s="30"/>
      <c r="Q64" s="30"/>
      <c r="R64" s="30"/>
    </row>
    <row r="65" spans="3:8" x14ac:dyDescent="0.3">
      <c r="C65" s="22" t="s">
        <v>39</v>
      </c>
      <c r="D65" s="21" t="s">
        <v>53</v>
      </c>
      <c r="E65" s="20"/>
      <c r="H65" s="46"/>
    </row>
    <row r="66" spans="3:8" x14ac:dyDescent="0.3">
      <c r="C66" s="57" t="s">
        <v>139</v>
      </c>
      <c r="D66" s="64" t="s">
        <v>140</v>
      </c>
      <c r="E66" s="30"/>
      <c r="F66" s="30"/>
    </row>
  </sheetData>
  <mergeCells count="45">
    <mergeCell ref="N56:N57"/>
    <mergeCell ref="O56:O57"/>
    <mergeCell ref="P56:P57"/>
    <mergeCell ref="N58:N59"/>
    <mergeCell ref="O58:O59"/>
    <mergeCell ref="P58:P59"/>
    <mergeCell ref="N52:N53"/>
    <mergeCell ref="O52:O53"/>
    <mergeCell ref="P52:P53"/>
    <mergeCell ref="N54:N55"/>
    <mergeCell ref="O54:O55"/>
    <mergeCell ref="P54:P55"/>
    <mergeCell ref="N48:N49"/>
    <mergeCell ref="O48:O49"/>
    <mergeCell ref="P48:P49"/>
    <mergeCell ref="N50:N51"/>
    <mergeCell ref="O50:O51"/>
    <mergeCell ref="P50:P51"/>
    <mergeCell ref="N44:N45"/>
    <mergeCell ref="O44:O45"/>
    <mergeCell ref="P44:P45"/>
    <mergeCell ref="N46:N47"/>
    <mergeCell ref="O46:O47"/>
    <mergeCell ref="P46:P47"/>
    <mergeCell ref="N40:N41"/>
    <mergeCell ref="O40:O41"/>
    <mergeCell ref="P40:P41"/>
    <mergeCell ref="N42:N43"/>
    <mergeCell ref="O42:O43"/>
    <mergeCell ref="P42:P43"/>
    <mergeCell ref="N36:N37"/>
    <mergeCell ref="O36:O37"/>
    <mergeCell ref="P36:P37"/>
    <mergeCell ref="N38:N39"/>
    <mergeCell ref="O38:O39"/>
    <mergeCell ref="P38:P39"/>
    <mergeCell ref="C1:S1"/>
    <mergeCell ref="C7:D7"/>
    <mergeCell ref="C8:D8"/>
    <mergeCell ref="C12:D12"/>
    <mergeCell ref="B28:B31"/>
    <mergeCell ref="C28:G28"/>
    <mergeCell ref="C29:G29"/>
    <mergeCell ref="C30:G30"/>
    <mergeCell ref="C31:G31"/>
  </mergeCells>
  <conditionalFormatting sqref="C17:D17 D16">
    <cfRule type="duplicateValues" dxfId="1" priority="2"/>
  </conditionalFormatting>
  <conditionalFormatting sqref="C32:D34">
    <cfRule type="duplicateValues" dxfId="0" priority="1"/>
  </conditionalFormatting>
  <printOptions horizontalCentered="1"/>
  <pageMargins left="0.31496062992125984" right="0.31496062992125984" top="0.55118110236220474" bottom="0.55118110236220474" header="0.31496062992125984" footer="0.31496062992125984"/>
  <pageSetup paperSize="9" scale="37" fitToHeight="0" orientation="portrait" horizontalDpi="4294967292" verticalDpi="360" r:id="rId1"/>
  <headerFooter>
    <oddHeader xml:space="preserve">&amp;R&amp;"Arial,Regular"&amp;10No.: 18-13-14.1/F-MU
Revisi 7
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C3186-15A1-4105-870B-99A55F246403}">
  <dimension ref="A1:Q83"/>
  <sheetViews>
    <sheetView topLeftCell="A5" workbookViewId="0">
      <selection activeCell="C6" sqref="C6"/>
    </sheetView>
  </sheetViews>
  <sheetFormatPr defaultRowHeight="14.5" x14ac:dyDescent="0.35"/>
  <cols>
    <col min="1" max="1" width="15.81640625" bestFit="1" customWidth="1"/>
    <col min="2" max="2" width="5.36328125" bestFit="1" customWidth="1"/>
    <col min="3" max="4" width="11.81640625" style="165" bestFit="1" customWidth="1"/>
    <col min="5" max="5" width="8.7265625" style="165"/>
    <col min="6" max="6" width="11.81640625" style="165" bestFit="1" customWidth="1"/>
  </cols>
  <sheetData>
    <row r="1" spans="1:6" x14ac:dyDescent="0.35">
      <c r="A1" s="171" t="s">
        <v>276</v>
      </c>
    </row>
    <row r="2" spans="1:6" x14ac:dyDescent="0.35">
      <c r="A2" s="171" t="s">
        <v>277</v>
      </c>
    </row>
    <row r="3" spans="1:6" x14ac:dyDescent="0.35">
      <c r="A3" t="s">
        <v>265</v>
      </c>
    </row>
    <row r="4" spans="1:6" x14ac:dyDescent="0.35">
      <c r="A4" t="s">
        <v>266</v>
      </c>
    </row>
    <row r="5" spans="1:6" x14ac:dyDescent="0.35">
      <c r="A5" t="s">
        <v>267</v>
      </c>
    </row>
    <row r="7" spans="1:6" x14ac:dyDescent="0.35">
      <c r="A7" t="s">
        <v>80</v>
      </c>
      <c r="C7" s="165" t="s">
        <v>256</v>
      </c>
      <c r="D7" s="165" t="s">
        <v>258</v>
      </c>
      <c r="E7" s="165" t="s">
        <v>193</v>
      </c>
      <c r="F7" s="165" t="s">
        <v>257</v>
      </c>
    </row>
    <row r="8" spans="1:6" x14ac:dyDescent="0.35">
      <c r="A8" s="83" t="s">
        <v>195</v>
      </c>
      <c r="B8" s="167">
        <v>1</v>
      </c>
      <c r="C8" s="166">
        <v>1.6493448291866268</v>
      </c>
      <c r="D8" s="166">
        <v>553.65942079879267</v>
      </c>
      <c r="E8" s="166">
        <v>662.82466455700364</v>
      </c>
      <c r="F8" s="166">
        <v>5120.7907624265681</v>
      </c>
    </row>
    <row r="9" spans="1:6" x14ac:dyDescent="0.35">
      <c r="A9" s="83" t="s">
        <v>196</v>
      </c>
      <c r="B9" s="167">
        <v>1</v>
      </c>
      <c r="C9" s="166">
        <v>1.9954559098816276</v>
      </c>
      <c r="D9" s="166">
        <v>581.69713017017727</v>
      </c>
      <c r="E9" s="166">
        <v>580.3068218961871</v>
      </c>
      <c r="F9" s="166">
        <v>4774.5360357072577</v>
      </c>
    </row>
    <row r="10" spans="1:6" x14ac:dyDescent="0.35">
      <c r="A10" s="83" t="s">
        <v>197</v>
      </c>
      <c r="B10" s="167">
        <v>1</v>
      </c>
      <c r="C10" s="166">
        <v>1.3936636228392318</v>
      </c>
      <c r="D10" s="166">
        <v>475.16014657808341</v>
      </c>
      <c r="E10" s="166">
        <v>500.43998555739068</v>
      </c>
      <c r="F10" s="166">
        <v>4223.3090383948602</v>
      </c>
    </row>
    <row r="11" spans="1:6" x14ac:dyDescent="0.35">
      <c r="A11" s="83" t="s">
        <v>198</v>
      </c>
      <c r="B11" s="167">
        <v>1</v>
      </c>
      <c r="C11" s="166">
        <v>2.0364731622376659</v>
      </c>
      <c r="D11" s="166">
        <v>469.93955598488412</v>
      </c>
      <c r="E11" s="166">
        <v>530.96851811795079</v>
      </c>
      <c r="F11" s="166">
        <v>4745.3448469102459</v>
      </c>
    </row>
    <row r="12" spans="1:6" x14ac:dyDescent="0.35">
      <c r="A12" s="83" t="s">
        <v>199</v>
      </c>
      <c r="B12" s="167">
        <v>1</v>
      </c>
      <c r="C12" s="166">
        <v>2.1268666259426383</v>
      </c>
      <c r="D12" s="166">
        <v>381.61181429294084</v>
      </c>
      <c r="E12" s="166">
        <v>469.06356582256524</v>
      </c>
      <c r="F12" s="166">
        <v>5366.2355415792808</v>
      </c>
    </row>
    <row r="13" spans="1:6" x14ac:dyDescent="0.35">
      <c r="A13" s="83" t="s">
        <v>200</v>
      </c>
      <c r="B13" s="167">
        <v>1</v>
      </c>
      <c r="C13" s="166">
        <v>3.302555270078511</v>
      </c>
      <c r="D13" s="166">
        <v>350.48165084563954</v>
      </c>
      <c r="E13" s="166">
        <v>503.47195751448515</v>
      </c>
      <c r="F13" s="166">
        <v>6021.7599322806727</v>
      </c>
    </row>
    <row r="14" spans="1:6" x14ac:dyDescent="0.35">
      <c r="A14" s="91" t="s">
        <v>201</v>
      </c>
      <c r="B14" s="168">
        <v>2</v>
      </c>
      <c r="C14" s="166">
        <v>4.1573708657002895</v>
      </c>
      <c r="D14" s="166">
        <v>46.411215204526755</v>
      </c>
      <c r="E14" s="166">
        <v>22.237741248290028</v>
      </c>
      <c r="F14" s="166">
        <v>81.947469361400081</v>
      </c>
    </row>
    <row r="15" spans="1:6" x14ac:dyDescent="0.35">
      <c r="A15" s="91" t="s">
        <v>202</v>
      </c>
      <c r="B15" s="168">
        <v>2</v>
      </c>
      <c r="C15" s="166">
        <v>5.0495748130475437</v>
      </c>
      <c r="D15" s="166">
        <v>46.08838305546788</v>
      </c>
      <c r="E15" s="166">
        <v>26.928588674241013</v>
      </c>
      <c r="F15" s="166">
        <v>81.852787413262902</v>
      </c>
    </row>
    <row r="16" spans="1:6" x14ac:dyDescent="0.35">
      <c r="A16" s="91" t="s">
        <v>203</v>
      </c>
      <c r="B16" s="168">
        <v>2</v>
      </c>
      <c r="C16" s="166">
        <v>5.5397225470004168</v>
      </c>
      <c r="D16" s="166">
        <v>29.179084734227953</v>
      </c>
      <c r="E16" s="166">
        <v>95.015934172598008</v>
      </c>
      <c r="F16" s="166">
        <v>81.84150685148191</v>
      </c>
    </row>
    <row r="17" spans="1:6" x14ac:dyDescent="0.35">
      <c r="A17" s="91" t="s">
        <v>204</v>
      </c>
      <c r="B17" s="168">
        <v>2</v>
      </c>
      <c r="C17" s="166">
        <v>4.6726270188463888</v>
      </c>
      <c r="D17" s="166">
        <v>31.714137369741795</v>
      </c>
      <c r="E17" s="166">
        <v>82.774005692889062</v>
      </c>
      <c r="F17" s="166">
        <v>81.910446481126513</v>
      </c>
    </row>
    <row r="18" spans="1:6" x14ac:dyDescent="0.35">
      <c r="A18" s="91" t="s">
        <v>205</v>
      </c>
      <c r="B18" s="168">
        <v>2</v>
      </c>
      <c r="C18" s="166">
        <v>5.4611239694517364</v>
      </c>
      <c r="D18" s="166">
        <v>43.521642542791703</v>
      </c>
      <c r="E18" s="166">
        <v>43.438715404283862</v>
      </c>
      <c r="F18" s="166">
        <v>81.932231001697176</v>
      </c>
    </row>
    <row r="19" spans="1:6" x14ac:dyDescent="0.35">
      <c r="A19" s="91" t="s">
        <v>206</v>
      </c>
      <c r="B19" s="168">
        <v>2</v>
      </c>
      <c r="C19" s="166">
        <v>4.5373147281601582</v>
      </c>
      <c r="D19" s="166">
        <v>42.534792688732708</v>
      </c>
      <c r="E19" s="166">
        <v>43.566101673635316</v>
      </c>
      <c r="F19" s="166">
        <v>82.069086745527954</v>
      </c>
    </row>
    <row r="20" spans="1:6" x14ac:dyDescent="0.35">
      <c r="A20" s="104" t="s">
        <v>244</v>
      </c>
      <c r="B20" s="169">
        <v>3</v>
      </c>
      <c r="C20" s="166">
        <v>3</v>
      </c>
      <c r="D20" s="166">
        <v>197.50306271519671</v>
      </c>
      <c r="E20" s="166">
        <v>777.09963097977277</v>
      </c>
      <c r="F20" s="166">
        <v>141.06511370502488</v>
      </c>
    </row>
    <row r="21" spans="1:6" x14ac:dyDescent="0.35">
      <c r="A21" s="104" t="s">
        <v>245</v>
      </c>
      <c r="B21" s="169">
        <v>3</v>
      </c>
      <c r="C21" s="166">
        <v>3</v>
      </c>
      <c r="D21" s="166">
        <v>233.12199846070592</v>
      </c>
      <c r="E21" s="166">
        <v>670.93803908100983</v>
      </c>
      <c r="F21" s="166">
        <v>157.21181613856803</v>
      </c>
    </row>
    <row r="22" spans="1:6" x14ac:dyDescent="0.35">
      <c r="A22" s="104" t="s">
        <v>246</v>
      </c>
      <c r="B22" s="169">
        <v>3</v>
      </c>
      <c r="C22" s="166">
        <v>3</v>
      </c>
      <c r="D22" s="166">
        <v>193.77541062773005</v>
      </c>
      <c r="E22" s="166">
        <v>393.51089744333859</v>
      </c>
      <c r="F22" s="166">
        <v>130.66688638924066</v>
      </c>
    </row>
    <row r="23" spans="1:6" x14ac:dyDescent="0.35">
      <c r="A23" s="104" t="s">
        <v>247</v>
      </c>
      <c r="B23" s="169">
        <v>3</v>
      </c>
      <c r="C23" s="166">
        <v>3</v>
      </c>
      <c r="D23" s="166">
        <v>155.22228617385767</v>
      </c>
      <c r="E23" s="166">
        <v>462.15775896924345</v>
      </c>
      <c r="F23" s="166">
        <v>119.45900881737744</v>
      </c>
    </row>
    <row r="24" spans="1:6" x14ac:dyDescent="0.35">
      <c r="A24" s="104" t="s">
        <v>248</v>
      </c>
      <c r="B24" s="169">
        <v>3</v>
      </c>
      <c r="C24" s="166">
        <v>3</v>
      </c>
      <c r="D24" s="166">
        <v>160.59470790180902</v>
      </c>
      <c r="E24" s="166">
        <v>499.38515849502426</v>
      </c>
      <c r="F24" s="166">
        <v>153.65657383790455</v>
      </c>
    </row>
    <row r="25" spans="1:6" x14ac:dyDescent="0.35">
      <c r="A25" s="104" t="s">
        <v>249</v>
      </c>
      <c r="B25" s="169">
        <v>3</v>
      </c>
      <c r="C25" s="166">
        <v>3</v>
      </c>
      <c r="D25" s="166">
        <v>160.88522771458508</v>
      </c>
      <c r="E25" s="166">
        <v>478.88011613765502</v>
      </c>
      <c r="F25" s="166">
        <v>133.44895727002125</v>
      </c>
    </row>
    <row r="26" spans="1:6" x14ac:dyDescent="0.35">
      <c r="A26" s="83" t="s">
        <v>207</v>
      </c>
      <c r="B26" s="167">
        <v>4</v>
      </c>
      <c r="C26" s="166">
        <v>3</v>
      </c>
      <c r="D26" s="166">
        <v>434.79679237459806</v>
      </c>
      <c r="E26" s="166">
        <v>497.93480556153793</v>
      </c>
      <c r="F26" s="166">
        <v>476.66730379682139</v>
      </c>
    </row>
    <row r="27" spans="1:6" x14ac:dyDescent="0.35">
      <c r="A27" s="83" t="s">
        <v>208</v>
      </c>
      <c r="B27" s="167">
        <v>4</v>
      </c>
      <c r="C27" s="166">
        <v>3</v>
      </c>
      <c r="D27" s="166">
        <v>415.56709132164582</v>
      </c>
      <c r="E27" s="166">
        <v>418.55192164546116</v>
      </c>
      <c r="F27" s="166">
        <v>501.38514292508728</v>
      </c>
    </row>
    <row r="28" spans="1:6" x14ac:dyDescent="0.35">
      <c r="A28" s="83" t="s">
        <v>209</v>
      </c>
      <c r="B28" s="167">
        <v>4</v>
      </c>
      <c r="C28" s="166">
        <v>3</v>
      </c>
      <c r="D28" s="166">
        <v>377.3246992777423</v>
      </c>
      <c r="E28" s="166">
        <v>353.31549110852097</v>
      </c>
      <c r="F28" s="166">
        <v>490.35474414275086</v>
      </c>
    </row>
    <row r="29" spans="1:6" x14ac:dyDescent="0.35">
      <c r="A29" s="83" t="s">
        <v>210</v>
      </c>
      <c r="B29" s="167">
        <v>4</v>
      </c>
      <c r="C29" s="166">
        <v>3</v>
      </c>
      <c r="D29" s="166">
        <v>374.99145951002049</v>
      </c>
      <c r="E29" s="166">
        <v>387.76468636281061</v>
      </c>
      <c r="F29" s="166">
        <v>499.12575634501235</v>
      </c>
    </row>
    <row r="30" spans="1:6" x14ac:dyDescent="0.35">
      <c r="A30" s="83" t="s">
        <v>211</v>
      </c>
      <c r="B30" s="167">
        <v>4</v>
      </c>
      <c r="C30" s="166">
        <v>3</v>
      </c>
      <c r="D30" s="166">
        <v>484.52119219030351</v>
      </c>
      <c r="E30" s="166">
        <v>651.62623964823104</v>
      </c>
      <c r="F30" s="166">
        <v>501.52497925519259</v>
      </c>
    </row>
    <row r="31" spans="1:6" x14ac:dyDescent="0.35">
      <c r="A31" s="83" t="s">
        <v>212</v>
      </c>
      <c r="B31" s="167">
        <v>4</v>
      </c>
      <c r="C31" s="166">
        <v>3</v>
      </c>
      <c r="D31" s="166">
        <v>439.83213829654079</v>
      </c>
      <c r="E31" s="166">
        <v>595.05518762685813</v>
      </c>
      <c r="F31" s="166">
        <v>499.55799255868595</v>
      </c>
    </row>
    <row r="32" spans="1:6" x14ac:dyDescent="0.35">
      <c r="A32" s="91" t="s">
        <v>213</v>
      </c>
      <c r="B32" s="167">
        <v>5</v>
      </c>
      <c r="C32" s="166">
        <v>5.3133588060905126</v>
      </c>
      <c r="D32" s="166">
        <v>27.527763416904371</v>
      </c>
      <c r="E32" s="166">
        <v>6.984904636573563</v>
      </c>
      <c r="F32" s="166">
        <v>1056.4759813609239</v>
      </c>
    </row>
    <row r="33" spans="1:6" x14ac:dyDescent="0.35">
      <c r="A33" s="91" t="s">
        <v>214</v>
      </c>
      <c r="B33" s="167">
        <v>5</v>
      </c>
      <c r="C33" s="166">
        <v>7.6440332577085739</v>
      </c>
      <c r="D33" s="166">
        <v>32.173400257805255</v>
      </c>
      <c r="E33" s="166">
        <v>8.3418093464832683</v>
      </c>
      <c r="F33" s="166">
        <v>1220.3867044008857</v>
      </c>
    </row>
    <row r="34" spans="1:6" x14ac:dyDescent="0.35">
      <c r="A34" s="91" t="s">
        <v>215</v>
      </c>
      <c r="B34" s="167">
        <v>5</v>
      </c>
      <c r="C34" s="166">
        <v>6.2039794395928416</v>
      </c>
      <c r="D34" s="166">
        <v>30.86760585907172</v>
      </c>
      <c r="E34" s="166">
        <v>8.596110301598765</v>
      </c>
      <c r="F34" s="166">
        <v>1144.4018948912976</v>
      </c>
    </row>
    <row r="35" spans="1:6" x14ac:dyDescent="0.35">
      <c r="A35" s="91" t="s">
        <v>216</v>
      </c>
      <c r="B35" s="167">
        <v>5</v>
      </c>
      <c r="C35" s="166">
        <v>5.3208668156532752</v>
      </c>
      <c r="D35" s="166">
        <v>25.958914839358325</v>
      </c>
      <c r="E35" s="166">
        <v>7.6840475395742232</v>
      </c>
      <c r="F35" s="166">
        <v>1262.7462449778302</v>
      </c>
    </row>
    <row r="36" spans="1:6" x14ac:dyDescent="0.35">
      <c r="A36" s="91" t="s">
        <v>217</v>
      </c>
      <c r="B36" s="167">
        <v>5</v>
      </c>
      <c r="C36" s="166">
        <v>5.7544660033653106</v>
      </c>
      <c r="D36" s="166">
        <v>26.057527887138495</v>
      </c>
      <c r="E36" s="166">
        <v>8.3536928982805474</v>
      </c>
      <c r="F36" s="166">
        <v>1242.3476105203979</v>
      </c>
    </row>
    <row r="37" spans="1:6" x14ac:dyDescent="0.35">
      <c r="A37" s="91" t="s">
        <v>218</v>
      </c>
      <c r="B37" s="167">
        <v>5</v>
      </c>
      <c r="C37" s="166">
        <v>6.6563275422810584</v>
      </c>
      <c r="D37" s="166">
        <v>24.365794753576296</v>
      </c>
      <c r="E37" s="166">
        <v>6.98502890320243</v>
      </c>
      <c r="F37" s="166">
        <v>1324.5426809205396</v>
      </c>
    </row>
    <row r="38" spans="1:6" x14ac:dyDescent="0.35">
      <c r="A38" s="104" t="s">
        <v>259</v>
      </c>
      <c r="B38" s="167">
        <v>6</v>
      </c>
      <c r="C38" s="166">
        <v>3</v>
      </c>
      <c r="D38" s="166">
        <v>65.924268211298227</v>
      </c>
      <c r="E38" s="166">
        <v>734.56250672501915</v>
      </c>
      <c r="F38" s="166">
        <v>2079.7853062948457</v>
      </c>
    </row>
    <row r="39" spans="1:6" x14ac:dyDescent="0.35">
      <c r="A39" s="104" t="s">
        <v>260</v>
      </c>
      <c r="B39" s="167">
        <v>6</v>
      </c>
      <c r="C39" s="166">
        <v>3</v>
      </c>
      <c r="D39" s="166">
        <v>75.317440992684354</v>
      </c>
      <c r="E39" s="166">
        <v>687.27317372789446</v>
      </c>
      <c r="F39" s="166">
        <v>1837.9934442892038</v>
      </c>
    </row>
    <row r="40" spans="1:6" x14ac:dyDescent="0.35">
      <c r="A40" s="104" t="s">
        <v>261</v>
      </c>
      <c r="B40" s="167">
        <v>6</v>
      </c>
      <c r="C40" s="166">
        <v>3</v>
      </c>
      <c r="D40" s="166">
        <v>71.757212184378602</v>
      </c>
      <c r="E40" s="166">
        <v>435.97245551768651</v>
      </c>
      <c r="F40" s="166">
        <v>1857.948849148316</v>
      </c>
    </row>
    <row r="41" spans="1:6" x14ac:dyDescent="0.35">
      <c r="A41" s="104" t="s">
        <v>262</v>
      </c>
      <c r="B41" s="167">
        <v>6</v>
      </c>
      <c r="C41" s="166">
        <v>3</v>
      </c>
      <c r="D41" s="166">
        <v>65.712037779923989</v>
      </c>
      <c r="E41" s="166">
        <v>386.72880843716666</v>
      </c>
      <c r="F41" s="166">
        <v>1832.2719887567523</v>
      </c>
    </row>
    <row r="42" spans="1:6" x14ac:dyDescent="0.35">
      <c r="A42" s="104" t="s">
        <v>263</v>
      </c>
      <c r="B42" s="167">
        <v>6</v>
      </c>
      <c r="C42" s="166">
        <v>3</v>
      </c>
      <c r="D42" s="166">
        <v>68.701557276678813</v>
      </c>
      <c r="E42" s="166">
        <v>398.42713255381653</v>
      </c>
      <c r="F42" s="166">
        <v>1857.7472333656262</v>
      </c>
    </row>
    <row r="43" spans="1:6" x14ac:dyDescent="0.35">
      <c r="A43" s="104" t="s">
        <v>264</v>
      </c>
      <c r="B43" s="167">
        <v>6</v>
      </c>
      <c r="C43" s="166">
        <v>3</v>
      </c>
      <c r="D43" s="166">
        <v>76.037458540324749</v>
      </c>
      <c r="E43" s="166">
        <v>363.39161137115553</v>
      </c>
      <c r="F43" s="166">
        <v>1842.7532076471834</v>
      </c>
    </row>
    <row r="44" spans="1:6" x14ac:dyDescent="0.35">
      <c r="A44" s="83" t="s">
        <v>225</v>
      </c>
      <c r="B44" s="167"/>
      <c r="C44" s="166">
        <v>14.512663177465827</v>
      </c>
      <c r="D44" s="166">
        <v>31.549125744279877</v>
      </c>
      <c r="E44" s="166">
        <v>163.84358228948525</v>
      </c>
      <c r="F44" s="166">
        <v>163.84358228948525</v>
      </c>
    </row>
    <row r="45" spans="1:6" x14ac:dyDescent="0.35">
      <c r="A45" s="83" t="s">
        <v>226</v>
      </c>
      <c r="B45" s="167"/>
      <c r="C45" s="166">
        <v>15.442260006311392</v>
      </c>
      <c r="D45" s="166">
        <v>31.946712285045816</v>
      </c>
      <c r="E45" s="166">
        <v>135.78787376164863</v>
      </c>
      <c r="F45" s="166">
        <v>135.78787376164863</v>
      </c>
    </row>
    <row r="46" spans="1:6" x14ac:dyDescent="0.35">
      <c r="A46" s="83" t="s">
        <v>227</v>
      </c>
      <c r="B46" s="167"/>
      <c r="C46" s="166">
        <v>13.818342610097366</v>
      </c>
      <c r="D46" s="166">
        <v>31.783934829513353</v>
      </c>
      <c r="E46" s="166">
        <v>137.19723650913997</v>
      </c>
      <c r="F46" s="166">
        <v>137.19723650913997</v>
      </c>
    </row>
    <row r="47" spans="1:6" x14ac:dyDescent="0.35">
      <c r="A47" s="83" t="s">
        <v>228</v>
      </c>
      <c r="B47" s="167"/>
      <c r="C47" s="166">
        <v>11.881813046672345</v>
      </c>
      <c r="D47" s="166">
        <v>37.157541227817191</v>
      </c>
      <c r="E47" s="166">
        <v>135.03312029291979</v>
      </c>
      <c r="F47" s="166">
        <v>135.03312029291979</v>
      </c>
    </row>
    <row r="48" spans="1:6" x14ac:dyDescent="0.35">
      <c r="A48" s="83" t="s">
        <v>229</v>
      </c>
      <c r="B48" s="167"/>
      <c r="C48" s="166">
        <v>16.161780329066321</v>
      </c>
      <c r="D48" s="166">
        <v>33.755117033502081</v>
      </c>
      <c r="E48" s="166">
        <v>130.98039050099408</v>
      </c>
      <c r="F48" s="166">
        <v>130.98039050099408</v>
      </c>
    </row>
    <row r="49" spans="1:6" x14ac:dyDescent="0.35">
      <c r="A49" s="83" t="s">
        <v>230</v>
      </c>
      <c r="B49" s="167"/>
      <c r="C49" s="166">
        <v>17.362693121335241</v>
      </c>
      <c r="D49" s="166">
        <v>32.050804858860886</v>
      </c>
      <c r="E49" s="166">
        <v>117.39177092646159</v>
      </c>
      <c r="F49" s="166">
        <v>117.39177092646159</v>
      </c>
    </row>
    <row r="50" spans="1:6" x14ac:dyDescent="0.35">
      <c r="A50" s="91" t="s">
        <v>231</v>
      </c>
      <c r="B50" s="168"/>
      <c r="C50" s="166">
        <v>12.08437980019588</v>
      </c>
      <c r="D50" s="166">
        <v>34.223495770254814</v>
      </c>
      <c r="E50" s="166">
        <v>126.46962877751753</v>
      </c>
      <c r="F50" s="166">
        <v>126.46962877751753</v>
      </c>
    </row>
    <row r="51" spans="1:6" x14ac:dyDescent="0.35">
      <c r="A51" s="91" t="s">
        <v>232</v>
      </c>
      <c r="B51" s="168"/>
      <c r="C51" s="166">
        <v>13.128054689401806</v>
      </c>
      <c r="D51" s="166">
        <v>30.161989870269441</v>
      </c>
      <c r="E51" s="166">
        <v>122.65799449286962</v>
      </c>
      <c r="F51" s="166">
        <v>122.65799449286962</v>
      </c>
    </row>
    <row r="52" spans="1:6" x14ac:dyDescent="0.35">
      <c r="A52" s="91" t="s">
        <v>233</v>
      </c>
      <c r="B52" s="168"/>
      <c r="C52" s="166">
        <v>13.240312258744302</v>
      </c>
      <c r="D52" s="166">
        <v>37.398901935261726</v>
      </c>
      <c r="E52" s="166">
        <v>125.02677662487913</v>
      </c>
      <c r="F52" s="166">
        <v>125.02677662487913</v>
      </c>
    </row>
    <row r="53" spans="1:6" x14ac:dyDescent="0.35">
      <c r="A53" s="91" t="s">
        <v>234</v>
      </c>
      <c r="B53" s="168"/>
      <c r="C53" s="166">
        <v>14.951782473646848</v>
      </c>
      <c r="D53" s="166">
        <v>31.029288758683837</v>
      </c>
      <c r="E53" s="166">
        <v>124.07174772475223</v>
      </c>
      <c r="F53" s="166">
        <v>124.07174772475223</v>
      </c>
    </row>
    <row r="54" spans="1:6" x14ac:dyDescent="0.35">
      <c r="A54" s="91" t="s">
        <v>235</v>
      </c>
      <c r="B54" s="168"/>
      <c r="C54" s="166">
        <v>12.010029992984338</v>
      </c>
      <c r="D54" s="166">
        <v>33.220584052089173</v>
      </c>
      <c r="E54" s="166">
        <v>101.2550772543416</v>
      </c>
      <c r="F54" s="166">
        <v>101.2550772543416</v>
      </c>
    </row>
    <row r="55" spans="1:6" x14ac:dyDescent="0.35">
      <c r="A55" s="91" t="s">
        <v>236</v>
      </c>
      <c r="B55" s="168"/>
      <c r="C55" s="166">
        <v>11.806479834425325</v>
      </c>
      <c r="D55" s="166">
        <v>32.638035843923312</v>
      </c>
      <c r="E55" s="166">
        <v>100.90681873775969</v>
      </c>
      <c r="F55" s="166">
        <v>100.90681873775969</v>
      </c>
    </row>
    <row r="56" spans="1:6" x14ac:dyDescent="0.35">
      <c r="A56" s="104" t="s">
        <v>250</v>
      </c>
      <c r="B56" s="169"/>
      <c r="C56" s="166">
        <v>13.922563846550474</v>
      </c>
      <c r="D56" s="166">
        <v>40.091084162894028</v>
      </c>
      <c r="E56" s="166">
        <v>103.06474783142525</v>
      </c>
      <c r="F56" s="166">
        <v>103.06474783142525</v>
      </c>
    </row>
    <row r="57" spans="1:6" x14ac:dyDescent="0.35">
      <c r="A57" s="104" t="s">
        <v>251</v>
      </c>
      <c r="B57" s="169"/>
      <c r="C57" s="166">
        <v>12.995305615101024</v>
      </c>
      <c r="D57" s="166">
        <v>36.323554871498978</v>
      </c>
      <c r="E57" s="166">
        <v>106.15962212585146</v>
      </c>
      <c r="F57" s="166">
        <v>106.15962212585146</v>
      </c>
    </row>
    <row r="58" spans="1:6" x14ac:dyDescent="0.35">
      <c r="A58" s="104" t="s">
        <v>252</v>
      </c>
      <c r="B58" s="169"/>
      <c r="C58" s="166">
        <v>10.039106404498368</v>
      </c>
      <c r="D58" s="166">
        <v>38.00930480233103</v>
      </c>
      <c r="E58" s="166">
        <v>108.78187623518455</v>
      </c>
      <c r="F58" s="166">
        <v>108.78187623518455</v>
      </c>
    </row>
    <row r="59" spans="1:6" x14ac:dyDescent="0.35">
      <c r="A59" s="104" t="s">
        <v>253</v>
      </c>
      <c r="B59" s="169"/>
      <c r="C59" s="166">
        <v>10.522132873196648</v>
      </c>
      <c r="D59" s="166">
        <v>36.169801241889949</v>
      </c>
      <c r="E59" s="166">
        <v>107.43582372297936</v>
      </c>
      <c r="F59" s="166">
        <v>107.43582372297936</v>
      </c>
    </row>
    <row r="60" spans="1:6" x14ac:dyDescent="0.35">
      <c r="A60" s="104" t="s">
        <v>254</v>
      </c>
      <c r="B60" s="169"/>
      <c r="C60" s="166">
        <v>11.348150930568869</v>
      </c>
      <c r="D60" s="166">
        <v>30.865208076023514</v>
      </c>
      <c r="E60" s="166">
        <v>97.818787979184094</v>
      </c>
      <c r="F60" s="166">
        <v>97.818787979184094</v>
      </c>
    </row>
    <row r="61" spans="1:6" x14ac:dyDescent="0.35">
      <c r="A61" s="104" t="s">
        <v>255</v>
      </c>
      <c r="B61" s="169"/>
      <c r="C61" s="166">
        <v>11.274106002342243</v>
      </c>
      <c r="D61" s="166">
        <v>28.432907655177747</v>
      </c>
      <c r="E61" s="166">
        <v>94.807376164107922</v>
      </c>
      <c r="F61" s="166">
        <v>94.807376164107922</v>
      </c>
    </row>
    <row r="62" spans="1:6" x14ac:dyDescent="0.35">
      <c r="A62" s="113" t="s">
        <v>237</v>
      </c>
      <c r="B62" s="170"/>
      <c r="C62" s="166">
        <v>29.052627419066024</v>
      </c>
      <c r="D62" s="166">
        <v>52.854817338579863</v>
      </c>
      <c r="E62" s="166">
        <v>667.30111616332556</v>
      </c>
      <c r="F62" s="166">
        <v>667.30111616332556</v>
      </c>
    </row>
    <row r="63" spans="1:6" x14ac:dyDescent="0.35">
      <c r="A63" s="113" t="s">
        <v>238</v>
      </c>
      <c r="B63" s="170"/>
      <c r="C63" s="166">
        <v>28.512845925541814</v>
      </c>
      <c r="D63" s="166">
        <v>54.366535552115437</v>
      </c>
      <c r="E63" s="166">
        <v>639.04043976818912</v>
      </c>
      <c r="F63" s="166">
        <v>639.04043976818912</v>
      </c>
    </row>
    <row r="64" spans="1:6" x14ac:dyDescent="0.35">
      <c r="A64" s="113" t="s">
        <v>239</v>
      </c>
      <c r="B64" s="170"/>
      <c r="C64" s="166">
        <v>28.750680052459753</v>
      </c>
      <c r="D64" s="166">
        <v>55.629515549119972</v>
      </c>
      <c r="E64" s="166">
        <v>650.13694425284223</v>
      </c>
      <c r="F64" s="166">
        <v>650.13694425284223</v>
      </c>
    </row>
    <row r="65" spans="1:17" x14ac:dyDescent="0.35">
      <c r="A65" s="113" t="s">
        <v>240</v>
      </c>
      <c r="B65" s="170"/>
      <c r="C65" s="166">
        <v>28.719499189889131</v>
      </c>
      <c r="D65" s="166">
        <v>57.54799036449711</v>
      </c>
      <c r="E65" s="166">
        <v>639.17414255305914</v>
      </c>
      <c r="F65" s="166">
        <v>639.17414255305914</v>
      </c>
    </row>
    <row r="66" spans="1:17" x14ac:dyDescent="0.35">
      <c r="A66" s="113" t="s">
        <v>241</v>
      </c>
      <c r="B66" s="170"/>
      <c r="C66" s="166">
        <v>25.020258871612899</v>
      </c>
      <c r="D66" s="166">
        <v>29.967700531361523</v>
      </c>
      <c r="E66" s="166">
        <v>607.77430272339438</v>
      </c>
      <c r="F66" s="166">
        <v>607.77430272339438</v>
      </c>
    </row>
    <row r="67" spans="1:17" x14ac:dyDescent="0.35">
      <c r="A67" s="113" t="s">
        <v>242</v>
      </c>
      <c r="B67" s="170"/>
      <c r="C67" s="166">
        <v>25.312740790197282</v>
      </c>
      <c r="D67" s="166">
        <v>27.413040748214367</v>
      </c>
      <c r="E67" s="166">
        <v>613.93962901934947</v>
      </c>
      <c r="F67" s="166">
        <v>613.93962901934947</v>
      </c>
    </row>
    <row r="68" spans="1:17" x14ac:dyDescent="0.35">
      <c r="G68" t="s">
        <v>273</v>
      </c>
      <c r="M68" t="s">
        <v>274</v>
      </c>
    </row>
    <row r="69" spans="1:17" x14ac:dyDescent="0.35">
      <c r="A69" s="172" t="s">
        <v>73</v>
      </c>
      <c r="B69" s="173" t="s">
        <v>268</v>
      </c>
      <c r="C69" s="173"/>
      <c r="D69" s="173"/>
      <c r="E69" s="173"/>
      <c r="G69" s="172" t="s">
        <v>73</v>
      </c>
      <c r="H69" s="173" t="s">
        <v>268</v>
      </c>
      <c r="I69" s="173"/>
      <c r="J69" s="173"/>
      <c r="K69" s="173"/>
      <c r="M69" s="172" t="s">
        <v>73</v>
      </c>
      <c r="N69" s="173" t="s">
        <v>268</v>
      </c>
      <c r="O69" s="173"/>
      <c r="P69" s="173"/>
      <c r="Q69" s="173"/>
    </row>
    <row r="70" spans="1:17" x14ac:dyDescent="0.35">
      <c r="A70" s="172"/>
      <c r="B70" t="s">
        <v>269</v>
      </c>
      <c r="C70" s="165" t="s">
        <v>270</v>
      </c>
      <c r="D70" s="165" t="s">
        <v>271</v>
      </c>
      <c r="E70" s="165" t="s">
        <v>272</v>
      </c>
      <c r="G70" s="172"/>
      <c r="H70" t="s">
        <v>269</v>
      </c>
      <c r="I70" s="165" t="s">
        <v>270</v>
      </c>
      <c r="J70" s="165" t="s">
        <v>271</v>
      </c>
      <c r="K70" s="165" t="s">
        <v>272</v>
      </c>
      <c r="M70" s="172"/>
      <c r="N70" t="s">
        <v>269</v>
      </c>
      <c r="O70" s="165" t="s">
        <v>270</v>
      </c>
      <c r="P70" s="165" t="s">
        <v>271</v>
      </c>
      <c r="Q70" s="165" t="s">
        <v>272</v>
      </c>
    </row>
    <row r="71" spans="1:17" x14ac:dyDescent="0.35">
      <c r="A71" s="172" t="s">
        <v>75</v>
      </c>
      <c r="B71" s="166">
        <v>1.6493448291866268</v>
      </c>
      <c r="C71" s="166">
        <v>4.1573708657002895</v>
      </c>
      <c r="D71" s="166">
        <v>3</v>
      </c>
      <c r="E71" s="166">
        <v>5.3133588060905126</v>
      </c>
      <c r="G71" s="172" t="s">
        <v>75</v>
      </c>
      <c r="H71" s="166">
        <v>1</v>
      </c>
      <c r="I71" s="166">
        <v>2</v>
      </c>
      <c r="J71" s="166">
        <v>3</v>
      </c>
      <c r="K71" s="166">
        <v>4</v>
      </c>
      <c r="M71" s="172" t="s">
        <v>75</v>
      </c>
      <c r="N71" s="166">
        <v>1</v>
      </c>
      <c r="O71" s="166">
        <v>1</v>
      </c>
      <c r="P71" s="166">
        <v>1</v>
      </c>
      <c r="Q71" s="166">
        <v>1</v>
      </c>
    </row>
    <row r="72" spans="1:17" x14ac:dyDescent="0.35">
      <c r="A72" s="172"/>
      <c r="B72" s="166">
        <v>1.9954559098816276</v>
      </c>
      <c r="C72" s="166">
        <v>5.0495748130475437</v>
      </c>
      <c r="D72" s="166">
        <v>3</v>
      </c>
      <c r="E72" s="166">
        <v>7.6440332577085739</v>
      </c>
      <c r="G72" s="172"/>
      <c r="H72" s="166">
        <v>1</v>
      </c>
      <c r="I72" s="166">
        <v>2</v>
      </c>
      <c r="J72" s="166">
        <v>3</v>
      </c>
      <c r="K72" s="166">
        <v>4</v>
      </c>
      <c r="M72" s="172"/>
      <c r="N72" s="166">
        <v>1</v>
      </c>
      <c r="O72" s="166">
        <v>1</v>
      </c>
      <c r="P72" s="166">
        <v>1</v>
      </c>
      <c r="Q72" s="166">
        <v>1</v>
      </c>
    </row>
    <row r="73" spans="1:17" x14ac:dyDescent="0.35">
      <c r="A73" s="172"/>
      <c r="B73" s="166">
        <v>1.3936636228392318</v>
      </c>
      <c r="C73" s="166">
        <v>5.5397225470004168</v>
      </c>
      <c r="D73" s="166">
        <v>3</v>
      </c>
      <c r="E73" s="166">
        <v>6.2039794395928416</v>
      </c>
      <c r="G73" s="172"/>
      <c r="H73" s="166">
        <v>1</v>
      </c>
      <c r="I73" s="166">
        <v>2</v>
      </c>
      <c r="J73" s="166">
        <v>3</v>
      </c>
      <c r="K73" s="166">
        <v>4</v>
      </c>
      <c r="M73" s="172"/>
      <c r="N73" s="166">
        <v>1</v>
      </c>
      <c r="O73" s="166">
        <v>1</v>
      </c>
      <c r="P73" s="166">
        <v>1</v>
      </c>
      <c r="Q73" s="166">
        <v>1</v>
      </c>
    </row>
    <row r="74" spans="1:17" x14ac:dyDescent="0.35">
      <c r="A74" s="172"/>
      <c r="B74" s="166">
        <v>2.0364731622376659</v>
      </c>
      <c r="C74" s="166">
        <v>4.6726270188463888</v>
      </c>
      <c r="D74" s="166">
        <v>3</v>
      </c>
      <c r="E74" s="166">
        <v>5.3208668156532752</v>
      </c>
      <c r="G74" s="172"/>
      <c r="H74" s="166">
        <v>1</v>
      </c>
      <c r="I74" s="166">
        <v>2</v>
      </c>
      <c r="J74" s="166">
        <v>3</v>
      </c>
      <c r="K74" s="166">
        <v>4</v>
      </c>
      <c r="M74" s="172"/>
      <c r="N74" s="166">
        <v>1</v>
      </c>
      <c r="O74" s="166">
        <v>1</v>
      </c>
      <c r="P74" s="166">
        <v>1</v>
      </c>
      <c r="Q74" s="166">
        <v>1</v>
      </c>
    </row>
    <row r="75" spans="1:17" x14ac:dyDescent="0.35">
      <c r="A75" s="172"/>
      <c r="B75" s="166">
        <v>2.1268666259426383</v>
      </c>
      <c r="C75" s="166">
        <v>5.4611239694517364</v>
      </c>
      <c r="D75" s="166">
        <v>3</v>
      </c>
      <c r="E75" s="166">
        <v>5.7544660033653106</v>
      </c>
      <c r="G75" s="172"/>
      <c r="H75" s="166">
        <v>1</v>
      </c>
      <c r="I75" s="166">
        <v>2</v>
      </c>
      <c r="J75" s="166">
        <v>3</v>
      </c>
      <c r="K75" s="166">
        <v>4</v>
      </c>
      <c r="M75" s="172"/>
      <c r="N75" s="166">
        <v>1</v>
      </c>
      <c r="O75" s="166">
        <v>1</v>
      </c>
      <c r="P75" s="166">
        <v>1</v>
      </c>
      <c r="Q75" s="166">
        <v>1</v>
      </c>
    </row>
    <row r="76" spans="1:17" x14ac:dyDescent="0.35">
      <c r="A76" s="172"/>
      <c r="B76" s="166">
        <v>3.302555270078511</v>
      </c>
      <c r="C76" s="166">
        <v>4.5373147281601582</v>
      </c>
      <c r="D76" s="166">
        <v>3</v>
      </c>
      <c r="E76" s="166">
        <v>6.6563275422810584</v>
      </c>
      <c r="G76" s="172"/>
      <c r="H76" s="166">
        <v>1</v>
      </c>
      <c r="I76" s="166">
        <v>2</v>
      </c>
      <c r="J76" s="166">
        <v>3</v>
      </c>
      <c r="K76" s="166">
        <v>4</v>
      </c>
      <c r="M76" s="172"/>
      <c r="N76" s="166">
        <v>1</v>
      </c>
      <c r="O76" s="166">
        <v>1</v>
      </c>
      <c r="P76" s="166">
        <v>1</v>
      </c>
      <c r="Q76" s="166">
        <v>1</v>
      </c>
    </row>
    <row r="77" spans="1:17" x14ac:dyDescent="0.35">
      <c r="A77" s="172" t="s">
        <v>74</v>
      </c>
      <c r="B77" s="166">
        <v>14.512663177465827</v>
      </c>
      <c r="C77" s="166">
        <v>12.08437980019588</v>
      </c>
      <c r="D77" s="166">
        <v>13.922563846550474</v>
      </c>
      <c r="E77" s="166">
        <v>29.052627419066024</v>
      </c>
      <c r="G77" s="172" t="s">
        <v>74</v>
      </c>
      <c r="H77" s="166">
        <v>1</v>
      </c>
      <c r="I77" s="166">
        <v>2</v>
      </c>
      <c r="J77" s="166">
        <v>3</v>
      </c>
      <c r="K77" s="166">
        <v>4</v>
      </c>
      <c r="M77" s="172" t="s">
        <v>74</v>
      </c>
      <c r="N77" s="166">
        <v>2</v>
      </c>
      <c r="O77" s="166">
        <v>2</v>
      </c>
      <c r="P77" s="166">
        <v>2</v>
      </c>
      <c r="Q77" s="166">
        <v>2</v>
      </c>
    </row>
    <row r="78" spans="1:17" x14ac:dyDescent="0.35">
      <c r="A78" s="172"/>
      <c r="B78" s="166">
        <v>15.442260006311392</v>
      </c>
      <c r="C78" s="166">
        <v>13.128054689401806</v>
      </c>
      <c r="D78" s="166">
        <v>12.995305615101024</v>
      </c>
      <c r="E78" s="166">
        <v>28.512845925541814</v>
      </c>
      <c r="G78" s="172"/>
      <c r="H78" s="166">
        <v>1</v>
      </c>
      <c r="I78" s="166">
        <v>2</v>
      </c>
      <c r="J78" s="166">
        <v>3</v>
      </c>
      <c r="K78" s="166">
        <v>4</v>
      </c>
      <c r="M78" s="172"/>
      <c r="N78" s="166">
        <v>2</v>
      </c>
      <c r="O78" s="166">
        <v>2</v>
      </c>
      <c r="P78" s="166">
        <v>2</v>
      </c>
      <c r="Q78" s="166">
        <v>2</v>
      </c>
    </row>
    <row r="79" spans="1:17" x14ac:dyDescent="0.35">
      <c r="A79" s="172"/>
      <c r="B79" s="166">
        <v>13.818342610097366</v>
      </c>
      <c r="C79" s="166">
        <v>13.240312258744302</v>
      </c>
      <c r="D79" s="166">
        <v>10.039106404498368</v>
      </c>
      <c r="E79" s="166">
        <v>28.750680052459753</v>
      </c>
      <c r="G79" s="172"/>
      <c r="H79" s="166">
        <v>1</v>
      </c>
      <c r="I79" s="166">
        <v>2</v>
      </c>
      <c r="J79" s="166">
        <v>3</v>
      </c>
      <c r="K79" s="166">
        <v>4</v>
      </c>
      <c r="M79" s="172"/>
      <c r="N79" s="166">
        <v>2</v>
      </c>
      <c r="O79" s="166">
        <v>2</v>
      </c>
      <c r="P79" s="166">
        <v>2</v>
      </c>
      <c r="Q79" s="166">
        <v>2</v>
      </c>
    </row>
    <row r="80" spans="1:17" x14ac:dyDescent="0.35">
      <c r="A80" s="172"/>
      <c r="B80" s="166">
        <v>11.881813046672345</v>
      </c>
      <c r="C80" s="166">
        <v>14.951782473646848</v>
      </c>
      <c r="D80" s="166">
        <v>10.522132873196648</v>
      </c>
      <c r="E80" s="166">
        <v>28.719499189889131</v>
      </c>
      <c r="G80" s="172"/>
      <c r="H80" s="166">
        <v>1</v>
      </c>
      <c r="I80" s="166">
        <v>2</v>
      </c>
      <c r="J80" s="166">
        <v>3</v>
      </c>
      <c r="K80" s="166">
        <v>4</v>
      </c>
      <c r="M80" s="172"/>
      <c r="N80" s="166">
        <v>2</v>
      </c>
      <c r="O80" s="166">
        <v>2</v>
      </c>
      <c r="P80" s="166">
        <v>2</v>
      </c>
      <c r="Q80" s="166">
        <v>2</v>
      </c>
    </row>
    <row r="81" spans="1:17" x14ac:dyDescent="0.35">
      <c r="A81" s="172"/>
      <c r="B81" s="166">
        <v>16.161780329066321</v>
      </c>
      <c r="C81" s="166">
        <v>12.010029992984338</v>
      </c>
      <c r="D81" s="166">
        <v>11.348150930568869</v>
      </c>
      <c r="E81" s="166">
        <v>25.020258871612899</v>
      </c>
      <c r="G81" s="172"/>
      <c r="H81" s="166">
        <v>1</v>
      </c>
      <c r="I81" s="166">
        <v>2</v>
      </c>
      <c r="J81" s="166">
        <v>3</v>
      </c>
      <c r="K81" s="166">
        <v>4</v>
      </c>
      <c r="M81" s="172"/>
      <c r="N81" s="166">
        <v>2</v>
      </c>
      <c r="O81" s="166">
        <v>2</v>
      </c>
      <c r="P81" s="166">
        <v>2</v>
      </c>
      <c r="Q81" s="166">
        <v>2</v>
      </c>
    </row>
    <row r="82" spans="1:17" x14ac:dyDescent="0.35">
      <c r="A82" s="172"/>
      <c r="B82" s="166">
        <v>17.362693121335241</v>
      </c>
      <c r="C82" s="166">
        <v>11.806479834425325</v>
      </c>
      <c r="D82" s="166">
        <v>11.274106002342243</v>
      </c>
      <c r="E82" s="166">
        <v>25.312740790197282</v>
      </c>
      <c r="G82" s="172"/>
      <c r="H82" s="166">
        <v>1</v>
      </c>
      <c r="I82" s="166">
        <v>2</v>
      </c>
      <c r="J82" s="166">
        <v>3</v>
      </c>
      <c r="K82" s="166">
        <v>4</v>
      </c>
      <c r="M82" s="172"/>
      <c r="N82" s="166">
        <v>2</v>
      </c>
      <c r="O82" s="166">
        <v>2</v>
      </c>
      <c r="P82" s="166">
        <v>2</v>
      </c>
      <c r="Q82" s="166">
        <v>2</v>
      </c>
    </row>
    <row r="83" spans="1:17" x14ac:dyDescent="0.35">
      <c r="A83" t="s">
        <v>275</v>
      </c>
    </row>
  </sheetData>
  <mergeCells count="12">
    <mergeCell ref="H69:K69"/>
    <mergeCell ref="G71:G76"/>
    <mergeCell ref="G77:G82"/>
    <mergeCell ref="M69:M70"/>
    <mergeCell ref="N69:Q69"/>
    <mergeCell ref="M71:M76"/>
    <mergeCell ref="M77:M82"/>
    <mergeCell ref="A69:A70"/>
    <mergeCell ref="B69:E69"/>
    <mergeCell ref="A71:A76"/>
    <mergeCell ref="A77:A82"/>
    <mergeCell ref="G69:G70"/>
  </mergeCells>
  <hyperlinks>
    <hyperlink ref="A1" r:id="rId1" location="fpstate=ive&amp;vld=cid:af14d801,vid:nq8eN9cz_Ss,st:0" display="https://www.google.com/search?q=tutorial+two+way+anova+spss&amp;sca_esv=570758810&amp;rlz=1C1UEAD_enID995ID995&amp;sxsrf=AM9HkKktY2P8aPELCmoLHAljDvGybL0SAg%3A1696451275584&amp;ei=y8odZfalI8q5seMPt--uyAY&amp;ved=0ahUKEwi2t6O9nd2BAxXKXGwGHbe3C2kQ4dUDCBA&amp;uact=5&amp;oq=tutorial+two+way+anova+spss&amp;gs_lp=Egxnd3Mtd2l6LXNlcnAiG3R1dG9yaWFsIHR3byB3YXkgYW5vdmEgc3BzczIFEAAYgAQyBhAAGBYYHkjrC1DQBFjUCnABeAGQAQCYAU2gAdsCqgEBNbgBA8gBAPgBAcICChAAGEcY1gQYsAPiAwQYACBBiAYBkAYI&amp;sclient=gws-wiz-serp#fpstate=ive&amp;vld=cid:af14d801,vid:nq8eN9cz_Ss,st:0" xr:uid="{C1CBEF7A-F7BD-4D4A-9539-9C717968FAFA}"/>
    <hyperlink ref="A2" r:id="rId2" xr:uid="{26569500-D39C-4DFF-92F1-F1329FE6CF63}"/>
  </hyperlinks>
  <pageMargins left="0.7" right="0.7" top="0.75" bottom="0.75" header="0.3" footer="0.3"/>
  <pageSetup orientation="portrait" horizontalDpi="360" verticalDpi="360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75173-3618-480E-A7C5-15B63FDF156E}">
  <sheetPr codeName="Sheet2"/>
  <dimension ref="A1:E61"/>
  <sheetViews>
    <sheetView topLeftCell="A43" workbookViewId="0">
      <selection activeCell="B2" sqref="B2:E61"/>
    </sheetView>
  </sheetViews>
  <sheetFormatPr defaultRowHeight="14.5" x14ac:dyDescent="0.35"/>
  <cols>
    <col min="1" max="1" width="15.81640625" bestFit="1" customWidth="1"/>
    <col min="2" max="3" width="11.81640625" style="165" bestFit="1" customWidth="1"/>
    <col min="4" max="4" width="8.7265625" style="165"/>
    <col min="5" max="5" width="11.81640625" style="165" bestFit="1" customWidth="1"/>
  </cols>
  <sheetData>
    <row r="1" spans="1:5" x14ac:dyDescent="0.35">
      <c r="A1" t="s">
        <v>80</v>
      </c>
      <c r="B1" s="165" t="s">
        <v>256</v>
      </c>
      <c r="C1" s="165" t="s">
        <v>258</v>
      </c>
      <c r="D1" s="165" t="s">
        <v>193</v>
      </c>
      <c r="E1" s="165" t="s">
        <v>257</v>
      </c>
    </row>
    <row r="2" spans="1:5" x14ac:dyDescent="0.35">
      <c r="A2" s="83" t="s">
        <v>195</v>
      </c>
      <c r="B2" s="166">
        <f>'EU_Cd '!M36</f>
        <v>1.6493448291866268</v>
      </c>
      <c r="C2" s="166">
        <f>EU_Hg!M36</f>
        <v>553.65942079879267</v>
      </c>
      <c r="D2" s="166">
        <f>EU_Pb!M36</f>
        <v>662.82466455700364</v>
      </c>
      <c r="E2" s="166">
        <f>EU_Sb!M36</f>
        <v>5120.7907624265681</v>
      </c>
    </row>
    <row r="3" spans="1:5" x14ac:dyDescent="0.35">
      <c r="A3" s="83" t="s">
        <v>196</v>
      </c>
      <c r="B3" s="166">
        <f>'EU_Cd '!M37</f>
        <v>1.9954559098816276</v>
      </c>
      <c r="C3" s="166">
        <f>EU_Hg!M37</f>
        <v>581.69713017017727</v>
      </c>
      <c r="D3" s="166">
        <f>EU_Pb!M37</f>
        <v>580.3068218961871</v>
      </c>
      <c r="E3" s="166">
        <f>EU_Sb!M37</f>
        <v>4774.5360357072577</v>
      </c>
    </row>
    <row r="4" spans="1:5" x14ac:dyDescent="0.35">
      <c r="A4" s="83" t="s">
        <v>197</v>
      </c>
      <c r="B4" s="166">
        <f>'EU_Cd '!M38</f>
        <v>1.3936636228392318</v>
      </c>
      <c r="C4" s="166">
        <f>EU_Hg!M38</f>
        <v>475.16014657808341</v>
      </c>
      <c r="D4" s="166">
        <f>EU_Pb!M38</f>
        <v>500.43998555739068</v>
      </c>
      <c r="E4" s="166">
        <f>EU_Sb!M38</f>
        <v>4223.3090383948602</v>
      </c>
    </row>
    <row r="5" spans="1:5" x14ac:dyDescent="0.35">
      <c r="A5" s="83" t="s">
        <v>198</v>
      </c>
      <c r="B5" s="166">
        <f>'EU_Cd '!M39</f>
        <v>2.0364731622376659</v>
      </c>
      <c r="C5" s="166">
        <f>EU_Hg!M39</f>
        <v>469.93955598488412</v>
      </c>
      <c r="D5" s="166">
        <f>EU_Pb!M39</f>
        <v>530.96851811795079</v>
      </c>
      <c r="E5" s="166">
        <f>EU_Sb!M39</f>
        <v>4745.3448469102459</v>
      </c>
    </row>
    <row r="6" spans="1:5" x14ac:dyDescent="0.35">
      <c r="A6" s="83" t="s">
        <v>199</v>
      </c>
      <c r="B6" s="166">
        <f>'EU_Cd '!M40</f>
        <v>2.1268666259426383</v>
      </c>
      <c r="C6" s="166">
        <f>EU_Hg!M40</f>
        <v>381.61181429294084</v>
      </c>
      <c r="D6" s="166">
        <f>EU_Pb!M40</f>
        <v>469.06356582256524</v>
      </c>
      <c r="E6" s="166">
        <f>EU_Sb!M40</f>
        <v>5366.2355415792808</v>
      </c>
    </row>
    <row r="7" spans="1:5" x14ac:dyDescent="0.35">
      <c r="A7" s="83" t="s">
        <v>200</v>
      </c>
      <c r="B7" s="166">
        <f>'EU_Cd '!M41</f>
        <v>3.302555270078511</v>
      </c>
      <c r="C7" s="166">
        <f>EU_Hg!M41</f>
        <v>350.48165084563954</v>
      </c>
      <c r="D7" s="166">
        <f>EU_Pb!M41</f>
        <v>503.47195751448515</v>
      </c>
      <c r="E7" s="166">
        <f>EU_Sb!M41</f>
        <v>6021.7599322806727</v>
      </c>
    </row>
    <row r="8" spans="1:5" x14ac:dyDescent="0.35">
      <c r="A8" s="91" t="s">
        <v>201</v>
      </c>
      <c r="B8" s="166">
        <f>'EU_Cd '!M42</f>
        <v>4.1573708657002895</v>
      </c>
      <c r="C8" s="166">
        <f>EU_Hg!M42</f>
        <v>46.411215204526755</v>
      </c>
      <c r="D8" s="166">
        <f>EU_Pb!M42</f>
        <v>22.237741248290028</v>
      </c>
      <c r="E8" s="166">
        <f>EU_Sb!M42</f>
        <v>81.947469361400081</v>
      </c>
    </row>
    <row r="9" spans="1:5" x14ac:dyDescent="0.35">
      <c r="A9" s="91" t="s">
        <v>202</v>
      </c>
      <c r="B9" s="166">
        <f>'EU_Cd '!M43</f>
        <v>5.0495748130475437</v>
      </c>
      <c r="C9" s="166">
        <f>EU_Hg!M43</f>
        <v>46.08838305546788</v>
      </c>
      <c r="D9" s="166">
        <f>EU_Pb!M43</f>
        <v>26.928588674241013</v>
      </c>
      <c r="E9" s="166">
        <f>EU_Sb!M43</f>
        <v>81.852787413262902</v>
      </c>
    </row>
    <row r="10" spans="1:5" x14ac:dyDescent="0.35">
      <c r="A10" s="91" t="s">
        <v>203</v>
      </c>
      <c r="B10" s="166">
        <f>'EU_Cd '!M44</f>
        <v>5.5397225470004168</v>
      </c>
      <c r="C10" s="166">
        <f>EU_Hg!M44</f>
        <v>29.179084734227953</v>
      </c>
      <c r="D10" s="166">
        <f>EU_Pb!M44</f>
        <v>95.015934172598008</v>
      </c>
      <c r="E10" s="166">
        <f>EU_Sb!M44</f>
        <v>81.84150685148191</v>
      </c>
    </row>
    <row r="11" spans="1:5" x14ac:dyDescent="0.35">
      <c r="A11" s="91" t="s">
        <v>204</v>
      </c>
      <c r="B11" s="166">
        <f>'EU_Cd '!M45</f>
        <v>4.6726270188463888</v>
      </c>
      <c r="C11" s="166">
        <f>EU_Hg!M45</f>
        <v>31.714137369741795</v>
      </c>
      <c r="D11" s="166">
        <f>EU_Pb!M45</f>
        <v>82.774005692889062</v>
      </c>
      <c r="E11" s="166">
        <f>EU_Sb!M45</f>
        <v>81.910446481126513</v>
      </c>
    </row>
    <row r="12" spans="1:5" x14ac:dyDescent="0.35">
      <c r="A12" s="91" t="s">
        <v>205</v>
      </c>
      <c r="B12" s="166">
        <f>'EU_Cd '!M46</f>
        <v>5.4611239694517364</v>
      </c>
      <c r="C12" s="166">
        <f>EU_Hg!M46</f>
        <v>43.521642542791703</v>
      </c>
      <c r="D12" s="166">
        <f>EU_Pb!M46</f>
        <v>43.438715404283862</v>
      </c>
      <c r="E12" s="166">
        <f>EU_Sb!M46</f>
        <v>81.932231001697176</v>
      </c>
    </row>
    <row r="13" spans="1:5" x14ac:dyDescent="0.35">
      <c r="A13" s="91" t="s">
        <v>206</v>
      </c>
      <c r="B13" s="166">
        <f>'EU_Cd '!M47</f>
        <v>4.5373147281601582</v>
      </c>
      <c r="C13" s="166">
        <f>EU_Hg!M47</f>
        <v>42.534792688732708</v>
      </c>
      <c r="D13" s="166">
        <f>EU_Pb!M47</f>
        <v>43.566101673635316</v>
      </c>
      <c r="E13" s="166">
        <f>EU_Sb!M47</f>
        <v>82.069086745527954</v>
      </c>
    </row>
    <row r="14" spans="1:5" x14ac:dyDescent="0.35">
      <c r="A14" s="104" t="s">
        <v>244</v>
      </c>
      <c r="B14" s="166">
        <f>'EU_Cd '!M48</f>
        <v>3</v>
      </c>
      <c r="C14" s="166">
        <f>EU_Hg!M48</f>
        <v>197.50306271519671</v>
      </c>
      <c r="D14" s="166">
        <f>EU_Pb!M48</f>
        <v>777.09963097977277</v>
      </c>
      <c r="E14" s="166">
        <f>EU_Sb!M48</f>
        <v>141.06511370502488</v>
      </c>
    </row>
    <row r="15" spans="1:5" x14ac:dyDescent="0.35">
      <c r="A15" s="104" t="s">
        <v>245</v>
      </c>
      <c r="B15" s="166">
        <f>'EU_Cd '!M49</f>
        <v>3</v>
      </c>
      <c r="C15" s="166">
        <f>EU_Hg!M49</f>
        <v>233.12199846070592</v>
      </c>
      <c r="D15" s="166">
        <f>EU_Pb!M49</f>
        <v>670.93803908100983</v>
      </c>
      <c r="E15" s="166">
        <f>EU_Sb!M49</f>
        <v>157.21181613856803</v>
      </c>
    </row>
    <row r="16" spans="1:5" x14ac:dyDescent="0.35">
      <c r="A16" s="104" t="s">
        <v>246</v>
      </c>
      <c r="B16" s="166">
        <f>'EU_Cd '!M50</f>
        <v>3</v>
      </c>
      <c r="C16" s="166">
        <f>EU_Hg!M50</f>
        <v>193.77541062773005</v>
      </c>
      <c r="D16" s="166">
        <f>EU_Pb!M50</f>
        <v>393.51089744333859</v>
      </c>
      <c r="E16" s="166">
        <f>EU_Sb!M50</f>
        <v>130.66688638924066</v>
      </c>
    </row>
    <row r="17" spans="1:5" x14ac:dyDescent="0.35">
      <c r="A17" s="104" t="s">
        <v>247</v>
      </c>
      <c r="B17" s="166">
        <f>'EU_Cd '!M51</f>
        <v>3</v>
      </c>
      <c r="C17" s="166">
        <f>EU_Hg!M51</f>
        <v>155.22228617385767</v>
      </c>
      <c r="D17" s="166">
        <f>EU_Pb!M51</f>
        <v>462.15775896924345</v>
      </c>
      <c r="E17" s="166">
        <f>EU_Sb!M51</f>
        <v>119.45900881737744</v>
      </c>
    </row>
    <row r="18" spans="1:5" x14ac:dyDescent="0.35">
      <c r="A18" s="104" t="s">
        <v>248</v>
      </c>
      <c r="B18" s="166">
        <f>'EU_Cd '!M52</f>
        <v>3</v>
      </c>
      <c r="C18" s="166">
        <f>EU_Hg!M52</f>
        <v>160.59470790180902</v>
      </c>
      <c r="D18" s="166">
        <f>EU_Pb!M52</f>
        <v>499.38515849502426</v>
      </c>
      <c r="E18" s="166">
        <f>EU_Sb!M52</f>
        <v>153.65657383790455</v>
      </c>
    </row>
    <row r="19" spans="1:5" x14ac:dyDescent="0.35">
      <c r="A19" s="104" t="s">
        <v>249</v>
      </c>
      <c r="B19" s="166">
        <f>'EU_Cd '!M53</f>
        <v>3</v>
      </c>
      <c r="C19" s="166">
        <f>EU_Hg!M53</f>
        <v>160.88522771458508</v>
      </c>
      <c r="D19" s="166">
        <f>EU_Pb!M53</f>
        <v>478.88011613765502</v>
      </c>
      <c r="E19" s="166">
        <f>EU_Sb!M53</f>
        <v>133.44895727002125</v>
      </c>
    </row>
    <row r="20" spans="1:5" x14ac:dyDescent="0.35">
      <c r="A20" s="83" t="s">
        <v>207</v>
      </c>
      <c r="B20" s="166">
        <f>'EU_Cd '!M54</f>
        <v>3</v>
      </c>
      <c r="C20" s="166">
        <f>EU_Hg!M54</f>
        <v>434.79679237459806</v>
      </c>
      <c r="D20" s="166">
        <f>EU_Pb!M54</f>
        <v>497.93480556153793</v>
      </c>
      <c r="E20" s="166">
        <f>EU_Sb!M54</f>
        <v>476.66730379682139</v>
      </c>
    </row>
    <row r="21" spans="1:5" x14ac:dyDescent="0.35">
      <c r="A21" s="83" t="s">
        <v>208</v>
      </c>
      <c r="B21" s="166">
        <f>'EU_Cd '!M55</f>
        <v>3</v>
      </c>
      <c r="C21" s="166">
        <f>EU_Hg!M55</f>
        <v>415.56709132164582</v>
      </c>
      <c r="D21" s="166">
        <f>EU_Pb!M55</f>
        <v>418.55192164546116</v>
      </c>
      <c r="E21" s="166">
        <f>EU_Sb!M55</f>
        <v>501.38514292508728</v>
      </c>
    </row>
    <row r="22" spans="1:5" x14ac:dyDescent="0.35">
      <c r="A22" s="83" t="s">
        <v>209</v>
      </c>
      <c r="B22" s="166">
        <f>'EU_Cd '!M56</f>
        <v>3</v>
      </c>
      <c r="C22" s="166">
        <f>EU_Hg!M56</f>
        <v>377.3246992777423</v>
      </c>
      <c r="D22" s="166">
        <f>EU_Pb!M56</f>
        <v>353.31549110852097</v>
      </c>
      <c r="E22" s="166">
        <f>EU_Sb!M56</f>
        <v>490.35474414275086</v>
      </c>
    </row>
    <row r="23" spans="1:5" x14ac:dyDescent="0.35">
      <c r="A23" s="83" t="s">
        <v>210</v>
      </c>
      <c r="B23" s="166">
        <f>'EU_Cd '!M57</f>
        <v>3</v>
      </c>
      <c r="C23" s="166">
        <f>EU_Hg!M57</f>
        <v>374.99145951002049</v>
      </c>
      <c r="D23" s="166">
        <f>EU_Pb!M57</f>
        <v>387.76468636281061</v>
      </c>
      <c r="E23" s="166">
        <f>EU_Sb!M57</f>
        <v>499.12575634501235</v>
      </c>
    </row>
    <row r="24" spans="1:5" x14ac:dyDescent="0.35">
      <c r="A24" s="83" t="s">
        <v>211</v>
      </c>
      <c r="B24" s="166">
        <f>'EU_Cd '!M58</f>
        <v>3</v>
      </c>
      <c r="C24" s="166">
        <f>EU_Hg!M58</f>
        <v>484.52119219030351</v>
      </c>
      <c r="D24" s="166">
        <f>EU_Pb!M58</f>
        <v>651.62623964823104</v>
      </c>
      <c r="E24" s="166">
        <f>EU_Sb!M58</f>
        <v>501.52497925519259</v>
      </c>
    </row>
    <row r="25" spans="1:5" x14ac:dyDescent="0.35">
      <c r="A25" s="83" t="s">
        <v>212</v>
      </c>
      <c r="B25" s="166">
        <f>'EU_Cd '!M59</f>
        <v>3</v>
      </c>
      <c r="C25" s="166">
        <f>EU_Hg!M59</f>
        <v>439.83213829654079</v>
      </c>
      <c r="D25" s="166">
        <f>EU_Pb!M59</f>
        <v>595.05518762685813</v>
      </c>
      <c r="E25" s="166">
        <f>EU_Sb!M59</f>
        <v>499.55799255868595</v>
      </c>
    </row>
    <row r="26" spans="1:5" x14ac:dyDescent="0.35">
      <c r="A26" s="91" t="s">
        <v>213</v>
      </c>
      <c r="B26" s="166">
        <f>'EU_Cd '!M60</f>
        <v>5.3133588060905126</v>
      </c>
      <c r="C26" s="166">
        <f>EU_Hg!M60</f>
        <v>27.527763416904371</v>
      </c>
      <c r="D26" s="166">
        <f>EU_Pb!M60</f>
        <v>6.984904636573563</v>
      </c>
      <c r="E26" s="166">
        <f>EU_Sb!M60</f>
        <v>1056.4759813609239</v>
      </c>
    </row>
    <row r="27" spans="1:5" x14ac:dyDescent="0.35">
      <c r="A27" s="91" t="s">
        <v>214</v>
      </c>
      <c r="B27" s="166">
        <f>'EU_Cd '!M61</f>
        <v>7.6440332577085739</v>
      </c>
      <c r="C27" s="166">
        <f>EU_Hg!M61</f>
        <v>32.173400257805255</v>
      </c>
      <c r="D27" s="166">
        <f>EU_Pb!M61</f>
        <v>8.3418093464832683</v>
      </c>
      <c r="E27" s="166">
        <f>EU_Sb!M61</f>
        <v>1220.3867044008857</v>
      </c>
    </row>
    <row r="28" spans="1:5" x14ac:dyDescent="0.35">
      <c r="A28" s="91" t="s">
        <v>215</v>
      </c>
      <c r="B28" s="166">
        <f>'EU_Cd '!M62</f>
        <v>6.2039794395928416</v>
      </c>
      <c r="C28" s="166">
        <f>EU_Hg!M62</f>
        <v>30.86760585907172</v>
      </c>
      <c r="D28" s="166">
        <f>EU_Pb!M62</f>
        <v>8.596110301598765</v>
      </c>
      <c r="E28" s="166">
        <f>EU_Sb!M62</f>
        <v>1144.4018948912976</v>
      </c>
    </row>
    <row r="29" spans="1:5" x14ac:dyDescent="0.35">
      <c r="A29" s="91" t="s">
        <v>216</v>
      </c>
      <c r="B29" s="166">
        <f>'EU_Cd '!M63</f>
        <v>5.3208668156532752</v>
      </c>
      <c r="C29" s="166">
        <f>EU_Hg!M63</f>
        <v>25.958914839358325</v>
      </c>
      <c r="D29" s="166">
        <f>EU_Pb!M63</f>
        <v>7.6840475395742232</v>
      </c>
      <c r="E29" s="166">
        <f>EU_Sb!M63</f>
        <v>1262.7462449778302</v>
      </c>
    </row>
    <row r="30" spans="1:5" x14ac:dyDescent="0.35">
      <c r="A30" s="91" t="s">
        <v>217</v>
      </c>
      <c r="B30" s="166">
        <f>'EU_Cd '!M64</f>
        <v>5.7544660033653106</v>
      </c>
      <c r="C30" s="166">
        <f>EU_Hg!M64</f>
        <v>26.057527887138495</v>
      </c>
      <c r="D30" s="166">
        <f>EU_Pb!M64</f>
        <v>8.3536928982805474</v>
      </c>
      <c r="E30" s="166">
        <f>EU_Sb!M64</f>
        <v>1242.3476105203979</v>
      </c>
    </row>
    <row r="31" spans="1:5" x14ac:dyDescent="0.35">
      <c r="A31" s="91" t="s">
        <v>218</v>
      </c>
      <c r="B31" s="166">
        <f>'EU_Cd '!M65</f>
        <v>6.6563275422810584</v>
      </c>
      <c r="C31" s="166">
        <f>EU_Hg!M65</f>
        <v>24.365794753576296</v>
      </c>
      <c r="D31" s="166">
        <f>EU_Pb!M65</f>
        <v>6.98502890320243</v>
      </c>
      <c r="E31" s="166">
        <f>EU_Sb!M65</f>
        <v>1324.5426809205396</v>
      </c>
    </row>
    <row r="32" spans="1:5" x14ac:dyDescent="0.35">
      <c r="A32" s="104" t="s">
        <v>219</v>
      </c>
      <c r="B32" s="166">
        <f>'EU_Cd '!M66</f>
        <v>3</v>
      </c>
      <c r="C32" s="166">
        <f>EU_Hg!M66</f>
        <v>65.924268211298227</v>
      </c>
      <c r="D32" s="166">
        <f>EU_Pb!M66</f>
        <v>734.56250672501915</v>
      </c>
      <c r="E32" s="166">
        <f>EU_Sb!M66</f>
        <v>2079.7853062948457</v>
      </c>
    </row>
    <row r="33" spans="1:5" x14ac:dyDescent="0.35">
      <c r="A33" s="104" t="s">
        <v>220</v>
      </c>
      <c r="B33" s="166">
        <f>'EU_Cd '!M67</f>
        <v>3</v>
      </c>
      <c r="C33" s="166">
        <f>EU_Hg!M67</f>
        <v>75.317440992684354</v>
      </c>
      <c r="D33" s="166">
        <f>EU_Pb!M67</f>
        <v>687.27317372789446</v>
      </c>
      <c r="E33" s="166">
        <f>EU_Sb!M67</f>
        <v>1837.9934442892038</v>
      </c>
    </row>
    <row r="34" spans="1:5" x14ac:dyDescent="0.35">
      <c r="A34" s="104" t="s">
        <v>221</v>
      </c>
      <c r="B34" s="166">
        <f>'EU_Cd '!M68</f>
        <v>3</v>
      </c>
      <c r="C34" s="166">
        <f>EU_Hg!M68</f>
        <v>71.757212184378602</v>
      </c>
      <c r="D34" s="166">
        <f>EU_Pb!M68</f>
        <v>435.97245551768651</v>
      </c>
      <c r="E34" s="166">
        <f>EU_Sb!M68</f>
        <v>1857.948849148316</v>
      </c>
    </row>
    <row r="35" spans="1:5" x14ac:dyDescent="0.35">
      <c r="A35" s="104" t="s">
        <v>222</v>
      </c>
      <c r="B35" s="166">
        <f>'EU_Cd '!M69</f>
        <v>3</v>
      </c>
      <c r="C35" s="166">
        <f>EU_Hg!M69</f>
        <v>65.712037779923989</v>
      </c>
      <c r="D35" s="166">
        <f>EU_Pb!M69</f>
        <v>386.72880843716666</v>
      </c>
      <c r="E35" s="166">
        <f>EU_Sb!M69</f>
        <v>1832.2719887567523</v>
      </c>
    </row>
    <row r="36" spans="1:5" x14ac:dyDescent="0.35">
      <c r="A36" s="104" t="s">
        <v>223</v>
      </c>
      <c r="B36" s="166">
        <f>'EU_Cd '!M70</f>
        <v>3</v>
      </c>
      <c r="C36" s="166">
        <f>EU_Hg!M70</f>
        <v>68.701557276678813</v>
      </c>
      <c r="D36" s="166">
        <f>EU_Pb!M70</f>
        <v>398.42713255381653</v>
      </c>
      <c r="E36" s="166">
        <f>EU_Sb!M70</f>
        <v>1857.7472333656262</v>
      </c>
    </row>
    <row r="37" spans="1:5" x14ac:dyDescent="0.35">
      <c r="A37" s="104" t="s">
        <v>224</v>
      </c>
      <c r="B37" s="166">
        <f>'EU_Cd '!M71</f>
        <v>3</v>
      </c>
      <c r="C37" s="166">
        <f>EU_Hg!M71</f>
        <v>76.037458540324749</v>
      </c>
      <c r="D37" s="166">
        <f>EU_Pb!M71</f>
        <v>363.39161137115553</v>
      </c>
      <c r="E37" s="166">
        <f>EU_Sb!M71</f>
        <v>1842.7532076471834</v>
      </c>
    </row>
    <row r="38" spans="1:5" x14ac:dyDescent="0.35">
      <c r="A38" s="83" t="s">
        <v>225</v>
      </c>
      <c r="B38" s="166">
        <f>BPOM_Cd!M36</f>
        <v>14.512663177465827</v>
      </c>
      <c r="C38" s="166">
        <f>BPOM_Hg!M36</f>
        <v>31.549125744279877</v>
      </c>
      <c r="D38" s="166">
        <f>BPOM_Pb!M36</f>
        <v>163.84358228948525</v>
      </c>
      <c r="E38" s="166">
        <f>BPOM_Pb!M36</f>
        <v>163.84358228948525</v>
      </c>
    </row>
    <row r="39" spans="1:5" x14ac:dyDescent="0.35">
      <c r="A39" s="83" t="s">
        <v>226</v>
      </c>
      <c r="B39" s="166">
        <f>BPOM_Cd!M37</f>
        <v>15.442260006311392</v>
      </c>
      <c r="C39" s="166">
        <f>BPOM_Hg!M37</f>
        <v>31.946712285045816</v>
      </c>
      <c r="D39" s="166">
        <f>BPOM_Pb!M37</f>
        <v>135.78787376164863</v>
      </c>
      <c r="E39" s="166">
        <f>BPOM_Pb!M37</f>
        <v>135.78787376164863</v>
      </c>
    </row>
    <row r="40" spans="1:5" x14ac:dyDescent="0.35">
      <c r="A40" s="83" t="s">
        <v>227</v>
      </c>
      <c r="B40" s="166">
        <f>BPOM_Cd!M38</f>
        <v>13.818342610097366</v>
      </c>
      <c r="C40" s="166">
        <f>BPOM_Hg!M38</f>
        <v>31.783934829513353</v>
      </c>
      <c r="D40" s="166">
        <f>BPOM_Pb!M38</f>
        <v>137.19723650913997</v>
      </c>
      <c r="E40" s="166">
        <f>BPOM_Pb!M38</f>
        <v>137.19723650913997</v>
      </c>
    </row>
    <row r="41" spans="1:5" x14ac:dyDescent="0.35">
      <c r="A41" s="83" t="s">
        <v>228</v>
      </c>
      <c r="B41" s="166">
        <f>BPOM_Cd!M39</f>
        <v>11.881813046672345</v>
      </c>
      <c r="C41" s="166">
        <f>BPOM_Hg!M39</f>
        <v>37.157541227817191</v>
      </c>
      <c r="D41" s="166">
        <f>BPOM_Pb!M39</f>
        <v>135.03312029291979</v>
      </c>
      <c r="E41" s="166">
        <f>BPOM_Pb!M39</f>
        <v>135.03312029291979</v>
      </c>
    </row>
    <row r="42" spans="1:5" x14ac:dyDescent="0.35">
      <c r="A42" s="83" t="s">
        <v>229</v>
      </c>
      <c r="B42" s="166">
        <f>BPOM_Cd!M40</f>
        <v>16.161780329066321</v>
      </c>
      <c r="C42" s="166">
        <f>BPOM_Hg!M40</f>
        <v>33.755117033502081</v>
      </c>
      <c r="D42" s="166">
        <f>BPOM_Pb!M40</f>
        <v>130.98039050099408</v>
      </c>
      <c r="E42" s="166">
        <f>BPOM_Pb!M40</f>
        <v>130.98039050099408</v>
      </c>
    </row>
    <row r="43" spans="1:5" x14ac:dyDescent="0.35">
      <c r="A43" s="83" t="s">
        <v>230</v>
      </c>
      <c r="B43" s="166">
        <f>BPOM_Cd!M41</f>
        <v>17.362693121335241</v>
      </c>
      <c r="C43" s="166">
        <f>BPOM_Hg!M41</f>
        <v>32.050804858860886</v>
      </c>
      <c r="D43" s="166">
        <f>BPOM_Pb!M41</f>
        <v>117.39177092646159</v>
      </c>
      <c r="E43" s="166">
        <f>BPOM_Pb!M41</f>
        <v>117.39177092646159</v>
      </c>
    </row>
    <row r="44" spans="1:5" x14ac:dyDescent="0.35">
      <c r="A44" s="91" t="s">
        <v>231</v>
      </c>
      <c r="B44" s="166">
        <f>BPOM_Cd!M42</f>
        <v>12.08437980019588</v>
      </c>
      <c r="C44" s="166">
        <f>BPOM_Hg!M42</f>
        <v>34.223495770254814</v>
      </c>
      <c r="D44" s="166">
        <f>BPOM_Pb!M42</f>
        <v>126.46962877751753</v>
      </c>
      <c r="E44" s="166">
        <f>BPOM_Pb!M42</f>
        <v>126.46962877751753</v>
      </c>
    </row>
    <row r="45" spans="1:5" x14ac:dyDescent="0.35">
      <c r="A45" s="91" t="s">
        <v>232</v>
      </c>
      <c r="B45" s="166">
        <f>BPOM_Cd!M43</f>
        <v>13.128054689401806</v>
      </c>
      <c r="C45" s="166">
        <f>BPOM_Hg!M43</f>
        <v>30.161989870269441</v>
      </c>
      <c r="D45" s="166">
        <f>BPOM_Pb!M43</f>
        <v>122.65799449286962</v>
      </c>
      <c r="E45" s="166">
        <f>BPOM_Pb!M43</f>
        <v>122.65799449286962</v>
      </c>
    </row>
    <row r="46" spans="1:5" x14ac:dyDescent="0.35">
      <c r="A46" s="91" t="s">
        <v>233</v>
      </c>
      <c r="B46" s="166">
        <f>BPOM_Cd!M44</f>
        <v>13.240312258744302</v>
      </c>
      <c r="C46" s="166">
        <f>BPOM_Hg!M44</f>
        <v>37.398901935261726</v>
      </c>
      <c r="D46" s="166">
        <f>BPOM_Pb!M44</f>
        <v>125.02677662487913</v>
      </c>
      <c r="E46" s="166">
        <f>BPOM_Pb!M44</f>
        <v>125.02677662487913</v>
      </c>
    </row>
    <row r="47" spans="1:5" x14ac:dyDescent="0.35">
      <c r="A47" s="91" t="s">
        <v>234</v>
      </c>
      <c r="B47" s="166">
        <f>BPOM_Cd!M45</f>
        <v>14.951782473646848</v>
      </c>
      <c r="C47" s="166">
        <f>BPOM_Hg!M45</f>
        <v>31.029288758683837</v>
      </c>
      <c r="D47" s="166">
        <f>BPOM_Pb!M45</f>
        <v>124.07174772475223</v>
      </c>
      <c r="E47" s="166">
        <f>BPOM_Pb!M45</f>
        <v>124.07174772475223</v>
      </c>
    </row>
    <row r="48" spans="1:5" x14ac:dyDescent="0.35">
      <c r="A48" s="91" t="s">
        <v>235</v>
      </c>
      <c r="B48" s="166">
        <f>BPOM_Cd!M46</f>
        <v>12.010029992984338</v>
      </c>
      <c r="C48" s="166">
        <f>BPOM_Hg!M46</f>
        <v>33.220584052089173</v>
      </c>
      <c r="D48" s="166">
        <f>BPOM_Pb!M46</f>
        <v>101.2550772543416</v>
      </c>
      <c r="E48" s="166">
        <f>BPOM_Pb!M46</f>
        <v>101.2550772543416</v>
      </c>
    </row>
    <row r="49" spans="1:5" x14ac:dyDescent="0.35">
      <c r="A49" s="91" t="s">
        <v>236</v>
      </c>
      <c r="B49" s="166">
        <f>BPOM_Cd!M47</f>
        <v>11.806479834425325</v>
      </c>
      <c r="C49" s="166">
        <f>BPOM_Hg!M47</f>
        <v>32.638035843923312</v>
      </c>
      <c r="D49" s="166">
        <f>BPOM_Pb!M47</f>
        <v>100.90681873775969</v>
      </c>
      <c r="E49" s="166">
        <f>BPOM_Pb!M47</f>
        <v>100.90681873775969</v>
      </c>
    </row>
    <row r="50" spans="1:5" x14ac:dyDescent="0.35">
      <c r="A50" s="104" t="s">
        <v>250</v>
      </c>
      <c r="B50" s="166">
        <f>BPOM_Cd!M48</f>
        <v>13.922563846550474</v>
      </c>
      <c r="C50" s="166">
        <f>BPOM_Hg!M48</f>
        <v>40.091084162894028</v>
      </c>
      <c r="D50" s="166">
        <f>BPOM_Pb!M48</f>
        <v>103.06474783142525</v>
      </c>
      <c r="E50" s="166">
        <f>BPOM_Pb!M48</f>
        <v>103.06474783142525</v>
      </c>
    </row>
    <row r="51" spans="1:5" x14ac:dyDescent="0.35">
      <c r="A51" s="104" t="s">
        <v>251</v>
      </c>
      <c r="B51" s="166">
        <f>BPOM_Cd!M49</f>
        <v>12.995305615101024</v>
      </c>
      <c r="C51" s="166">
        <f>BPOM_Hg!M49</f>
        <v>36.323554871498978</v>
      </c>
      <c r="D51" s="166">
        <f>BPOM_Pb!M49</f>
        <v>106.15962212585146</v>
      </c>
      <c r="E51" s="166">
        <f>BPOM_Pb!M49</f>
        <v>106.15962212585146</v>
      </c>
    </row>
    <row r="52" spans="1:5" x14ac:dyDescent="0.35">
      <c r="A52" s="104" t="s">
        <v>252</v>
      </c>
      <c r="B52" s="166">
        <f>BPOM_Cd!M50</f>
        <v>10.039106404498368</v>
      </c>
      <c r="C52" s="166">
        <f>BPOM_Hg!M50</f>
        <v>38.00930480233103</v>
      </c>
      <c r="D52" s="166">
        <f>BPOM_Pb!M50</f>
        <v>108.78187623518455</v>
      </c>
      <c r="E52" s="166">
        <f>BPOM_Pb!M50</f>
        <v>108.78187623518455</v>
      </c>
    </row>
    <row r="53" spans="1:5" x14ac:dyDescent="0.35">
      <c r="A53" s="104" t="s">
        <v>253</v>
      </c>
      <c r="B53" s="166">
        <f>BPOM_Cd!M51</f>
        <v>10.522132873196648</v>
      </c>
      <c r="C53" s="166">
        <f>BPOM_Hg!M51</f>
        <v>36.169801241889949</v>
      </c>
      <c r="D53" s="166">
        <f>BPOM_Pb!M51</f>
        <v>107.43582372297936</v>
      </c>
      <c r="E53" s="166">
        <f>BPOM_Pb!M51</f>
        <v>107.43582372297936</v>
      </c>
    </row>
    <row r="54" spans="1:5" x14ac:dyDescent="0.35">
      <c r="A54" s="104" t="s">
        <v>254</v>
      </c>
      <c r="B54" s="166">
        <f>BPOM_Cd!M52</f>
        <v>11.348150930568869</v>
      </c>
      <c r="C54" s="166">
        <f>BPOM_Hg!M52</f>
        <v>30.865208076023514</v>
      </c>
      <c r="D54" s="166">
        <f>BPOM_Pb!M52</f>
        <v>97.818787979184094</v>
      </c>
      <c r="E54" s="166">
        <f>BPOM_Pb!M52</f>
        <v>97.818787979184094</v>
      </c>
    </row>
    <row r="55" spans="1:5" x14ac:dyDescent="0.35">
      <c r="A55" s="104" t="s">
        <v>255</v>
      </c>
      <c r="B55" s="166">
        <f>BPOM_Cd!M53</f>
        <v>11.274106002342243</v>
      </c>
      <c r="C55" s="166">
        <f>BPOM_Hg!M53</f>
        <v>28.432907655177747</v>
      </c>
      <c r="D55" s="166">
        <f>BPOM_Pb!M53</f>
        <v>94.807376164107922</v>
      </c>
      <c r="E55" s="166">
        <f>BPOM_Pb!M53</f>
        <v>94.807376164107922</v>
      </c>
    </row>
    <row r="56" spans="1:5" x14ac:dyDescent="0.35">
      <c r="A56" s="113" t="s">
        <v>237</v>
      </c>
      <c r="B56" s="166">
        <f>BPOM_Cd!M54</f>
        <v>29.052627419066024</v>
      </c>
      <c r="C56" s="166">
        <f>BPOM_Hg!M54</f>
        <v>52.854817338579863</v>
      </c>
      <c r="D56" s="166">
        <f>BPOM_Pb!M54</f>
        <v>667.30111616332556</v>
      </c>
      <c r="E56" s="166">
        <f>BPOM_Pb!M54</f>
        <v>667.30111616332556</v>
      </c>
    </row>
    <row r="57" spans="1:5" x14ac:dyDescent="0.35">
      <c r="A57" s="113" t="s">
        <v>238</v>
      </c>
      <c r="B57" s="166">
        <f>BPOM_Cd!M55</f>
        <v>28.512845925541814</v>
      </c>
      <c r="C57" s="166">
        <f>BPOM_Hg!M55</f>
        <v>54.366535552115437</v>
      </c>
      <c r="D57" s="166">
        <f>BPOM_Pb!M55</f>
        <v>639.04043976818912</v>
      </c>
      <c r="E57" s="166">
        <f>BPOM_Pb!M55</f>
        <v>639.04043976818912</v>
      </c>
    </row>
    <row r="58" spans="1:5" x14ac:dyDescent="0.35">
      <c r="A58" s="113" t="s">
        <v>239</v>
      </c>
      <c r="B58" s="166">
        <f>BPOM_Cd!M56</f>
        <v>28.750680052459753</v>
      </c>
      <c r="C58" s="166">
        <f>BPOM_Hg!M56</f>
        <v>55.629515549119972</v>
      </c>
      <c r="D58" s="166">
        <f>BPOM_Pb!M56</f>
        <v>650.13694425284223</v>
      </c>
      <c r="E58" s="166">
        <f>BPOM_Pb!M56</f>
        <v>650.13694425284223</v>
      </c>
    </row>
    <row r="59" spans="1:5" x14ac:dyDescent="0.35">
      <c r="A59" s="113" t="s">
        <v>240</v>
      </c>
      <c r="B59" s="166">
        <f>BPOM_Cd!M57</f>
        <v>28.719499189889131</v>
      </c>
      <c r="C59" s="166">
        <f>BPOM_Hg!M57</f>
        <v>57.54799036449711</v>
      </c>
      <c r="D59" s="166">
        <f>BPOM_Pb!M57</f>
        <v>639.17414255305914</v>
      </c>
      <c r="E59" s="166">
        <f>BPOM_Pb!M57</f>
        <v>639.17414255305914</v>
      </c>
    </row>
    <row r="60" spans="1:5" x14ac:dyDescent="0.35">
      <c r="A60" s="113" t="s">
        <v>241</v>
      </c>
      <c r="B60" s="166">
        <f>BPOM_Cd!M58</f>
        <v>25.020258871612899</v>
      </c>
      <c r="C60" s="166">
        <f>BPOM_Hg!M58</f>
        <v>29.967700531361523</v>
      </c>
      <c r="D60" s="166">
        <f>BPOM_Pb!M58</f>
        <v>607.77430272339438</v>
      </c>
      <c r="E60" s="166">
        <f>BPOM_Pb!M58</f>
        <v>607.77430272339438</v>
      </c>
    </row>
    <row r="61" spans="1:5" x14ac:dyDescent="0.35">
      <c r="A61" s="113" t="s">
        <v>242</v>
      </c>
      <c r="B61" s="166">
        <f>BPOM_Cd!M59</f>
        <v>25.312740790197282</v>
      </c>
      <c r="C61" s="166">
        <f>BPOM_Hg!M59</f>
        <v>27.413040748214367</v>
      </c>
      <c r="D61" s="166">
        <f>BPOM_Pb!M59</f>
        <v>613.93962901934947</v>
      </c>
      <c r="E61" s="166">
        <f>BPOM_Pb!M59</f>
        <v>613.93962901934947</v>
      </c>
    </row>
  </sheetData>
  <phoneticPr fontId="2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7F26F-D5FF-49FE-B2CB-0CBB085933EB}">
  <sheetPr codeName="Sheet12"/>
  <dimension ref="A1:E61"/>
  <sheetViews>
    <sheetView workbookViewId="0">
      <selection activeCell="B4" sqref="B4"/>
    </sheetView>
  </sheetViews>
  <sheetFormatPr defaultRowHeight="14.5" x14ac:dyDescent="0.35"/>
  <cols>
    <col min="1" max="1" width="15.81640625" bestFit="1" customWidth="1"/>
    <col min="2" max="3" width="11.81640625" style="165" bestFit="1" customWidth="1"/>
    <col min="4" max="4" width="8.7265625" style="165"/>
    <col min="5" max="5" width="11.81640625" style="165" bestFit="1" customWidth="1"/>
  </cols>
  <sheetData>
    <row r="1" spans="1:5" x14ac:dyDescent="0.35">
      <c r="A1" t="s">
        <v>80</v>
      </c>
      <c r="B1" s="165" t="s">
        <v>256</v>
      </c>
      <c r="C1" s="165" t="s">
        <v>258</v>
      </c>
      <c r="D1" s="165" t="s">
        <v>193</v>
      </c>
      <c r="E1" s="165" t="s">
        <v>257</v>
      </c>
    </row>
    <row r="2" spans="1:5" x14ac:dyDescent="0.35">
      <c r="A2" s="83" t="s">
        <v>195</v>
      </c>
      <c r="B2" s="166">
        <v>1.6493448291866268</v>
      </c>
      <c r="C2" s="166">
        <v>553.65942079879267</v>
      </c>
      <c r="D2" s="166">
        <v>662.82466455700364</v>
      </c>
      <c r="E2" s="166">
        <v>5120.7907624265681</v>
      </c>
    </row>
    <row r="3" spans="1:5" x14ac:dyDescent="0.35">
      <c r="A3" s="83" t="s">
        <v>196</v>
      </c>
      <c r="B3" s="166">
        <v>1.9954559098816276</v>
      </c>
      <c r="C3" s="166">
        <v>581.69713017017727</v>
      </c>
      <c r="D3" s="166">
        <v>580.3068218961871</v>
      </c>
      <c r="E3" s="166">
        <v>4774.5360357072577</v>
      </c>
    </row>
    <row r="4" spans="1:5" x14ac:dyDescent="0.35">
      <c r="A4" s="83" t="s">
        <v>197</v>
      </c>
      <c r="B4" s="166">
        <v>1.3936636228392318</v>
      </c>
      <c r="C4" s="166">
        <v>475.16014657808341</v>
      </c>
      <c r="D4" s="166">
        <v>500.43998555739068</v>
      </c>
      <c r="E4" s="166">
        <v>4223.3090383948602</v>
      </c>
    </row>
    <row r="5" spans="1:5" x14ac:dyDescent="0.35">
      <c r="A5" s="83" t="s">
        <v>198</v>
      </c>
      <c r="B5" s="166">
        <v>2.0364731622376659</v>
      </c>
      <c r="C5" s="166">
        <v>469.93955598488412</v>
      </c>
      <c r="D5" s="166">
        <v>530.96851811795079</v>
      </c>
      <c r="E5" s="166">
        <v>4745.3448469102459</v>
      </c>
    </row>
    <row r="6" spans="1:5" x14ac:dyDescent="0.35">
      <c r="A6" s="83" t="s">
        <v>199</v>
      </c>
      <c r="B6" s="166">
        <v>2.1268666259426383</v>
      </c>
      <c r="C6" s="166">
        <v>381.61181429294084</v>
      </c>
      <c r="D6" s="166">
        <v>469.06356582256524</v>
      </c>
      <c r="E6" s="166">
        <v>5366.2355415792808</v>
      </c>
    </row>
    <row r="7" spans="1:5" x14ac:dyDescent="0.35">
      <c r="A7" s="83" t="s">
        <v>200</v>
      </c>
      <c r="B7" s="166">
        <v>3.302555270078511</v>
      </c>
      <c r="C7" s="166">
        <v>350.48165084563954</v>
      </c>
      <c r="D7" s="166">
        <v>503.47195751448515</v>
      </c>
      <c r="E7" s="166">
        <v>6021.7599322806727</v>
      </c>
    </row>
    <row r="8" spans="1:5" x14ac:dyDescent="0.35">
      <c r="A8" s="91" t="s">
        <v>201</v>
      </c>
      <c r="B8" s="166">
        <v>4.1573708657002895</v>
      </c>
      <c r="C8" s="166">
        <v>46.411215204526755</v>
      </c>
      <c r="D8" s="166">
        <v>22.237741248290028</v>
      </c>
      <c r="E8" s="166">
        <v>81.947469361400081</v>
      </c>
    </row>
    <row r="9" spans="1:5" x14ac:dyDescent="0.35">
      <c r="A9" s="91" t="s">
        <v>202</v>
      </c>
      <c r="B9" s="166">
        <v>5.0495748130475437</v>
      </c>
      <c r="C9" s="166">
        <v>46.08838305546788</v>
      </c>
      <c r="D9" s="166">
        <v>26.928588674241013</v>
      </c>
      <c r="E9" s="166">
        <v>81.852787413262902</v>
      </c>
    </row>
    <row r="10" spans="1:5" x14ac:dyDescent="0.35">
      <c r="A10" s="91" t="s">
        <v>203</v>
      </c>
      <c r="B10" s="166">
        <v>5.5397225470004168</v>
      </c>
      <c r="C10" s="166">
        <v>29.179084734227953</v>
      </c>
      <c r="D10" s="166">
        <v>95.015934172598008</v>
      </c>
      <c r="E10" s="166">
        <v>81.84150685148191</v>
      </c>
    </row>
    <row r="11" spans="1:5" x14ac:dyDescent="0.35">
      <c r="A11" s="91" t="s">
        <v>204</v>
      </c>
      <c r="B11" s="166">
        <v>4.6726270188463888</v>
      </c>
      <c r="C11" s="166">
        <v>31.714137369741795</v>
      </c>
      <c r="D11" s="166">
        <v>82.774005692889062</v>
      </c>
      <c r="E11" s="166">
        <v>81.910446481126513</v>
      </c>
    </row>
    <row r="12" spans="1:5" x14ac:dyDescent="0.35">
      <c r="A12" s="91" t="s">
        <v>205</v>
      </c>
      <c r="B12" s="166">
        <v>5.4611239694517364</v>
      </c>
      <c r="C12" s="166">
        <v>43.521642542791703</v>
      </c>
      <c r="D12" s="166">
        <v>43.438715404283862</v>
      </c>
      <c r="E12" s="166">
        <v>81.932231001697176</v>
      </c>
    </row>
    <row r="13" spans="1:5" x14ac:dyDescent="0.35">
      <c r="A13" s="91" t="s">
        <v>206</v>
      </c>
      <c r="B13" s="166">
        <v>4.5373147281601582</v>
      </c>
      <c r="C13" s="166">
        <v>42.534792688732708</v>
      </c>
      <c r="D13" s="166">
        <v>43.566101673635316</v>
      </c>
      <c r="E13" s="166">
        <v>82.069086745527954</v>
      </c>
    </row>
    <row r="14" spans="1:5" x14ac:dyDescent="0.35">
      <c r="A14" s="104" t="s">
        <v>244</v>
      </c>
      <c r="B14" s="166">
        <v>3</v>
      </c>
      <c r="C14" s="166">
        <v>197.50306271519671</v>
      </c>
      <c r="D14" s="166">
        <v>777.09963097977277</v>
      </c>
      <c r="E14" s="166">
        <v>141.06511370502488</v>
      </c>
    </row>
    <row r="15" spans="1:5" x14ac:dyDescent="0.35">
      <c r="A15" s="104" t="s">
        <v>245</v>
      </c>
      <c r="B15" s="166">
        <v>3</v>
      </c>
      <c r="C15" s="166">
        <v>233.12199846070592</v>
      </c>
      <c r="D15" s="166">
        <v>670.93803908100983</v>
      </c>
      <c r="E15" s="166">
        <v>157.21181613856803</v>
      </c>
    </row>
    <row r="16" spans="1:5" x14ac:dyDescent="0.35">
      <c r="A16" s="104" t="s">
        <v>246</v>
      </c>
      <c r="B16" s="166">
        <v>3</v>
      </c>
      <c r="C16" s="166">
        <v>193.77541062773005</v>
      </c>
      <c r="D16" s="166">
        <v>393.51089744333859</v>
      </c>
      <c r="E16" s="166">
        <v>130.66688638924066</v>
      </c>
    </row>
    <row r="17" spans="1:5" x14ac:dyDescent="0.35">
      <c r="A17" s="104" t="s">
        <v>247</v>
      </c>
      <c r="B17" s="166">
        <v>3</v>
      </c>
      <c r="C17" s="166">
        <v>155.22228617385767</v>
      </c>
      <c r="D17" s="166">
        <v>462.15775896924345</v>
      </c>
      <c r="E17" s="166">
        <v>119.45900881737744</v>
      </c>
    </row>
    <row r="18" spans="1:5" x14ac:dyDescent="0.35">
      <c r="A18" s="104" t="s">
        <v>248</v>
      </c>
      <c r="B18" s="166">
        <v>3</v>
      </c>
      <c r="C18" s="166">
        <v>160.59470790180902</v>
      </c>
      <c r="D18" s="166">
        <v>499.38515849502426</v>
      </c>
      <c r="E18" s="166">
        <v>153.65657383790455</v>
      </c>
    </row>
    <row r="19" spans="1:5" x14ac:dyDescent="0.35">
      <c r="A19" s="104" t="s">
        <v>249</v>
      </c>
      <c r="B19" s="166">
        <v>3</v>
      </c>
      <c r="C19" s="166">
        <v>160.88522771458508</v>
      </c>
      <c r="D19" s="166">
        <v>478.88011613765502</v>
      </c>
      <c r="E19" s="166">
        <v>133.44895727002125</v>
      </c>
    </row>
    <row r="20" spans="1:5" x14ac:dyDescent="0.35">
      <c r="A20" s="83" t="s">
        <v>207</v>
      </c>
      <c r="B20" s="166">
        <v>3</v>
      </c>
      <c r="C20" s="166">
        <v>434.79679237459806</v>
      </c>
      <c r="D20" s="166">
        <v>497.93480556153793</v>
      </c>
      <c r="E20" s="166">
        <v>476.66730379682139</v>
      </c>
    </row>
    <row r="21" spans="1:5" x14ac:dyDescent="0.35">
      <c r="A21" s="83" t="s">
        <v>208</v>
      </c>
      <c r="B21" s="166">
        <v>3</v>
      </c>
      <c r="C21" s="166">
        <v>415.56709132164582</v>
      </c>
      <c r="D21" s="166">
        <v>418.55192164546116</v>
      </c>
      <c r="E21" s="166">
        <v>501.38514292508728</v>
      </c>
    </row>
    <row r="22" spans="1:5" x14ac:dyDescent="0.35">
      <c r="A22" s="83" t="s">
        <v>209</v>
      </c>
      <c r="B22" s="166">
        <v>3</v>
      </c>
      <c r="C22" s="166">
        <v>377.3246992777423</v>
      </c>
      <c r="D22" s="166">
        <v>353.31549110852097</v>
      </c>
      <c r="E22" s="166">
        <v>490.35474414275086</v>
      </c>
    </row>
    <row r="23" spans="1:5" x14ac:dyDescent="0.35">
      <c r="A23" s="83" t="s">
        <v>210</v>
      </c>
      <c r="B23" s="166">
        <v>3</v>
      </c>
      <c r="C23" s="166">
        <v>374.99145951002049</v>
      </c>
      <c r="D23" s="166">
        <v>387.76468636281061</v>
      </c>
      <c r="E23" s="166">
        <v>499.12575634501235</v>
      </c>
    </row>
    <row r="24" spans="1:5" x14ac:dyDescent="0.35">
      <c r="A24" s="83" t="s">
        <v>211</v>
      </c>
      <c r="B24" s="166">
        <v>3</v>
      </c>
      <c r="C24" s="166">
        <v>484.52119219030351</v>
      </c>
      <c r="D24" s="166">
        <v>651.62623964823104</v>
      </c>
      <c r="E24" s="166">
        <v>501.52497925519259</v>
      </c>
    </row>
    <row r="25" spans="1:5" x14ac:dyDescent="0.35">
      <c r="A25" s="83" t="s">
        <v>212</v>
      </c>
      <c r="B25" s="166">
        <v>3</v>
      </c>
      <c r="C25" s="166">
        <v>439.83213829654079</v>
      </c>
      <c r="D25" s="166">
        <v>595.05518762685813</v>
      </c>
      <c r="E25" s="166">
        <v>499.55799255868595</v>
      </c>
    </row>
    <row r="26" spans="1:5" x14ac:dyDescent="0.35">
      <c r="A26" s="91" t="s">
        <v>213</v>
      </c>
      <c r="B26" s="166">
        <v>5.3133588060905126</v>
      </c>
      <c r="C26" s="166">
        <v>27.527763416904371</v>
      </c>
      <c r="D26" s="166">
        <v>6.984904636573563</v>
      </c>
      <c r="E26" s="166">
        <v>1056.4759813609239</v>
      </c>
    </row>
    <row r="27" spans="1:5" x14ac:dyDescent="0.35">
      <c r="A27" s="91" t="s">
        <v>214</v>
      </c>
      <c r="B27" s="166">
        <v>7.6440332577085739</v>
      </c>
      <c r="C27" s="166">
        <v>32.173400257805255</v>
      </c>
      <c r="D27" s="166">
        <v>8.3418093464832683</v>
      </c>
      <c r="E27" s="166">
        <v>1220.3867044008857</v>
      </c>
    </row>
    <row r="28" spans="1:5" x14ac:dyDescent="0.35">
      <c r="A28" s="91" t="s">
        <v>215</v>
      </c>
      <c r="B28" s="166">
        <v>6.2039794395928416</v>
      </c>
      <c r="C28" s="166">
        <v>30.86760585907172</v>
      </c>
      <c r="D28" s="166">
        <v>8.596110301598765</v>
      </c>
      <c r="E28" s="166">
        <v>1144.4018948912976</v>
      </c>
    </row>
    <row r="29" spans="1:5" x14ac:dyDescent="0.35">
      <c r="A29" s="91" t="s">
        <v>216</v>
      </c>
      <c r="B29" s="166">
        <v>5.3208668156532752</v>
      </c>
      <c r="C29" s="166">
        <v>25.958914839358325</v>
      </c>
      <c r="D29" s="166">
        <v>7.6840475395742232</v>
      </c>
      <c r="E29" s="166">
        <v>1262.7462449778302</v>
      </c>
    </row>
    <row r="30" spans="1:5" x14ac:dyDescent="0.35">
      <c r="A30" s="91" t="s">
        <v>217</v>
      </c>
      <c r="B30" s="166">
        <v>5.7544660033653106</v>
      </c>
      <c r="C30" s="166">
        <v>26.057527887138495</v>
      </c>
      <c r="D30" s="166">
        <v>8.3536928982805474</v>
      </c>
      <c r="E30" s="166">
        <v>1242.3476105203979</v>
      </c>
    </row>
    <row r="31" spans="1:5" x14ac:dyDescent="0.35">
      <c r="A31" s="91" t="s">
        <v>218</v>
      </c>
      <c r="B31" s="166">
        <v>6.6563275422810584</v>
      </c>
      <c r="C31" s="166">
        <v>24.365794753576296</v>
      </c>
      <c r="D31" s="166">
        <v>6.98502890320243</v>
      </c>
      <c r="E31" s="166">
        <v>1324.5426809205396</v>
      </c>
    </row>
    <row r="32" spans="1:5" x14ac:dyDescent="0.35">
      <c r="A32" s="104" t="s">
        <v>219</v>
      </c>
      <c r="B32" s="166">
        <v>3</v>
      </c>
      <c r="C32" s="166">
        <v>65.924268211298227</v>
      </c>
      <c r="D32" s="166">
        <v>734.56250672501915</v>
      </c>
      <c r="E32" s="166">
        <v>2079.7853062948457</v>
      </c>
    </row>
    <row r="33" spans="1:5" x14ac:dyDescent="0.35">
      <c r="A33" s="104" t="s">
        <v>220</v>
      </c>
      <c r="B33" s="166">
        <v>3</v>
      </c>
      <c r="C33" s="166">
        <v>75.317440992684354</v>
      </c>
      <c r="D33" s="166">
        <v>687.27317372789446</v>
      </c>
      <c r="E33" s="166">
        <v>1837.9934442892038</v>
      </c>
    </row>
    <row r="34" spans="1:5" x14ac:dyDescent="0.35">
      <c r="A34" s="104" t="s">
        <v>221</v>
      </c>
      <c r="B34" s="166">
        <v>3</v>
      </c>
      <c r="C34" s="166">
        <v>71.757212184378602</v>
      </c>
      <c r="D34" s="166">
        <v>435.97245551768651</v>
      </c>
      <c r="E34" s="166">
        <v>1857.948849148316</v>
      </c>
    </row>
    <row r="35" spans="1:5" x14ac:dyDescent="0.35">
      <c r="A35" s="104" t="s">
        <v>222</v>
      </c>
      <c r="B35" s="166">
        <v>3</v>
      </c>
      <c r="C35" s="166">
        <v>65.712037779923989</v>
      </c>
      <c r="D35" s="166">
        <v>386.72880843716666</v>
      </c>
      <c r="E35" s="166">
        <v>1832.2719887567523</v>
      </c>
    </row>
    <row r="36" spans="1:5" x14ac:dyDescent="0.35">
      <c r="A36" s="104" t="s">
        <v>223</v>
      </c>
      <c r="B36" s="166">
        <v>3</v>
      </c>
      <c r="C36" s="166">
        <v>68.701557276678813</v>
      </c>
      <c r="D36" s="166">
        <v>398.42713255381653</v>
      </c>
      <c r="E36" s="166">
        <v>1857.7472333656262</v>
      </c>
    </row>
    <row r="37" spans="1:5" x14ac:dyDescent="0.35">
      <c r="A37" s="104" t="s">
        <v>224</v>
      </c>
      <c r="B37" s="166">
        <v>3</v>
      </c>
      <c r="C37" s="166">
        <v>76.037458540324749</v>
      </c>
      <c r="D37" s="166">
        <v>363.39161137115553</v>
      </c>
      <c r="E37" s="166">
        <v>1842.7532076471834</v>
      </c>
    </row>
    <row r="38" spans="1:5" x14ac:dyDescent="0.35">
      <c r="A38" s="83" t="s">
        <v>225</v>
      </c>
      <c r="B38" s="166">
        <v>14.512663177465827</v>
      </c>
      <c r="C38" s="166">
        <v>31.549125744279877</v>
      </c>
      <c r="D38" s="166">
        <v>163.84358228948525</v>
      </c>
      <c r="E38" s="166">
        <v>163.84358228948525</v>
      </c>
    </row>
    <row r="39" spans="1:5" x14ac:dyDescent="0.35">
      <c r="A39" s="83" t="s">
        <v>226</v>
      </c>
      <c r="B39" s="166">
        <v>15.442260006311392</v>
      </c>
      <c r="C39" s="166">
        <v>31.946712285045816</v>
      </c>
      <c r="D39" s="166">
        <v>135.78787376164863</v>
      </c>
      <c r="E39" s="166">
        <v>135.78787376164863</v>
      </c>
    </row>
    <row r="40" spans="1:5" x14ac:dyDescent="0.35">
      <c r="A40" s="83" t="s">
        <v>227</v>
      </c>
      <c r="B40" s="166">
        <v>13.818342610097366</v>
      </c>
      <c r="C40" s="166">
        <v>31.783934829513353</v>
      </c>
      <c r="D40" s="166">
        <v>137.19723650913997</v>
      </c>
      <c r="E40" s="166">
        <v>137.19723650913997</v>
      </c>
    </row>
    <row r="41" spans="1:5" x14ac:dyDescent="0.35">
      <c r="A41" s="83" t="s">
        <v>228</v>
      </c>
      <c r="B41" s="166">
        <v>11.881813046672345</v>
      </c>
      <c r="C41" s="166">
        <v>37.157541227817191</v>
      </c>
      <c r="D41" s="166">
        <v>135.03312029291979</v>
      </c>
      <c r="E41" s="166">
        <v>135.03312029291979</v>
      </c>
    </row>
    <row r="42" spans="1:5" x14ac:dyDescent="0.35">
      <c r="A42" s="83" t="s">
        <v>229</v>
      </c>
      <c r="B42" s="166">
        <v>16.161780329066321</v>
      </c>
      <c r="C42" s="166">
        <v>33.755117033502081</v>
      </c>
      <c r="D42" s="166">
        <v>130.98039050099408</v>
      </c>
      <c r="E42" s="166">
        <v>130.98039050099408</v>
      </c>
    </row>
    <row r="43" spans="1:5" x14ac:dyDescent="0.35">
      <c r="A43" s="83" t="s">
        <v>230</v>
      </c>
      <c r="B43" s="166">
        <v>17.362693121335241</v>
      </c>
      <c r="C43" s="166">
        <v>32.050804858860886</v>
      </c>
      <c r="D43" s="166">
        <v>117.39177092646159</v>
      </c>
      <c r="E43" s="166">
        <v>117.39177092646159</v>
      </c>
    </row>
    <row r="44" spans="1:5" x14ac:dyDescent="0.35">
      <c r="A44" s="91" t="s">
        <v>231</v>
      </c>
      <c r="B44" s="166">
        <v>12.08437980019588</v>
      </c>
      <c r="C44" s="166">
        <v>34.223495770254814</v>
      </c>
      <c r="D44" s="166">
        <v>126.46962877751753</v>
      </c>
      <c r="E44" s="166">
        <v>126.46962877751753</v>
      </c>
    </row>
    <row r="45" spans="1:5" x14ac:dyDescent="0.35">
      <c r="A45" s="91" t="s">
        <v>232</v>
      </c>
      <c r="B45" s="166">
        <v>13.128054689401806</v>
      </c>
      <c r="C45" s="166">
        <v>30.161989870269441</v>
      </c>
      <c r="D45" s="166">
        <v>122.65799449286962</v>
      </c>
      <c r="E45" s="166">
        <v>122.65799449286962</v>
      </c>
    </row>
    <row r="46" spans="1:5" x14ac:dyDescent="0.35">
      <c r="A46" s="91" t="s">
        <v>233</v>
      </c>
      <c r="B46" s="166">
        <v>13.240312258744302</v>
      </c>
      <c r="C46" s="166">
        <v>37.398901935261726</v>
      </c>
      <c r="D46" s="166">
        <v>125.02677662487913</v>
      </c>
      <c r="E46" s="166">
        <v>125.02677662487913</v>
      </c>
    </row>
    <row r="47" spans="1:5" x14ac:dyDescent="0.35">
      <c r="A47" s="91" t="s">
        <v>234</v>
      </c>
      <c r="B47" s="166">
        <v>14.951782473646848</v>
      </c>
      <c r="C47" s="166">
        <v>31.029288758683837</v>
      </c>
      <c r="D47" s="166">
        <v>124.07174772475223</v>
      </c>
      <c r="E47" s="166">
        <v>124.07174772475223</v>
      </c>
    </row>
    <row r="48" spans="1:5" x14ac:dyDescent="0.35">
      <c r="A48" s="91" t="s">
        <v>235</v>
      </c>
      <c r="B48" s="166">
        <v>12.010029992984338</v>
      </c>
      <c r="C48" s="166">
        <v>33.220584052089173</v>
      </c>
      <c r="D48" s="166">
        <v>101.2550772543416</v>
      </c>
      <c r="E48" s="166">
        <v>101.2550772543416</v>
      </c>
    </row>
    <row r="49" spans="1:5" x14ac:dyDescent="0.35">
      <c r="A49" s="91" t="s">
        <v>236</v>
      </c>
      <c r="B49" s="166">
        <v>11.806479834425325</v>
      </c>
      <c r="C49" s="166">
        <v>32.638035843923312</v>
      </c>
      <c r="D49" s="166">
        <v>100.90681873775969</v>
      </c>
      <c r="E49" s="166">
        <v>100.90681873775969</v>
      </c>
    </row>
    <row r="50" spans="1:5" x14ac:dyDescent="0.35">
      <c r="A50" s="104" t="s">
        <v>250</v>
      </c>
      <c r="B50" s="166">
        <v>13.922563846550474</v>
      </c>
      <c r="C50" s="166">
        <v>40.091084162894028</v>
      </c>
      <c r="D50" s="166">
        <v>103.06474783142525</v>
      </c>
      <c r="E50" s="166">
        <v>103.06474783142525</v>
      </c>
    </row>
    <row r="51" spans="1:5" x14ac:dyDescent="0.35">
      <c r="A51" s="104" t="s">
        <v>251</v>
      </c>
      <c r="B51" s="166">
        <v>12.995305615101024</v>
      </c>
      <c r="C51" s="166">
        <v>36.323554871498978</v>
      </c>
      <c r="D51" s="166">
        <v>106.15962212585146</v>
      </c>
      <c r="E51" s="166">
        <v>106.15962212585146</v>
      </c>
    </row>
    <row r="52" spans="1:5" x14ac:dyDescent="0.35">
      <c r="A52" s="104" t="s">
        <v>252</v>
      </c>
      <c r="B52" s="166">
        <v>10.039106404498368</v>
      </c>
      <c r="C52" s="166">
        <v>38.00930480233103</v>
      </c>
      <c r="D52" s="166">
        <v>108.78187623518455</v>
      </c>
      <c r="E52" s="166">
        <v>108.78187623518455</v>
      </c>
    </row>
    <row r="53" spans="1:5" x14ac:dyDescent="0.35">
      <c r="A53" s="104" t="s">
        <v>253</v>
      </c>
      <c r="B53" s="166">
        <v>10.522132873196648</v>
      </c>
      <c r="C53" s="166">
        <v>36.169801241889949</v>
      </c>
      <c r="D53" s="166">
        <v>107.43582372297936</v>
      </c>
      <c r="E53" s="166">
        <v>107.43582372297936</v>
      </c>
    </row>
    <row r="54" spans="1:5" x14ac:dyDescent="0.35">
      <c r="A54" s="104" t="s">
        <v>254</v>
      </c>
      <c r="B54" s="166">
        <v>11.348150930568869</v>
      </c>
      <c r="C54" s="166">
        <v>30.865208076023514</v>
      </c>
      <c r="D54" s="166">
        <v>97.818787979184094</v>
      </c>
      <c r="E54" s="166">
        <v>97.818787979184094</v>
      </c>
    </row>
    <row r="55" spans="1:5" x14ac:dyDescent="0.35">
      <c r="A55" s="104" t="s">
        <v>255</v>
      </c>
      <c r="B55" s="166">
        <v>11.274106002342243</v>
      </c>
      <c r="C55" s="166">
        <v>28.432907655177747</v>
      </c>
      <c r="D55" s="166">
        <v>94.807376164107922</v>
      </c>
      <c r="E55" s="166">
        <v>94.807376164107922</v>
      </c>
    </row>
    <row r="56" spans="1:5" x14ac:dyDescent="0.35">
      <c r="A56" s="113" t="s">
        <v>237</v>
      </c>
      <c r="B56" s="166">
        <v>29.052627419066024</v>
      </c>
      <c r="C56" s="166">
        <v>52.854817338579863</v>
      </c>
      <c r="D56" s="166">
        <v>667.30111616332556</v>
      </c>
      <c r="E56" s="166">
        <v>667.30111616332556</v>
      </c>
    </row>
    <row r="57" spans="1:5" x14ac:dyDescent="0.35">
      <c r="A57" s="113" t="s">
        <v>238</v>
      </c>
      <c r="B57" s="166">
        <v>28.512845925541814</v>
      </c>
      <c r="C57" s="166">
        <v>54.366535552115437</v>
      </c>
      <c r="D57" s="166">
        <v>639.04043976818912</v>
      </c>
      <c r="E57" s="166">
        <v>639.04043976818912</v>
      </c>
    </row>
    <row r="58" spans="1:5" x14ac:dyDescent="0.35">
      <c r="A58" s="113" t="s">
        <v>239</v>
      </c>
      <c r="B58" s="166">
        <v>28.750680052459753</v>
      </c>
      <c r="C58" s="166">
        <v>55.629515549119972</v>
      </c>
      <c r="D58" s="166">
        <v>650.13694425284223</v>
      </c>
      <c r="E58" s="166">
        <v>650.13694425284223</v>
      </c>
    </row>
    <row r="59" spans="1:5" x14ac:dyDescent="0.35">
      <c r="A59" s="113" t="s">
        <v>240</v>
      </c>
      <c r="B59" s="166">
        <v>28.719499189889131</v>
      </c>
      <c r="C59" s="166">
        <v>57.54799036449711</v>
      </c>
      <c r="D59" s="166">
        <v>639.17414255305914</v>
      </c>
      <c r="E59" s="166">
        <v>639.17414255305914</v>
      </c>
    </row>
    <row r="60" spans="1:5" x14ac:dyDescent="0.35">
      <c r="A60" s="113" t="s">
        <v>241</v>
      </c>
      <c r="B60" s="166">
        <v>25.020258871612899</v>
      </c>
      <c r="C60" s="166">
        <v>29.967700531361523</v>
      </c>
      <c r="D60" s="166">
        <v>607.77430272339438</v>
      </c>
      <c r="E60" s="166">
        <v>607.77430272339438</v>
      </c>
    </row>
    <row r="61" spans="1:5" x14ac:dyDescent="0.35">
      <c r="A61" s="113" t="s">
        <v>242</v>
      </c>
      <c r="B61" s="166">
        <v>25.312740790197282</v>
      </c>
      <c r="C61" s="166">
        <v>27.413040748214367</v>
      </c>
      <c r="D61" s="166">
        <v>613.93962901934947</v>
      </c>
      <c r="E61" s="166">
        <v>613.93962901934947</v>
      </c>
    </row>
  </sheetData>
  <pageMargins left="0.7" right="0.7" top="0.75" bottom="0.75" header="0.3" footer="0.3"/>
  <pageSetup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2F4E5-0CC7-44A1-8516-9915EE3D20C6}">
  <dimension ref="A1:F61"/>
  <sheetViews>
    <sheetView tabSelected="1" topLeftCell="A46" workbookViewId="0">
      <selection activeCell="C4" sqref="C4"/>
    </sheetView>
  </sheetViews>
  <sheetFormatPr defaultRowHeight="14.5" x14ac:dyDescent="0.35"/>
  <cols>
    <col min="1" max="1" width="15.81640625" bestFit="1" customWidth="1"/>
    <col min="2" max="2" width="1.90625" bestFit="1" customWidth="1"/>
    <col min="3" max="4" width="11.81640625" style="165" bestFit="1" customWidth="1"/>
    <col min="5" max="5" width="11.7265625" style="165" bestFit="1" customWidth="1"/>
    <col min="6" max="6" width="11.81640625" style="165" bestFit="1" customWidth="1"/>
  </cols>
  <sheetData>
    <row r="1" spans="1:6" x14ac:dyDescent="0.35">
      <c r="A1" t="s">
        <v>80</v>
      </c>
      <c r="C1" s="165" t="s">
        <v>256</v>
      </c>
      <c r="D1" s="165" t="s">
        <v>258</v>
      </c>
      <c r="E1" s="165" t="s">
        <v>278</v>
      </c>
      <c r="F1" s="165" t="s">
        <v>279</v>
      </c>
    </row>
    <row r="2" spans="1:6" x14ac:dyDescent="0.35">
      <c r="A2" s="83" t="s">
        <v>195</v>
      </c>
      <c r="B2" s="167">
        <v>1</v>
      </c>
      <c r="C2" s="166">
        <v>1.6493448291866268</v>
      </c>
      <c r="D2" s="166">
        <v>553.65942079879267</v>
      </c>
      <c r="E2" s="166">
        <v>662.82466455700364</v>
      </c>
      <c r="F2" s="166">
        <v>5120.7907624265681</v>
      </c>
    </row>
    <row r="3" spans="1:6" x14ac:dyDescent="0.35">
      <c r="A3" s="83" t="s">
        <v>196</v>
      </c>
      <c r="B3" s="167">
        <v>1</v>
      </c>
      <c r="C3" s="166">
        <v>1.9954559098816276</v>
      </c>
      <c r="D3" s="166">
        <v>581.69713017017727</v>
      </c>
      <c r="E3" s="166">
        <v>580.3068218961871</v>
      </c>
      <c r="F3" s="166">
        <v>4774.5360357072577</v>
      </c>
    </row>
    <row r="4" spans="1:6" x14ac:dyDescent="0.35">
      <c r="A4" s="83" t="s">
        <v>197</v>
      </c>
      <c r="B4" s="167">
        <v>1</v>
      </c>
      <c r="C4" s="166">
        <v>1.3936636228392318</v>
      </c>
      <c r="D4" s="166">
        <v>475.16014657808341</v>
      </c>
      <c r="E4" s="166">
        <v>500.43998555739068</v>
      </c>
      <c r="F4" s="166">
        <v>4223.3090383948602</v>
      </c>
    </row>
    <row r="5" spans="1:6" x14ac:dyDescent="0.35">
      <c r="A5" s="83" t="s">
        <v>198</v>
      </c>
      <c r="B5" s="167">
        <v>1</v>
      </c>
      <c r="C5" s="166">
        <v>2.0364731622376659</v>
      </c>
      <c r="D5" s="166">
        <v>469.93955598488412</v>
      </c>
      <c r="E5" s="166">
        <v>530.96851811795079</v>
      </c>
      <c r="F5" s="166">
        <v>4745.3448469102459</v>
      </c>
    </row>
    <row r="6" spans="1:6" x14ac:dyDescent="0.35">
      <c r="A6" s="83" t="s">
        <v>199</v>
      </c>
      <c r="B6" s="167">
        <v>1</v>
      </c>
      <c r="C6" s="166">
        <v>2.1268666259426383</v>
      </c>
      <c r="D6" s="166">
        <v>381.61181429294084</v>
      </c>
      <c r="E6" s="166">
        <v>469.06356582256524</v>
      </c>
      <c r="F6" s="166">
        <v>5366.2355415792808</v>
      </c>
    </row>
    <row r="7" spans="1:6" x14ac:dyDescent="0.35">
      <c r="A7" s="83" t="s">
        <v>200</v>
      </c>
      <c r="B7" s="167">
        <v>1</v>
      </c>
      <c r="C7" s="166">
        <v>3.302555270078511</v>
      </c>
      <c r="D7" s="166">
        <v>350.48165084563954</v>
      </c>
      <c r="E7" s="166">
        <v>503.47195751448515</v>
      </c>
      <c r="F7" s="166">
        <v>6021.7599322806727</v>
      </c>
    </row>
    <row r="8" spans="1:6" x14ac:dyDescent="0.35">
      <c r="A8" s="91" t="s">
        <v>201</v>
      </c>
      <c r="B8" s="168">
        <v>2</v>
      </c>
      <c r="C8" s="166">
        <v>4.1573708657002895</v>
      </c>
      <c r="D8" s="166">
        <v>46.411215204526755</v>
      </c>
      <c r="E8" s="166">
        <v>22.237741248290028</v>
      </c>
      <c r="F8" s="166">
        <v>81.947469361400081</v>
      </c>
    </row>
    <row r="9" spans="1:6" x14ac:dyDescent="0.35">
      <c r="A9" s="91" t="s">
        <v>202</v>
      </c>
      <c r="B9" s="168">
        <v>2</v>
      </c>
      <c r="C9" s="166">
        <v>5.0495748130475437</v>
      </c>
      <c r="D9" s="166">
        <v>46.08838305546788</v>
      </c>
      <c r="E9" s="166">
        <v>26.928588674241013</v>
      </c>
      <c r="F9" s="166">
        <v>81.852787413262902</v>
      </c>
    </row>
    <row r="10" spans="1:6" x14ac:dyDescent="0.35">
      <c r="A10" s="91" t="s">
        <v>203</v>
      </c>
      <c r="B10" s="168">
        <v>2</v>
      </c>
      <c r="C10" s="166">
        <v>5.5397225470004168</v>
      </c>
      <c r="D10" s="166">
        <v>29.179084734227953</v>
      </c>
      <c r="E10" s="166">
        <v>95.015934172598008</v>
      </c>
      <c r="F10" s="166">
        <v>81.84150685148191</v>
      </c>
    </row>
    <row r="11" spans="1:6" x14ac:dyDescent="0.35">
      <c r="A11" s="91" t="s">
        <v>204</v>
      </c>
      <c r="B11" s="168">
        <v>2</v>
      </c>
      <c r="C11" s="166">
        <v>4.6726270188463888</v>
      </c>
      <c r="D11" s="166">
        <v>31.714137369741795</v>
      </c>
      <c r="E11" s="166">
        <v>82.774005692889062</v>
      </c>
      <c r="F11" s="166">
        <v>81.910446481126513</v>
      </c>
    </row>
    <row r="12" spans="1:6" x14ac:dyDescent="0.35">
      <c r="A12" s="91" t="s">
        <v>205</v>
      </c>
      <c r="B12" s="168">
        <v>2</v>
      </c>
      <c r="C12" s="166">
        <v>5.4611239694517364</v>
      </c>
      <c r="D12" s="166">
        <v>43.521642542791703</v>
      </c>
      <c r="E12" s="166">
        <v>43.438715404283862</v>
      </c>
      <c r="F12" s="166">
        <v>81.932231001697176</v>
      </c>
    </row>
    <row r="13" spans="1:6" x14ac:dyDescent="0.35">
      <c r="A13" s="91" t="s">
        <v>206</v>
      </c>
      <c r="B13" s="168">
        <v>2</v>
      </c>
      <c r="C13" s="166">
        <v>4.5373147281601582</v>
      </c>
      <c r="D13" s="166">
        <v>42.534792688732708</v>
      </c>
      <c r="E13" s="166">
        <v>43.566101673635316</v>
      </c>
      <c r="F13" s="166">
        <v>82.069086745527954</v>
      </c>
    </row>
    <row r="14" spans="1:6" x14ac:dyDescent="0.35">
      <c r="A14" s="104" t="s">
        <v>244</v>
      </c>
      <c r="B14" s="169">
        <v>3</v>
      </c>
      <c r="C14" s="166">
        <v>3</v>
      </c>
      <c r="D14" s="166">
        <v>197.50306271519671</v>
      </c>
      <c r="E14" s="166">
        <v>777.09963097977277</v>
      </c>
      <c r="F14" s="166">
        <v>141.06511370502488</v>
      </c>
    </row>
    <row r="15" spans="1:6" x14ac:dyDescent="0.35">
      <c r="A15" s="104" t="s">
        <v>245</v>
      </c>
      <c r="B15" s="169">
        <v>3</v>
      </c>
      <c r="C15" s="166">
        <v>3</v>
      </c>
      <c r="D15" s="166">
        <v>233.12199846070592</v>
      </c>
      <c r="E15" s="166">
        <v>670.93803908100983</v>
      </c>
      <c r="F15" s="166">
        <v>157.21181613856803</v>
      </c>
    </row>
    <row r="16" spans="1:6" x14ac:dyDescent="0.35">
      <c r="A16" s="104" t="s">
        <v>246</v>
      </c>
      <c r="B16" s="169">
        <v>3</v>
      </c>
      <c r="C16" s="166">
        <v>3</v>
      </c>
      <c r="D16" s="166">
        <v>193.77541062773005</v>
      </c>
      <c r="E16" s="166">
        <v>393.51089744333859</v>
      </c>
      <c r="F16" s="166">
        <v>130.66688638924066</v>
      </c>
    </row>
    <row r="17" spans="1:6" x14ac:dyDescent="0.35">
      <c r="A17" s="104" t="s">
        <v>247</v>
      </c>
      <c r="B17" s="169">
        <v>3</v>
      </c>
      <c r="C17" s="166">
        <v>3</v>
      </c>
      <c r="D17" s="166">
        <v>155.22228617385767</v>
      </c>
      <c r="E17" s="166">
        <v>462.15775896924345</v>
      </c>
      <c r="F17" s="166">
        <v>119.45900881737744</v>
      </c>
    </row>
    <row r="18" spans="1:6" x14ac:dyDescent="0.35">
      <c r="A18" s="104" t="s">
        <v>248</v>
      </c>
      <c r="B18" s="169">
        <v>3</v>
      </c>
      <c r="C18" s="166">
        <v>3</v>
      </c>
      <c r="D18" s="166">
        <v>160.59470790180902</v>
      </c>
      <c r="E18" s="166">
        <v>499.38515849502426</v>
      </c>
      <c r="F18" s="166">
        <v>153.65657383790455</v>
      </c>
    </row>
    <row r="19" spans="1:6" x14ac:dyDescent="0.35">
      <c r="A19" s="104" t="s">
        <v>249</v>
      </c>
      <c r="B19" s="169">
        <v>3</v>
      </c>
      <c r="C19" s="166">
        <v>3</v>
      </c>
      <c r="D19" s="166">
        <v>160.88522771458508</v>
      </c>
      <c r="E19" s="166">
        <v>478.88011613765502</v>
      </c>
      <c r="F19" s="166">
        <v>133.44895727002125</v>
      </c>
    </row>
    <row r="20" spans="1:6" x14ac:dyDescent="0.35">
      <c r="A20" s="83" t="s">
        <v>207</v>
      </c>
      <c r="B20" s="167">
        <v>4</v>
      </c>
      <c r="C20" s="166">
        <v>3</v>
      </c>
      <c r="D20" s="166">
        <v>434.79679237459806</v>
      </c>
      <c r="E20" s="166">
        <v>497.93480556153793</v>
      </c>
      <c r="F20" s="166">
        <v>476.66730379682139</v>
      </c>
    </row>
    <row r="21" spans="1:6" x14ac:dyDescent="0.35">
      <c r="A21" s="83" t="s">
        <v>208</v>
      </c>
      <c r="B21" s="167">
        <v>4</v>
      </c>
      <c r="C21" s="166">
        <v>3</v>
      </c>
      <c r="D21" s="166">
        <v>415.56709132164582</v>
      </c>
      <c r="E21" s="166">
        <v>418.55192164546116</v>
      </c>
      <c r="F21" s="166">
        <v>501.38514292508728</v>
      </c>
    </row>
    <row r="22" spans="1:6" x14ac:dyDescent="0.35">
      <c r="A22" s="83" t="s">
        <v>209</v>
      </c>
      <c r="B22" s="167">
        <v>4</v>
      </c>
      <c r="C22" s="166">
        <v>3</v>
      </c>
      <c r="D22" s="166">
        <v>377.3246992777423</v>
      </c>
      <c r="E22" s="166">
        <v>353.31549110852097</v>
      </c>
      <c r="F22" s="166">
        <v>490.35474414275086</v>
      </c>
    </row>
    <row r="23" spans="1:6" x14ac:dyDescent="0.35">
      <c r="A23" s="83" t="s">
        <v>210</v>
      </c>
      <c r="B23" s="167">
        <v>4</v>
      </c>
      <c r="C23" s="166">
        <v>3</v>
      </c>
      <c r="D23" s="166">
        <v>374.99145951002049</v>
      </c>
      <c r="E23" s="166">
        <v>387.76468636281061</v>
      </c>
      <c r="F23" s="166">
        <v>499.12575634501235</v>
      </c>
    </row>
    <row r="24" spans="1:6" x14ac:dyDescent="0.35">
      <c r="A24" s="83" t="s">
        <v>211</v>
      </c>
      <c r="B24" s="167">
        <v>4</v>
      </c>
      <c r="C24" s="166">
        <v>3</v>
      </c>
      <c r="D24" s="166">
        <v>484.52119219030351</v>
      </c>
      <c r="E24" s="166">
        <v>651.62623964823104</v>
      </c>
      <c r="F24" s="166">
        <v>501.52497925519259</v>
      </c>
    </row>
    <row r="25" spans="1:6" x14ac:dyDescent="0.35">
      <c r="A25" s="83" t="s">
        <v>212</v>
      </c>
      <c r="B25" s="167">
        <v>4</v>
      </c>
      <c r="C25" s="166">
        <v>3</v>
      </c>
      <c r="D25" s="166">
        <v>439.83213829654079</v>
      </c>
      <c r="E25" s="166">
        <v>595.05518762685813</v>
      </c>
      <c r="F25" s="166">
        <v>499.55799255868595</v>
      </c>
    </row>
    <row r="26" spans="1:6" x14ac:dyDescent="0.35">
      <c r="A26" s="91" t="s">
        <v>213</v>
      </c>
      <c r="B26" s="167">
        <v>5</v>
      </c>
      <c r="C26" s="166">
        <v>5.3133588060905126</v>
      </c>
      <c r="D26" s="166">
        <v>27.527763416904371</v>
      </c>
      <c r="E26" s="166">
        <v>6.984904636573563</v>
      </c>
      <c r="F26" s="166">
        <v>1056.4759813609239</v>
      </c>
    </row>
    <row r="27" spans="1:6" x14ac:dyDescent="0.35">
      <c r="A27" s="91" t="s">
        <v>214</v>
      </c>
      <c r="B27" s="167">
        <v>5</v>
      </c>
      <c r="C27" s="166">
        <v>7.6440332577085739</v>
      </c>
      <c r="D27" s="166">
        <v>32.173400257805255</v>
      </c>
      <c r="E27" s="166">
        <v>8.3418093464832683</v>
      </c>
      <c r="F27" s="166">
        <v>1220.3867044008857</v>
      </c>
    </row>
    <row r="28" spans="1:6" x14ac:dyDescent="0.35">
      <c r="A28" s="91" t="s">
        <v>215</v>
      </c>
      <c r="B28" s="167">
        <v>5</v>
      </c>
      <c r="C28" s="166">
        <v>6.2039794395928416</v>
      </c>
      <c r="D28" s="166">
        <v>30.86760585907172</v>
      </c>
      <c r="E28" s="166">
        <v>8.596110301598765</v>
      </c>
      <c r="F28" s="166">
        <v>1144.4018948912976</v>
      </c>
    </row>
    <row r="29" spans="1:6" x14ac:dyDescent="0.35">
      <c r="A29" s="91" t="s">
        <v>216</v>
      </c>
      <c r="B29" s="167">
        <v>5</v>
      </c>
      <c r="C29" s="166">
        <v>5.3208668156532752</v>
      </c>
      <c r="D29" s="166">
        <v>25.958914839358325</v>
      </c>
      <c r="E29" s="166">
        <v>7.6840475395742232</v>
      </c>
      <c r="F29" s="166">
        <v>1262.7462449778302</v>
      </c>
    </row>
    <row r="30" spans="1:6" x14ac:dyDescent="0.35">
      <c r="A30" s="91" t="s">
        <v>217</v>
      </c>
      <c r="B30" s="167">
        <v>5</v>
      </c>
      <c r="C30" s="166">
        <v>5.7544660033653106</v>
      </c>
      <c r="D30" s="166">
        <v>26.057527887138495</v>
      </c>
      <c r="E30" s="166">
        <v>8.3536928982805474</v>
      </c>
      <c r="F30" s="166">
        <v>1242.3476105203979</v>
      </c>
    </row>
    <row r="31" spans="1:6" x14ac:dyDescent="0.35">
      <c r="A31" s="91" t="s">
        <v>218</v>
      </c>
      <c r="B31" s="167">
        <v>5</v>
      </c>
      <c r="C31" s="166">
        <v>6.6563275422810584</v>
      </c>
      <c r="D31" s="166">
        <v>24.365794753576296</v>
      </c>
      <c r="E31" s="166">
        <v>6.98502890320243</v>
      </c>
      <c r="F31" s="166">
        <v>1324.5426809205396</v>
      </c>
    </row>
    <row r="32" spans="1:6" x14ac:dyDescent="0.35">
      <c r="A32" s="104" t="s">
        <v>259</v>
      </c>
      <c r="B32" s="167">
        <v>6</v>
      </c>
      <c r="C32" s="166">
        <v>3</v>
      </c>
      <c r="D32" s="166">
        <v>65.924268211298227</v>
      </c>
      <c r="E32" s="166">
        <v>734.56250672501915</v>
      </c>
      <c r="F32" s="166">
        <v>2079.7853062948457</v>
      </c>
    </row>
    <row r="33" spans="1:6" x14ac:dyDescent="0.35">
      <c r="A33" s="104" t="s">
        <v>260</v>
      </c>
      <c r="B33" s="167">
        <v>6</v>
      </c>
      <c r="C33" s="166">
        <v>3</v>
      </c>
      <c r="D33" s="166">
        <v>75.317440992684354</v>
      </c>
      <c r="E33" s="166">
        <v>687.27317372789446</v>
      </c>
      <c r="F33" s="166">
        <v>1837.9934442892038</v>
      </c>
    </row>
    <row r="34" spans="1:6" x14ac:dyDescent="0.35">
      <c r="A34" s="104" t="s">
        <v>261</v>
      </c>
      <c r="B34" s="167">
        <v>6</v>
      </c>
      <c r="C34" s="166">
        <v>3</v>
      </c>
      <c r="D34" s="166">
        <v>71.757212184378602</v>
      </c>
      <c r="E34" s="166">
        <v>435.97245551768651</v>
      </c>
      <c r="F34" s="166">
        <v>1857.948849148316</v>
      </c>
    </row>
    <row r="35" spans="1:6" x14ac:dyDescent="0.35">
      <c r="A35" s="104" t="s">
        <v>262</v>
      </c>
      <c r="B35" s="167">
        <v>6</v>
      </c>
      <c r="C35" s="166">
        <v>3</v>
      </c>
      <c r="D35" s="166">
        <v>65.712037779923989</v>
      </c>
      <c r="E35" s="166">
        <v>386.72880843716666</v>
      </c>
      <c r="F35" s="166">
        <v>1832.2719887567523</v>
      </c>
    </row>
    <row r="36" spans="1:6" x14ac:dyDescent="0.35">
      <c r="A36" s="104" t="s">
        <v>263</v>
      </c>
      <c r="B36" s="167">
        <v>6</v>
      </c>
      <c r="C36" s="166">
        <v>3</v>
      </c>
      <c r="D36" s="166">
        <v>68.701557276678813</v>
      </c>
      <c r="E36" s="166">
        <v>398.42713255381653</v>
      </c>
      <c r="F36" s="166">
        <v>1857.7472333656262</v>
      </c>
    </row>
    <row r="37" spans="1:6" x14ac:dyDescent="0.35">
      <c r="A37" s="104" t="s">
        <v>264</v>
      </c>
      <c r="B37" s="167">
        <v>6</v>
      </c>
      <c r="C37" s="166">
        <v>3</v>
      </c>
      <c r="D37" s="166">
        <v>76.037458540324749</v>
      </c>
      <c r="E37" s="166">
        <v>363.39161137115553</v>
      </c>
      <c r="F37" s="166">
        <v>1842.7532076471834</v>
      </c>
    </row>
    <row r="38" spans="1:6" x14ac:dyDescent="0.35">
      <c r="A38" s="83" t="s">
        <v>225</v>
      </c>
      <c r="B38" s="167"/>
      <c r="C38" s="166">
        <v>14.512663177465827</v>
      </c>
      <c r="D38" s="166">
        <v>31.549125744279877</v>
      </c>
      <c r="E38" s="166">
        <v>163.84358228948525</v>
      </c>
      <c r="F38" s="166">
        <v>163.84358228948525</v>
      </c>
    </row>
    <row r="39" spans="1:6" x14ac:dyDescent="0.35">
      <c r="A39" s="83" t="s">
        <v>226</v>
      </c>
      <c r="B39" s="167"/>
      <c r="C39" s="166">
        <v>15.442260006311392</v>
      </c>
      <c r="D39" s="166">
        <v>31.946712285045816</v>
      </c>
      <c r="E39" s="166">
        <v>135.78787376164863</v>
      </c>
      <c r="F39" s="166">
        <v>135.78787376164863</v>
      </c>
    </row>
    <row r="40" spans="1:6" x14ac:dyDescent="0.35">
      <c r="A40" s="83" t="s">
        <v>227</v>
      </c>
      <c r="B40" s="167"/>
      <c r="C40" s="166">
        <v>13.818342610097366</v>
      </c>
      <c r="D40" s="166">
        <v>31.783934829513353</v>
      </c>
      <c r="E40" s="166">
        <v>137.19723650913997</v>
      </c>
      <c r="F40" s="166">
        <v>137.19723650913997</v>
      </c>
    </row>
    <row r="41" spans="1:6" x14ac:dyDescent="0.35">
      <c r="A41" s="83" t="s">
        <v>228</v>
      </c>
      <c r="B41" s="167"/>
      <c r="C41" s="166">
        <v>11.881813046672345</v>
      </c>
      <c r="D41" s="166">
        <v>37.157541227817191</v>
      </c>
      <c r="E41" s="166">
        <v>135.03312029291979</v>
      </c>
      <c r="F41" s="166">
        <v>135.03312029291979</v>
      </c>
    </row>
    <row r="42" spans="1:6" x14ac:dyDescent="0.35">
      <c r="A42" s="83" t="s">
        <v>229</v>
      </c>
      <c r="B42" s="167"/>
      <c r="C42" s="166">
        <v>16.161780329066321</v>
      </c>
      <c r="D42" s="166">
        <v>33.755117033502081</v>
      </c>
      <c r="E42" s="166">
        <v>130.98039050099408</v>
      </c>
      <c r="F42" s="166">
        <v>130.98039050099408</v>
      </c>
    </row>
    <row r="43" spans="1:6" x14ac:dyDescent="0.35">
      <c r="A43" s="83" t="s">
        <v>230</v>
      </c>
      <c r="B43" s="167"/>
      <c r="C43" s="166">
        <v>17.362693121335241</v>
      </c>
      <c r="D43" s="166">
        <v>32.050804858860886</v>
      </c>
      <c r="E43" s="166">
        <v>117.39177092646159</v>
      </c>
      <c r="F43" s="166">
        <v>117.39177092646159</v>
      </c>
    </row>
    <row r="44" spans="1:6" x14ac:dyDescent="0.35">
      <c r="A44" s="91" t="s">
        <v>231</v>
      </c>
      <c r="B44" s="168"/>
      <c r="C44" s="166">
        <v>12.08437980019588</v>
      </c>
      <c r="D44" s="166">
        <v>34.223495770254814</v>
      </c>
      <c r="E44" s="166">
        <v>126.46962877751753</v>
      </c>
      <c r="F44" s="166">
        <v>126.46962877751753</v>
      </c>
    </row>
    <row r="45" spans="1:6" x14ac:dyDescent="0.35">
      <c r="A45" s="91" t="s">
        <v>232</v>
      </c>
      <c r="B45" s="168"/>
      <c r="C45" s="166">
        <v>13.128054689401806</v>
      </c>
      <c r="D45" s="166">
        <v>30.161989870269441</v>
      </c>
      <c r="E45" s="166">
        <v>122.65799449286962</v>
      </c>
      <c r="F45" s="166">
        <v>122.65799449286962</v>
      </c>
    </row>
    <row r="46" spans="1:6" x14ac:dyDescent="0.35">
      <c r="A46" s="91" t="s">
        <v>233</v>
      </c>
      <c r="B46" s="168"/>
      <c r="C46" s="166">
        <v>13.240312258744302</v>
      </c>
      <c r="D46" s="166">
        <v>37.398901935261726</v>
      </c>
      <c r="E46" s="166">
        <v>125.02677662487913</v>
      </c>
      <c r="F46" s="166">
        <v>125.02677662487913</v>
      </c>
    </row>
    <row r="47" spans="1:6" x14ac:dyDescent="0.35">
      <c r="A47" s="91" t="s">
        <v>234</v>
      </c>
      <c r="B47" s="168"/>
      <c r="C47" s="166">
        <v>14.951782473646848</v>
      </c>
      <c r="D47" s="166">
        <v>31.029288758683837</v>
      </c>
      <c r="E47" s="166">
        <v>124.07174772475223</v>
      </c>
      <c r="F47" s="166">
        <v>124.07174772475223</v>
      </c>
    </row>
    <row r="48" spans="1:6" x14ac:dyDescent="0.35">
      <c r="A48" s="91" t="s">
        <v>235</v>
      </c>
      <c r="B48" s="168"/>
      <c r="C48" s="166">
        <v>12.010029992984338</v>
      </c>
      <c r="D48" s="166">
        <v>33.220584052089173</v>
      </c>
      <c r="E48" s="166">
        <v>101.2550772543416</v>
      </c>
      <c r="F48" s="166">
        <v>101.2550772543416</v>
      </c>
    </row>
    <row r="49" spans="1:6" x14ac:dyDescent="0.35">
      <c r="A49" s="91" t="s">
        <v>236</v>
      </c>
      <c r="B49" s="168"/>
      <c r="C49" s="166">
        <v>11.806479834425325</v>
      </c>
      <c r="D49" s="166">
        <v>32.638035843923312</v>
      </c>
      <c r="E49" s="166">
        <v>100.90681873775969</v>
      </c>
      <c r="F49" s="166">
        <v>100.90681873775969</v>
      </c>
    </row>
    <row r="50" spans="1:6" x14ac:dyDescent="0.35">
      <c r="A50" s="104" t="s">
        <v>250</v>
      </c>
      <c r="B50" s="169"/>
      <c r="C50" s="166">
        <v>13.922563846550474</v>
      </c>
      <c r="D50" s="166">
        <v>40.091084162894028</v>
      </c>
      <c r="E50" s="166">
        <v>103.06474783142525</v>
      </c>
      <c r="F50" s="166">
        <v>103.06474783142525</v>
      </c>
    </row>
    <row r="51" spans="1:6" x14ac:dyDescent="0.35">
      <c r="A51" s="104" t="s">
        <v>251</v>
      </c>
      <c r="B51" s="169"/>
      <c r="C51" s="166">
        <v>12.995305615101024</v>
      </c>
      <c r="D51" s="166">
        <v>36.323554871498978</v>
      </c>
      <c r="E51" s="166">
        <v>106.15962212585146</v>
      </c>
      <c r="F51" s="166">
        <v>106.15962212585146</v>
      </c>
    </row>
    <row r="52" spans="1:6" x14ac:dyDescent="0.35">
      <c r="A52" s="104" t="s">
        <v>252</v>
      </c>
      <c r="B52" s="169"/>
      <c r="C52" s="166">
        <v>10.039106404498368</v>
      </c>
      <c r="D52" s="166">
        <v>38.00930480233103</v>
      </c>
      <c r="E52" s="166">
        <v>108.78187623518455</v>
      </c>
      <c r="F52" s="166">
        <v>108.78187623518455</v>
      </c>
    </row>
    <row r="53" spans="1:6" x14ac:dyDescent="0.35">
      <c r="A53" s="104" t="s">
        <v>253</v>
      </c>
      <c r="B53" s="169"/>
      <c r="C53" s="166">
        <v>10.522132873196648</v>
      </c>
      <c r="D53" s="166">
        <v>36.169801241889949</v>
      </c>
      <c r="E53" s="166">
        <v>107.43582372297936</v>
      </c>
      <c r="F53" s="166">
        <v>107.43582372297936</v>
      </c>
    </row>
    <row r="54" spans="1:6" x14ac:dyDescent="0.35">
      <c r="A54" s="104" t="s">
        <v>254</v>
      </c>
      <c r="B54" s="169"/>
      <c r="C54" s="166">
        <v>11.348150930568869</v>
      </c>
      <c r="D54" s="166">
        <v>30.865208076023514</v>
      </c>
      <c r="E54" s="166">
        <v>97.818787979184094</v>
      </c>
      <c r="F54" s="166">
        <v>97.818787979184094</v>
      </c>
    </row>
    <row r="55" spans="1:6" x14ac:dyDescent="0.35">
      <c r="A55" s="104" t="s">
        <v>255</v>
      </c>
      <c r="B55" s="169"/>
      <c r="C55" s="166">
        <v>11.274106002342243</v>
      </c>
      <c r="D55" s="166">
        <v>28.432907655177747</v>
      </c>
      <c r="E55" s="166">
        <v>94.807376164107922</v>
      </c>
      <c r="F55" s="166">
        <v>94.807376164107922</v>
      </c>
    </row>
    <row r="56" spans="1:6" x14ac:dyDescent="0.35">
      <c r="A56" s="113" t="s">
        <v>237</v>
      </c>
      <c r="B56" s="170"/>
      <c r="C56" s="166">
        <v>29.052627419066024</v>
      </c>
      <c r="D56" s="166">
        <v>52.854817338579863</v>
      </c>
      <c r="E56" s="166">
        <v>667.30111616332556</v>
      </c>
      <c r="F56" s="166">
        <v>667.30111616332556</v>
      </c>
    </row>
    <row r="57" spans="1:6" x14ac:dyDescent="0.35">
      <c r="A57" s="113" t="s">
        <v>238</v>
      </c>
      <c r="B57" s="170"/>
      <c r="C57" s="166">
        <v>28.512845925541814</v>
      </c>
      <c r="D57" s="166">
        <v>54.366535552115437</v>
      </c>
      <c r="E57" s="166">
        <v>639.04043976818912</v>
      </c>
      <c r="F57" s="166">
        <v>639.04043976818912</v>
      </c>
    </row>
    <row r="58" spans="1:6" x14ac:dyDescent="0.35">
      <c r="A58" s="113" t="s">
        <v>239</v>
      </c>
      <c r="B58" s="170"/>
      <c r="C58" s="166">
        <v>28.750680052459753</v>
      </c>
      <c r="D58" s="166">
        <v>55.629515549119972</v>
      </c>
      <c r="E58" s="166">
        <v>650.13694425284223</v>
      </c>
      <c r="F58" s="166">
        <v>650.13694425284223</v>
      </c>
    </row>
    <row r="59" spans="1:6" x14ac:dyDescent="0.35">
      <c r="A59" s="113" t="s">
        <v>240</v>
      </c>
      <c r="B59" s="170"/>
      <c r="C59" s="166">
        <v>28.719499189889131</v>
      </c>
      <c r="D59" s="166">
        <v>57.54799036449711</v>
      </c>
      <c r="E59" s="166">
        <v>639.17414255305914</v>
      </c>
      <c r="F59" s="166">
        <v>639.17414255305914</v>
      </c>
    </row>
    <row r="60" spans="1:6" x14ac:dyDescent="0.35">
      <c r="A60" s="113" t="s">
        <v>241</v>
      </c>
      <c r="B60" s="170"/>
      <c r="C60" s="166">
        <v>25.020258871612899</v>
      </c>
      <c r="D60" s="166">
        <v>29.967700531361523</v>
      </c>
      <c r="E60" s="166">
        <v>607.77430272339438</v>
      </c>
      <c r="F60" s="166">
        <v>607.77430272339438</v>
      </c>
    </row>
    <row r="61" spans="1:6" x14ac:dyDescent="0.35">
      <c r="A61" s="113" t="s">
        <v>242</v>
      </c>
      <c r="B61" s="170"/>
      <c r="C61" s="166">
        <v>25.312740790197282</v>
      </c>
      <c r="D61" s="166">
        <v>27.413040748214367</v>
      </c>
      <c r="E61" s="166">
        <v>613.93962901934947</v>
      </c>
      <c r="F61" s="166">
        <v>613.93962901934947</v>
      </c>
    </row>
  </sheetData>
  <pageMargins left="0.7" right="0.7" top="0.75" bottom="0.75" header="0.3" footer="0.3"/>
  <pageSetup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0C827-2814-4598-B827-1586DA5D3EC1}">
  <sheetPr codeName="Sheet3">
    <tabColor rgb="FF00B0F0"/>
  </sheetPr>
  <dimension ref="A1:L29"/>
  <sheetViews>
    <sheetView zoomScale="110" zoomScaleNormal="110" workbookViewId="0">
      <selection activeCell="E4" sqref="E4"/>
    </sheetView>
  </sheetViews>
  <sheetFormatPr defaultRowHeight="14.5" x14ac:dyDescent="0.35"/>
  <sheetData>
    <row r="1" spans="1:12" x14ac:dyDescent="0.35">
      <c r="A1" t="s">
        <v>66</v>
      </c>
    </row>
    <row r="2" spans="1:12" x14ac:dyDescent="0.35">
      <c r="A2" t="s">
        <v>67</v>
      </c>
      <c r="B2" s="68" t="s">
        <v>68</v>
      </c>
      <c r="C2">
        <v>1</v>
      </c>
      <c r="D2" t="s">
        <v>70</v>
      </c>
      <c r="K2">
        <v>24</v>
      </c>
      <c r="L2" t="s">
        <v>194</v>
      </c>
    </row>
    <row r="3" spans="1:12" x14ac:dyDescent="0.35">
      <c r="A3" t="s">
        <v>69</v>
      </c>
      <c r="B3" s="68" t="s">
        <v>68</v>
      </c>
      <c r="C3">
        <v>3</v>
      </c>
      <c r="D3" t="s">
        <v>71</v>
      </c>
      <c r="K3">
        <v>6</v>
      </c>
    </row>
    <row r="4" spans="1:12" x14ac:dyDescent="0.35">
      <c r="A4" t="s">
        <v>72</v>
      </c>
    </row>
    <row r="5" spans="1:12" x14ac:dyDescent="0.35">
      <c r="A5" s="70" t="s">
        <v>73</v>
      </c>
      <c r="B5" s="70" t="s">
        <v>99</v>
      </c>
      <c r="C5" s="70" t="s">
        <v>76</v>
      </c>
      <c r="D5" s="70" t="s">
        <v>77</v>
      </c>
      <c r="E5" s="70" t="s">
        <v>78</v>
      </c>
      <c r="L5">
        <v>24</v>
      </c>
    </row>
    <row r="6" spans="1:12" x14ac:dyDescent="0.35">
      <c r="A6" s="70" t="s">
        <v>74</v>
      </c>
      <c r="B6" s="69">
        <f>1*3*2</f>
        <v>6</v>
      </c>
      <c r="C6" s="69">
        <f t="shared" ref="C6:E7" si="0">1*3*2</f>
        <v>6</v>
      </c>
      <c r="D6" s="69">
        <f t="shared" si="0"/>
        <v>6</v>
      </c>
      <c r="E6" s="69">
        <f t="shared" si="0"/>
        <v>6</v>
      </c>
    </row>
    <row r="7" spans="1:12" x14ac:dyDescent="0.35">
      <c r="A7" s="70" t="s">
        <v>75</v>
      </c>
      <c r="B7" s="69">
        <f>1*3*2*3</f>
        <v>18</v>
      </c>
      <c r="C7" s="69">
        <f t="shared" si="0"/>
        <v>6</v>
      </c>
      <c r="D7" s="69">
        <f t="shared" si="0"/>
        <v>6</v>
      </c>
      <c r="E7" s="69">
        <f t="shared" si="0"/>
        <v>6</v>
      </c>
    </row>
    <row r="8" spans="1:12" x14ac:dyDescent="0.35">
      <c r="A8" s="174" t="s">
        <v>79</v>
      </c>
      <c r="B8" s="175"/>
      <c r="C8" s="175"/>
      <c r="D8" s="176"/>
      <c r="E8" s="70">
        <f>SUM(B6:E7)</f>
        <v>60</v>
      </c>
    </row>
    <row r="10" spans="1:12" x14ac:dyDescent="0.35">
      <c r="A10" s="71" t="s">
        <v>80</v>
      </c>
    </row>
    <row r="11" spans="1:12" x14ac:dyDescent="0.35">
      <c r="B11" s="72" t="s">
        <v>100</v>
      </c>
      <c r="C11" s="72" t="s">
        <v>87</v>
      </c>
      <c r="D11" s="72" t="s">
        <v>93</v>
      </c>
      <c r="E11" s="72" t="s">
        <v>81</v>
      </c>
    </row>
    <row r="12" spans="1:12" x14ac:dyDescent="0.35">
      <c r="B12" s="72" t="s">
        <v>101</v>
      </c>
      <c r="C12" s="72" t="s">
        <v>88</v>
      </c>
      <c r="D12" s="72" t="s">
        <v>94</v>
      </c>
      <c r="E12" s="72" t="s">
        <v>82</v>
      </c>
    </row>
    <row r="13" spans="1:12" x14ac:dyDescent="0.35">
      <c r="B13" s="72" t="s">
        <v>102</v>
      </c>
      <c r="C13" s="72" t="s">
        <v>89</v>
      </c>
      <c r="D13" s="72" t="s">
        <v>95</v>
      </c>
      <c r="E13" s="72" t="s">
        <v>83</v>
      </c>
    </row>
    <row r="14" spans="1:12" x14ac:dyDescent="0.35">
      <c r="B14" s="72" t="s">
        <v>103</v>
      </c>
      <c r="C14" s="72" t="s">
        <v>90</v>
      </c>
      <c r="D14" s="72" t="s">
        <v>96</v>
      </c>
      <c r="E14" s="72" t="s">
        <v>84</v>
      </c>
    </row>
    <row r="15" spans="1:12" x14ac:dyDescent="0.35">
      <c r="B15" s="72" t="s">
        <v>104</v>
      </c>
      <c r="C15" s="72" t="s">
        <v>91</v>
      </c>
      <c r="D15" s="72" t="s">
        <v>97</v>
      </c>
      <c r="E15" s="72" t="s">
        <v>85</v>
      </c>
    </row>
    <row r="16" spans="1:12" x14ac:dyDescent="0.35">
      <c r="B16" s="72" t="s">
        <v>105</v>
      </c>
      <c r="C16" s="72" t="s">
        <v>92</v>
      </c>
      <c r="D16" s="72" t="s">
        <v>98</v>
      </c>
      <c r="E16" s="72" t="s">
        <v>86</v>
      </c>
    </row>
    <row r="18" spans="1:5" ht="39" x14ac:dyDescent="0.35">
      <c r="A18" s="177" t="s">
        <v>153</v>
      </c>
      <c r="B18" s="153" t="s">
        <v>154</v>
      </c>
      <c r="C18" s="153" t="s">
        <v>157</v>
      </c>
      <c r="D18" s="153" t="s">
        <v>159</v>
      </c>
      <c r="E18" s="153" t="s">
        <v>161</v>
      </c>
    </row>
    <row r="19" spans="1:5" x14ac:dyDescent="0.35">
      <c r="A19" s="177"/>
      <c r="B19" s="153" t="s">
        <v>155</v>
      </c>
      <c r="C19" s="153" t="s">
        <v>158</v>
      </c>
      <c r="D19" s="153" t="s">
        <v>160</v>
      </c>
      <c r="E19" s="153" t="s">
        <v>162</v>
      </c>
    </row>
    <row r="20" spans="1:5" x14ac:dyDescent="0.35">
      <c r="A20" s="177"/>
      <c r="B20" s="153" t="s">
        <v>156</v>
      </c>
      <c r="C20" s="153" t="s">
        <v>156</v>
      </c>
      <c r="D20" s="153" t="s">
        <v>156</v>
      </c>
      <c r="E20" s="153" t="s">
        <v>163</v>
      </c>
    </row>
    <row r="21" spans="1:5" x14ac:dyDescent="0.35">
      <c r="A21" s="177" t="s">
        <v>74</v>
      </c>
      <c r="B21" s="153" t="s">
        <v>164</v>
      </c>
      <c r="C21" s="153" t="s">
        <v>164</v>
      </c>
      <c r="D21" s="153" t="s">
        <v>164</v>
      </c>
      <c r="E21" s="153" t="s">
        <v>164</v>
      </c>
    </row>
    <row r="22" spans="1:5" ht="39" x14ac:dyDescent="0.35">
      <c r="A22" s="177"/>
      <c r="B22" s="153" t="s">
        <v>165</v>
      </c>
      <c r="C22" s="153" t="s">
        <v>165</v>
      </c>
      <c r="D22" s="153" t="s">
        <v>166</v>
      </c>
      <c r="E22" s="153" t="s">
        <v>165</v>
      </c>
    </row>
    <row r="23" spans="1:5" x14ac:dyDescent="0.35">
      <c r="A23" s="177" t="s">
        <v>75</v>
      </c>
      <c r="B23" s="153" t="s">
        <v>164</v>
      </c>
      <c r="C23" s="153" t="s">
        <v>164</v>
      </c>
      <c r="D23" s="153" t="s">
        <v>164</v>
      </c>
      <c r="E23" s="153" t="s">
        <v>164</v>
      </c>
    </row>
    <row r="24" spans="1:5" ht="39" x14ac:dyDescent="0.35">
      <c r="A24" s="177"/>
      <c r="B24" s="153" t="s">
        <v>167</v>
      </c>
      <c r="C24" s="153" t="s">
        <v>167</v>
      </c>
      <c r="D24" s="153" t="s">
        <v>168</v>
      </c>
      <c r="E24" s="153" t="s">
        <v>168</v>
      </c>
    </row>
    <row r="25" spans="1:5" x14ac:dyDescent="0.35">
      <c r="A25" s="177"/>
      <c r="B25" s="153" t="s">
        <v>164</v>
      </c>
      <c r="C25" s="161"/>
      <c r="D25" s="161"/>
      <c r="E25" s="161"/>
    </row>
    <row r="26" spans="1:5" ht="39" x14ac:dyDescent="0.35">
      <c r="A26" s="177"/>
      <c r="B26" s="153" t="s">
        <v>168</v>
      </c>
      <c r="C26" s="161"/>
      <c r="D26" s="161"/>
      <c r="E26" s="161"/>
    </row>
    <row r="27" spans="1:5" x14ac:dyDescent="0.35">
      <c r="A27" s="177"/>
      <c r="B27" s="153" t="s">
        <v>164</v>
      </c>
      <c r="C27" s="161"/>
      <c r="D27" s="161"/>
      <c r="E27" s="161"/>
    </row>
    <row r="28" spans="1:5" ht="39" x14ac:dyDescent="0.35">
      <c r="A28" s="177"/>
      <c r="B28" s="153" t="s">
        <v>168</v>
      </c>
      <c r="C28" s="161"/>
      <c r="D28" s="161"/>
      <c r="E28" s="161"/>
    </row>
    <row r="29" spans="1:5" x14ac:dyDescent="0.35">
      <c r="A29" s="177"/>
      <c r="B29" s="162"/>
      <c r="C29" s="161"/>
      <c r="D29" s="161"/>
      <c r="E29" s="161"/>
    </row>
  </sheetData>
  <mergeCells count="4">
    <mergeCell ref="A8:D8"/>
    <mergeCell ref="A18:A20"/>
    <mergeCell ref="A21:A22"/>
    <mergeCell ref="A23:A29"/>
  </mergeCells>
  <phoneticPr fontId="28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227-6E4E-4C51-A4F5-B4899AE68958}">
  <sheetPr codeName="Sheet4">
    <tabColor rgb="FF92D050"/>
    <pageSetUpPr fitToPage="1"/>
  </sheetPr>
  <dimension ref="A1:V78"/>
  <sheetViews>
    <sheetView view="pageBreakPreview" topLeftCell="B19" zoomScale="68" zoomScaleNormal="68" zoomScaleSheetLayoutView="68" zoomScalePageLayoutView="70" workbookViewId="0">
      <selection activeCell="P35" sqref="P35"/>
    </sheetView>
  </sheetViews>
  <sheetFormatPr defaultColWidth="8.54296875" defaultRowHeight="14" x14ac:dyDescent="0.3"/>
  <cols>
    <col min="1" max="1" width="8.54296875" style="5" hidden="1" customWidth="1"/>
    <col min="2" max="2" width="8.7265625" style="5" customWidth="1"/>
    <col min="3" max="3" width="18.7265625" style="5" customWidth="1"/>
    <col min="4" max="4" width="30.54296875" style="5" customWidth="1"/>
    <col min="5" max="5" width="12.7265625" style="5" customWidth="1"/>
    <col min="6" max="6" width="14.453125" style="5" bestFit="1" customWidth="1"/>
    <col min="7" max="7" width="10.453125" style="5" bestFit="1" customWidth="1"/>
    <col min="8" max="8" width="13.7265625" style="5" customWidth="1"/>
    <col min="9" max="9" width="15.7265625" style="5" bestFit="1" customWidth="1"/>
    <col min="10" max="10" width="13.453125" style="5" bestFit="1" customWidth="1"/>
    <col min="11" max="11" width="12.1796875" style="5" customWidth="1"/>
    <col min="12" max="13" width="15.1796875" style="5" customWidth="1"/>
    <col min="14" max="14" width="13.54296875" style="5" customWidth="1"/>
    <col min="15" max="16" width="17.453125" style="5" customWidth="1"/>
    <col min="17" max="17" width="35.453125" style="5" bestFit="1" customWidth="1"/>
    <col min="18" max="19" width="17.453125" style="5" customWidth="1"/>
    <col min="20" max="20" width="12.26953125" style="5" customWidth="1"/>
    <col min="21" max="21" width="9.1796875" style="5" customWidth="1"/>
    <col min="22" max="22" width="10.453125" style="5" customWidth="1"/>
    <col min="23" max="16384" width="8.54296875" style="5"/>
  </cols>
  <sheetData>
    <row r="1" spans="3:22" ht="39.75" customHeight="1" x14ac:dyDescent="0.3">
      <c r="C1" s="192" t="s">
        <v>50</v>
      </c>
      <c r="D1" s="192"/>
      <c r="E1" s="192"/>
      <c r="F1" s="192"/>
      <c r="G1" s="192"/>
      <c r="H1" s="192"/>
      <c r="I1" s="192"/>
      <c r="J1" s="192"/>
      <c r="K1" s="192"/>
      <c r="L1" s="192"/>
      <c r="M1" s="192"/>
      <c r="N1" s="192"/>
      <c r="O1" s="192"/>
      <c r="P1" s="192"/>
      <c r="Q1" s="192"/>
      <c r="R1" s="192"/>
      <c r="S1" s="192"/>
      <c r="T1" s="4"/>
      <c r="U1" s="4"/>
      <c r="V1" s="4"/>
    </row>
    <row r="2" spans="3:22" ht="15" customHeight="1" x14ac:dyDescent="0.3">
      <c r="C2" s="3"/>
      <c r="D2" s="3"/>
      <c r="E2" s="3"/>
      <c r="F2" s="3"/>
      <c r="G2" s="6"/>
      <c r="H2" s="6"/>
      <c r="I2" s="6"/>
      <c r="J2" s="6"/>
      <c r="K2" s="7"/>
      <c r="N2" s="8"/>
      <c r="O2" s="9"/>
      <c r="P2" s="9"/>
      <c r="Q2" s="9"/>
      <c r="R2" s="9"/>
      <c r="T2" s="4"/>
      <c r="U2" s="4"/>
      <c r="V2" s="4"/>
    </row>
    <row r="3" spans="3:22" ht="15" customHeight="1" x14ac:dyDescent="0.35">
      <c r="C3" s="3"/>
      <c r="D3" s="3"/>
      <c r="E3" s="3"/>
      <c r="F3" s="3"/>
      <c r="G3" s="6"/>
      <c r="H3" s="6"/>
      <c r="I3" s="6"/>
      <c r="J3" s="6"/>
      <c r="K3" s="6"/>
      <c r="O3"/>
      <c r="P3"/>
      <c r="Q3"/>
      <c r="R3"/>
      <c r="S3"/>
      <c r="T3" s="4"/>
      <c r="U3" s="4"/>
      <c r="V3" s="4"/>
    </row>
    <row r="4" spans="3:22" ht="14.5" x14ac:dyDescent="0.35">
      <c r="G4" s="6"/>
      <c r="H4" s="6"/>
      <c r="I4" s="6"/>
      <c r="J4" s="6"/>
      <c r="K4" s="6"/>
      <c r="O4"/>
      <c r="P4"/>
      <c r="Q4"/>
      <c r="R4"/>
      <c r="S4"/>
    </row>
    <row r="5" spans="3:22" ht="14.5" x14ac:dyDescent="0.35">
      <c r="C5" s="10" t="s">
        <v>7</v>
      </c>
      <c r="D5" s="11"/>
      <c r="E5" s="12" t="s">
        <v>58</v>
      </c>
      <c r="G5" s="13"/>
      <c r="H5" s="6"/>
      <c r="I5" s="14"/>
      <c r="K5" s="6"/>
      <c r="L5" s="15"/>
      <c r="M5" s="15"/>
      <c r="O5"/>
      <c r="P5"/>
      <c r="Q5"/>
      <c r="R5"/>
      <c r="S5"/>
    </row>
    <row r="6" spans="3:22" ht="14.5" x14ac:dyDescent="0.35">
      <c r="C6" s="10" t="s">
        <v>10</v>
      </c>
      <c r="D6" s="11"/>
      <c r="E6" s="12" t="s">
        <v>59</v>
      </c>
      <c r="F6" s="17"/>
      <c r="G6" s="24"/>
      <c r="H6" s="17"/>
      <c r="I6" s="16"/>
      <c r="J6" s="17"/>
      <c r="K6" s="6"/>
      <c r="L6" s="15"/>
      <c r="M6" s="15"/>
      <c r="O6"/>
      <c r="P6"/>
      <c r="Q6"/>
      <c r="R6"/>
      <c r="S6"/>
    </row>
    <row r="7" spans="3:22" x14ac:dyDescent="0.3">
      <c r="C7" s="193" t="s">
        <v>35</v>
      </c>
      <c r="D7" s="193"/>
      <c r="E7" s="12" t="s">
        <v>60</v>
      </c>
      <c r="G7" s="24"/>
      <c r="H7" s="17"/>
      <c r="I7" s="16"/>
      <c r="J7" s="17"/>
      <c r="K7" s="6"/>
      <c r="L7" s="15"/>
      <c r="M7" s="15"/>
      <c r="N7" s="6"/>
      <c r="O7" s="15"/>
      <c r="P7" s="15"/>
      <c r="Q7" s="15"/>
      <c r="R7" s="15"/>
    </row>
    <row r="8" spans="3:22" ht="14.5" x14ac:dyDescent="0.35">
      <c r="C8" s="194" t="s">
        <v>36</v>
      </c>
      <c r="D8" s="194"/>
      <c r="E8" s="60" t="s">
        <v>143</v>
      </c>
      <c r="F8" s="30"/>
      <c r="G8" s="63"/>
      <c r="H8" s="63"/>
      <c r="I8" s="8"/>
      <c r="N8" s="25" t="s">
        <v>45</v>
      </c>
      <c r="O8" s="26"/>
      <c r="P8" s="27"/>
      <c r="Q8"/>
    </row>
    <row r="9" spans="3:22" ht="14.5" x14ac:dyDescent="0.35">
      <c r="C9" s="10" t="s">
        <v>24</v>
      </c>
      <c r="D9" s="18"/>
      <c r="E9" s="12" t="s">
        <v>62</v>
      </c>
      <c r="N9" s="28" t="s">
        <v>25</v>
      </c>
      <c r="O9" s="29" t="s">
        <v>55</v>
      </c>
      <c r="P9" s="23"/>
      <c r="Q9"/>
    </row>
    <row r="10" spans="3:22" ht="14.5" x14ac:dyDescent="0.35">
      <c r="C10" s="10" t="s">
        <v>41</v>
      </c>
      <c r="D10" s="18"/>
      <c r="E10" s="12" t="s">
        <v>61</v>
      </c>
      <c r="N10" s="28"/>
      <c r="O10" s="36" t="s">
        <v>56</v>
      </c>
      <c r="P10" s="23"/>
      <c r="Q10"/>
    </row>
    <row r="11" spans="3:22" ht="14.5" x14ac:dyDescent="0.35">
      <c r="C11" s="31" t="s">
        <v>26</v>
      </c>
      <c r="D11" s="32"/>
      <c r="E11" s="33" t="s">
        <v>63</v>
      </c>
      <c r="F11" s="30"/>
      <c r="G11" s="30"/>
      <c r="H11" s="30"/>
      <c r="I11" s="30"/>
      <c r="N11" s="34"/>
      <c r="O11" s="59"/>
      <c r="P11" s="35"/>
      <c r="Q11"/>
    </row>
    <row r="12" spans="3:22" x14ac:dyDescent="0.3">
      <c r="C12" s="195" t="s">
        <v>37</v>
      </c>
      <c r="D12" s="195"/>
      <c r="E12" s="33" t="str">
        <f>E6</f>
        <v>: 8 September 2023</v>
      </c>
      <c r="F12" s="30"/>
      <c r="G12" s="36"/>
      <c r="H12" s="30"/>
      <c r="I12" s="37"/>
      <c r="J12" s="30"/>
      <c r="K12" s="36"/>
      <c r="L12" s="38"/>
      <c r="M12" s="38"/>
      <c r="N12" s="38"/>
      <c r="O12" s="30"/>
      <c r="P12" s="30"/>
      <c r="Q12" s="30"/>
      <c r="R12" s="30"/>
    </row>
    <row r="13" spans="3:22" x14ac:dyDescent="0.3">
      <c r="C13" s="30" t="s">
        <v>40</v>
      </c>
      <c r="D13" s="33"/>
      <c r="E13" s="30" t="s">
        <v>65</v>
      </c>
      <c r="F13" s="30"/>
      <c r="G13" s="36"/>
      <c r="H13" s="30"/>
      <c r="I13" s="37"/>
      <c r="J13" s="30"/>
      <c r="K13" s="36"/>
      <c r="L13" s="30"/>
      <c r="M13" s="30"/>
    </row>
    <row r="14" spans="3:22" x14ac:dyDescent="0.3">
      <c r="C14" s="30" t="s">
        <v>44</v>
      </c>
      <c r="D14" s="33"/>
      <c r="E14" s="30" t="s">
        <v>64</v>
      </c>
      <c r="F14" s="33"/>
      <c r="G14" s="36"/>
      <c r="H14" s="30"/>
      <c r="I14" s="37"/>
      <c r="J14" s="30"/>
      <c r="K14" s="36"/>
      <c r="L14" s="30"/>
      <c r="M14" s="30"/>
    </row>
    <row r="15" spans="3:22" x14ac:dyDescent="0.3">
      <c r="C15" s="30"/>
      <c r="D15" s="33"/>
      <c r="E15" s="30"/>
      <c r="F15" s="33"/>
      <c r="G15" s="36"/>
      <c r="H15" s="30"/>
      <c r="I15" s="37"/>
      <c r="J15" s="30"/>
      <c r="K15" s="36"/>
      <c r="L15" s="30"/>
      <c r="M15" s="30"/>
    </row>
    <row r="16" spans="3:22" x14ac:dyDescent="0.3">
      <c r="C16" s="31" t="s">
        <v>9</v>
      </c>
      <c r="D16" s="31"/>
      <c r="E16" s="31" t="s">
        <v>138</v>
      </c>
      <c r="F16" s="39"/>
      <c r="G16" s="39"/>
      <c r="H16" s="39"/>
      <c r="I16" s="39"/>
      <c r="J16" s="39"/>
      <c r="K16" s="39"/>
      <c r="L16" s="30"/>
      <c r="M16" s="30"/>
      <c r="S16" s="4"/>
      <c r="T16" s="4"/>
      <c r="U16" s="4"/>
    </row>
    <row r="17" spans="1:22" x14ac:dyDescent="0.3">
      <c r="C17" s="31"/>
      <c r="D17" s="31"/>
      <c r="E17" s="30"/>
      <c r="F17" s="40"/>
      <c r="G17" s="40"/>
      <c r="H17" s="40"/>
      <c r="I17" s="40"/>
      <c r="J17" s="40"/>
      <c r="K17" s="40"/>
      <c r="L17" s="30"/>
      <c r="M17" s="30"/>
      <c r="N17" s="30"/>
      <c r="O17" s="30"/>
      <c r="P17" s="30"/>
      <c r="Q17" s="30"/>
      <c r="R17" s="30"/>
    </row>
    <row r="18" spans="1:22" x14ac:dyDescent="0.3">
      <c r="C18" s="41"/>
      <c r="D18" s="41"/>
      <c r="E18" s="41"/>
      <c r="F18" s="41"/>
      <c r="G18" s="42"/>
      <c r="H18" s="42"/>
      <c r="I18" s="30"/>
      <c r="J18" s="30"/>
      <c r="K18" s="41"/>
      <c r="L18" s="41"/>
      <c r="M18" s="41"/>
      <c r="N18" s="41"/>
      <c r="O18" s="41"/>
      <c r="P18" s="41"/>
      <c r="Q18" s="41"/>
      <c r="R18" s="41"/>
      <c r="S18" s="4"/>
      <c r="T18" s="4"/>
      <c r="U18" s="4"/>
      <c r="V18" s="4"/>
    </row>
    <row r="19" spans="1:22" ht="57.75" customHeight="1" x14ac:dyDescent="0.3">
      <c r="B19" s="19" t="s">
        <v>27</v>
      </c>
      <c r="C19" s="43" t="s">
        <v>6</v>
      </c>
      <c r="D19" s="43" t="s">
        <v>28</v>
      </c>
      <c r="E19" s="43" t="s">
        <v>42</v>
      </c>
      <c r="F19" s="43" t="s">
        <v>43</v>
      </c>
      <c r="G19" s="43" t="s">
        <v>8</v>
      </c>
      <c r="H19" s="44" t="s">
        <v>23</v>
      </c>
      <c r="I19" s="30"/>
      <c r="J19" s="45"/>
      <c r="K19" s="45"/>
      <c r="L19" s="46"/>
      <c r="M19" s="46"/>
      <c r="N19" s="46"/>
      <c r="O19" s="46"/>
      <c r="P19" s="46"/>
      <c r="Q19" s="46"/>
      <c r="R19" s="46"/>
      <c r="S19" s="4"/>
    </row>
    <row r="20" spans="1:22" x14ac:dyDescent="0.3">
      <c r="A20" s="5" t="str">
        <f>"CalBlk"&amp;B20</f>
        <v>CalBlk1</v>
      </c>
      <c r="B20" s="19">
        <v>1</v>
      </c>
      <c r="C20" s="67">
        <v>0</v>
      </c>
      <c r="D20" s="43">
        <f>C20*997/1000</f>
        <v>0</v>
      </c>
      <c r="E20" s="48">
        <v>286.67181345088306</v>
      </c>
      <c r="F20" s="48">
        <v>20160637.326724101</v>
      </c>
      <c r="G20" s="66">
        <f>E20/F20</f>
        <v>1.4219382492977186E-5</v>
      </c>
      <c r="H20" s="49">
        <f>G20-$G$20</f>
        <v>0</v>
      </c>
      <c r="I20" s="30"/>
      <c r="J20" s="45"/>
      <c r="K20" s="45"/>
      <c r="L20" s="46"/>
      <c r="M20" s="46"/>
      <c r="N20" s="46"/>
      <c r="O20" s="46"/>
      <c r="P20" s="46"/>
      <c r="Q20" s="46"/>
      <c r="R20" s="46"/>
      <c r="S20" s="4"/>
    </row>
    <row r="21" spans="1:22" x14ac:dyDescent="0.3">
      <c r="A21" s="5" t="str">
        <f>"CalStd"&amp;B21</f>
        <v>CalStd2</v>
      </c>
      <c r="B21" s="19">
        <v>2</v>
      </c>
      <c r="C21" s="43">
        <f>0.125</f>
        <v>0.125</v>
      </c>
      <c r="D21" s="43">
        <f t="shared" ref="D21:D27" si="0">C21*997/1000</f>
        <v>0.124625</v>
      </c>
      <c r="E21" s="48">
        <v>4390.7908262324099</v>
      </c>
      <c r="F21" s="48">
        <v>20387968.412919831</v>
      </c>
      <c r="G21" s="49">
        <f t="shared" ref="G21:G27" si="1">E21/F21</f>
        <v>2.1536186133435303E-4</v>
      </c>
      <c r="H21" s="49">
        <f t="shared" ref="H21:H27" si="2">G21-$G$20</f>
        <v>2.0114247884137586E-4</v>
      </c>
      <c r="I21" s="30"/>
      <c r="J21" s="45"/>
      <c r="K21" s="45"/>
      <c r="L21" s="46"/>
      <c r="M21" s="46"/>
      <c r="N21" s="46"/>
      <c r="O21" s="46"/>
      <c r="P21" s="46"/>
      <c r="Q21" s="46"/>
      <c r="R21" s="46"/>
      <c r="S21" s="4"/>
    </row>
    <row r="22" spans="1:22" x14ac:dyDescent="0.3">
      <c r="A22" s="5" t="str">
        <f t="shared" ref="A22:A27" si="3">"CalStd"&amp;B22</f>
        <v>CalStd3</v>
      </c>
      <c r="B22" s="19">
        <v>3</v>
      </c>
      <c r="C22" s="48">
        <f>0.25</f>
        <v>0.25</v>
      </c>
      <c r="D22" s="48">
        <f t="shared" si="0"/>
        <v>0.24925</v>
      </c>
      <c r="E22" s="48">
        <v>8829.8317104531416</v>
      </c>
      <c r="F22" s="48">
        <v>26923174.287658904</v>
      </c>
      <c r="G22" s="49">
        <f t="shared" si="1"/>
        <v>3.2796399176825803E-4</v>
      </c>
      <c r="H22" s="49">
        <f t="shared" si="2"/>
        <v>3.1374460927528086E-4</v>
      </c>
      <c r="I22" s="30"/>
      <c r="J22" s="45"/>
      <c r="K22" s="45"/>
      <c r="L22" s="46"/>
      <c r="M22" s="46"/>
      <c r="N22" s="46"/>
      <c r="O22" s="46"/>
      <c r="P22" s="46"/>
      <c r="Q22" s="46"/>
      <c r="R22" s="46"/>
      <c r="S22" s="4"/>
    </row>
    <row r="23" spans="1:22" x14ac:dyDescent="0.3">
      <c r="A23" s="5" t="str">
        <f t="shared" si="3"/>
        <v>CalStd4</v>
      </c>
      <c r="B23" s="19">
        <v>4</v>
      </c>
      <c r="C23" s="48">
        <f>0.5</f>
        <v>0.5</v>
      </c>
      <c r="D23" s="48">
        <f t="shared" si="0"/>
        <v>0.4985</v>
      </c>
      <c r="E23" s="48">
        <v>13107.027823350576</v>
      </c>
      <c r="F23" s="48">
        <v>19579155.804660041</v>
      </c>
      <c r="G23" s="49">
        <f>E23/F23</f>
        <v>6.6943784267915003E-4</v>
      </c>
      <c r="H23" s="49">
        <f t="shared" si="2"/>
        <v>6.5521846018617286E-4</v>
      </c>
      <c r="I23" s="30"/>
      <c r="J23" s="45"/>
      <c r="K23" s="45"/>
      <c r="L23" s="46"/>
      <c r="M23" s="46"/>
      <c r="N23" s="46"/>
      <c r="O23" s="46"/>
      <c r="P23" s="46"/>
      <c r="Q23" s="46"/>
      <c r="R23" s="46"/>
      <c r="S23" s="4"/>
    </row>
    <row r="24" spans="1:22" x14ac:dyDescent="0.3">
      <c r="A24" s="5" t="str">
        <f t="shared" si="3"/>
        <v>CalStd5</v>
      </c>
      <c r="B24" s="19">
        <v>5</v>
      </c>
      <c r="C24" s="48">
        <f>1</f>
        <v>1</v>
      </c>
      <c r="D24" s="48">
        <f t="shared" si="0"/>
        <v>0.997</v>
      </c>
      <c r="E24" s="48">
        <v>26378.206183615428</v>
      </c>
      <c r="F24" s="48">
        <v>19676645.095592711</v>
      </c>
      <c r="G24" s="47">
        <f t="shared" si="1"/>
        <v>1.3405845384447052E-3</v>
      </c>
      <c r="H24" s="47">
        <f t="shared" si="2"/>
        <v>1.326365155951728E-3</v>
      </c>
      <c r="I24" s="30"/>
      <c r="J24" s="45"/>
      <c r="K24" s="45"/>
      <c r="L24" s="46"/>
      <c r="M24" s="46"/>
      <c r="N24" s="46"/>
      <c r="O24" s="46"/>
      <c r="P24" s="46"/>
      <c r="Q24" s="46"/>
      <c r="R24" s="46"/>
      <c r="S24" s="4"/>
    </row>
    <row r="25" spans="1:22" x14ac:dyDescent="0.3">
      <c r="A25" s="5" t="str">
        <f t="shared" si="3"/>
        <v>CalStd6</v>
      </c>
      <c r="B25" s="19">
        <v>6</v>
      </c>
      <c r="C25" s="48">
        <f>2</f>
        <v>2</v>
      </c>
      <c r="D25" s="48">
        <f t="shared" si="0"/>
        <v>1.994</v>
      </c>
      <c r="E25" s="48">
        <v>47998.353807723499</v>
      </c>
      <c r="F25" s="48">
        <v>17547979.844035402</v>
      </c>
      <c r="G25" s="47">
        <f t="shared" si="1"/>
        <v>2.7352637873035994E-3</v>
      </c>
      <c r="H25" s="47">
        <f t="shared" si="2"/>
        <v>2.7210444048106222E-3</v>
      </c>
      <c r="I25" s="30"/>
      <c r="J25" s="45"/>
      <c r="K25" s="45"/>
      <c r="L25" s="46"/>
      <c r="M25" s="46"/>
      <c r="N25" s="46"/>
      <c r="O25" s="46"/>
      <c r="P25" s="46"/>
      <c r="Q25" s="46"/>
      <c r="R25" s="46"/>
      <c r="S25" s="4"/>
    </row>
    <row r="26" spans="1:22" x14ac:dyDescent="0.3">
      <c r="A26" s="5" t="str">
        <f t="shared" si="3"/>
        <v>CalStd7</v>
      </c>
      <c r="B26" s="19">
        <v>7</v>
      </c>
      <c r="C26" s="48">
        <f>3</f>
        <v>3</v>
      </c>
      <c r="D26" s="48">
        <f t="shared" si="0"/>
        <v>2.9910000000000001</v>
      </c>
      <c r="E26" s="48">
        <v>78782.735778455739</v>
      </c>
      <c r="F26" s="48">
        <v>20705726.136576671</v>
      </c>
      <c r="G26" s="47">
        <f t="shared" si="1"/>
        <v>3.8048767408009909E-3</v>
      </c>
      <c r="H26" s="47">
        <f t="shared" si="2"/>
        <v>3.7906573583080137E-3</v>
      </c>
      <c r="I26" s="30"/>
      <c r="J26" s="45"/>
      <c r="K26" s="45"/>
      <c r="L26" s="46"/>
      <c r="M26" s="46"/>
      <c r="N26" s="46"/>
      <c r="O26" s="46"/>
      <c r="P26" s="46"/>
      <c r="Q26" s="46"/>
      <c r="R26" s="46"/>
      <c r="S26" s="4"/>
    </row>
    <row r="27" spans="1:22" x14ac:dyDescent="0.3">
      <c r="A27" s="5" t="str">
        <f t="shared" si="3"/>
        <v>CalStd8</v>
      </c>
      <c r="B27" s="19">
        <v>8</v>
      </c>
      <c r="C27" s="48">
        <f>5</f>
        <v>5</v>
      </c>
      <c r="D27" s="48">
        <f t="shared" si="0"/>
        <v>4.9850000000000003</v>
      </c>
      <c r="E27" s="48">
        <v>127817.42597644396</v>
      </c>
      <c r="F27" s="48">
        <v>19371840.71018064</v>
      </c>
      <c r="G27" s="47">
        <f t="shared" si="1"/>
        <v>6.5981043251749968E-3</v>
      </c>
      <c r="H27" s="47">
        <f t="shared" si="2"/>
        <v>6.5838849426820192E-3</v>
      </c>
      <c r="I27" s="30"/>
      <c r="J27" s="45"/>
      <c r="K27" s="45"/>
      <c r="L27" s="46"/>
      <c r="M27" s="46"/>
      <c r="N27" s="46"/>
      <c r="O27" s="46"/>
      <c r="P27" s="46"/>
      <c r="Q27" s="46"/>
      <c r="R27" s="46"/>
      <c r="S27" s="4"/>
    </row>
    <row r="28" spans="1:22" ht="14.5" x14ac:dyDescent="0.3">
      <c r="B28" s="196"/>
      <c r="C28" s="197" t="s">
        <v>5</v>
      </c>
      <c r="D28" s="197"/>
      <c r="E28" s="197"/>
      <c r="F28" s="197"/>
      <c r="G28" s="197"/>
      <c r="H28" s="47">
        <f>SLOPE(H20:H27,D20:D27)</f>
        <v>1.3101538716409531E-3</v>
      </c>
      <c r="I28" s="50"/>
      <c r="J28" s="45"/>
      <c r="K28" s="45"/>
      <c r="L28" s="45"/>
      <c r="M28" s="45"/>
      <c r="N28" s="46"/>
      <c r="O28" s="46"/>
      <c r="P28" s="46"/>
      <c r="Q28" s="46"/>
      <c r="R28" s="46"/>
      <c r="S28" s="4"/>
    </row>
    <row r="29" spans="1:22" ht="14.5" x14ac:dyDescent="0.3">
      <c r="B29" s="196"/>
      <c r="C29" s="197" t="s">
        <v>4</v>
      </c>
      <c r="D29" s="197"/>
      <c r="E29" s="197"/>
      <c r="F29" s="197"/>
      <c r="G29" s="197"/>
      <c r="H29" s="66">
        <f>INTERCEPT(H20:H27,D20:D27)</f>
        <v>1.0081801999512916E-5</v>
      </c>
      <c r="I29" s="50"/>
      <c r="J29" s="45"/>
      <c r="K29" s="45"/>
      <c r="L29" s="45"/>
      <c r="M29" s="45"/>
      <c r="N29" s="46"/>
      <c r="O29" s="46"/>
      <c r="P29" s="46"/>
      <c r="Q29" s="46"/>
      <c r="R29" s="46"/>
      <c r="S29" s="4"/>
    </row>
    <row r="30" spans="1:22" x14ac:dyDescent="0.3">
      <c r="B30" s="196"/>
      <c r="C30" s="198" t="s">
        <v>29</v>
      </c>
      <c r="D30" s="198"/>
      <c r="E30" s="198"/>
      <c r="F30" s="198"/>
      <c r="G30" s="198"/>
      <c r="H30" s="47">
        <f>RSQ(H20:H27,D20:D27)</f>
        <v>0.99913219698937328</v>
      </c>
      <c r="I30" s="39"/>
      <c r="J30" s="46"/>
      <c r="K30" s="46"/>
      <c r="L30" s="46"/>
      <c r="M30" s="46"/>
      <c r="N30" s="46"/>
      <c r="O30" s="46"/>
      <c r="P30" s="46"/>
      <c r="Q30" s="46"/>
      <c r="R30" s="46"/>
      <c r="S30" s="4"/>
    </row>
    <row r="31" spans="1:22" x14ac:dyDescent="0.3">
      <c r="B31" s="196"/>
      <c r="C31" s="198" t="s">
        <v>3</v>
      </c>
      <c r="D31" s="198"/>
      <c r="E31" s="198"/>
      <c r="F31" s="198"/>
      <c r="G31" s="198"/>
      <c r="H31" s="47">
        <f>SQRT(H30)</f>
        <v>0.99956600431856091</v>
      </c>
      <c r="I31" s="39"/>
      <c r="J31" s="46"/>
      <c r="K31" s="46"/>
      <c r="L31" s="46"/>
      <c r="M31" s="46"/>
      <c r="N31" s="46"/>
      <c r="O31" s="46"/>
      <c r="P31" s="46"/>
      <c r="Q31" s="46"/>
      <c r="R31" s="46"/>
      <c r="S31" s="4"/>
    </row>
    <row r="32" spans="1:22" x14ac:dyDescent="0.3">
      <c r="C32" s="31"/>
      <c r="D32" s="31"/>
      <c r="E32" s="31"/>
      <c r="F32" s="39"/>
      <c r="G32" s="39"/>
      <c r="H32" s="39"/>
      <c r="I32" s="39"/>
      <c r="J32" s="39"/>
      <c r="K32" s="39"/>
      <c r="L32" s="51"/>
      <c r="M32" s="51"/>
      <c r="N32" s="51"/>
      <c r="O32" s="39"/>
      <c r="P32" s="39"/>
      <c r="Q32" s="39"/>
      <c r="R32" s="39"/>
      <c r="S32" s="4"/>
      <c r="T32" s="4"/>
      <c r="U32" s="4"/>
    </row>
    <row r="33" spans="1:21" x14ac:dyDescent="0.3">
      <c r="C33" s="31"/>
      <c r="D33" s="31"/>
      <c r="E33" s="31"/>
      <c r="F33" s="39"/>
      <c r="G33" s="39"/>
      <c r="H33" s="39"/>
      <c r="I33" s="39"/>
      <c r="J33" s="39"/>
      <c r="K33" s="39"/>
      <c r="L33" s="51"/>
      <c r="M33" s="51"/>
      <c r="N33" s="51"/>
      <c r="O33" s="39"/>
      <c r="P33" s="39"/>
      <c r="Q33" s="39"/>
      <c r="R33" s="39"/>
      <c r="S33" s="4"/>
      <c r="T33" s="4"/>
      <c r="U33" s="4"/>
    </row>
    <row r="34" spans="1:21" ht="14.5" thickBot="1" x14ac:dyDescent="0.35">
      <c r="C34" s="31"/>
      <c r="D34" s="31"/>
      <c r="E34" s="31"/>
      <c r="F34" s="39"/>
      <c r="G34" s="39"/>
      <c r="H34" s="39"/>
      <c r="I34" s="39"/>
      <c r="J34" s="39"/>
      <c r="K34" s="39"/>
      <c r="L34" s="51"/>
      <c r="M34" s="51"/>
      <c r="N34" s="51"/>
      <c r="O34" s="39"/>
      <c r="P34" s="39"/>
      <c r="Q34" s="39"/>
      <c r="R34" s="39"/>
      <c r="S34" s="4"/>
      <c r="T34" s="4"/>
      <c r="U34" s="4"/>
    </row>
    <row r="35" spans="1:21" s="81" customFormat="1" ht="48.75" customHeight="1" thickBot="1" x14ac:dyDescent="0.4">
      <c r="A35" s="73"/>
      <c r="B35" s="74" t="s">
        <v>21</v>
      </c>
      <c r="C35" s="75" t="s">
        <v>46</v>
      </c>
      <c r="D35" s="75" t="s">
        <v>2</v>
      </c>
      <c r="E35" s="76" t="s">
        <v>57</v>
      </c>
      <c r="F35" s="62" t="s">
        <v>1</v>
      </c>
      <c r="G35" s="62" t="s">
        <v>0</v>
      </c>
      <c r="H35" s="77" t="s">
        <v>42</v>
      </c>
      <c r="I35" s="77" t="s">
        <v>43</v>
      </c>
      <c r="J35" s="78" t="s">
        <v>8</v>
      </c>
      <c r="K35" s="79" t="s">
        <v>134</v>
      </c>
      <c r="L35" s="76" t="s">
        <v>135</v>
      </c>
      <c r="M35" s="76" t="s">
        <v>243</v>
      </c>
      <c r="N35" s="76" t="s">
        <v>136</v>
      </c>
      <c r="O35" s="52" t="s">
        <v>38</v>
      </c>
      <c r="P35" s="65" t="s">
        <v>137</v>
      </c>
      <c r="Q35" s="80" t="s">
        <v>49</v>
      </c>
    </row>
    <row r="36" spans="1:21" s="82" customFormat="1" ht="18" customHeight="1" x14ac:dyDescent="0.3">
      <c r="A36" s="82" t="e">
        <f>C36&amp;#REF!</f>
        <v>#REF!</v>
      </c>
      <c r="C36" s="83" t="s">
        <v>87</v>
      </c>
      <c r="D36" s="83" t="s">
        <v>106</v>
      </c>
      <c r="E36" s="84">
        <v>50</v>
      </c>
      <c r="F36" s="84">
        <v>50</v>
      </c>
      <c r="G36" s="84">
        <v>1</v>
      </c>
      <c r="H36" s="85">
        <v>66.667120003626707</v>
      </c>
      <c r="I36" s="85">
        <v>5445460.032975439</v>
      </c>
      <c r="J36" s="124">
        <f>H36/I36</f>
        <v>1.2242697513142762E-5</v>
      </c>
      <c r="K36" s="135">
        <f>(J36-$H$29)/$H$28</f>
        <v>1.6493448291866265E-3</v>
      </c>
      <c r="L36" s="160">
        <f>K36*G36*F36/E36</f>
        <v>1.6493448291866268E-3</v>
      </c>
      <c r="M36" s="163">
        <f>L36*1000</f>
        <v>1.6493448291866268</v>
      </c>
      <c r="N36" s="190">
        <f>AVERAGE(L36:L37)</f>
        <v>1.8224003695341273E-3</v>
      </c>
      <c r="O36" s="188">
        <f>ABS(L36-L37)/N36*100</f>
        <v>18.992044036046789</v>
      </c>
      <c r="P36" s="188">
        <f>2/3*2^(1-(0.5*LOG(N36/1000000000)))</f>
        <v>77.962886555541729</v>
      </c>
      <c r="Q36" s="89" t="s">
        <v>151</v>
      </c>
    </row>
    <row r="37" spans="1:21" s="82" customFormat="1" ht="18" customHeight="1" x14ac:dyDescent="0.3">
      <c r="A37" s="82" t="e">
        <f>C37&amp;#REF!</f>
        <v>#REF!</v>
      </c>
      <c r="C37" s="83" t="s">
        <v>88</v>
      </c>
      <c r="D37" s="83" t="s">
        <v>106</v>
      </c>
      <c r="E37" s="84">
        <v>50</v>
      </c>
      <c r="F37" s="84">
        <v>50</v>
      </c>
      <c r="G37" s="84">
        <v>1</v>
      </c>
      <c r="H37" s="85">
        <v>60.000400003200035</v>
      </c>
      <c r="I37" s="85">
        <v>4725871.252196895</v>
      </c>
      <c r="J37" s="124">
        <f t="shared" ref="J37:J71" si="4">H37/I37</f>
        <v>1.2696156285533152E-5</v>
      </c>
      <c r="K37" s="135">
        <f t="shared" ref="K37:K71" si="5">(J37-$H$29)/$H$28</f>
        <v>1.9954559098816277E-3</v>
      </c>
      <c r="L37" s="160">
        <f t="shared" ref="L37:L65" si="6">K37*G37*F37/E37</f>
        <v>1.9954559098816277E-3</v>
      </c>
      <c r="M37" s="163">
        <f t="shared" ref="M37:M71" si="7">L37*1000</f>
        <v>1.9954559098816276</v>
      </c>
      <c r="N37" s="191"/>
      <c r="O37" s="189"/>
      <c r="P37" s="189"/>
      <c r="Q37" s="89"/>
    </row>
    <row r="38" spans="1:21" s="82" customFormat="1" ht="18" customHeight="1" x14ac:dyDescent="0.3">
      <c r="A38" s="82" t="e">
        <f>C38&amp;#REF!</f>
        <v>#REF!</v>
      </c>
      <c r="C38" s="83" t="s">
        <v>89</v>
      </c>
      <c r="D38" s="83" t="s">
        <v>106</v>
      </c>
      <c r="E38" s="84">
        <v>50</v>
      </c>
      <c r="F38" s="84">
        <v>50</v>
      </c>
      <c r="G38" s="84">
        <v>1</v>
      </c>
      <c r="H38" s="85">
        <v>56.666866667893302</v>
      </c>
      <c r="I38" s="85">
        <v>4758836.0071505802</v>
      </c>
      <c r="J38" s="124">
        <f t="shared" si="4"/>
        <v>1.1907715790740893E-5</v>
      </c>
      <c r="K38" s="135">
        <f t="shared" si="5"/>
        <v>1.3936636228392319E-3</v>
      </c>
      <c r="L38" s="160">
        <f t="shared" si="6"/>
        <v>1.3936636228392319E-3</v>
      </c>
      <c r="M38" s="163">
        <f t="shared" si="7"/>
        <v>1.3936636228392318</v>
      </c>
      <c r="N38" s="190">
        <f>AVERAGE(L38:L39)</f>
        <v>1.7150683925384489E-3</v>
      </c>
      <c r="O38" s="188">
        <f>ABS(L38-L39)/N38*100</f>
        <v>37.48011112530741</v>
      </c>
      <c r="P38" s="188">
        <f t="shared" ref="P38" si="8">2/3*2^(1-(0.5*LOG(N38/1000000000)))</f>
        <v>78.678457993976593</v>
      </c>
      <c r="Q38" s="89"/>
    </row>
    <row r="39" spans="1:21" s="82" customFormat="1" ht="18" customHeight="1" x14ac:dyDescent="0.3">
      <c r="A39" s="82" t="e">
        <f>C39&amp;#REF!</f>
        <v>#REF!</v>
      </c>
      <c r="C39" s="83" t="s">
        <v>90</v>
      </c>
      <c r="D39" s="83" t="s">
        <v>106</v>
      </c>
      <c r="E39" s="84">
        <v>50</v>
      </c>
      <c r="F39" s="84">
        <v>50</v>
      </c>
      <c r="G39" s="84">
        <v>1</v>
      </c>
      <c r="H39" s="85">
        <v>63.333693335946691</v>
      </c>
      <c r="I39" s="85">
        <v>4967389.3278987966</v>
      </c>
      <c r="J39" s="124">
        <f t="shared" si="4"/>
        <v>1.2749895197511489E-5</v>
      </c>
      <c r="K39" s="135">
        <f t="shared" si="5"/>
        <v>2.036473162237666E-3</v>
      </c>
      <c r="L39" s="160">
        <f t="shared" si="6"/>
        <v>2.036473162237666E-3</v>
      </c>
      <c r="M39" s="163">
        <f t="shared" si="7"/>
        <v>2.0364731622376659</v>
      </c>
      <c r="N39" s="191"/>
      <c r="O39" s="189"/>
      <c r="P39" s="189"/>
      <c r="Q39" s="89"/>
    </row>
    <row r="40" spans="1:21" s="82" customFormat="1" ht="18" customHeight="1" x14ac:dyDescent="0.3">
      <c r="A40" s="82" t="e">
        <f>C40&amp;#REF!</f>
        <v>#REF!</v>
      </c>
      <c r="C40" s="83" t="s">
        <v>91</v>
      </c>
      <c r="D40" s="83" t="s">
        <v>106</v>
      </c>
      <c r="E40" s="84">
        <v>50</v>
      </c>
      <c r="F40" s="84">
        <v>50</v>
      </c>
      <c r="G40" s="84">
        <v>1</v>
      </c>
      <c r="H40" s="85">
        <v>53.333733337706725</v>
      </c>
      <c r="I40" s="85">
        <v>4144574.7778220451</v>
      </c>
      <c r="J40" s="124">
        <f t="shared" si="4"/>
        <v>1.2868324543955594E-5</v>
      </c>
      <c r="K40" s="135">
        <f t="shared" si="5"/>
        <v>2.1268666259426383E-3</v>
      </c>
      <c r="L40" s="160">
        <f t="shared" si="6"/>
        <v>2.1268666259426383E-3</v>
      </c>
      <c r="M40" s="163">
        <f t="shared" si="7"/>
        <v>2.1268666259426383</v>
      </c>
      <c r="N40" s="190">
        <f>AVERAGE(L40:L41)</f>
        <v>2.7147109480105749E-3</v>
      </c>
      <c r="O40" s="188">
        <f>ABS(L40-L41)/N40*100</f>
        <v>43.308059924297069</v>
      </c>
      <c r="P40" s="188">
        <f t="shared" ref="P40" si="9">2/3*2^(1-(0.5*LOG(N40/1000000000)))</f>
        <v>73.423791099170842</v>
      </c>
      <c r="Q40" s="89"/>
    </row>
    <row r="41" spans="1:21" s="82" customFormat="1" ht="18" customHeight="1" x14ac:dyDescent="0.3">
      <c r="A41" s="82" t="e">
        <f>C41&amp;#REF!</f>
        <v>#REF!</v>
      </c>
      <c r="C41" s="83" t="s">
        <v>92</v>
      </c>
      <c r="D41" s="83" t="s">
        <v>106</v>
      </c>
      <c r="E41" s="84">
        <v>50</v>
      </c>
      <c r="F41" s="84">
        <v>50</v>
      </c>
      <c r="G41" s="84">
        <v>1</v>
      </c>
      <c r="H41" s="85">
        <v>56.667080003466701</v>
      </c>
      <c r="I41" s="85">
        <v>3932849.3800831144</v>
      </c>
      <c r="J41" s="124">
        <f t="shared" si="4"/>
        <v>1.4408657572914511E-5</v>
      </c>
      <c r="K41" s="135">
        <f t="shared" si="5"/>
        <v>3.3025552700785108E-3</v>
      </c>
      <c r="L41" s="160">
        <f t="shared" si="6"/>
        <v>3.3025552700785112E-3</v>
      </c>
      <c r="M41" s="163">
        <f t="shared" si="7"/>
        <v>3.302555270078511</v>
      </c>
      <c r="N41" s="191"/>
      <c r="O41" s="189"/>
      <c r="P41" s="189"/>
      <c r="Q41" s="89"/>
    </row>
    <row r="42" spans="1:21" s="90" customFormat="1" ht="18" customHeight="1" x14ac:dyDescent="0.3">
      <c r="A42" s="90" t="e">
        <f>C42&amp;#REF!</f>
        <v>#REF!</v>
      </c>
      <c r="C42" s="91" t="s">
        <v>93</v>
      </c>
      <c r="D42" s="91" t="s">
        <v>107</v>
      </c>
      <c r="E42" s="92">
        <v>50</v>
      </c>
      <c r="F42" s="92">
        <v>50</v>
      </c>
      <c r="G42" s="92">
        <v>1</v>
      </c>
      <c r="H42" s="93">
        <v>363.335373368587</v>
      </c>
      <c r="I42" s="93">
        <v>23397822.794255499</v>
      </c>
      <c r="J42" s="126">
        <f t="shared" si="4"/>
        <v>1.5528597535057452E-5</v>
      </c>
      <c r="K42" s="99">
        <f t="shared" si="5"/>
        <v>4.1573708657002897E-3</v>
      </c>
      <c r="L42" s="152">
        <f t="shared" si="6"/>
        <v>4.1573708657002897E-3</v>
      </c>
      <c r="M42" s="163">
        <f t="shared" si="7"/>
        <v>4.1573708657002895</v>
      </c>
      <c r="N42" s="182">
        <f>AVERAGE(L42:L43)</f>
        <v>4.6034728393739167E-3</v>
      </c>
      <c r="O42" s="184">
        <f>ABS(L42-L43)/N42*100</f>
        <v>19.381105927597819</v>
      </c>
      <c r="P42" s="184">
        <f t="shared" ref="P42" si="10">2/3*2^(1-(0.5*LOG(N42/1000000000)))</f>
        <v>67.813222896641946</v>
      </c>
      <c r="Q42" s="96"/>
    </row>
    <row r="43" spans="1:21" s="90" customFormat="1" ht="18" customHeight="1" x14ac:dyDescent="0.3">
      <c r="A43" s="90" t="e">
        <f>C43&amp;#REF!</f>
        <v>#REF!</v>
      </c>
      <c r="C43" s="91" t="s">
        <v>94</v>
      </c>
      <c r="D43" s="91" t="s">
        <v>107</v>
      </c>
      <c r="E43" s="92">
        <v>50</v>
      </c>
      <c r="F43" s="92">
        <v>50</v>
      </c>
      <c r="G43" s="92">
        <v>1</v>
      </c>
      <c r="H43" s="93">
        <v>356.67337347472318</v>
      </c>
      <c r="I43" s="93">
        <v>21360856.638946712</v>
      </c>
      <c r="J43" s="126">
        <f t="shared" si="4"/>
        <v>1.6697521990967797E-5</v>
      </c>
      <c r="K43" s="99">
        <f t="shared" si="5"/>
        <v>5.0495748130475436E-3</v>
      </c>
      <c r="L43" s="152">
        <f t="shared" si="6"/>
        <v>5.0495748130475436E-3</v>
      </c>
      <c r="M43" s="163">
        <f t="shared" si="7"/>
        <v>5.0495748130475437</v>
      </c>
      <c r="N43" s="183"/>
      <c r="O43" s="185"/>
      <c r="P43" s="185"/>
      <c r="Q43" s="96"/>
    </row>
    <row r="44" spans="1:21" s="90" customFormat="1" ht="18" customHeight="1" x14ac:dyDescent="0.3">
      <c r="A44" s="90" t="e">
        <f>C44&amp;#REF!</f>
        <v>#REF!</v>
      </c>
      <c r="C44" s="91" t="s">
        <v>95</v>
      </c>
      <c r="D44" s="91" t="s">
        <v>107</v>
      </c>
      <c r="E44" s="92">
        <v>50</v>
      </c>
      <c r="F44" s="92">
        <v>50</v>
      </c>
      <c r="G44" s="92">
        <v>1</v>
      </c>
      <c r="H44" s="93">
        <v>356.66770667989402</v>
      </c>
      <c r="I44" s="93">
        <v>20569438.513472755</v>
      </c>
      <c r="J44" s="126">
        <f t="shared" si="4"/>
        <v>1.7339690942282194E-5</v>
      </c>
      <c r="K44" s="99">
        <f t="shared" si="5"/>
        <v>5.5397225470004167E-3</v>
      </c>
      <c r="L44" s="152">
        <f t="shared" si="6"/>
        <v>5.5397225470004167E-3</v>
      </c>
      <c r="M44" s="163">
        <f t="shared" si="7"/>
        <v>5.5397225470004168</v>
      </c>
      <c r="N44" s="182">
        <f>AVERAGE(L44:L45)</f>
        <v>5.106174782923403E-3</v>
      </c>
      <c r="O44" s="184">
        <f>ABS(L44-L45)/N44*100</f>
        <v>16.981313116304964</v>
      </c>
      <c r="P44" s="184">
        <f t="shared" ref="P44" si="11">2/3*2^(1-(0.5*LOG(N44/1000000000)))</f>
        <v>66.763591527669448</v>
      </c>
      <c r="Q44" s="96"/>
    </row>
    <row r="45" spans="1:21" s="90" customFormat="1" ht="18" customHeight="1" x14ac:dyDescent="0.3">
      <c r="A45" s="90" t="e">
        <f>C45&amp;#REF!</f>
        <v>#REF!</v>
      </c>
      <c r="C45" s="91" t="s">
        <v>96</v>
      </c>
      <c r="D45" s="91" t="s">
        <v>107</v>
      </c>
      <c r="E45" s="92">
        <v>50</v>
      </c>
      <c r="F45" s="92">
        <v>50</v>
      </c>
      <c r="G45" s="92">
        <v>1</v>
      </c>
      <c r="H45" s="93">
        <v>323.33638671728102</v>
      </c>
      <c r="I45" s="93">
        <v>19954525.042224575</v>
      </c>
      <c r="J45" s="126">
        <f t="shared" si="4"/>
        <v>1.6203662378988637E-5</v>
      </c>
      <c r="K45" s="99">
        <f t="shared" si="5"/>
        <v>4.6726270188463884E-3</v>
      </c>
      <c r="L45" s="152">
        <f t="shared" si="6"/>
        <v>4.6726270188463884E-3</v>
      </c>
      <c r="M45" s="163">
        <f t="shared" si="7"/>
        <v>4.6726270188463888</v>
      </c>
      <c r="N45" s="183"/>
      <c r="O45" s="185"/>
      <c r="P45" s="185"/>
      <c r="Q45" s="96"/>
    </row>
    <row r="46" spans="1:21" s="90" customFormat="1" ht="18" customHeight="1" x14ac:dyDescent="0.3">
      <c r="A46" s="90" t="e">
        <f>C46&amp;#REF!</f>
        <v>#REF!</v>
      </c>
      <c r="C46" s="91" t="s">
        <v>97</v>
      </c>
      <c r="D46" s="91" t="s">
        <v>107</v>
      </c>
      <c r="E46" s="92">
        <v>50</v>
      </c>
      <c r="F46" s="92">
        <v>50</v>
      </c>
      <c r="G46" s="92">
        <v>1</v>
      </c>
      <c r="H46" s="93">
        <v>380.00213336341398</v>
      </c>
      <c r="I46" s="93">
        <v>22046088.232095081</v>
      </c>
      <c r="J46" s="126">
        <f t="shared" si="4"/>
        <v>1.7236714711601319E-5</v>
      </c>
      <c r="K46" s="99">
        <f t="shared" si="5"/>
        <v>5.4611239694517368E-3</v>
      </c>
      <c r="L46" s="152">
        <f t="shared" si="6"/>
        <v>5.4611239694517368E-3</v>
      </c>
      <c r="M46" s="163">
        <f t="shared" si="7"/>
        <v>5.4611239694517364</v>
      </c>
      <c r="N46" s="182">
        <f>AVERAGE(L46:L47)</f>
        <v>4.9992193488059477E-3</v>
      </c>
      <c r="O46" s="184">
        <f>ABS(L46-L47)/N46*100</f>
        <v>18.479069967438573</v>
      </c>
      <c r="P46" s="184">
        <f t="shared" ref="P46" si="12">2/3*2^(1-(0.5*LOG(N46/1000000000)))</f>
        <v>66.976654186211078</v>
      </c>
      <c r="Q46" s="96"/>
    </row>
    <row r="47" spans="1:21" s="102" customFormat="1" x14ac:dyDescent="0.3">
      <c r="A47" s="90" t="e">
        <f>C47&amp;#REF!</f>
        <v>#REF!</v>
      </c>
      <c r="B47" s="90"/>
      <c r="C47" s="91" t="s">
        <v>98</v>
      </c>
      <c r="D47" s="91" t="s">
        <v>107</v>
      </c>
      <c r="E47" s="92">
        <v>50</v>
      </c>
      <c r="F47" s="92">
        <v>50</v>
      </c>
      <c r="G47" s="92">
        <v>1</v>
      </c>
      <c r="H47" s="93">
        <v>336.66793334639999</v>
      </c>
      <c r="I47" s="93">
        <v>21007107.139738332</v>
      </c>
      <c r="J47" s="126">
        <f t="shared" si="4"/>
        <v>1.6026382457465466E-5</v>
      </c>
      <c r="K47" s="99">
        <f t="shared" si="5"/>
        <v>4.5373147281601587E-3</v>
      </c>
      <c r="L47" s="152">
        <f t="shared" si="6"/>
        <v>4.5373147281601587E-3</v>
      </c>
      <c r="M47" s="163">
        <f t="shared" si="7"/>
        <v>4.5373147281601582</v>
      </c>
      <c r="N47" s="183"/>
      <c r="O47" s="185"/>
      <c r="P47" s="185"/>
      <c r="Q47" s="96"/>
      <c r="R47" s="90"/>
    </row>
    <row r="48" spans="1:21" s="103" customFormat="1" ht="18" customHeight="1" x14ac:dyDescent="0.3">
      <c r="A48" s="103" t="e">
        <f>C48&amp;#REF!</f>
        <v>#REF!</v>
      </c>
      <c r="C48" s="104" t="s">
        <v>81</v>
      </c>
      <c r="D48" s="104" t="s">
        <v>108</v>
      </c>
      <c r="E48" s="105">
        <v>50</v>
      </c>
      <c r="F48" s="105">
        <v>50</v>
      </c>
      <c r="G48" s="105">
        <v>1</v>
      </c>
      <c r="H48" s="106">
        <v>36.667160003786698</v>
      </c>
      <c r="I48" s="106">
        <v>4524786.0965875974</v>
      </c>
      <c r="J48" s="127">
        <f t="shared" si="4"/>
        <v>8.1036228500258873E-6</v>
      </c>
      <c r="K48" s="136">
        <f t="shared" si="5"/>
        <v>-1.5098830696957616E-3</v>
      </c>
      <c r="L48" s="131">
        <f>0.006/2</f>
        <v>3.0000000000000001E-3</v>
      </c>
      <c r="M48" s="163">
        <f t="shared" si="7"/>
        <v>3</v>
      </c>
      <c r="N48" s="178">
        <f>AVERAGE(L48:L49)</f>
        <v>3.0000000000000001E-3</v>
      </c>
      <c r="O48" s="180">
        <f>ABS(L48-L49)/N48*100</f>
        <v>0</v>
      </c>
      <c r="P48" s="180">
        <f t="shared" ref="P48" si="13">2/3*2^(1-(0.5*LOG(N48/1000000000)))</f>
        <v>72.32772516347481</v>
      </c>
      <c r="Q48" s="110"/>
    </row>
    <row r="49" spans="1:18" s="103" customFormat="1" ht="18" customHeight="1" x14ac:dyDescent="0.3">
      <c r="A49" s="103" t="e">
        <f>C49&amp;#REF!</f>
        <v>#REF!</v>
      </c>
      <c r="C49" s="104" t="s">
        <v>82</v>
      </c>
      <c r="D49" s="104" t="s">
        <v>108</v>
      </c>
      <c r="E49" s="105">
        <v>50</v>
      </c>
      <c r="F49" s="105">
        <v>50</v>
      </c>
      <c r="G49" s="105">
        <v>1</v>
      </c>
      <c r="H49" s="106">
        <v>36.666866667893345</v>
      </c>
      <c r="I49" s="106">
        <v>5005570.8344393354</v>
      </c>
      <c r="J49" s="127">
        <f t="shared" si="4"/>
        <v>7.3252118251165117E-6</v>
      </c>
      <c r="K49" s="136">
        <f t="shared" si="5"/>
        <v>-2.1040201720304856E-3</v>
      </c>
      <c r="L49" s="131">
        <f t="shared" ref="L49:L53" si="14">0.006/2</f>
        <v>3.0000000000000001E-3</v>
      </c>
      <c r="M49" s="163">
        <f t="shared" si="7"/>
        <v>3</v>
      </c>
      <c r="N49" s="179"/>
      <c r="O49" s="181"/>
      <c r="P49" s="181"/>
      <c r="Q49" s="110"/>
    </row>
    <row r="50" spans="1:18" s="103" customFormat="1" ht="18" customHeight="1" x14ac:dyDescent="0.3">
      <c r="A50" s="103" t="e">
        <f>C50&amp;#REF!</f>
        <v>#REF!</v>
      </c>
      <c r="C50" s="104" t="s">
        <v>83</v>
      </c>
      <c r="D50" s="104" t="s">
        <v>108</v>
      </c>
      <c r="E50" s="105">
        <v>50</v>
      </c>
      <c r="F50" s="105">
        <v>50</v>
      </c>
      <c r="G50" s="105">
        <v>1</v>
      </c>
      <c r="H50" s="106">
        <v>36.667280005226701</v>
      </c>
      <c r="I50" s="106">
        <v>4431491.2199437134</v>
      </c>
      <c r="J50" s="127">
        <f t="shared" si="4"/>
        <v>8.2742531092484997E-6</v>
      </c>
      <c r="K50" s="136">
        <f t="shared" si="5"/>
        <v>-1.3796462609391689E-3</v>
      </c>
      <c r="L50" s="131">
        <f t="shared" si="14"/>
        <v>3.0000000000000001E-3</v>
      </c>
      <c r="M50" s="163">
        <f t="shared" si="7"/>
        <v>3</v>
      </c>
      <c r="N50" s="178">
        <f>AVERAGE(L50:L51)</f>
        <v>3.0000000000000001E-3</v>
      </c>
      <c r="O50" s="180">
        <f>ABS(L50-L51)/N50*100</f>
        <v>0</v>
      </c>
      <c r="P50" s="180">
        <f t="shared" ref="P50" si="15">2/3*2^(1-(0.5*LOG(N50/1000000000)))</f>
        <v>72.32772516347481</v>
      </c>
      <c r="Q50" s="110"/>
    </row>
    <row r="51" spans="1:18" s="103" customFormat="1" ht="18" customHeight="1" x14ac:dyDescent="0.3">
      <c r="A51" s="103" t="e">
        <f>C51&amp;#REF!</f>
        <v>#REF!</v>
      </c>
      <c r="C51" s="104" t="s">
        <v>84</v>
      </c>
      <c r="D51" s="104" t="s">
        <v>108</v>
      </c>
      <c r="E51" s="105">
        <v>50</v>
      </c>
      <c r="F51" s="105">
        <v>50</v>
      </c>
      <c r="G51" s="105">
        <v>1</v>
      </c>
      <c r="H51" s="106">
        <v>36.666893335200001</v>
      </c>
      <c r="I51" s="106">
        <v>4558618.9824316772</v>
      </c>
      <c r="J51" s="127">
        <f t="shared" si="4"/>
        <v>8.0434213687323772E-6</v>
      </c>
      <c r="K51" s="136">
        <f t="shared" si="5"/>
        <v>-1.5558330016820774E-3</v>
      </c>
      <c r="L51" s="131">
        <f t="shared" si="14"/>
        <v>3.0000000000000001E-3</v>
      </c>
      <c r="M51" s="163">
        <f t="shared" si="7"/>
        <v>3</v>
      </c>
      <c r="N51" s="179"/>
      <c r="O51" s="181"/>
      <c r="P51" s="181"/>
      <c r="Q51" s="110"/>
    </row>
    <row r="52" spans="1:18" s="103" customFormat="1" ht="18" customHeight="1" x14ac:dyDescent="0.3">
      <c r="A52" s="103" t="e">
        <f>C52&amp;#REF!</f>
        <v>#REF!</v>
      </c>
      <c r="C52" s="104" t="s">
        <v>85</v>
      </c>
      <c r="D52" s="104" t="s">
        <v>108</v>
      </c>
      <c r="E52" s="105">
        <v>50</v>
      </c>
      <c r="F52" s="105">
        <v>50</v>
      </c>
      <c r="G52" s="105">
        <v>1</v>
      </c>
      <c r="H52" s="106">
        <v>36.667226672213403</v>
      </c>
      <c r="I52" s="106">
        <v>4599792.0932811266</v>
      </c>
      <c r="J52" s="127">
        <f t="shared" si="4"/>
        <v>7.9714965217173355E-6</v>
      </c>
      <c r="K52" s="136">
        <f t="shared" si="5"/>
        <v>-1.6107310167716765E-3</v>
      </c>
      <c r="L52" s="131">
        <f t="shared" si="14"/>
        <v>3.0000000000000001E-3</v>
      </c>
      <c r="M52" s="163">
        <f t="shared" si="7"/>
        <v>3</v>
      </c>
      <c r="N52" s="178">
        <f>AVERAGE(L52:L53)</f>
        <v>3.0000000000000001E-3</v>
      </c>
      <c r="O52" s="180">
        <f>ABS(L52-L53)/N52*100</f>
        <v>0</v>
      </c>
      <c r="P52" s="180">
        <f t="shared" ref="P52" si="16">2/3*2^(1-(0.5*LOG(N52/1000000000)))</f>
        <v>72.32772516347481</v>
      </c>
      <c r="Q52" s="110"/>
    </row>
    <row r="53" spans="1:18" s="111" customFormat="1" x14ac:dyDescent="0.3">
      <c r="A53" s="103" t="e">
        <f>C53&amp;#REF!</f>
        <v>#REF!</v>
      </c>
      <c r="B53" s="103"/>
      <c r="C53" s="104" t="s">
        <v>86</v>
      </c>
      <c r="D53" s="104" t="s">
        <v>108</v>
      </c>
      <c r="E53" s="105">
        <v>50</v>
      </c>
      <c r="F53" s="105">
        <v>50</v>
      </c>
      <c r="G53" s="105">
        <v>1</v>
      </c>
      <c r="H53" s="106">
        <v>16.666760000586674</v>
      </c>
      <c r="I53" s="106">
        <v>4633254.8837467842</v>
      </c>
      <c r="J53" s="127">
        <f t="shared" si="4"/>
        <v>3.5972033524537567E-6</v>
      </c>
      <c r="K53" s="136">
        <f t="shared" si="5"/>
        <v>-4.9494939391640097E-3</v>
      </c>
      <c r="L53" s="131">
        <f t="shared" si="14"/>
        <v>3.0000000000000001E-3</v>
      </c>
      <c r="M53" s="163">
        <f t="shared" si="7"/>
        <v>3</v>
      </c>
      <c r="N53" s="179"/>
      <c r="O53" s="181"/>
      <c r="P53" s="181"/>
      <c r="Q53" s="110"/>
      <c r="R53" s="103"/>
    </row>
    <row r="54" spans="1:18" s="121" customFormat="1" x14ac:dyDescent="0.3">
      <c r="A54" s="82"/>
      <c r="B54" s="82"/>
      <c r="C54" s="83" t="s">
        <v>109</v>
      </c>
      <c r="D54" s="83" t="s">
        <v>127</v>
      </c>
      <c r="E54" s="84">
        <v>50</v>
      </c>
      <c r="F54" s="84">
        <v>50</v>
      </c>
      <c r="G54" s="84">
        <v>1</v>
      </c>
      <c r="H54" s="85">
        <v>133.33445334634686</v>
      </c>
      <c r="I54" s="85">
        <v>24391166.756184667</v>
      </c>
      <c r="J54" s="124">
        <f t="shared" si="4"/>
        <v>5.4665057510025982E-6</v>
      </c>
      <c r="K54" s="135">
        <f t="shared" si="5"/>
        <v>-3.5227131319542728E-3</v>
      </c>
      <c r="L54" s="130">
        <f>0.006/2</f>
        <v>3.0000000000000001E-3</v>
      </c>
      <c r="M54" s="163">
        <f t="shared" si="7"/>
        <v>3</v>
      </c>
      <c r="N54" s="186">
        <f>AVERAGE(L54:L55)</f>
        <v>3.0000000000000001E-3</v>
      </c>
      <c r="O54" s="188">
        <f>ABS(L54-L55)/N54*100</f>
        <v>0</v>
      </c>
      <c r="P54" s="188">
        <f t="shared" ref="P54" si="17">2/3*2^(1-(0.5*LOG(N54/1000000000)))</f>
        <v>72.32772516347481</v>
      </c>
      <c r="Q54" s="89"/>
      <c r="R54" s="82"/>
    </row>
    <row r="55" spans="1:18" s="121" customFormat="1" x14ac:dyDescent="0.3">
      <c r="A55" s="82"/>
      <c r="B55" s="82"/>
      <c r="C55" s="83" t="s">
        <v>110</v>
      </c>
      <c r="D55" s="83" t="s">
        <v>127</v>
      </c>
      <c r="E55" s="84">
        <v>50</v>
      </c>
      <c r="F55" s="84">
        <v>50</v>
      </c>
      <c r="G55" s="84">
        <v>1</v>
      </c>
      <c r="H55" s="85">
        <v>110.00084000752008</v>
      </c>
      <c r="I55" s="85">
        <v>23389318.566796262</v>
      </c>
      <c r="J55" s="124">
        <f t="shared" si="4"/>
        <v>4.703037401169887E-6</v>
      </c>
      <c r="K55" s="135">
        <f t="shared" si="5"/>
        <v>-4.105444951749207E-3</v>
      </c>
      <c r="L55" s="130">
        <f t="shared" ref="L55:L59" si="18">0.006/2</f>
        <v>3.0000000000000001E-3</v>
      </c>
      <c r="M55" s="163">
        <f t="shared" si="7"/>
        <v>3</v>
      </c>
      <c r="N55" s="187"/>
      <c r="O55" s="189"/>
      <c r="P55" s="189"/>
      <c r="Q55" s="89"/>
      <c r="R55" s="82"/>
    </row>
    <row r="56" spans="1:18" s="121" customFormat="1" x14ac:dyDescent="0.3">
      <c r="A56" s="82"/>
      <c r="B56" s="82"/>
      <c r="C56" s="83" t="s">
        <v>111</v>
      </c>
      <c r="D56" s="83" t="s">
        <v>127</v>
      </c>
      <c r="E56" s="84">
        <v>50</v>
      </c>
      <c r="F56" s="84">
        <v>50</v>
      </c>
      <c r="G56" s="84">
        <v>1</v>
      </c>
      <c r="H56" s="85">
        <v>156.66820001850692</v>
      </c>
      <c r="I56" s="85">
        <v>23080042.195561592</v>
      </c>
      <c r="J56" s="124">
        <f t="shared" si="4"/>
        <v>6.7880378506688781E-6</v>
      </c>
      <c r="K56" s="135">
        <f t="shared" si="5"/>
        <v>-2.5140284817985812E-3</v>
      </c>
      <c r="L56" s="130">
        <f t="shared" si="18"/>
        <v>3.0000000000000001E-3</v>
      </c>
      <c r="M56" s="163">
        <f t="shared" si="7"/>
        <v>3</v>
      </c>
      <c r="N56" s="186">
        <f>AVERAGE(L56:L57)</f>
        <v>3.0000000000000001E-3</v>
      </c>
      <c r="O56" s="188">
        <f>ABS(L56-L57)/N56*100</f>
        <v>0</v>
      </c>
      <c r="P56" s="188">
        <f t="shared" ref="P56" si="19">2/3*2^(1-(0.5*LOG(N56/1000000000)))</f>
        <v>72.32772516347481</v>
      </c>
      <c r="Q56" s="89"/>
      <c r="R56" s="82"/>
    </row>
    <row r="57" spans="1:18" s="121" customFormat="1" x14ac:dyDescent="0.3">
      <c r="A57" s="82"/>
      <c r="B57" s="82"/>
      <c r="C57" s="83" t="s">
        <v>112</v>
      </c>
      <c r="D57" s="83" t="s">
        <v>127</v>
      </c>
      <c r="E57" s="84">
        <v>50</v>
      </c>
      <c r="F57" s="84">
        <v>50</v>
      </c>
      <c r="G57" s="84">
        <v>1</v>
      </c>
      <c r="H57" s="85">
        <v>143.33473335066694</v>
      </c>
      <c r="I57" s="85">
        <v>23824982.509762049</v>
      </c>
      <c r="J57" s="124">
        <f t="shared" si="4"/>
        <v>6.0161527208650397E-6</v>
      </c>
      <c r="K57" s="135">
        <f t="shared" si="5"/>
        <v>-3.1031845698823884E-3</v>
      </c>
      <c r="L57" s="130">
        <f t="shared" si="18"/>
        <v>3.0000000000000001E-3</v>
      </c>
      <c r="M57" s="163">
        <f t="shared" si="7"/>
        <v>3</v>
      </c>
      <c r="N57" s="187"/>
      <c r="O57" s="189"/>
      <c r="P57" s="189"/>
      <c r="Q57" s="89"/>
      <c r="R57" s="82"/>
    </row>
    <row r="58" spans="1:18" s="121" customFormat="1" x14ac:dyDescent="0.3">
      <c r="A58" s="82"/>
      <c r="B58" s="82"/>
      <c r="C58" s="83" t="s">
        <v>113</v>
      </c>
      <c r="D58" s="83" t="s">
        <v>127</v>
      </c>
      <c r="E58" s="84">
        <v>50</v>
      </c>
      <c r="F58" s="84">
        <v>50</v>
      </c>
      <c r="G58" s="84">
        <v>1</v>
      </c>
      <c r="H58" s="85">
        <v>130.00150668858703</v>
      </c>
      <c r="I58" s="85">
        <v>23568845.666612476</v>
      </c>
      <c r="J58" s="124">
        <f t="shared" si="4"/>
        <v>5.515819846567479E-6</v>
      </c>
      <c r="K58" s="135">
        <f t="shared" si="5"/>
        <v>-3.4850732053530445E-3</v>
      </c>
      <c r="L58" s="130">
        <f t="shared" si="18"/>
        <v>3.0000000000000001E-3</v>
      </c>
      <c r="M58" s="163">
        <f t="shared" si="7"/>
        <v>3</v>
      </c>
      <c r="N58" s="186">
        <f>AVERAGE(L58:L59)</f>
        <v>3.0000000000000001E-3</v>
      </c>
      <c r="O58" s="188">
        <f>ABS(L58-L59)/N58*100</f>
        <v>0</v>
      </c>
      <c r="P58" s="188">
        <f t="shared" ref="P58" si="20">2/3*2^(1-(0.5*LOG(N58/1000000000)))</f>
        <v>72.32772516347481</v>
      </c>
      <c r="Q58" s="89"/>
      <c r="R58" s="82"/>
    </row>
    <row r="59" spans="1:18" s="121" customFormat="1" x14ac:dyDescent="0.3">
      <c r="A59" s="82"/>
      <c r="B59" s="82"/>
      <c r="C59" s="83" t="s">
        <v>114</v>
      </c>
      <c r="D59" s="83" t="s">
        <v>127</v>
      </c>
      <c r="E59" s="84">
        <v>50</v>
      </c>
      <c r="F59" s="84">
        <v>50</v>
      </c>
      <c r="G59" s="84">
        <v>1</v>
      </c>
      <c r="H59" s="85">
        <v>150.00158668602694</v>
      </c>
      <c r="I59" s="85">
        <v>23473638.630513411</v>
      </c>
      <c r="J59" s="124">
        <f t="shared" si="4"/>
        <v>6.3902145315911821E-6</v>
      </c>
      <c r="K59" s="135">
        <f t="shared" si="5"/>
        <v>-2.8176747386916183E-3</v>
      </c>
      <c r="L59" s="130">
        <f t="shared" si="18"/>
        <v>3.0000000000000001E-3</v>
      </c>
      <c r="M59" s="163">
        <f t="shared" si="7"/>
        <v>3</v>
      </c>
      <c r="N59" s="187"/>
      <c r="O59" s="189"/>
      <c r="P59" s="189"/>
      <c r="Q59" s="89"/>
      <c r="R59" s="82"/>
    </row>
    <row r="60" spans="1:18" s="102" customFormat="1" x14ac:dyDescent="0.3">
      <c r="A60" s="90"/>
      <c r="B60" s="90"/>
      <c r="C60" s="91" t="s">
        <v>115</v>
      </c>
      <c r="D60" s="91" t="s">
        <v>128</v>
      </c>
      <c r="E60" s="92">
        <v>50</v>
      </c>
      <c r="F60" s="92">
        <v>50</v>
      </c>
      <c r="G60" s="92">
        <v>1</v>
      </c>
      <c r="H60" s="93">
        <v>500.01197366166343</v>
      </c>
      <c r="I60" s="93">
        <v>29338054.598106999</v>
      </c>
      <c r="J60" s="126">
        <f t="shared" si="4"/>
        <v>1.7043119610729954E-5</v>
      </c>
      <c r="K60" s="99">
        <f t="shared" si="5"/>
        <v>5.3133588060905127E-3</v>
      </c>
      <c r="L60" s="152">
        <f t="shared" si="6"/>
        <v>5.3133588060905127E-3</v>
      </c>
      <c r="M60" s="163">
        <f t="shared" si="7"/>
        <v>5.3133588060905126</v>
      </c>
      <c r="N60" s="182">
        <f>AVERAGE(L60:L61)</f>
        <v>6.4786960318995428E-3</v>
      </c>
      <c r="O60" s="184">
        <f>ABS(L60-L61)/N60*100</f>
        <v>35.974437450721261</v>
      </c>
      <c r="P60" s="184">
        <f t="shared" ref="P60" si="21">2/3*2^(1-(0.5*LOG(N60/1000000000)))</f>
        <v>64.413612395347442</v>
      </c>
      <c r="Q60" s="96"/>
      <c r="R60" s="90"/>
    </row>
    <row r="61" spans="1:18" s="102" customFormat="1" x14ac:dyDescent="0.3">
      <c r="A61" s="90"/>
      <c r="B61" s="90"/>
      <c r="C61" s="91" t="s">
        <v>116</v>
      </c>
      <c r="D61" s="91" t="s">
        <v>128</v>
      </c>
      <c r="E61" s="92">
        <v>50</v>
      </c>
      <c r="F61" s="92">
        <v>50</v>
      </c>
      <c r="G61" s="92">
        <v>1</v>
      </c>
      <c r="H61" s="93">
        <v>463.34401361915525</v>
      </c>
      <c r="I61" s="93">
        <v>23055770.106993418</v>
      </c>
      <c r="J61" s="126">
        <f t="shared" si="4"/>
        <v>2.009666176705201E-5</v>
      </c>
      <c r="K61" s="99">
        <f t="shared" si="5"/>
        <v>7.644033257708573E-3</v>
      </c>
      <c r="L61" s="152">
        <f t="shared" si="6"/>
        <v>7.6440332577085738E-3</v>
      </c>
      <c r="M61" s="163">
        <f t="shared" si="7"/>
        <v>7.6440332577085739</v>
      </c>
      <c r="N61" s="183"/>
      <c r="O61" s="185"/>
      <c r="P61" s="185"/>
      <c r="Q61" s="96"/>
      <c r="R61" s="90"/>
    </row>
    <row r="62" spans="1:18" s="102" customFormat="1" x14ac:dyDescent="0.3">
      <c r="A62" s="90" t="e">
        <f>C62&amp;#REF!</f>
        <v>#REF!</v>
      </c>
      <c r="B62" s="90"/>
      <c r="C62" s="91" t="s">
        <v>117</v>
      </c>
      <c r="D62" s="91" t="s">
        <v>128</v>
      </c>
      <c r="E62" s="92">
        <v>50</v>
      </c>
      <c r="F62" s="92">
        <v>50</v>
      </c>
      <c r="G62" s="92">
        <v>1</v>
      </c>
      <c r="H62" s="93">
        <v>493.34546701121099</v>
      </c>
      <c r="I62" s="93">
        <v>27092053.179101001</v>
      </c>
      <c r="J62" s="126">
        <f t="shared" si="4"/>
        <v>1.8209969681876348E-5</v>
      </c>
      <c r="K62" s="99">
        <f t="shared" si="5"/>
        <v>6.2039794395928414E-3</v>
      </c>
      <c r="L62" s="152">
        <f t="shared" si="6"/>
        <v>6.2039794395928414E-3</v>
      </c>
      <c r="M62" s="163">
        <f t="shared" si="7"/>
        <v>6.2039794395928416</v>
      </c>
      <c r="N62" s="182">
        <f>AVERAGE(L62:L63)</f>
        <v>5.7624231276230588E-3</v>
      </c>
      <c r="O62" s="184">
        <f>ABS(L62-L63)/N62*100</f>
        <v>15.325369282693424</v>
      </c>
      <c r="P62" s="184">
        <f t="shared" ref="P62" si="22">2/3*2^(1-(0.5*LOG(N62/1000000000)))</f>
        <v>65.559589996184911</v>
      </c>
      <c r="Q62" s="96"/>
      <c r="R62" s="90"/>
    </row>
    <row r="63" spans="1:18" s="90" customFormat="1" ht="18" customHeight="1" x14ac:dyDescent="0.3">
      <c r="A63" s="90" t="e">
        <f>C63&amp;#REF!</f>
        <v>#REF!</v>
      </c>
      <c r="C63" s="91" t="s">
        <v>118</v>
      </c>
      <c r="D63" s="91" t="s">
        <v>128</v>
      </c>
      <c r="E63" s="92">
        <v>50</v>
      </c>
      <c r="F63" s="92">
        <v>50</v>
      </c>
      <c r="G63" s="92">
        <v>1</v>
      </c>
      <c r="H63" s="93">
        <v>436.6760402297129</v>
      </c>
      <c r="I63" s="93">
        <v>25607058.014434502</v>
      </c>
      <c r="J63" s="126">
        <f t="shared" si="4"/>
        <v>1.7052956258526924E-5</v>
      </c>
      <c r="K63" s="99">
        <f t="shared" si="5"/>
        <v>5.3208668156532754E-3</v>
      </c>
      <c r="L63" s="152">
        <f t="shared" si="6"/>
        <v>5.3208668156532754E-3</v>
      </c>
      <c r="M63" s="163">
        <f t="shared" si="7"/>
        <v>5.3208668156532752</v>
      </c>
      <c r="N63" s="183"/>
      <c r="O63" s="185"/>
      <c r="P63" s="185"/>
      <c r="Q63" s="96"/>
    </row>
    <row r="64" spans="1:18" s="90" customFormat="1" ht="18" customHeight="1" x14ac:dyDescent="0.3">
      <c r="A64" s="90" t="e">
        <f>C64&amp;#REF!</f>
        <v>#REF!</v>
      </c>
      <c r="C64" s="91" t="s">
        <v>119</v>
      </c>
      <c r="D64" s="91" t="s">
        <v>128</v>
      </c>
      <c r="E64" s="92">
        <v>50</v>
      </c>
      <c r="F64" s="92">
        <v>50</v>
      </c>
      <c r="G64" s="92">
        <v>1</v>
      </c>
      <c r="H64" s="93">
        <v>513.34653371947888</v>
      </c>
      <c r="I64" s="93">
        <v>29132593.451793801</v>
      </c>
      <c r="J64" s="126">
        <f t="shared" si="4"/>
        <v>1.7621037913048219E-5</v>
      </c>
      <c r="K64" s="99">
        <f t="shared" si="5"/>
        <v>5.7544660033653104E-3</v>
      </c>
      <c r="L64" s="152">
        <f t="shared" si="6"/>
        <v>5.7544660033653104E-3</v>
      </c>
      <c r="M64" s="163">
        <f t="shared" si="7"/>
        <v>5.7544660033653106</v>
      </c>
      <c r="N64" s="182">
        <f>AVERAGE(L64:L65)</f>
        <v>6.2053967728231841E-3</v>
      </c>
      <c r="O64" s="184">
        <f>ABS(L64-L65)/N64*100</f>
        <v>14.53350320587866</v>
      </c>
      <c r="P64" s="184">
        <f t="shared" ref="P64" si="23">2/3*2^(1-(0.5*LOG(N64/1000000000)))</f>
        <v>64.832833490273032</v>
      </c>
      <c r="Q64" s="96"/>
    </row>
    <row r="65" spans="1:21" s="90" customFormat="1" ht="18" customHeight="1" x14ac:dyDescent="0.3">
      <c r="A65" s="90" t="e">
        <f>C65&amp;#REF!</f>
        <v>#REF!</v>
      </c>
      <c r="C65" s="91" t="s">
        <v>120</v>
      </c>
      <c r="D65" s="91" t="s">
        <v>128</v>
      </c>
      <c r="E65" s="92">
        <v>50</v>
      </c>
      <c r="F65" s="92">
        <v>50</v>
      </c>
      <c r="G65" s="92">
        <v>1</v>
      </c>
      <c r="H65" s="93">
        <v>546.68114707894563</v>
      </c>
      <c r="I65" s="93">
        <v>29074739.782641299</v>
      </c>
      <c r="J65" s="126">
        <f t="shared" si="4"/>
        <v>1.8802615299942755E-5</v>
      </c>
      <c r="K65" s="99">
        <f t="shared" si="5"/>
        <v>6.6563275422810587E-3</v>
      </c>
      <c r="L65" s="152">
        <f t="shared" si="6"/>
        <v>6.6563275422810587E-3</v>
      </c>
      <c r="M65" s="163">
        <f t="shared" si="7"/>
        <v>6.6563275422810584</v>
      </c>
      <c r="N65" s="183"/>
      <c r="O65" s="185"/>
      <c r="P65" s="185"/>
      <c r="Q65" s="96"/>
    </row>
    <row r="66" spans="1:21" s="103" customFormat="1" ht="18" customHeight="1" x14ac:dyDescent="0.3">
      <c r="C66" s="104" t="s">
        <v>121</v>
      </c>
      <c r="D66" s="104" t="s">
        <v>129</v>
      </c>
      <c r="E66" s="105">
        <v>50</v>
      </c>
      <c r="F66" s="105">
        <v>50</v>
      </c>
      <c r="G66" s="105">
        <v>1</v>
      </c>
      <c r="H66" s="106">
        <v>140.001466686187</v>
      </c>
      <c r="I66" s="106">
        <v>15129354.013499301</v>
      </c>
      <c r="J66" s="127">
        <f t="shared" si="4"/>
        <v>9.2536314875882637E-6</v>
      </c>
      <c r="K66" s="136">
        <f t="shared" si="5"/>
        <v>-6.3211698247884302E-4</v>
      </c>
      <c r="L66" s="131">
        <f>0.006/2</f>
        <v>3.0000000000000001E-3</v>
      </c>
      <c r="M66" s="163">
        <f t="shared" si="7"/>
        <v>3</v>
      </c>
      <c r="N66" s="178">
        <f>AVERAGE(L66:L67)</f>
        <v>3.0000000000000001E-3</v>
      </c>
      <c r="O66" s="180">
        <f>ABS(L66-L67)/N66*100</f>
        <v>0</v>
      </c>
      <c r="P66" s="180">
        <f t="shared" ref="P66" si="24">2/3*2^(1-(0.5*LOG(N66/1000000000)))</f>
        <v>72.32772516347481</v>
      </c>
      <c r="Q66" s="110"/>
    </row>
    <row r="67" spans="1:21" s="103" customFormat="1" ht="18" customHeight="1" x14ac:dyDescent="0.3">
      <c r="C67" s="104" t="s">
        <v>122</v>
      </c>
      <c r="D67" s="104" t="s">
        <v>129</v>
      </c>
      <c r="E67" s="105">
        <v>50</v>
      </c>
      <c r="F67" s="105">
        <v>50</v>
      </c>
      <c r="G67" s="105">
        <v>1</v>
      </c>
      <c r="H67" s="106">
        <v>103.33409334010673</v>
      </c>
      <c r="I67" s="106">
        <v>15499224.352935711</v>
      </c>
      <c r="J67" s="127">
        <f t="shared" si="4"/>
        <v>6.6670493301514282E-6</v>
      </c>
      <c r="K67" s="136">
        <f t="shared" si="5"/>
        <v>-2.606375284060756E-3</v>
      </c>
      <c r="L67" s="131">
        <f t="shared" ref="L67:L71" si="25">0.006/2</f>
        <v>3.0000000000000001E-3</v>
      </c>
      <c r="M67" s="163">
        <f t="shared" si="7"/>
        <v>3</v>
      </c>
      <c r="N67" s="179"/>
      <c r="O67" s="181"/>
      <c r="P67" s="181"/>
      <c r="Q67" s="110"/>
    </row>
    <row r="68" spans="1:21" s="103" customFormat="1" ht="18" customHeight="1" x14ac:dyDescent="0.3">
      <c r="C68" s="104" t="s">
        <v>123</v>
      </c>
      <c r="D68" s="104" t="s">
        <v>129</v>
      </c>
      <c r="E68" s="105">
        <v>50</v>
      </c>
      <c r="F68" s="105">
        <v>50</v>
      </c>
      <c r="G68" s="105">
        <v>1</v>
      </c>
      <c r="H68" s="106">
        <v>120.0010400102401</v>
      </c>
      <c r="I68" s="106">
        <v>15550297.515157951</v>
      </c>
      <c r="J68" s="127">
        <f t="shared" si="4"/>
        <v>7.7169610351999237E-6</v>
      </c>
      <c r="K68" s="136">
        <f t="shared" si="5"/>
        <v>-1.8050100949982737E-3</v>
      </c>
      <c r="L68" s="131">
        <f t="shared" si="25"/>
        <v>3.0000000000000001E-3</v>
      </c>
      <c r="M68" s="163">
        <f t="shared" si="7"/>
        <v>3</v>
      </c>
      <c r="N68" s="178">
        <f>AVERAGE(L68:L69)</f>
        <v>3.0000000000000001E-3</v>
      </c>
      <c r="O68" s="180">
        <f>ABS(L68-L69)/N68*100</f>
        <v>0</v>
      </c>
      <c r="P68" s="180">
        <f t="shared" ref="P68" si="26">2/3*2^(1-(0.5*LOG(N68/1000000000)))</f>
        <v>72.32772516347481</v>
      </c>
      <c r="Q68" s="110"/>
    </row>
    <row r="69" spans="1:21" s="103" customFormat="1" ht="18" customHeight="1" x14ac:dyDescent="0.3">
      <c r="C69" s="104" t="s">
        <v>124</v>
      </c>
      <c r="D69" s="104" t="s">
        <v>129</v>
      </c>
      <c r="E69" s="105">
        <v>50</v>
      </c>
      <c r="F69" s="105">
        <v>50</v>
      </c>
      <c r="G69" s="105">
        <v>1</v>
      </c>
      <c r="H69" s="106">
        <v>103.33422667664014</v>
      </c>
      <c r="I69" s="106">
        <v>15410740.716211312</v>
      </c>
      <c r="J69" s="127">
        <f t="shared" si="4"/>
        <v>6.7053380872171714E-6</v>
      </c>
      <c r="K69" s="136">
        <f t="shared" si="5"/>
        <v>-2.5771506579351337E-3</v>
      </c>
      <c r="L69" s="131">
        <f t="shared" si="25"/>
        <v>3.0000000000000001E-3</v>
      </c>
      <c r="M69" s="163">
        <f t="shared" si="7"/>
        <v>3</v>
      </c>
      <c r="N69" s="179"/>
      <c r="O69" s="181"/>
      <c r="P69" s="181"/>
      <c r="Q69" s="110"/>
    </row>
    <row r="70" spans="1:21" s="103" customFormat="1" ht="18" customHeight="1" x14ac:dyDescent="0.3">
      <c r="A70" s="103" t="e">
        <f>C70&amp;#REF!</f>
        <v>#REF!</v>
      </c>
      <c r="C70" s="104" t="s">
        <v>125</v>
      </c>
      <c r="D70" s="104" t="s">
        <v>129</v>
      </c>
      <c r="E70" s="105">
        <v>50</v>
      </c>
      <c r="F70" s="105">
        <v>50</v>
      </c>
      <c r="G70" s="105">
        <v>1</v>
      </c>
      <c r="H70" s="106">
        <v>93.334106676160147</v>
      </c>
      <c r="I70" s="106">
        <v>15532656.302119831</v>
      </c>
      <c r="J70" s="127">
        <f t="shared" si="4"/>
        <v>6.0088953789199796E-6</v>
      </c>
      <c r="K70" s="136">
        <f t="shared" si="5"/>
        <v>-3.1087238749229256E-3</v>
      </c>
      <c r="L70" s="131">
        <f t="shared" si="25"/>
        <v>3.0000000000000001E-3</v>
      </c>
      <c r="M70" s="163">
        <f t="shared" si="7"/>
        <v>3</v>
      </c>
      <c r="N70" s="178">
        <f>AVERAGE(L70:L71)</f>
        <v>3.0000000000000001E-3</v>
      </c>
      <c r="O70" s="180">
        <f>ABS(L70-L71)/N70*100</f>
        <v>0</v>
      </c>
      <c r="P70" s="180">
        <f t="shared" ref="P70" si="27">2/3*2^(1-(0.5*LOG(N70/1000000000)))</f>
        <v>72.32772516347481</v>
      </c>
      <c r="Q70" s="110"/>
    </row>
    <row r="71" spans="1:21" s="103" customFormat="1" ht="18" customHeight="1" x14ac:dyDescent="0.3">
      <c r="A71" s="103" t="e">
        <f>C71&amp;#REF!</f>
        <v>#REF!</v>
      </c>
      <c r="C71" s="104" t="s">
        <v>126</v>
      </c>
      <c r="D71" s="104" t="s">
        <v>129</v>
      </c>
      <c r="E71" s="105">
        <v>50</v>
      </c>
      <c r="F71" s="105">
        <v>50</v>
      </c>
      <c r="G71" s="105">
        <v>1</v>
      </c>
      <c r="H71" s="106">
        <v>86.667253337920059</v>
      </c>
      <c r="I71" s="106">
        <v>15234513.633519361</v>
      </c>
      <c r="J71" s="127">
        <f t="shared" si="4"/>
        <v>5.6888756295594884E-6</v>
      </c>
      <c r="K71" s="136">
        <f t="shared" si="5"/>
        <v>-3.3529850691898784E-3</v>
      </c>
      <c r="L71" s="131">
        <f t="shared" si="25"/>
        <v>3.0000000000000001E-3</v>
      </c>
      <c r="M71" s="163">
        <f t="shared" si="7"/>
        <v>3</v>
      </c>
      <c r="N71" s="179"/>
      <c r="O71" s="181"/>
      <c r="P71" s="181"/>
      <c r="Q71" s="110"/>
    </row>
    <row r="72" spans="1:21" x14ac:dyDescent="0.3">
      <c r="C72" s="36"/>
      <c r="D72" s="36"/>
      <c r="E72" s="36"/>
      <c r="F72" s="36"/>
      <c r="G72" s="36"/>
      <c r="H72" s="36"/>
      <c r="I72" s="30"/>
      <c r="J72" s="30"/>
      <c r="K72" s="30"/>
      <c r="L72" s="30"/>
      <c r="M72" s="30"/>
      <c r="N72" s="30"/>
      <c r="O72" s="30"/>
      <c r="P72" s="30"/>
      <c r="Q72" s="30"/>
      <c r="R72" s="30"/>
      <c r="T72" s="15"/>
      <c r="U72" s="15"/>
    </row>
    <row r="73" spans="1:21" x14ac:dyDescent="0.3"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</row>
    <row r="74" spans="1:21" x14ac:dyDescent="0.3">
      <c r="C74" s="61" t="s">
        <v>47</v>
      </c>
      <c r="D74" s="54"/>
      <c r="E74" s="55"/>
      <c r="F74" s="30"/>
      <c r="G74" s="30"/>
      <c r="H74" s="58" t="s">
        <v>48</v>
      </c>
      <c r="I74" s="30"/>
      <c r="J74" s="30"/>
      <c r="K74" s="30"/>
      <c r="L74" s="30"/>
      <c r="M74" s="30"/>
      <c r="N74" s="30"/>
      <c r="O74" s="30"/>
      <c r="P74" s="30"/>
      <c r="Q74" s="30"/>
      <c r="R74" s="30"/>
    </row>
    <row r="75" spans="1:21" ht="14.5" x14ac:dyDescent="0.35">
      <c r="C75" s="53" t="s">
        <v>30</v>
      </c>
      <c r="D75" s="56" t="s">
        <v>51</v>
      </c>
      <c r="E75" s="55"/>
      <c r="F75" s="30"/>
      <c r="G75" s="30"/>
      <c r="H75" s="57" t="s">
        <v>54</v>
      </c>
      <c r="I75" s="30"/>
      <c r="J75" s="30"/>
      <c r="K75" s="30"/>
      <c r="L75" s="30"/>
      <c r="M75" s="30"/>
      <c r="N75" s="30"/>
      <c r="O75" s="30"/>
      <c r="P75" s="30"/>
      <c r="Q75" s="30"/>
      <c r="R75" s="30"/>
    </row>
    <row r="76" spans="1:21" x14ac:dyDescent="0.3">
      <c r="C76" s="53" t="s">
        <v>31</v>
      </c>
      <c r="D76" s="56" t="s">
        <v>52</v>
      </c>
      <c r="E76" s="55"/>
      <c r="F76" s="30"/>
      <c r="G76" s="30"/>
      <c r="H76" s="57"/>
      <c r="I76" s="30"/>
      <c r="J76" s="30"/>
      <c r="K76" s="30"/>
      <c r="L76" s="30"/>
      <c r="M76" s="30"/>
      <c r="N76" s="30"/>
      <c r="O76" s="30"/>
      <c r="P76" s="30"/>
      <c r="Q76" s="30"/>
      <c r="R76" s="30"/>
    </row>
    <row r="77" spans="1:21" x14ac:dyDescent="0.3">
      <c r="C77" s="22" t="s">
        <v>39</v>
      </c>
      <c r="D77" s="21" t="s">
        <v>53</v>
      </c>
      <c r="E77" s="20"/>
      <c r="H77" s="46"/>
    </row>
    <row r="78" spans="1:21" x14ac:dyDescent="0.3">
      <c r="C78" s="57" t="s">
        <v>139</v>
      </c>
      <c r="D78" s="64" t="s">
        <v>140</v>
      </c>
      <c r="E78" s="30"/>
      <c r="F78" s="30"/>
    </row>
  </sheetData>
  <mergeCells count="63">
    <mergeCell ref="C1:S1"/>
    <mergeCell ref="C7:D7"/>
    <mergeCell ref="C8:D8"/>
    <mergeCell ref="C12:D12"/>
    <mergeCell ref="B28:B31"/>
    <mergeCell ref="C28:G28"/>
    <mergeCell ref="C29:G29"/>
    <mergeCell ref="C30:G30"/>
    <mergeCell ref="C31:G31"/>
    <mergeCell ref="N36:N37"/>
    <mergeCell ref="O36:O37"/>
    <mergeCell ref="P36:P37"/>
    <mergeCell ref="N38:N39"/>
    <mergeCell ref="O38:O39"/>
    <mergeCell ref="P38:P39"/>
    <mergeCell ref="N40:N41"/>
    <mergeCell ref="O40:O41"/>
    <mergeCell ref="P40:P41"/>
    <mergeCell ref="N42:N43"/>
    <mergeCell ref="O42:O43"/>
    <mergeCell ref="P42:P43"/>
    <mergeCell ref="N44:N45"/>
    <mergeCell ref="O44:O45"/>
    <mergeCell ref="P44:P45"/>
    <mergeCell ref="N46:N47"/>
    <mergeCell ref="O46:O47"/>
    <mergeCell ref="P46:P47"/>
    <mergeCell ref="N48:N49"/>
    <mergeCell ref="O48:O49"/>
    <mergeCell ref="P48:P49"/>
    <mergeCell ref="N50:N51"/>
    <mergeCell ref="O50:O51"/>
    <mergeCell ref="P50:P51"/>
    <mergeCell ref="N52:N53"/>
    <mergeCell ref="O52:O53"/>
    <mergeCell ref="P52:P53"/>
    <mergeCell ref="N54:N55"/>
    <mergeCell ref="O54:O55"/>
    <mergeCell ref="P54:P55"/>
    <mergeCell ref="N56:N57"/>
    <mergeCell ref="O56:O57"/>
    <mergeCell ref="P56:P57"/>
    <mergeCell ref="N58:N59"/>
    <mergeCell ref="O58:O59"/>
    <mergeCell ref="P58:P59"/>
    <mergeCell ref="N60:N61"/>
    <mergeCell ref="O60:O61"/>
    <mergeCell ref="P60:P61"/>
    <mergeCell ref="N62:N63"/>
    <mergeCell ref="O62:O63"/>
    <mergeCell ref="P62:P63"/>
    <mergeCell ref="N64:N65"/>
    <mergeCell ref="O64:O65"/>
    <mergeCell ref="P64:P65"/>
    <mergeCell ref="N66:N67"/>
    <mergeCell ref="O66:O67"/>
    <mergeCell ref="P66:P67"/>
    <mergeCell ref="N68:N69"/>
    <mergeCell ref="O68:O69"/>
    <mergeCell ref="P68:P69"/>
    <mergeCell ref="N70:N71"/>
    <mergeCell ref="O70:O71"/>
    <mergeCell ref="P70:P71"/>
  </mergeCells>
  <conditionalFormatting sqref="C17:D17 D16">
    <cfRule type="duplicateValues" dxfId="15" priority="2"/>
  </conditionalFormatting>
  <conditionalFormatting sqref="C32:D34">
    <cfRule type="duplicateValues" dxfId="14" priority="1"/>
  </conditionalFormatting>
  <printOptions horizontalCentered="1"/>
  <pageMargins left="0.31496062992125984" right="0.31496062992125984" top="0.55118110236220474" bottom="0.55118110236220474" header="0.31496062992125984" footer="0.31496062992125984"/>
  <pageSetup paperSize="9" scale="38" fitToHeight="0" orientation="portrait" horizontalDpi="4294967292" verticalDpi="360" r:id="rId1"/>
  <headerFooter>
    <oddHeader xml:space="preserve">&amp;R&amp;"Arial,Regular"&amp;10No.: 18-13-14.1/F-MU
Revisi 7
</oddHead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5">
    <tabColor rgb="FF7030A0"/>
    <pageSetUpPr fitToPage="1"/>
  </sheetPr>
  <dimension ref="A1:V66"/>
  <sheetViews>
    <sheetView view="pageBreakPreview" topLeftCell="C29" zoomScale="68" zoomScaleNormal="68" zoomScaleSheetLayoutView="68" zoomScalePageLayoutView="70" workbookViewId="0">
      <selection activeCell="M35" sqref="M35"/>
    </sheetView>
  </sheetViews>
  <sheetFormatPr defaultColWidth="8.54296875" defaultRowHeight="14" x14ac:dyDescent="0.3"/>
  <cols>
    <col min="1" max="1" width="8.54296875" style="5" hidden="1" customWidth="1"/>
    <col min="2" max="2" width="8.7265625" style="5" customWidth="1"/>
    <col min="3" max="3" width="18.7265625" style="5" customWidth="1"/>
    <col min="4" max="4" width="27.453125" style="5" customWidth="1"/>
    <col min="5" max="5" width="12.7265625" style="5" customWidth="1"/>
    <col min="6" max="6" width="13.81640625" style="5" bestFit="1" customWidth="1"/>
    <col min="7" max="7" width="10.81640625" style="5" bestFit="1" customWidth="1"/>
    <col min="8" max="8" width="13.7265625" style="5" customWidth="1"/>
    <col min="9" max="9" width="14.453125" style="5" bestFit="1" customWidth="1"/>
    <col min="10" max="10" width="13.453125" style="5" bestFit="1" customWidth="1"/>
    <col min="11" max="11" width="12.1796875" style="5" customWidth="1"/>
    <col min="12" max="13" width="15.1796875" style="5" customWidth="1"/>
    <col min="14" max="14" width="13.54296875" style="5" customWidth="1"/>
    <col min="15" max="16" width="17.453125" style="5" customWidth="1"/>
    <col min="17" max="17" width="32.453125" style="5" bestFit="1" customWidth="1"/>
    <col min="18" max="19" width="17.453125" style="5" customWidth="1"/>
    <col min="20" max="20" width="12.26953125" style="5" customWidth="1"/>
    <col min="21" max="21" width="9.1796875" style="5" customWidth="1"/>
    <col min="22" max="22" width="10.453125" style="5" customWidth="1"/>
    <col min="23" max="16384" width="8.54296875" style="5"/>
  </cols>
  <sheetData>
    <row r="1" spans="3:22" ht="39.75" customHeight="1" x14ac:dyDescent="0.3">
      <c r="C1" s="192" t="s">
        <v>50</v>
      </c>
      <c r="D1" s="192"/>
      <c r="E1" s="192"/>
      <c r="F1" s="192"/>
      <c r="G1" s="192"/>
      <c r="H1" s="192"/>
      <c r="I1" s="192"/>
      <c r="J1" s="192"/>
      <c r="K1" s="192"/>
      <c r="L1" s="192"/>
      <c r="M1" s="192"/>
      <c r="N1" s="192"/>
      <c r="O1" s="192"/>
      <c r="P1" s="192"/>
      <c r="Q1" s="192"/>
      <c r="R1" s="192"/>
      <c r="S1" s="192"/>
      <c r="T1" s="4"/>
      <c r="U1" s="4"/>
      <c r="V1" s="4"/>
    </row>
    <row r="2" spans="3:22" ht="15" customHeight="1" x14ac:dyDescent="0.3">
      <c r="C2" s="3"/>
      <c r="D2" s="3"/>
      <c r="E2" s="3"/>
      <c r="F2" s="3"/>
      <c r="G2" s="6"/>
      <c r="H2" s="6"/>
      <c r="I2" s="6"/>
      <c r="J2" s="6"/>
      <c r="K2" s="7"/>
      <c r="N2" s="8"/>
      <c r="O2" s="9"/>
      <c r="P2" s="9"/>
      <c r="Q2" s="9"/>
      <c r="R2" s="9"/>
      <c r="T2" s="4"/>
      <c r="U2" s="4"/>
      <c r="V2" s="4"/>
    </row>
    <row r="3" spans="3:22" ht="15" customHeight="1" x14ac:dyDescent="0.35">
      <c r="C3" s="3"/>
      <c r="D3" s="3"/>
      <c r="E3" s="3"/>
      <c r="F3" s="3"/>
      <c r="G3" s="6"/>
      <c r="H3" s="6"/>
      <c r="I3" s="6"/>
      <c r="J3" s="6"/>
      <c r="K3" s="6"/>
      <c r="O3"/>
      <c r="P3"/>
      <c r="Q3"/>
      <c r="R3"/>
      <c r="S3"/>
      <c r="T3" s="4"/>
      <c r="U3" s="4"/>
      <c r="V3" s="4"/>
    </row>
    <row r="4" spans="3:22" ht="14.5" x14ac:dyDescent="0.35">
      <c r="G4" s="6"/>
      <c r="H4" s="6"/>
      <c r="I4" s="6"/>
      <c r="J4" s="6"/>
      <c r="K4" s="6"/>
      <c r="O4"/>
      <c r="P4"/>
      <c r="Q4"/>
      <c r="R4"/>
      <c r="S4"/>
    </row>
    <row r="5" spans="3:22" ht="14.5" x14ac:dyDescent="0.35">
      <c r="C5" s="10" t="s">
        <v>7</v>
      </c>
      <c r="D5" s="11"/>
      <c r="E5" s="12" t="s">
        <v>58</v>
      </c>
      <c r="G5" s="13"/>
      <c r="H5" s="6"/>
      <c r="I5" s="14"/>
      <c r="K5" s="6"/>
      <c r="L5" s="15"/>
      <c r="M5" s="15"/>
      <c r="O5"/>
      <c r="P5"/>
      <c r="Q5"/>
      <c r="R5"/>
      <c r="S5"/>
    </row>
    <row r="6" spans="3:22" ht="14.5" x14ac:dyDescent="0.35">
      <c r="C6" s="10" t="s">
        <v>10</v>
      </c>
      <c r="D6" s="11"/>
      <c r="E6" s="12" t="s">
        <v>59</v>
      </c>
      <c r="F6" s="17"/>
      <c r="G6" s="24"/>
      <c r="H6" s="17"/>
      <c r="I6" s="16"/>
      <c r="J6" s="17"/>
      <c r="K6" s="6"/>
      <c r="L6" s="15"/>
      <c r="M6" s="15"/>
      <c r="O6"/>
      <c r="P6"/>
      <c r="Q6"/>
      <c r="R6"/>
      <c r="S6"/>
    </row>
    <row r="7" spans="3:22" x14ac:dyDescent="0.3">
      <c r="C7" s="193" t="s">
        <v>35</v>
      </c>
      <c r="D7" s="193"/>
      <c r="E7" s="12" t="s">
        <v>60</v>
      </c>
      <c r="G7" s="24"/>
      <c r="H7" s="17"/>
      <c r="I7" s="16"/>
      <c r="J7" s="17"/>
      <c r="K7" s="6"/>
      <c r="L7" s="15"/>
      <c r="M7" s="15"/>
      <c r="N7" s="6"/>
      <c r="O7" s="15"/>
      <c r="P7" s="15"/>
      <c r="Q7" s="15"/>
      <c r="R7" s="15"/>
    </row>
    <row r="8" spans="3:22" ht="14.5" x14ac:dyDescent="0.35">
      <c r="C8" s="194" t="s">
        <v>36</v>
      </c>
      <c r="D8" s="194"/>
      <c r="E8" s="60" t="s">
        <v>143</v>
      </c>
      <c r="F8" s="30"/>
      <c r="G8" s="63"/>
      <c r="H8" s="63"/>
      <c r="I8" s="8"/>
      <c r="N8" s="25" t="s">
        <v>45</v>
      </c>
      <c r="O8" s="26"/>
      <c r="P8" s="27"/>
      <c r="Q8"/>
    </row>
    <row r="9" spans="3:22" ht="14.5" x14ac:dyDescent="0.35">
      <c r="C9" s="10" t="s">
        <v>24</v>
      </c>
      <c r="D9" s="18"/>
      <c r="E9" s="12" t="s">
        <v>62</v>
      </c>
      <c r="N9" s="28" t="s">
        <v>25</v>
      </c>
      <c r="O9" s="29" t="s">
        <v>55</v>
      </c>
      <c r="P9" s="23"/>
      <c r="Q9"/>
    </row>
    <row r="10" spans="3:22" ht="14.5" x14ac:dyDescent="0.35">
      <c r="C10" s="10" t="s">
        <v>41</v>
      </c>
      <c r="D10" s="18"/>
      <c r="E10" s="12" t="s">
        <v>61</v>
      </c>
      <c r="N10" s="28"/>
      <c r="O10" s="36" t="s">
        <v>56</v>
      </c>
      <c r="P10" s="23"/>
      <c r="Q10"/>
    </row>
    <row r="11" spans="3:22" ht="14.5" x14ac:dyDescent="0.35">
      <c r="C11" s="31" t="s">
        <v>26</v>
      </c>
      <c r="D11" s="32"/>
      <c r="E11" s="33" t="s">
        <v>63</v>
      </c>
      <c r="F11" s="30"/>
      <c r="G11" s="30"/>
      <c r="H11" s="30"/>
      <c r="I11" s="30"/>
      <c r="N11" s="34"/>
      <c r="O11" s="59"/>
      <c r="P11" s="35"/>
      <c r="Q11"/>
    </row>
    <row r="12" spans="3:22" x14ac:dyDescent="0.3">
      <c r="C12" s="195" t="s">
        <v>37</v>
      </c>
      <c r="D12" s="195"/>
      <c r="E12" s="33" t="str">
        <f>E6</f>
        <v>: 8 September 2023</v>
      </c>
      <c r="F12" s="30"/>
      <c r="G12" s="36"/>
      <c r="H12" s="30"/>
      <c r="I12" s="37"/>
      <c r="J12" s="30"/>
      <c r="K12" s="36"/>
      <c r="L12" s="38"/>
      <c r="M12" s="38"/>
      <c r="N12" s="38"/>
      <c r="O12" s="30"/>
      <c r="P12" s="30"/>
      <c r="Q12" s="30"/>
      <c r="R12" s="30"/>
    </row>
    <row r="13" spans="3:22" x14ac:dyDescent="0.3">
      <c r="C13" s="30" t="s">
        <v>40</v>
      </c>
      <c r="D13" s="33"/>
      <c r="E13" s="30" t="s">
        <v>65</v>
      </c>
      <c r="F13" s="30"/>
      <c r="G13" s="36"/>
      <c r="H13" s="30"/>
      <c r="I13" s="37"/>
      <c r="J13" s="30"/>
      <c r="K13" s="36"/>
      <c r="L13" s="30"/>
      <c r="M13" s="30"/>
    </row>
    <row r="14" spans="3:22" x14ac:dyDescent="0.3">
      <c r="C14" s="30" t="s">
        <v>44</v>
      </c>
      <c r="D14" s="33"/>
      <c r="E14" s="30" t="s">
        <v>64</v>
      </c>
      <c r="F14" s="33"/>
      <c r="G14" s="36"/>
      <c r="H14" s="30"/>
      <c r="I14" s="37"/>
      <c r="J14" s="30"/>
      <c r="K14" s="36"/>
      <c r="L14" s="30"/>
      <c r="M14" s="30"/>
    </row>
    <row r="15" spans="3:22" x14ac:dyDescent="0.3">
      <c r="C15" s="30"/>
      <c r="D15" s="33"/>
      <c r="E15" s="30"/>
      <c r="F15" s="33"/>
      <c r="G15" s="36"/>
      <c r="H15" s="30"/>
      <c r="I15" s="37"/>
      <c r="J15" s="30"/>
      <c r="K15" s="36"/>
      <c r="L15" s="30"/>
      <c r="M15" s="30"/>
    </row>
    <row r="16" spans="3:22" x14ac:dyDescent="0.3">
      <c r="C16" s="31" t="s">
        <v>9</v>
      </c>
      <c r="D16" s="31"/>
      <c r="E16" s="31" t="s">
        <v>138</v>
      </c>
      <c r="F16" s="39"/>
      <c r="G16" s="39"/>
      <c r="H16" s="39"/>
      <c r="I16" s="39"/>
      <c r="J16" s="39"/>
      <c r="K16" s="39"/>
      <c r="L16" s="30"/>
      <c r="M16" s="30"/>
      <c r="S16" s="4"/>
      <c r="T16" s="4"/>
      <c r="U16" s="4"/>
    </row>
    <row r="17" spans="1:22" x14ac:dyDescent="0.3">
      <c r="C17" s="31"/>
      <c r="D17" s="31"/>
      <c r="E17" s="30"/>
      <c r="F17" s="40"/>
      <c r="G17" s="40"/>
      <c r="H17" s="40"/>
      <c r="I17" s="40"/>
      <c r="J17" s="40"/>
      <c r="K17" s="40"/>
      <c r="L17" s="30"/>
      <c r="M17" s="30"/>
      <c r="N17" s="30"/>
      <c r="O17" s="30"/>
      <c r="P17" s="30"/>
      <c r="Q17" s="30"/>
      <c r="R17" s="30"/>
    </row>
    <row r="18" spans="1:22" x14ac:dyDescent="0.3">
      <c r="C18" s="41"/>
      <c r="D18" s="41"/>
      <c r="E18" s="41"/>
      <c r="F18" s="41"/>
      <c r="G18" s="42"/>
      <c r="H18" s="42"/>
      <c r="I18" s="30"/>
      <c r="J18" s="30"/>
      <c r="K18" s="41"/>
      <c r="L18" s="41"/>
      <c r="M18" s="41"/>
      <c r="N18" s="41"/>
      <c r="O18" s="41"/>
      <c r="P18" s="41"/>
      <c r="Q18" s="41"/>
      <c r="R18" s="41"/>
      <c r="S18" s="4"/>
      <c r="T18" s="4"/>
      <c r="U18" s="4"/>
      <c r="V18" s="4"/>
    </row>
    <row r="19" spans="1:22" ht="57.75" customHeight="1" x14ac:dyDescent="0.3">
      <c r="B19" s="19" t="s">
        <v>27</v>
      </c>
      <c r="C19" s="43" t="s">
        <v>6</v>
      </c>
      <c r="D19" s="43" t="s">
        <v>28</v>
      </c>
      <c r="E19" s="43" t="s">
        <v>42</v>
      </c>
      <c r="F19" s="43" t="s">
        <v>43</v>
      </c>
      <c r="G19" s="43" t="s">
        <v>8</v>
      </c>
      <c r="H19" s="44" t="s">
        <v>23</v>
      </c>
      <c r="I19" s="30"/>
      <c r="J19" s="45"/>
      <c r="K19" s="45"/>
      <c r="L19" s="46"/>
      <c r="M19" s="46"/>
      <c r="N19" s="46"/>
      <c r="O19" s="46"/>
      <c r="P19" s="46"/>
      <c r="Q19" s="46"/>
      <c r="R19" s="46"/>
      <c r="S19" s="4"/>
    </row>
    <row r="20" spans="1:22" x14ac:dyDescent="0.3">
      <c r="A20" s="5" t="str">
        <f>"CalBlk"&amp;B20</f>
        <v>CalBlk1</v>
      </c>
      <c r="B20" s="19">
        <v>1</v>
      </c>
      <c r="C20" s="67">
        <v>0</v>
      </c>
      <c r="D20" s="43">
        <f>C20*997/1000</f>
        <v>0</v>
      </c>
      <c r="E20" s="48">
        <v>170.00177335525365</v>
      </c>
      <c r="F20" s="48">
        <v>11540902.735084048</v>
      </c>
      <c r="G20" s="66">
        <f>E20/F20</f>
        <v>1.4730370514123876E-5</v>
      </c>
      <c r="H20" s="66">
        <f>G20-$G$20</f>
        <v>0</v>
      </c>
      <c r="I20" s="30"/>
      <c r="J20" s="45"/>
      <c r="K20" s="45"/>
      <c r="L20" s="46"/>
      <c r="M20" s="46"/>
      <c r="N20" s="46"/>
      <c r="O20" s="46"/>
      <c r="P20" s="46"/>
      <c r="Q20" s="46"/>
      <c r="R20" s="46"/>
      <c r="S20" s="4"/>
    </row>
    <row r="21" spans="1:22" x14ac:dyDescent="0.3">
      <c r="A21" s="5" t="str">
        <f>"CalStd"&amp;B21</f>
        <v>CalStd2</v>
      </c>
      <c r="B21" s="19">
        <v>2</v>
      </c>
      <c r="C21" s="43">
        <v>2.5000000000000001E-2</v>
      </c>
      <c r="D21" s="43">
        <f t="shared" ref="D21:D27" si="0">C21*997/1000</f>
        <v>2.4924999999999999E-2</v>
      </c>
      <c r="E21" s="48">
        <v>730.02537429961274</v>
      </c>
      <c r="F21" s="48">
        <v>11594456.099294377</v>
      </c>
      <c r="G21" s="66">
        <f t="shared" ref="G21:G27" si="1">E21/F21</f>
        <v>6.2963313504981144E-5</v>
      </c>
      <c r="H21" s="66">
        <f t="shared" ref="H21:H27" si="2">G21-$G$20</f>
        <v>4.823294299085727E-5</v>
      </c>
      <c r="I21" s="30"/>
      <c r="J21" s="45"/>
      <c r="K21" s="45"/>
      <c r="L21" s="46"/>
      <c r="M21" s="46"/>
      <c r="N21" s="46"/>
      <c r="O21" s="46"/>
      <c r="P21" s="46"/>
      <c r="Q21" s="46"/>
      <c r="R21" s="46"/>
      <c r="S21" s="4"/>
    </row>
    <row r="22" spans="1:22" x14ac:dyDescent="0.3">
      <c r="A22" s="5" t="str">
        <f t="shared" ref="A22:A27" si="3">"CalStd"&amp;B22</f>
        <v>CalStd3</v>
      </c>
      <c r="B22" s="19">
        <v>3</v>
      </c>
      <c r="C22" s="48">
        <v>0.05</v>
      </c>
      <c r="D22" s="48">
        <f t="shared" si="0"/>
        <v>4.9849999999999998E-2</v>
      </c>
      <c r="E22" s="48">
        <v>1256.7374042888609</v>
      </c>
      <c r="F22" s="48">
        <v>11651767.05836943</v>
      </c>
      <c r="G22" s="49">
        <f t="shared" si="1"/>
        <v>1.0785809551403194E-4</v>
      </c>
      <c r="H22" s="66">
        <f t="shared" si="2"/>
        <v>9.3127724999908068E-5</v>
      </c>
      <c r="I22" s="30"/>
      <c r="J22" s="45"/>
      <c r="K22" s="45"/>
      <c r="L22" s="46"/>
      <c r="M22" s="46"/>
      <c r="N22" s="46"/>
      <c r="O22" s="46"/>
      <c r="P22" s="46"/>
      <c r="Q22" s="46"/>
      <c r="R22" s="46"/>
      <c r="S22" s="4"/>
    </row>
    <row r="23" spans="1:22" x14ac:dyDescent="0.3">
      <c r="A23" s="5" t="str">
        <f t="shared" si="3"/>
        <v>CalStd4</v>
      </c>
      <c r="B23" s="19">
        <v>4</v>
      </c>
      <c r="C23" s="48">
        <v>0.1</v>
      </c>
      <c r="D23" s="48">
        <f t="shared" si="0"/>
        <v>9.9699999999999997E-2</v>
      </c>
      <c r="E23" s="48">
        <v>2313.555648813162</v>
      </c>
      <c r="F23" s="48">
        <v>11847711.883266771</v>
      </c>
      <c r="G23" s="49">
        <f>E23/F23</f>
        <v>1.9527446916401929E-4</v>
      </c>
      <c r="H23" s="49">
        <f t="shared" si="2"/>
        <v>1.8054409864989542E-4</v>
      </c>
      <c r="I23" s="30"/>
      <c r="J23" s="45"/>
      <c r="K23" s="45"/>
      <c r="L23" s="46"/>
      <c r="M23" s="46"/>
      <c r="N23" s="46"/>
      <c r="O23" s="46"/>
      <c r="P23" s="46"/>
      <c r="Q23" s="46"/>
      <c r="R23" s="46"/>
      <c r="S23" s="4"/>
    </row>
    <row r="24" spans="1:22" x14ac:dyDescent="0.3">
      <c r="A24" s="5" t="str">
        <f t="shared" si="3"/>
        <v>CalStd5</v>
      </c>
      <c r="B24" s="19">
        <v>5</v>
      </c>
      <c r="C24" s="48">
        <v>0.5</v>
      </c>
      <c r="D24" s="48">
        <f t="shared" si="0"/>
        <v>0.4985</v>
      </c>
      <c r="E24" s="48">
        <v>11622.145271810325</v>
      </c>
      <c r="F24" s="48">
        <v>11544660.329948777</v>
      </c>
      <c r="G24" s="47">
        <f t="shared" si="1"/>
        <v>1.0067117558808152E-3</v>
      </c>
      <c r="H24" s="47">
        <f t="shared" si="2"/>
        <v>9.9198138536669132E-4</v>
      </c>
      <c r="I24" s="30"/>
      <c r="J24" s="45"/>
      <c r="K24" s="45"/>
      <c r="L24" s="46"/>
      <c r="M24" s="46"/>
      <c r="N24" s="46"/>
      <c r="O24" s="46"/>
      <c r="P24" s="46"/>
      <c r="Q24" s="46"/>
      <c r="R24" s="46"/>
      <c r="S24" s="4"/>
    </row>
    <row r="25" spans="1:22" x14ac:dyDescent="0.3">
      <c r="A25" s="5" t="str">
        <f t="shared" si="3"/>
        <v>CalStd6</v>
      </c>
      <c r="B25" s="19">
        <v>6</v>
      </c>
      <c r="C25" s="48">
        <v>1</v>
      </c>
      <c r="D25" s="48">
        <f t="shared" si="0"/>
        <v>0.997</v>
      </c>
      <c r="E25" s="48">
        <v>22680.717996174939</v>
      </c>
      <c r="F25" s="48">
        <v>11591767.73874075</v>
      </c>
      <c r="G25" s="47">
        <f t="shared" si="1"/>
        <v>1.9566228816312375E-3</v>
      </c>
      <c r="H25" s="47">
        <f t="shared" si="2"/>
        <v>1.9418925111171137E-3</v>
      </c>
      <c r="I25" s="30"/>
      <c r="J25" s="45"/>
      <c r="K25" s="45"/>
      <c r="L25" s="46"/>
      <c r="M25" s="46"/>
      <c r="N25" s="46"/>
      <c r="O25" s="46"/>
      <c r="P25" s="46"/>
      <c r="Q25" s="46"/>
      <c r="R25" s="46"/>
      <c r="S25" s="4"/>
    </row>
    <row r="26" spans="1:22" x14ac:dyDescent="0.3">
      <c r="A26" s="5" t="str">
        <f t="shared" si="3"/>
        <v>CalStd7</v>
      </c>
      <c r="B26" s="19">
        <v>7</v>
      </c>
      <c r="C26" s="48">
        <v>2</v>
      </c>
      <c r="D26" s="48">
        <f t="shared" si="0"/>
        <v>1.994</v>
      </c>
      <c r="E26" s="48">
        <v>44532.772492844182</v>
      </c>
      <c r="F26" s="48">
        <v>11677917.474663807</v>
      </c>
      <c r="G26" s="47">
        <f t="shared" si="1"/>
        <v>3.8134172971732039E-3</v>
      </c>
      <c r="H26" s="47">
        <f t="shared" si="2"/>
        <v>3.7986869266590801E-3</v>
      </c>
      <c r="I26" s="30"/>
      <c r="J26" s="45"/>
      <c r="K26" s="45"/>
      <c r="L26" s="46"/>
      <c r="M26" s="46"/>
      <c r="N26" s="46"/>
      <c r="O26" s="46"/>
      <c r="P26" s="46"/>
      <c r="Q26" s="46"/>
      <c r="R26" s="46"/>
      <c r="S26" s="4"/>
    </row>
    <row r="27" spans="1:22" x14ac:dyDescent="0.3">
      <c r="A27" s="5" t="str">
        <f t="shared" si="3"/>
        <v>CalStd8</v>
      </c>
      <c r="B27" s="19">
        <v>8</v>
      </c>
      <c r="C27" s="48">
        <v>3</v>
      </c>
      <c r="D27" s="48">
        <f t="shared" si="0"/>
        <v>2.9910000000000001</v>
      </c>
      <c r="E27" s="48">
        <v>67803.917742632548</v>
      </c>
      <c r="F27" s="48">
        <v>11429946.76314343</v>
      </c>
      <c r="G27" s="47">
        <f t="shared" si="1"/>
        <v>5.9321289195563426E-3</v>
      </c>
      <c r="H27" s="47">
        <f t="shared" si="2"/>
        <v>5.9173985490422187E-3</v>
      </c>
      <c r="I27" s="30"/>
      <c r="J27" s="45"/>
      <c r="K27" s="45"/>
      <c r="L27" s="46"/>
      <c r="M27" s="46"/>
      <c r="N27" s="46"/>
      <c r="O27" s="46"/>
      <c r="P27" s="46"/>
      <c r="Q27" s="46"/>
      <c r="R27" s="46"/>
      <c r="S27" s="4"/>
    </row>
    <row r="28" spans="1:22" ht="14.5" x14ac:dyDescent="0.3">
      <c r="B28" s="196"/>
      <c r="C28" s="197" t="s">
        <v>5</v>
      </c>
      <c r="D28" s="197"/>
      <c r="E28" s="197"/>
      <c r="F28" s="197"/>
      <c r="G28" s="197"/>
      <c r="H28" s="47">
        <f>SLOPE(H20:H27,D20:D27)</f>
        <v>1.9599414022557185E-3</v>
      </c>
      <c r="I28" s="50"/>
      <c r="J28" s="45"/>
      <c r="K28" s="45"/>
      <c r="L28" s="45"/>
      <c r="M28" s="45"/>
      <c r="N28" s="46"/>
      <c r="O28" s="46"/>
      <c r="P28" s="46"/>
      <c r="Q28" s="46"/>
      <c r="R28" s="46"/>
      <c r="S28" s="4"/>
    </row>
    <row r="29" spans="1:22" ht="14.5" x14ac:dyDescent="0.3">
      <c r="B29" s="196"/>
      <c r="C29" s="197" t="s">
        <v>4</v>
      </c>
      <c r="D29" s="197"/>
      <c r="E29" s="197"/>
      <c r="F29" s="197"/>
      <c r="G29" s="197"/>
      <c r="H29" s="66">
        <f>INTERCEPT(H20:H27,D20:D27)</f>
        <v>-8.9371118313732491E-6</v>
      </c>
      <c r="I29" s="50"/>
      <c r="J29" s="45"/>
      <c r="K29" s="45"/>
      <c r="L29" s="45"/>
      <c r="M29" s="45"/>
      <c r="N29" s="46"/>
      <c r="O29" s="46"/>
      <c r="P29" s="46"/>
      <c r="Q29" s="46"/>
      <c r="R29" s="46"/>
      <c r="S29" s="4"/>
    </row>
    <row r="30" spans="1:22" x14ac:dyDescent="0.3">
      <c r="B30" s="196"/>
      <c r="C30" s="198" t="s">
        <v>29</v>
      </c>
      <c r="D30" s="198"/>
      <c r="E30" s="198"/>
      <c r="F30" s="198"/>
      <c r="G30" s="198"/>
      <c r="H30" s="47">
        <f>RSQ(H20:H27,D20:D27)</f>
        <v>0.99954834573609797</v>
      </c>
      <c r="I30" s="39"/>
      <c r="J30" s="46"/>
      <c r="K30" s="46"/>
      <c r="L30" s="46"/>
      <c r="M30" s="46"/>
      <c r="N30" s="46"/>
      <c r="O30" s="46"/>
      <c r="P30" s="46"/>
      <c r="Q30" s="46"/>
      <c r="R30" s="46"/>
      <c r="S30" s="4"/>
    </row>
    <row r="31" spans="1:22" x14ac:dyDescent="0.3">
      <c r="B31" s="196"/>
      <c r="C31" s="198" t="s">
        <v>3</v>
      </c>
      <c r="D31" s="198"/>
      <c r="E31" s="198"/>
      <c r="F31" s="198"/>
      <c r="G31" s="198"/>
      <c r="H31" s="47">
        <f>SQRT(H30)</f>
        <v>0.99977414736334225</v>
      </c>
      <c r="I31" s="39"/>
      <c r="J31" s="46"/>
      <c r="K31" s="46"/>
      <c r="L31" s="46"/>
      <c r="M31" s="46"/>
      <c r="N31" s="46"/>
      <c r="O31" s="46"/>
      <c r="P31" s="46"/>
      <c r="Q31" s="46"/>
      <c r="R31" s="46"/>
      <c r="S31" s="4"/>
    </row>
    <row r="32" spans="1:22" x14ac:dyDescent="0.3">
      <c r="C32" s="31"/>
      <c r="D32" s="31"/>
      <c r="E32" s="31"/>
      <c r="F32" s="39"/>
      <c r="G32" s="39"/>
      <c r="H32" s="39"/>
      <c r="I32" s="39"/>
      <c r="J32" s="39"/>
      <c r="K32" s="39"/>
      <c r="L32" s="51"/>
      <c r="M32" s="51"/>
      <c r="N32" s="51"/>
      <c r="O32" s="39"/>
      <c r="P32" s="39"/>
      <c r="Q32" s="39"/>
      <c r="R32" s="39"/>
      <c r="S32" s="4"/>
      <c r="T32" s="4"/>
      <c r="U32" s="4"/>
    </row>
    <row r="33" spans="1:21" x14ac:dyDescent="0.3">
      <c r="C33" s="31"/>
      <c r="D33" s="31"/>
      <c r="E33" s="31"/>
      <c r="F33" s="39"/>
      <c r="G33" s="39"/>
      <c r="H33" s="39"/>
      <c r="I33" s="39"/>
      <c r="J33" s="39"/>
      <c r="K33" s="39"/>
      <c r="L33" s="51"/>
      <c r="M33" s="51"/>
      <c r="N33" s="51"/>
      <c r="O33" s="39"/>
      <c r="P33" s="39"/>
      <c r="Q33" s="39"/>
      <c r="R33" s="39"/>
      <c r="S33" s="4"/>
      <c r="T33" s="4"/>
      <c r="U33" s="4"/>
    </row>
    <row r="34" spans="1:21" ht="14.5" thickBot="1" x14ac:dyDescent="0.35">
      <c r="C34" s="31"/>
      <c r="D34" s="31"/>
      <c r="E34" s="31"/>
      <c r="F34" s="39"/>
      <c r="G34" s="39"/>
      <c r="H34" s="39"/>
      <c r="I34" s="39"/>
      <c r="J34" s="39"/>
      <c r="K34" s="39"/>
      <c r="L34" s="51"/>
      <c r="M34" s="51"/>
      <c r="N34" s="51"/>
      <c r="O34" s="39"/>
      <c r="P34" s="39"/>
      <c r="Q34" s="39"/>
      <c r="R34" s="39"/>
      <c r="S34" s="4"/>
      <c r="T34" s="4"/>
      <c r="U34" s="4"/>
    </row>
    <row r="35" spans="1:21" s="81" customFormat="1" ht="48.75" customHeight="1" thickBot="1" x14ac:dyDescent="0.4">
      <c r="A35" s="73"/>
      <c r="B35" s="74" t="s">
        <v>21</v>
      </c>
      <c r="C35" s="75" t="s">
        <v>46</v>
      </c>
      <c r="D35" s="75" t="s">
        <v>2</v>
      </c>
      <c r="E35" s="76" t="s">
        <v>57</v>
      </c>
      <c r="F35" s="62" t="s">
        <v>1</v>
      </c>
      <c r="G35" s="62" t="s">
        <v>0</v>
      </c>
      <c r="H35" s="77" t="s">
        <v>42</v>
      </c>
      <c r="I35" s="77" t="s">
        <v>43</v>
      </c>
      <c r="J35" s="78" t="s">
        <v>8</v>
      </c>
      <c r="K35" s="79" t="s">
        <v>134</v>
      </c>
      <c r="L35" s="76" t="s">
        <v>135</v>
      </c>
      <c r="M35" s="76" t="s">
        <v>243</v>
      </c>
      <c r="N35" s="76" t="s">
        <v>136</v>
      </c>
      <c r="O35" s="52" t="s">
        <v>38</v>
      </c>
      <c r="P35" s="65" t="s">
        <v>137</v>
      </c>
      <c r="Q35" s="80" t="s">
        <v>49</v>
      </c>
    </row>
    <row r="36" spans="1:21" s="82" customFormat="1" ht="18" customHeight="1" x14ac:dyDescent="0.3">
      <c r="A36" s="82" t="e">
        <f>C36&amp;#REF!</f>
        <v>#REF!</v>
      </c>
      <c r="C36" s="83" t="s">
        <v>169</v>
      </c>
      <c r="D36" s="83" t="s">
        <v>106</v>
      </c>
      <c r="E36" s="84">
        <v>50</v>
      </c>
      <c r="F36" s="84">
        <v>50</v>
      </c>
      <c r="G36" s="84">
        <v>1</v>
      </c>
      <c r="H36" s="85">
        <v>250.00366673338809</v>
      </c>
      <c r="I36" s="85">
        <v>12816193.772711016</v>
      </c>
      <c r="J36" s="124">
        <f>H36/I36</f>
        <v>1.9506857587134054E-5</v>
      </c>
      <c r="K36" s="125">
        <f>((J36)-$H$29)/$H$28</f>
        <v>1.4512663177465827E-2</v>
      </c>
      <c r="L36" s="140">
        <f>K36*F36*G36/E36</f>
        <v>1.4512663177465827E-2</v>
      </c>
      <c r="M36" s="163">
        <f>L36*1000</f>
        <v>14.512663177465827</v>
      </c>
      <c r="N36" s="205">
        <f>AVERAGE(L36:L37)</f>
        <v>1.4977461591888609E-2</v>
      </c>
      <c r="O36" s="188">
        <f>ABS(L36-L37)/N36*100</f>
        <v>6.2066380417160234</v>
      </c>
      <c r="P36" s="188">
        <f>2/3*2^(1-(0.5*LOG(N36/1000000000)))</f>
        <v>56.780293132826763</v>
      </c>
      <c r="Q36" s="89"/>
    </row>
    <row r="37" spans="1:21" s="82" customFormat="1" ht="18" customHeight="1" x14ac:dyDescent="0.3">
      <c r="A37" s="82" t="e">
        <f>C37&amp;#REF!</f>
        <v>#REF!</v>
      </c>
      <c r="C37" s="83" t="s">
        <v>170</v>
      </c>
      <c r="D37" s="83" t="s">
        <v>106</v>
      </c>
      <c r="E37" s="84">
        <v>50</v>
      </c>
      <c r="F37" s="84">
        <v>50</v>
      </c>
      <c r="G37" s="84">
        <v>1</v>
      </c>
      <c r="H37" s="85">
        <v>293.33768007637491</v>
      </c>
      <c r="I37" s="85">
        <v>13753117.97520189</v>
      </c>
      <c r="J37" s="124">
        <f t="shared" ref="J37:J59" si="4">H37/I37</f>
        <v>2.1328812899394099E-5</v>
      </c>
      <c r="K37" s="125">
        <f t="shared" ref="K37:K59" si="5">((J37)-$H$29)/$H$28</f>
        <v>1.5442260006311392E-2</v>
      </c>
      <c r="L37" s="140">
        <f t="shared" ref="L37:L59" si="6">K37*F37*G37/E37</f>
        <v>1.5442260006311392E-2</v>
      </c>
      <c r="M37" s="163">
        <f t="shared" ref="M37:M59" si="7">L37*1000</f>
        <v>15.442260006311392</v>
      </c>
      <c r="N37" s="206"/>
      <c r="O37" s="189"/>
      <c r="P37" s="189"/>
      <c r="Q37" s="89"/>
    </row>
    <row r="38" spans="1:21" s="82" customFormat="1" ht="18" customHeight="1" x14ac:dyDescent="0.3">
      <c r="A38" s="82" t="e">
        <f>C38&amp;#REF!</f>
        <v>#REF!</v>
      </c>
      <c r="C38" s="83" t="s">
        <v>171</v>
      </c>
      <c r="D38" s="83" t="s">
        <v>106</v>
      </c>
      <c r="E38" s="84">
        <v>50</v>
      </c>
      <c r="F38" s="84">
        <v>50</v>
      </c>
      <c r="G38" s="84">
        <v>1</v>
      </c>
      <c r="H38" s="85">
        <v>246.67021339392122</v>
      </c>
      <c r="I38" s="85">
        <v>13593618.765537249</v>
      </c>
      <c r="J38" s="124">
        <f t="shared" si="4"/>
        <v>1.8146029960710926E-5</v>
      </c>
      <c r="K38" s="125">
        <f t="shared" si="5"/>
        <v>1.3818342610097366E-2</v>
      </c>
      <c r="L38" s="140">
        <f t="shared" si="6"/>
        <v>1.3818342610097366E-2</v>
      </c>
      <c r="M38" s="163">
        <f t="shared" si="7"/>
        <v>13.818342610097366</v>
      </c>
      <c r="N38" s="205">
        <f t="shared" ref="N38" si="8">AVERAGE(L38:L39)</f>
        <v>1.2850077828384855E-2</v>
      </c>
      <c r="O38" s="188">
        <f t="shared" ref="O38" si="9">ABS(L38-L39)/N38*100</f>
        <v>15.070177700771376</v>
      </c>
      <c r="P38" s="188">
        <f t="shared" ref="P38" si="10">2/3*2^(1-(0.5*LOG(N38/1000000000)))</f>
        <v>58.104766841912536</v>
      </c>
      <c r="Q38" s="89"/>
    </row>
    <row r="39" spans="1:21" s="82" customFormat="1" ht="18" customHeight="1" x14ac:dyDescent="0.3">
      <c r="A39" s="82" t="e">
        <f>C39&amp;#REF!</f>
        <v>#REF!</v>
      </c>
      <c r="C39" s="83" t="s">
        <v>172</v>
      </c>
      <c r="D39" s="83" t="s">
        <v>106</v>
      </c>
      <c r="E39" s="84">
        <v>50</v>
      </c>
      <c r="F39" s="84">
        <v>50</v>
      </c>
      <c r="G39" s="84">
        <v>1</v>
      </c>
      <c r="H39" s="85">
        <v>196.66900003322723</v>
      </c>
      <c r="I39" s="85">
        <v>13704635.836581359</v>
      </c>
      <c r="J39" s="124">
        <f t="shared" si="4"/>
        <v>1.4350545492662037E-5</v>
      </c>
      <c r="K39" s="125">
        <f t="shared" si="5"/>
        <v>1.1881813046672345E-2</v>
      </c>
      <c r="L39" s="140">
        <f t="shared" si="6"/>
        <v>1.1881813046672345E-2</v>
      </c>
      <c r="M39" s="163">
        <f t="shared" si="7"/>
        <v>11.881813046672345</v>
      </c>
      <c r="N39" s="206"/>
      <c r="O39" s="189"/>
      <c r="P39" s="189"/>
      <c r="Q39" s="89"/>
    </row>
    <row r="40" spans="1:21" s="82" customFormat="1" ht="18" customHeight="1" x14ac:dyDescent="0.3">
      <c r="A40" s="82" t="e">
        <f>C40&amp;#REF!</f>
        <v>#REF!</v>
      </c>
      <c r="C40" s="83" t="s">
        <v>173</v>
      </c>
      <c r="D40" s="83" t="s">
        <v>106</v>
      </c>
      <c r="E40" s="84">
        <v>50</v>
      </c>
      <c r="F40" s="84">
        <v>50</v>
      </c>
      <c r="G40" s="84">
        <v>1</v>
      </c>
      <c r="H40" s="85">
        <v>326.68496059916799</v>
      </c>
      <c r="I40" s="85">
        <v>14366705.72201558</v>
      </c>
      <c r="J40" s="124">
        <f t="shared" si="4"/>
        <v>2.2739030569725879E-5</v>
      </c>
      <c r="K40" s="125">
        <f t="shared" si="5"/>
        <v>1.616178032906632E-2</v>
      </c>
      <c r="L40" s="140">
        <f t="shared" si="6"/>
        <v>1.616178032906632E-2</v>
      </c>
      <c r="M40" s="163">
        <f t="shared" si="7"/>
        <v>16.161780329066321</v>
      </c>
      <c r="N40" s="205">
        <f t="shared" ref="N40" si="11">AVERAGE(L40:L41)</f>
        <v>1.6762236725200781E-2</v>
      </c>
      <c r="O40" s="188">
        <f t="shared" ref="O40" si="12">ABS(L40-L41)/N40*100</f>
        <v>7.1643946566119014</v>
      </c>
      <c r="P40" s="188">
        <f t="shared" ref="P40" si="13">2/3*2^(1-(0.5*LOG(N40/1000000000)))</f>
        <v>55.826241095756757</v>
      </c>
      <c r="Q40" s="89"/>
    </row>
    <row r="41" spans="1:21" s="82" customFormat="1" ht="18" customHeight="1" x14ac:dyDescent="0.3">
      <c r="A41" s="82" t="e">
        <f>C41&amp;#REF!</f>
        <v>#REF!</v>
      </c>
      <c r="C41" s="83" t="s">
        <v>174</v>
      </c>
      <c r="D41" s="83" t="s">
        <v>106</v>
      </c>
      <c r="E41" s="84">
        <v>50</v>
      </c>
      <c r="F41" s="84">
        <v>50</v>
      </c>
      <c r="G41" s="84">
        <v>1</v>
      </c>
      <c r="H41" s="85">
        <v>363.347960424387</v>
      </c>
      <c r="I41" s="85">
        <v>14480197.3067511</v>
      </c>
      <c r="J41" s="124">
        <f t="shared" si="4"/>
        <v>2.5092749271792265E-5</v>
      </c>
      <c r="K41" s="125">
        <f t="shared" si="5"/>
        <v>1.7362693121335242E-2</v>
      </c>
      <c r="L41" s="140">
        <f t="shared" si="6"/>
        <v>1.7362693121335242E-2</v>
      </c>
      <c r="M41" s="163">
        <f t="shared" si="7"/>
        <v>17.362693121335241</v>
      </c>
      <c r="N41" s="206"/>
      <c r="O41" s="189"/>
      <c r="P41" s="189"/>
      <c r="Q41" s="89"/>
    </row>
    <row r="42" spans="1:21" s="90" customFormat="1" ht="18" customHeight="1" x14ac:dyDescent="0.3">
      <c r="A42" s="90" t="e">
        <f>C42&amp;#REF!</f>
        <v>#REF!</v>
      </c>
      <c r="C42" s="91" t="s">
        <v>175</v>
      </c>
      <c r="D42" s="91" t="s">
        <v>107</v>
      </c>
      <c r="E42" s="92">
        <v>50</v>
      </c>
      <c r="F42" s="92">
        <v>50</v>
      </c>
      <c r="G42" s="92">
        <v>1</v>
      </c>
      <c r="H42" s="93">
        <v>213.33589337194735</v>
      </c>
      <c r="I42" s="93">
        <v>14465839.01743059</v>
      </c>
      <c r="J42" s="126">
        <f t="shared" si="4"/>
        <v>1.4747564459613341E-5</v>
      </c>
      <c r="K42" s="95">
        <f t="shared" si="5"/>
        <v>1.2084379800195879E-2</v>
      </c>
      <c r="L42" s="141">
        <f t="shared" si="6"/>
        <v>1.2084379800195879E-2</v>
      </c>
      <c r="M42" s="163">
        <f t="shared" si="7"/>
        <v>12.08437980019588</v>
      </c>
      <c r="N42" s="201">
        <f t="shared" ref="N42" si="14">AVERAGE(L42:L43)</f>
        <v>1.2606217244798842E-2</v>
      </c>
      <c r="O42" s="184">
        <f t="shared" ref="O42" si="15">ABS(L42-L43)/N42*100</f>
        <v>8.2790488926131438</v>
      </c>
      <c r="P42" s="184">
        <f t="shared" ref="P42" si="16">2/3*2^(1-(0.5*LOG(N42/1000000000)))</f>
        <v>58.272572885822775</v>
      </c>
      <c r="Q42" s="96"/>
    </row>
    <row r="43" spans="1:21" s="90" customFormat="1" ht="18" customHeight="1" x14ac:dyDescent="0.3">
      <c r="A43" s="90" t="e">
        <f>C43&amp;#REF!</f>
        <v>#REF!</v>
      </c>
      <c r="C43" s="91" t="s">
        <v>176</v>
      </c>
      <c r="D43" s="91" t="s">
        <v>107</v>
      </c>
      <c r="E43" s="92">
        <v>50</v>
      </c>
      <c r="F43" s="92">
        <v>50</v>
      </c>
      <c r="G43" s="92">
        <v>1</v>
      </c>
      <c r="H43" s="93">
        <v>243.33678672560117</v>
      </c>
      <c r="I43" s="93">
        <v>14490278.658827201</v>
      </c>
      <c r="J43" s="126">
        <f t="shared" si="4"/>
        <v>1.6793106085462687E-5</v>
      </c>
      <c r="K43" s="95">
        <f t="shared" si="5"/>
        <v>1.3128054689401805E-2</v>
      </c>
      <c r="L43" s="141">
        <f t="shared" si="6"/>
        <v>1.3128054689401805E-2</v>
      </c>
      <c r="M43" s="163">
        <f t="shared" si="7"/>
        <v>13.128054689401806</v>
      </c>
      <c r="N43" s="202"/>
      <c r="O43" s="185"/>
      <c r="P43" s="185"/>
      <c r="Q43" s="96"/>
    </row>
    <row r="44" spans="1:21" s="90" customFormat="1" ht="18" customHeight="1" x14ac:dyDescent="0.3">
      <c r="A44" s="90" t="e">
        <f>C44&amp;#REF!</f>
        <v>#REF!</v>
      </c>
      <c r="C44" s="91" t="s">
        <v>177</v>
      </c>
      <c r="D44" s="91" t="s">
        <v>107</v>
      </c>
      <c r="E44" s="92">
        <v>50</v>
      </c>
      <c r="F44" s="92">
        <v>50</v>
      </c>
      <c r="G44" s="92">
        <v>1</v>
      </c>
      <c r="H44" s="93">
        <v>240.00317338165414</v>
      </c>
      <c r="I44" s="93">
        <v>14106942.883521341</v>
      </c>
      <c r="J44" s="126">
        <f t="shared" si="4"/>
        <v>1.7013124343333638E-5</v>
      </c>
      <c r="K44" s="95">
        <f t="shared" si="5"/>
        <v>1.3240312258744303E-2</v>
      </c>
      <c r="L44" s="141">
        <f t="shared" si="6"/>
        <v>1.3240312258744303E-2</v>
      </c>
      <c r="M44" s="163">
        <f t="shared" si="7"/>
        <v>13.240312258744302</v>
      </c>
      <c r="N44" s="201">
        <f t="shared" ref="N44" si="17">AVERAGE(L44:L45)</f>
        <v>1.4096047366195574E-2</v>
      </c>
      <c r="O44" s="184">
        <f t="shared" ref="O44" si="18">ABS(L44-L45)/N44*100</f>
        <v>12.141490237943625</v>
      </c>
      <c r="P44" s="184">
        <f t="shared" ref="P44" si="19">2/3*2^(1-(0.5*LOG(N44/1000000000)))</f>
        <v>57.301016383751104</v>
      </c>
      <c r="Q44" s="96"/>
    </row>
    <row r="45" spans="1:21" s="90" customFormat="1" ht="18" customHeight="1" x14ac:dyDescent="0.3">
      <c r="A45" s="90" t="e">
        <f>C45&amp;#REF!</f>
        <v>#REF!</v>
      </c>
      <c r="C45" s="91" t="s">
        <v>178</v>
      </c>
      <c r="D45" s="91" t="s">
        <v>107</v>
      </c>
      <c r="E45" s="92">
        <v>50</v>
      </c>
      <c r="F45" s="92">
        <v>50</v>
      </c>
      <c r="G45" s="92">
        <v>1</v>
      </c>
      <c r="H45" s="93">
        <v>293.33760007221474</v>
      </c>
      <c r="I45" s="93">
        <v>14402234.850695908</v>
      </c>
      <c r="J45" s="126">
        <f t="shared" si="4"/>
        <v>2.036750567624863E-5</v>
      </c>
      <c r="K45" s="95">
        <f t="shared" si="5"/>
        <v>1.4951782473646848E-2</v>
      </c>
      <c r="L45" s="141">
        <f t="shared" si="6"/>
        <v>1.4951782473646848E-2</v>
      </c>
      <c r="M45" s="163">
        <f t="shared" si="7"/>
        <v>14.951782473646848</v>
      </c>
      <c r="N45" s="202"/>
      <c r="O45" s="185"/>
      <c r="P45" s="185"/>
      <c r="Q45" s="96"/>
    </row>
    <row r="46" spans="1:21" s="90" customFormat="1" ht="18" customHeight="1" x14ac:dyDescent="0.3">
      <c r="A46" s="90" t="e">
        <f>C46&amp;#REF!</f>
        <v>#REF!</v>
      </c>
      <c r="C46" s="91" t="s">
        <v>179</v>
      </c>
      <c r="D46" s="91" t="s">
        <v>107</v>
      </c>
      <c r="E46" s="92">
        <v>50</v>
      </c>
      <c r="F46" s="92">
        <v>50</v>
      </c>
      <c r="G46" s="92">
        <v>1</v>
      </c>
      <c r="H46" s="93">
        <v>216.66964004922761</v>
      </c>
      <c r="I46" s="93">
        <v>14838512.999177178</v>
      </c>
      <c r="J46" s="126">
        <f t="shared" si="4"/>
        <v>1.460184319420971E-5</v>
      </c>
      <c r="K46" s="95">
        <f t="shared" si="5"/>
        <v>1.2010029992984337E-2</v>
      </c>
      <c r="L46" s="141">
        <f t="shared" si="6"/>
        <v>1.2010029992984337E-2</v>
      </c>
      <c r="M46" s="163">
        <f t="shared" si="7"/>
        <v>12.010029992984338</v>
      </c>
      <c r="N46" s="201">
        <f t="shared" ref="N46" si="20">AVERAGE(L46:L47)</f>
        <v>1.1908254913704831E-2</v>
      </c>
      <c r="O46" s="184">
        <f t="shared" ref="O46" si="21">ABS(L46-L47)/N46*100</f>
        <v>1.7093197956717594</v>
      </c>
      <c r="P46" s="184">
        <f t="shared" ref="P46" si="22">2/3*2^(1-(0.5*LOG(N46/1000000000)))</f>
        <v>58.774295578521055</v>
      </c>
      <c r="Q46" s="96"/>
    </row>
    <row r="47" spans="1:21" s="102" customFormat="1" x14ac:dyDescent="0.3">
      <c r="A47" s="90" t="e">
        <f>C47&amp;#REF!</f>
        <v>#REF!</v>
      </c>
      <c r="B47" s="90"/>
      <c r="C47" s="91" t="s">
        <v>180</v>
      </c>
      <c r="D47" s="91" t="s">
        <v>107</v>
      </c>
      <c r="E47" s="92">
        <v>50</v>
      </c>
      <c r="F47" s="92">
        <v>50</v>
      </c>
      <c r="G47" s="92">
        <v>1</v>
      </c>
      <c r="H47" s="93">
        <v>210.0027067065073</v>
      </c>
      <c r="I47" s="93">
        <v>14785906.671070971</v>
      </c>
      <c r="J47" s="126">
        <f t="shared" si="4"/>
        <v>1.4202896811014187E-5</v>
      </c>
      <c r="K47" s="95">
        <f t="shared" si="5"/>
        <v>1.1806479834425326E-2</v>
      </c>
      <c r="L47" s="141">
        <f t="shared" si="6"/>
        <v>1.1806479834425326E-2</v>
      </c>
      <c r="M47" s="163">
        <f t="shared" si="7"/>
        <v>11.806479834425325</v>
      </c>
      <c r="N47" s="202"/>
      <c r="O47" s="185"/>
      <c r="P47" s="185"/>
      <c r="Q47" s="96"/>
      <c r="R47" s="90"/>
    </row>
    <row r="48" spans="1:21" s="103" customFormat="1" ht="18" customHeight="1" x14ac:dyDescent="0.3">
      <c r="A48" s="103" t="e">
        <f>C48&amp;#REF!</f>
        <v>#REF!</v>
      </c>
      <c r="C48" s="104" t="s">
        <v>181</v>
      </c>
      <c r="D48" s="104" t="s">
        <v>108</v>
      </c>
      <c r="E48" s="105">
        <v>50</v>
      </c>
      <c r="F48" s="105">
        <v>50</v>
      </c>
      <c r="G48" s="105">
        <v>1</v>
      </c>
      <c r="H48" s="106">
        <v>270.00390673338796</v>
      </c>
      <c r="I48" s="106">
        <v>14713870.828054456</v>
      </c>
      <c r="J48" s="127">
        <f t="shared" si="4"/>
        <v>1.8350297477029658E-5</v>
      </c>
      <c r="K48" s="128">
        <f t="shared" si="5"/>
        <v>1.3922563846550474E-2</v>
      </c>
      <c r="L48" s="142">
        <f t="shared" si="6"/>
        <v>1.3922563846550474E-2</v>
      </c>
      <c r="M48" s="163">
        <f t="shared" si="7"/>
        <v>13.922563846550474</v>
      </c>
      <c r="N48" s="203">
        <f t="shared" ref="N48" si="23">AVERAGE(L48:L49)</f>
        <v>1.3458934730825749E-2</v>
      </c>
      <c r="O48" s="180">
        <f t="shared" ref="O48" si="24">ABS(L48-L49)/N48*100</f>
        <v>6.8895365791892784</v>
      </c>
      <c r="P48" s="180">
        <f t="shared" ref="P48" si="25">2/3*2^(1-(0.5*LOG(N48/1000000000)))</f>
        <v>57.701309518274627</v>
      </c>
      <c r="Q48" s="110"/>
    </row>
    <row r="49" spans="1:21" s="103" customFormat="1" ht="18" customHeight="1" x14ac:dyDescent="0.3">
      <c r="A49" s="103" t="e">
        <f>C49&amp;#REF!</f>
        <v>#REF!</v>
      </c>
      <c r="C49" s="104" t="s">
        <v>182</v>
      </c>
      <c r="D49" s="104" t="s">
        <v>108</v>
      </c>
      <c r="E49" s="105">
        <v>50</v>
      </c>
      <c r="F49" s="105">
        <v>50</v>
      </c>
      <c r="G49" s="105">
        <v>1</v>
      </c>
      <c r="H49" s="106">
        <v>246.67005339040114</v>
      </c>
      <c r="I49" s="106">
        <v>14919927.554579644</v>
      </c>
      <c r="J49" s="127">
        <f t="shared" si="4"/>
        <v>1.6532925678629466E-5</v>
      </c>
      <c r="K49" s="128">
        <f t="shared" si="5"/>
        <v>1.2995305615101024E-2</v>
      </c>
      <c r="L49" s="142">
        <f t="shared" si="6"/>
        <v>1.2995305615101024E-2</v>
      </c>
      <c r="M49" s="163">
        <f t="shared" si="7"/>
        <v>12.995305615101024</v>
      </c>
      <c r="N49" s="204"/>
      <c r="O49" s="181"/>
      <c r="P49" s="181"/>
      <c r="Q49" s="110"/>
    </row>
    <row r="50" spans="1:21" s="103" customFormat="1" ht="18" customHeight="1" x14ac:dyDescent="0.3">
      <c r="A50" s="103" t="e">
        <f>C50&amp;#REF!</f>
        <v>#REF!</v>
      </c>
      <c r="C50" s="104" t="s">
        <v>183</v>
      </c>
      <c r="D50" s="104" t="s">
        <v>108</v>
      </c>
      <c r="E50" s="105">
        <v>50</v>
      </c>
      <c r="F50" s="105">
        <v>50</v>
      </c>
      <c r="G50" s="105">
        <v>1</v>
      </c>
      <c r="H50" s="106">
        <v>160.00157335125357</v>
      </c>
      <c r="I50" s="106">
        <v>14899184.40894427</v>
      </c>
      <c r="J50" s="127">
        <f t="shared" si="4"/>
        <v>1.0738948452453648E-5</v>
      </c>
      <c r="K50" s="128">
        <f t="shared" si="5"/>
        <v>1.0039106404498368E-2</v>
      </c>
      <c r="L50" s="142">
        <f t="shared" si="6"/>
        <v>1.0039106404498368E-2</v>
      </c>
      <c r="M50" s="163">
        <f t="shared" si="7"/>
        <v>10.039106404498368</v>
      </c>
      <c r="N50" s="203">
        <f t="shared" ref="N50" si="26">AVERAGE(L50:L51)</f>
        <v>1.0280619638847507E-2</v>
      </c>
      <c r="O50" s="180">
        <f t="shared" ref="O50" si="27">ABS(L50-L51)/N50*100</f>
        <v>4.6984178548252347</v>
      </c>
      <c r="P50" s="180">
        <f t="shared" ref="P50" si="28">2/3*2^(1-(0.5*LOG(N50/1000000000)))</f>
        <v>60.088951930657117</v>
      </c>
      <c r="Q50" s="110"/>
    </row>
    <row r="51" spans="1:21" s="103" customFormat="1" ht="18" customHeight="1" x14ac:dyDescent="0.3">
      <c r="A51" s="103" t="e">
        <f>C51&amp;#REF!</f>
        <v>#REF!</v>
      </c>
      <c r="C51" s="104" t="s">
        <v>184</v>
      </c>
      <c r="D51" s="104" t="s">
        <v>108</v>
      </c>
      <c r="E51" s="105">
        <v>50</v>
      </c>
      <c r="F51" s="105">
        <v>50</v>
      </c>
      <c r="G51" s="105">
        <v>1</v>
      </c>
      <c r="H51" s="106">
        <v>170.00164001840022</v>
      </c>
      <c r="I51" s="106">
        <v>14547895.113419713</v>
      </c>
      <c r="J51" s="127">
        <f t="shared" si="4"/>
        <v>1.1685652026840784E-5</v>
      </c>
      <c r="K51" s="128">
        <f t="shared" si="5"/>
        <v>1.0522132873196649E-2</v>
      </c>
      <c r="L51" s="142">
        <f t="shared" si="6"/>
        <v>1.0522132873196649E-2</v>
      </c>
      <c r="M51" s="163">
        <f t="shared" si="7"/>
        <v>10.522132873196648</v>
      </c>
      <c r="N51" s="204"/>
      <c r="O51" s="181"/>
      <c r="P51" s="181"/>
      <c r="Q51" s="110"/>
    </row>
    <row r="52" spans="1:21" s="103" customFormat="1" ht="18" customHeight="1" x14ac:dyDescent="0.3">
      <c r="A52" s="103" t="e">
        <f>C52&amp;#REF!</f>
        <v>#REF!</v>
      </c>
      <c r="C52" s="104" t="s">
        <v>185</v>
      </c>
      <c r="D52" s="104" t="s">
        <v>108</v>
      </c>
      <c r="E52" s="105">
        <v>50</v>
      </c>
      <c r="F52" s="105">
        <v>50</v>
      </c>
      <c r="G52" s="105">
        <v>1</v>
      </c>
      <c r="H52" s="106">
        <v>196.66934671237422</v>
      </c>
      <c r="I52" s="106">
        <v>14782057.427551007</v>
      </c>
      <c r="J52" s="127">
        <f t="shared" si="4"/>
        <v>1.3304599016495438E-5</v>
      </c>
      <c r="K52" s="128">
        <f t="shared" si="5"/>
        <v>1.1348150930568868E-2</v>
      </c>
      <c r="L52" s="142">
        <f t="shared" si="6"/>
        <v>1.1348150930568868E-2</v>
      </c>
      <c r="M52" s="163">
        <f t="shared" si="7"/>
        <v>11.348150930568869</v>
      </c>
      <c r="N52" s="203">
        <f t="shared" ref="N52" si="29">AVERAGE(L52:L53)</f>
        <v>1.1311128466455555E-2</v>
      </c>
      <c r="O52" s="180">
        <f t="shared" ref="O52" si="30">ABS(L52-L53)/N52*100</f>
        <v>0.65462016850231408</v>
      </c>
      <c r="P52" s="180">
        <f t="shared" ref="P52" si="31">2/3*2^(1-(0.5*LOG(N52/1000000000)))</f>
        <v>59.231163956395335</v>
      </c>
      <c r="Q52" s="110"/>
    </row>
    <row r="53" spans="1:21" s="111" customFormat="1" x14ac:dyDescent="0.3">
      <c r="A53" s="103" t="e">
        <f>C53&amp;#REF!</f>
        <v>#REF!</v>
      </c>
      <c r="B53" s="103"/>
      <c r="C53" s="104" t="s">
        <v>186</v>
      </c>
      <c r="D53" s="104" t="s">
        <v>108</v>
      </c>
      <c r="E53" s="105">
        <v>50</v>
      </c>
      <c r="F53" s="105">
        <v>50</v>
      </c>
      <c r="G53" s="105">
        <v>1</v>
      </c>
      <c r="H53" s="106">
        <v>193.33576003509393</v>
      </c>
      <c r="I53" s="106">
        <v>14691752.95259052</v>
      </c>
      <c r="J53" s="127">
        <f t="shared" si="4"/>
        <v>1.3159475296037022E-5</v>
      </c>
      <c r="K53" s="128">
        <f t="shared" si="5"/>
        <v>1.1274106002342243E-2</v>
      </c>
      <c r="L53" s="142">
        <f t="shared" si="6"/>
        <v>1.1274106002342243E-2</v>
      </c>
      <c r="M53" s="163">
        <f t="shared" si="7"/>
        <v>11.274106002342243</v>
      </c>
      <c r="N53" s="204"/>
      <c r="O53" s="181"/>
      <c r="P53" s="181"/>
      <c r="Q53" s="110"/>
      <c r="R53" s="103"/>
    </row>
    <row r="54" spans="1:21" s="119" customFormat="1" x14ac:dyDescent="0.3">
      <c r="A54" s="112"/>
      <c r="B54" s="112"/>
      <c r="C54" s="113" t="s">
        <v>187</v>
      </c>
      <c r="D54" s="113" t="s">
        <v>150</v>
      </c>
      <c r="E54" s="114">
        <v>50</v>
      </c>
      <c r="F54" s="114">
        <v>50</v>
      </c>
      <c r="G54" s="114">
        <v>1</v>
      </c>
      <c r="H54" s="115">
        <v>703.35550744114937</v>
      </c>
      <c r="I54" s="115">
        <v>14651916.337114044</v>
      </c>
      <c r="J54" s="132">
        <f t="shared" si="4"/>
        <v>4.8004335491563949E-5</v>
      </c>
      <c r="K54" s="133">
        <f t="shared" si="5"/>
        <v>2.9052627419066022E-2</v>
      </c>
      <c r="L54" s="159">
        <f t="shared" si="6"/>
        <v>2.9052627419066022E-2</v>
      </c>
      <c r="M54" s="163">
        <f t="shared" si="7"/>
        <v>29.052627419066024</v>
      </c>
      <c r="N54" s="199">
        <f t="shared" ref="N54" si="32">AVERAGE(L54:L55)</f>
        <v>2.8782736672303917E-2</v>
      </c>
      <c r="O54" s="188">
        <f t="shared" ref="O54" si="33">ABS(L54-L55)/N54*100</f>
        <v>1.8753654305693941</v>
      </c>
      <c r="P54" s="188">
        <f t="shared" ref="P54" si="34">2/3*2^(1-(0.5*LOG(N54/1000000000)))</f>
        <v>51.463278300136167</v>
      </c>
      <c r="Q54" s="118"/>
      <c r="R54" s="112"/>
    </row>
    <row r="55" spans="1:21" s="119" customFormat="1" x14ac:dyDescent="0.3">
      <c r="A55" s="112"/>
      <c r="B55" s="112"/>
      <c r="C55" s="113" t="s">
        <v>188</v>
      </c>
      <c r="D55" s="113" t="s">
        <v>150</v>
      </c>
      <c r="E55" s="114">
        <v>50</v>
      </c>
      <c r="F55" s="114">
        <v>50</v>
      </c>
      <c r="G55" s="114">
        <v>1</v>
      </c>
      <c r="H55" s="115">
        <v>690.02172075314809</v>
      </c>
      <c r="I55" s="115">
        <v>14698076.709801897</v>
      </c>
      <c r="J55" s="132">
        <f t="shared" si="4"/>
        <v>4.6946395394234424E-5</v>
      </c>
      <c r="K55" s="133">
        <f t="shared" si="5"/>
        <v>2.8512845925541815E-2</v>
      </c>
      <c r="L55" s="159">
        <f t="shared" si="6"/>
        <v>2.8512845925541815E-2</v>
      </c>
      <c r="M55" s="163">
        <f t="shared" si="7"/>
        <v>28.512845925541814</v>
      </c>
      <c r="N55" s="200"/>
      <c r="O55" s="189"/>
      <c r="P55" s="189"/>
      <c r="Q55" s="118"/>
      <c r="R55" s="112"/>
    </row>
    <row r="56" spans="1:21" s="119" customFormat="1" x14ac:dyDescent="0.3">
      <c r="A56" s="112"/>
      <c r="B56" s="112"/>
      <c r="C56" s="113" t="s">
        <v>189</v>
      </c>
      <c r="D56" s="113" t="s">
        <v>150</v>
      </c>
      <c r="E56" s="114">
        <v>50</v>
      </c>
      <c r="F56" s="114">
        <v>50</v>
      </c>
      <c r="G56" s="114">
        <v>1</v>
      </c>
      <c r="H56" s="115">
        <v>690.02201413160549</v>
      </c>
      <c r="I56" s="115">
        <v>14553577.330044426</v>
      </c>
      <c r="J56" s="132">
        <f t="shared" si="4"/>
        <v>4.741253634645023E-5</v>
      </c>
      <c r="K56" s="133">
        <f t="shared" si="5"/>
        <v>2.8750680052459753E-2</v>
      </c>
      <c r="L56" s="159">
        <f t="shared" si="6"/>
        <v>2.8750680052459753E-2</v>
      </c>
      <c r="M56" s="163">
        <f t="shared" si="7"/>
        <v>28.750680052459753</v>
      </c>
      <c r="N56" s="199">
        <f t="shared" ref="N56" si="35">AVERAGE(L56:L57)</f>
        <v>2.8735089621174444E-2</v>
      </c>
      <c r="O56" s="188">
        <f t="shared" ref="O56" si="36">ABS(L56-L57)/N56*100</f>
        <v>0.10851145057033189</v>
      </c>
      <c r="P56" s="188">
        <f t="shared" ref="P56" si="37">2/3*2^(1-(0.5*LOG(N56/1000000000)))</f>
        <v>51.47611327531915</v>
      </c>
      <c r="Q56" s="118"/>
      <c r="R56" s="112"/>
    </row>
    <row r="57" spans="1:21" s="119" customFormat="1" x14ac:dyDescent="0.3">
      <c r="A57" s="112"/>
      <c r="B57" s="112"/>
      <c r="C57" s="113" t="s">
        <v>190</v>
      </c>
      <c r="D57" s="113" t="s">
        <v>150</v>
      </c>
      <c r="E57" s="114">
        <v>50</v>
      </c>
      <c r="F57" s="114">
        <v>50</v>
      </c>
      <c r="G57" s="114">
        <v>1</v>
      </c>
      <c r="H57" s="115">
        <v>696.68801404082512</v>
      </c>
      <c r="I57" s="115">
        <v>14713137.638812557</v>
      </c>
      <c r="J57" s="132">
        <f t="shared" si="4"/>
        <v>4.7351423682940024E-5</v>
      </c>
      <c r="K57" s="133">
        <f t="shared" si="5"/>
        <v>2.8719499189889131E-2</v>
      </c>
      <c r="L57" s="159">
        <f t="shared" si="6"/>
        <v>2.8719499189889131E-2</v>
      </c>
      <c r="M57" s="163">
        <f t="shared" si="7"/>
        <v>28.719499189889131</v>
      </c>
      <c r="N57" s="200"/>
      <c r="O57" s="189"/>
      <c r="P57" s="189"/>
      <c r="Q57" s="118"/>
      <c r="R57" s="112"/>
    </row>
    <row r="58" spans="1:21" s="119" customFormat="1" x14ac:dyDescent="0.3">
      <c r="A58" s="112"/>
      <c r="B58" s="112"/>
      <c r="C58" s="113" t="s">
        <v>191</v>
      </c>
      <c r="D58" s="113" t="s">
        <v>150</v>
      </c>
      <c r="E58" s="114">
        <v>50</v>
      </c>
      <c r="F58" s="114">
        <v>50</v>
      </c>
      <c r="G58" s="114">
        <v>1</v>
      </c>
      <c r="H58" s="115">
        <v>600.00512010656303</v>
      </c>
      <c r="I58" s="115">
        <v>14962299.782851018</v>
      </c>
      <c r="J58" s="132">
        <f t="shared" si="4"/>
        <v>4.0101129426256822E-5</v>
      </c>
      <c r="K58" s="133">
        <f t="shared" si="5"/>
        <v>2.50202588716129E-2</v>
      </c>
      <c r="L58" s="159">
        <f t="shared" si="6"/>
        <v>2.50202588716129E-2</v>
      </c>
      <c r="M58" s="163">
        <f t="shared" si="7"/>
        <v>25.020258871612899</v>
      </c>
      <c r="N58" s="199">
        <f t="shared" ref="N58" si="38">AVERAGE(L58:L59)</f>
        <v>2.516649983090509E-2</v>
      </c>
      <c r="O58" s="188">
        <f t="shared" ref="O58" si="39">ABS(L58-L59)/N58*100</f>
        <v>1.162187513359358</v>
      </c>
      <c r="P58" s="188">
        <f t="shared" ref="P58" si="40">2/3*2^(1-(0.5*LOG(N58/1000000000)))</f>
        <v>52.513850953125484</v>
      </c>
      <c r="Q58" s="118"/>
      <c r="R58" s="112"/>
    </row>
    <row r="59" spans="1:21" s="119" customFormat="1" x14ac:dyDescent="0.3">
      <c r="A59" s="112"/>
      <c r="B59" s="112"/>
      <c r="C59" s="113" t="s">
        <v>192</v>
      </c>
      <c r="D59" s="113" t="s">
        <v>150</v>
      </c>
      <c r="E59" s="114">
        <v>50</v>
      </c>
      <c r="F59" s="114">
        <v>50</v>
      </c>
      <c r="G59" s="114">
        <v>1</v>
      </c>
      <c r="H59" s="115">
        <v>610.00249336837396</v>
      </c>
      <c r="I59" s="115">
        <v>14997217.920496428</v>
      </c>
      <c r="J59" s="132">
        <f t="shared" si="4"/>
        <v>4.0674376847901535E-5</v>
      </c>
      <c r="K59" s="133">
        <f t="shared" si="5"/>
        <v>2.5312740790197283E-2</v>
      </c>
      <c r="L59" s="159">
        <f t="shared" si="6"/>
        <v>2.5312740790197283E-2</v>
      </c>
      <c r="M59" s="163">
        <f t="shared" si="7"/>
        <v>25.312740790197282</v>
      </c>
      <c r="N59" s="200"/>
      <c r="O59" s="189"/>
      <c r="P59" s="189"/>
      <c r="Q59" s="118"/>
      <c r="R59" s="112"/>
    </row>
    <row r="60" spans="1:21" x14ac:dyDescent="0.3">
      <c r="C60" s="36"/>
      <c r="D60" s="36"/>
      <c r="E60" s="36"/>
      <c r="F60" s="36"/>
      <c r="G60" s="36"/>
      <c r="H60" s="36"/>
      <c r="I60" s="30"/>
      <c r="J60" s="30"/>
      <c r="K60" s="30"/>
      <c r="L60" s="30"/>
      <c r="M60" s="30"/>
      <c r="N60" s="30"/>
      <c r="O60" s="30"/>
      <c r="P60" s="30"/>
      <c r="Q60" s="30"/>
      <c r="R60" s="30"/>
      <c r="T60" s="15"/>
      <c r="U60" s="15"/>
    </row>
    <row r="61" spans="1:21" x14ac:dyDescent="0.3"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</row>
    <row r="62" spans="1:21" x14ac:dyDescent="0.3">
      <c r="C62" s="61" t="s">
        <v>47</v>
      </c>
      <c r="D62" s="54"/>
      <c r="E62" s="55"/>
      <c r="F62" s="30"/>
      <c r="G62" s="30"/>
      <c r="H62" s="58" t="s">
        <v>48</v>
      </c>
      <c r="I62" s="30"/>
      <c r="J62" s="30"/>
      <c r="K62" s="30"/>
      <c r="L62" s="30"/>
      <c r="M62" s="30"/>
      <c r="N62" s="30"/>
      <c r="O62" s="30"/>
      <c r="P62" s="30"/>
      <c r="Q62" s="30"/>
      <c r="R62" s="30"/>
    </row>
    <row r="63" spans="1:21" ht="14.5" x14ac:dyDescent="0.35">
      <c r="C63" s="53" t="s">
        <v>30</v>
      </c>
      <c r="D63" s="56" t="s">
        <v>51</v>
      </c>
      <c r="E63" s="55"/>
      <c r="F63" s="30"/>
      <c r="G63" s="30"/>
      <c r="H63" s="57" t="s">
        <v>54</v>
      </c>
      <c r="I63" s="30"/>
      <c r="J63" s="30"/>
      <c r="K63" s="30"/>
      <c r="L63" s="30"/>
      <c r="M63" s="30"/>
      <c r="N63" s="30"/>
      <c r="O63" s="30"/>
      <c r="P63" s="30"/>
      <c r="Q63" s="30"/>
      <c r="R63" s="30"/>
    </row>
    <row r="64" spans="1:21" x14ac:dyDescent="0.3">
      <c r="C64" s="53" t="s">
        <v>31</v>
      </c>
      <c r="D64" s="56" t="s">
        <v>52</v>
      </c>
      <c r="E64" s="55"/>
      <c r="F64" s="30"/>
      <c r="G64" s="30"/>
      <c r="H64" s="57"/>
      <c r="I64" s="30"/>
      <c r="J64" s="30"/>
      <c r="K64" s="30"/>
      <c r="L64" s="30"/>
      <c r="M64" s="30"/>
      <c r="N64" s="30"/>
      <c r="O64" s="30"/>
      <c r="P64" s="30"/>
      <c r="Q64" s="30"/>
      <c r="R64" s="30"/>
    </row>
    <row r="65" spans="3:8" x14ac:dyDescent="0.3">
      <c r="C65" s="22" t="s">
        <v>39</v>
      </c>
      <c r="D65" s="21" t="s">
        <v>53</v>
      </c>
      <c r="E65" s="20"/>
      <c r="H65" s="46"/>
    </row>
    <row r="66" spans="3:8" x14ac:dyDescent="0.3">
      <c r="C66" s="57" t="s">
        <v>139</v>
      </c>
      <c r="D66" s="64" t="s">
        <v>140</v>
      </c>
      <c r="E66" s="30"/>
      <c r="F66" s="30"/>
    </row>
  </sheetData>
  <mergeCells count="45">
    <mergeCell ref="C8:D8"/>
    <mergeCell ref="C1:S1"/>
    <mergeCell ref="C7:D7"/>
    <mergeCell ref="C12:D12"/>
    <mergeCell ref="B28:B31"/>
    <mergeCell ref="C28:G28"/>
    <mergeCell ref="C29:G29"/>
    <mergeCell ref="C30:G30"/>
    <mergeCell ref="C31:G31"/>
    <mergeCell ref="N36:N37"/>
    <mergeCell ref="N38:N39"/>
    <mergeCell ref="N40:N41"/>
    <mergeCell ref="N42:N43"/>
    <mergeCell ref="N44:N45"/>
    <mergeCell ref="O56:O57"/>
    <mergeCell ref="O58:O59"/>
    <mergeCell ref="N56:N57"/>
    <mergeCell ref="N58:N59"/>
    <mergeCell ref="N46:N47"/>
    <mergeCell ref="N48:N49"/>
    <mergeCell ref="N50:N51"/>
    <mergeCell ref="N52:N53"/>
    <mergeCell ref="N54:N55"/>
    <mergeCell ref="O46:O47"/>
    <mergeCell ref="O48:O49"/>
    <mergeCell ref="O50:O51"/>
    <mergeCell ref="O52:O53"/>
    <mergeCell ref="O54:O55"/>
    <mergeCell ref="O36:O37"/>
    <mergeCell ref="O38:O39"/>
    <mergeCell ref="O40:O41"/>
    <mergeCell ref="O42:O43"/>
    <mergeCell ref="O44:O45"/>
    <mergeCell ref="P36:P37"/>
    <mergeCell ref="P38:P39"/>
    <mergeCell ref="P40:P41"/>
    <mergeCell ref="P42:P43"/>
    <mergeCell ref="P44:P45"/>
    <mergeCell ref="P56:P57"/>
    <mergeCell ref="P58:P59"/>
    <mergeCell ref="P46:P47"/>
    <mergeCell ref="P48:P49"/>
    <mergeCell ref="P50:P51"/>
    <mergeCell ref="P52:P53"/>
    <mergeCell ref="P54:P55"/>
  </mergeCells>
  <conditionalFormatting sqref="C17:D17 D16">
    <cfRule type="duplicateValues" dxfId="13" priority="3"/>
  </conditionalFormatting>
  <conditionalFormatting sqref="C32:D34">
    <cfRule type="duplicateValues" dxfId="12" priority="2"/>
  </conditionalFormatting>
  <printOptions horizontalCentered="1"/>
  <pageMargins left="0.31496062992125984" right="0.31496062992125984" top="0.55118110236220474" bottom="0.55118110236220474" header="0.31496062992125984" footer="0.31496062992125984"/>
  <pageSetup paperSize="9" scale="39" fitToHeight="0" orientation="portrait" horizontalDpi="4294967292" verticalDpi="360" r:id="rId1"/>
  <headerFooter>
    <oddHeader xml:space="preserve">&amp;R&amp;"Arial,Regular"&amp;10No.: 18-13-14.1/F-MU
Revisi 7
</oddHead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915E49-154E-4236-A272-21AC7C06E51B}">
  <sheetPr codeName="Sheet6">
    <tabColor rgb="FF92D050"/>
    <pageSetUpPr fitToPage="1"/>
  </sheetPr>
  <dimension ref="A1:V78"/>
  <sheetViews>
    <sheetView view="pageBreakPreview" topLeftCell="B26" zoomScale="68" zoomScaleNormal="68" zoomScaleSheetLayoutView="68" zoomScalePageLayoutView="70" workbookViewId="0">
      <selection activeCell="P66" sqref="P66:P67"/>
    </sheetView>
  </sheetViews>
  <sheetFormatPr defaultColWidth="8.54296875" defaultRowHeight="14" x14ac:dyDescent="0.3"/>
  <cols>
    <col min="1" max="1" width="8.54296875" style="5" hidden="1" customWidth="1"/>
    <col min="2" max="2" width="8.7265625" style="5" customWidth="1"/>
    <col min="3" max="3" width="18.7265625" style="5" customWidth="1"/>
    <col min="4" max="4" width="32.26953125" style="5" customWidth="1"/>
    <col min="5" max="5" width="12.7265625" style="5" customWidth="1"/>
    <col min="6" max="6" width="14.453125" style="5" bestFit="1" customWidth="1"/>
    <col min="7" max="7" width="10.81640625" style="5" bestFit="1" customWidth="1"/>
    <col min="8" max="8" width="13.7265625" style="5" customWidth="1"/>
    <col min="9" max="9" width="15.7265625" style="5" bestFit="1" customWidth="1"/>
    <col min="10" max="10" width="13.453125" style="5" bestFit="1" customWidth="1"/>
    <col min="11" max="11" width="12.1796875" style="5" customWidth="1"/>
    <col min="12" max="13" width="15.1796875" style="5" customWidth="1"/>
    <col min="14" max="14" width="13.54296875" style="5" customWidth="1"/>
    <col min="15" max="16" width="17.453125" style="5" customWidth="1"/>
    <col min="17" max="17" width="34.1796875" style="5" bestFit="1" customWidth="1"/>
    <col min="18" max="19" width="17.453125" style="5" customWidth="1"/>
    <col min="20" max="20" width="12.26953125" style="5" customWidth="1"/>
    <col min="21" max="21" width="9.1796875" style="5" customWidth="1"/>
    <col min="22" max="22" width="10.453125" style="5" customWidth="1"/>
    <col min="23" max="16384" width="8.54296875" style="5"/>
  </cols>
  <sheetData>
    <row r="1" spans="3:22" ht="39.75" customHeight="1" x14ac:dyDescent="0.3">
      <c r="C1" s="192" t="s">
        <v>50</v>
      </c>
      <c r="D1" s="192"/>
      <c r="E1" s="192"/>
      <c r="F1" s="192"/>
      <c r="G1" s="192"/>
      <c r="H1" s="192"/>
      <c r="I1" s="192"/>
      <c r="J1" s="192"/>
      <c r="K1" s="192"/>
      <c r="L1" s="192"/>
      <c r="M1" s="192"/>
      <c r="N1" s="192"/>
      <c r="O1" s="192"/>
      <c r="P1" s="192"/>
      <c r="Q1" s="192"/>
      <c r="R1" s="192"/>
      <c r="S1" s="192"/>
      <c r="T1" s="4"/>
      <c r="U1" s="4"/>
      <c r="V1" s="4"/>
    </row>
    <row r="2" spans="3:22" ht="15" customHeight="1" x14ac:dyDescent="0.3">
      <c r="C2" s="3"/>
      <c r="D2" s="3"/>
      <c r="E2" s="3"/>
      <c r="F2" s="3"/>
      <c r="G2" s="6"/>
      <c r="H2" s="6"/>
      <c r="I2" s="6"/>
      <c r="J2" s="6"/>
      <c r="K2" s="7"/>
      <c r="N2" s="8"/>
      <c r="O2" s="9"/>
      <c r="P2" s="9"/>
      <c r="Q2" s="9"/>
      <c r="R2" s="9"/>
      <c r="T2" s="4"/>
      <c r="U2" s="4"/>
      <c r="V2" s="4"/>
    </row>
    <row r="3" spans="3:22" ht="15" customHeight="1" x14ac:dyDescent="0.35">
      <c r="C3" s="3"/>
      <c r="D3" s="3"/>
      <c r="E3" s="3"/>
      <c r="F3" s="3"/>
      <c r="G3" s="6"/>
      <c r="H3" s="6"/>
      <c r="I3" s="6"/>
      <c r="J3" s="6"/>
      <c r="K3" s="6"/>
      <c r="O3"/>
      <c r="P3"/>
      <c r="Q3"/>
      <c r="R3"/>
      <c r="S3"/>
      <c r="T3" s="4"/>
      <c r="U3" s="4"/>
      <c r="V3" s="4"/>
    </row>
    <row r="4" spans="3:22" ht="14.5" x14ac:dyDescent="0.35">
      <c r="G4" s="6"/>
      <c r="H4" s="6"/>
      <c r="I4" s="6"/>
      <c r="J4" s="6"/>
      <c r="K4" s="6"/>
      <c r="O4"/>
      <c r="P4"/>
      <c r="Q4"/>
      <c r="R4"/>
      <c r="S4"/>
    </row>
    <row r="5" spans="3:22" ht="14.5" x14ac:dyDescent="0.35">
      <c r="C5" s="10" t="s">
        <v>7</v>
      </c>
      <c r="D5" s="11"/>
      <c r="E5" s="12" t="s">
        <v>58</v>
      </c>
      <c r="G5" s="13"/>
      <c r="H5" s="6"/>
      <c r="I5" s="14"/>
      <c r="K5" s="6"/>
      <c r="L5" s="15"/>
      <c r="M5" s="15"/>
      <c r="O5"/>
      <c r="P5"/>
      <c r="Q5"/>
      <c r="R5"/>
      <c r="S5"/>
    </row>
    <row r="6" spans="3:22" ht="14.5" x14ac:dyDescent="0.35">
      <c r="C6" s="10" t="s">
        <v>10</v>
      </c>
      <c r="D6" s="11"/>
      <c r="E6" s="12" t="s">
        <v>59</v>
      </c>
      <c r="F6" s="17"/>
      <c r="G6" s="24"/>
      <c r="H6" s="17"/>
      <c r="I6" s="16"/>
      <c r="J6" s="17"/>
      <c r="K6" s="6"/>
      <c r="L6" s="15"/>
      <c r="M6" s="15"/>
      <c r="O6"/>
      <c r="P6"/>
      <c r="Q6"/>
      <c r="R6"/>
      <c r="S6"/>
    </row>
    <row r="7" spans="3:22" x14ac:dyDescent="0.3">
      <c r="C7" s="193" t="s">
        <v>35</v>
      </c>
      <c r="D7" s="193"/>
      <c r="E7" s="12" t="s">
        <v>60</v>
      </c>
      <c r="G7" s="24"/>
      <c r="H7" s="17"/>
      <c r="I7" s="16"/>
      <c r="J7" s="17"/>
      <c r="K7" s="6"/>
      <c r="L7" s="15"/>
      <c r="M7" s="15"/>
      <c r="N7" s="6"/>
      <c r="O7" s="15"/>
      <c r="P7" s="15"/>
      <c r="Q7" s="15"/>
      <c r="R7" s="15"/>
    </row>
    <row r="8" spans="3:22" ht="14.5" x14ac:dyDescent="0.35">
      <c r="C8" s="194" t="s">
        <v>36</v>
      </c>
      <c r="D8" s="194"/>
      <c r="E8" s="60" t="s">
        <v>142</v>
      </c>
      <c r="F8" s="30"/>
      <c r="G8" s="63"/>
      <c r="H8" s="63"/>
      <c r="I8" s="8"/>
      <c r="N8" s="25" t="s">
        <v>45</v>
      </c>
      <c r="O8" s="26"/>
      <c r="P8" s="27"/>
      <c r="Q8"/>
    </row>
    <row r="9" spans="3:22" ht="14.5" x14ac:dyDescent="0.35">
      <c r="C9" s="10" t="s">
        <v>24</v>
      </c>
      <c r="D9" s="18"/>
      <c r="E9" s="12" t="s">
        <v>131</v>
      </c>
      <c r="N9" s="28" t="s">
        <v>25</v>
      </c>
      <c r="O9" s="29" t="s">
        <v>55</v>
      </c>
      <c r="P9" s="23"/>
      <c r="Q9"/>
    </row>
    <row r="10" spans="3:22" ht="14.5" x14ac:dyDescent="0.35">
      <c r="C10" s="10" t="s">
        <v>41</v>
      </c>
      <c r="D10" s="18"/>
      <c r="E10" s="12" t="s">
        <v>130</v>
      </c>
      <c r="N10" s="28"/>
      <c r="O10" s="36" t="s">
        <v>56</v>
      </c>
      <c r="P10" s="23"/>
      <c r="Q10"/>
    </row>
    <row r="11" spans="3:22" ht="14.5" x14ac:dyDescent="0.35">
      <c r="C11" s="31" t="s">
        <v>26</v>
      </c>
      <c r="D11" s="32"/>
      <c r="E11" s="33" t="s">
        <v>132</v>
      </c>
      <c r="F11" s="30"/>
      <c r="G11" s="30"/>
      <c r="H11" s="30"/>
      <c r="I11" s="30"/>
      <c r="N11" s="34"/>
      <c r="O11" s="59"/>
      <c r="P11" s="35"/>
      <c r="Q11"/>
    </row>
    <row r="12" spans="3:22" x14ac:dyDescent="0.3">
      <c r="C12" s="195" t="s">
        <v>37</v>
      </c>
      <c r="D12" s="195"/>
      <c r="E12" s="33" t="str">
        <f>E6</f>
        <v>: 8 September 2023</v>
      </c>
      <c r="F12" s="30"/>
      <c r="G12" s="36"/>
      <c r="H12" s="30"/>
      <c r="I12" s="37"/>
      <c r="J12" s="30"/>
      <c r="K12" s="36"/>
      <c r="L12" s="38"/>
      <c r="M12" s="38"/>
      <c r="N12" s="38"/>
      <c r="O12" s="30"/>
      <c r="P12" s="30"/>
      <c r="Q12" s="30"/>
      <c r="R12" s="30"/>
    </row>
    <row r="13" spans="3:22" x14ac:dyDescent="0.3">
      <c r="C13" s="30" t="s">
        <v>40</v>
      </c>
      <c r="D13" s="33"/>
      <c r="E13" s="30" t="s">
        <v>133</v>
      </c>
      <c r="F13" s="30"/>
      <c r="G13" s="36"/>
      <c r="H13" s="30"/>
      <c r="I13" s="37"/>
      <c r="J13" s="30"/>
      <c r="K13" s="36"/>
      <c r="L13" s="30"/>
      <c r="M13" s="30"/>
    </row>
    <row r="14" spans="3:22" x14ac:dyDescent="0.3">
      <c r="C14" s="30" t="s">
        <v>44</v>
      </c>
      <c r="D14" s="33"/>
      <c r="E14" s="30" t="s">
        <v>64</v>
      </c>
      <c r="F14" s="33"/>
      <c r="G14" s="36"/>
      <c r="H14" s="30"/>
      <c r="I14" s="37"/>
      <c r="J14" s="30"/>
      <c r="K14" s="36"/>
      <c r="L14" s="30"/>
      <c r="M14" s="30"/>
    </row>
    <row r="15" spans="3:22" x14ac:dyDescent="0.3">
      <c r="C15" s="30"/>
      <c r="D15" s="33"/>
      <c r="E15" s="30"/>
      <c r="F15" s="33"/>
      <c r="G15" s="36"/>
      <c r="H15" s="30"/>
      <c r="I15" s="37"/>
      <c r="J15" s="30"/>
      <c r="K15" s="36"/>
      <c r="L15" s="30"/>
      <c r="M15" s="30"/>
    </row>
    <row r="16" spans="3:22" x14ac:dyDescent="0.3">
      <c r="C16" s="31" t="s">
        <v>9</v>
      </c>
      <c r="D16" s="31"/>
      <c r="E16" s="31" t="s">
        <v>138</v>
      </c>
      <c r="F16" s="39"/>
      <c r="G16" s="39"/>
      <c r="H16" s="39"/>
      <c r="I16" s="39"/>
      <c r="J16" s="39"/>
      <c r="K16" s="39"/>
      <c r="L16" s="30"/>
      <c r="M16" s="30"/>
      <c r="S16" s="4"/>
      <c r="T16" s="4"/>
      <c r="U16" s="4"/>
    </row>
    <row r="17" spans="1:22" x14ac:dyDescent="0.3">
      <c r="C17" s="31"/>
      <c r="D17" s="31"/>
      <c r="E17" s="30"/>
      <c r="F17" s="40"/>
      <c r="G17" s="40"/>
      <c r="H17" s="40"/>
      <c r="I17" s="40"/>
      <c r="J17" s="40"/>
      <c r="K17" s="40"/>
      <c r="L17" s="30"/>
      <c r="M17" s="30"/>
      <c r="N17" s="30"/>
      <c r="O17" s="30"/>
      <c r="P17" s="30"/>
      <c r="Q17" s="30"/>
      <c r="R17" s="30"/>
    </row>
    <row r="18" spans="1:22" x14ac:dyDescent="0.3">
      <c r="C18" s="41"/>
      <c r="D18" s="41"/>
      <c r="E18" s="41"/>
      <c r="F18" s="41"/>
      <c r="G18" s="42"/>
      <c r="H18" s="42"/>
      <c r="I18" s="30"/>
      <c r="J18" s="30"/>
      <c r="K18" s="41"/>
      <c r="L18" s="41"/>
      <c r="M18" s="41"/>
      <c r="N18" s="41"/>
      <c r="O18" s="41"/>
      <c r="P18" s="41"/>
      <c r="Q18" s="41"/>
      <c r="R18" s="41"/>
      <c r="S18" s="4"/>
      <c r="T18" s="4"/>
      <c r="U18" s="4"/>
      <c r="V18" s="4"/>
    </row>
    <row r="19" spans="1:22" ht="57.75" customHeight="1" x14ac:dyDescent="0.3">
      <c r="B19" s="19" t="s">
        <v>27</v>
      </c>
      <c r="C19" s="43" t="s">
        <v>6</v>
      </c>
      <c r="D19" s="43" t="s">
        <v>28</v>
      </c>
      <c r="E19" s="43" t="s">
        <v>42</v>
      </c>
      <c r="F19" s="43" t="s">
        <v>43</v>
      </c>
      <c r="G19" s="43" t="s">
        <v>8</v>
      </c>
      <c r="H19" s="44" t="s">
        <v>23</v>
      </c>
      <c r="I19" s="30"/>
      <c r="J19" s="45"/>
      <c r="K19" s="45"/>
      <c r="L19" s="46"/>
      <c r="M19" s="46"/>
      <c r="N19" s="46"/>
      <c r="O19" s="46"/>
      <c r="P19" s="46"/>
      <c r="Q19" s="46"/>
      <c r="R19" s="46"/>
      <c r="S19" s="4"/>
    </row>
    <row r="20" spans="1:22" x14ac:dyDescent="0.3">
      <c r="A20" s="5" t="str">
        <f>"CalBlk"&amp;B20</f>
        <v>CalBlk1</v>
      </c>
      <c r="B20" s="19">
        <v>1</v>
      </c>
      <c r="C20" s="67">
        <v>0</v>
      </c>
      <c r="D20" s="43">
        <f>C20*1000/1000</f>
        <v>0</v>
      </c>
      <c r="E20" s="48">
        <v>1173.3927765519709</v>
      </c>
      <c r="F20" s="48">
        <v>20160637.326724101</v>
      </c>
      <c r="G20" s="66">
        <f>E20/F20</f>
        <v>5.8202166803356476E-5</v>
      </c>
      <c r="H20" s="49">
        <f>G20-$G$20</f>
        <v>0</v>
      </c>
      <c r="I20" s="30"/>
      <c r="J20" s="45"/>
      <c r="K20" s="45"/>
      <c r="L20" s="46"/>
      <c r="M20" s="46"/>
      <c r="N20" s="46"/>
      <c r="O20" s="46"/>
      <c r="P20" s="46"/>
      <c r="Q20" s="46"/>
      <c r="R20" s="46"/>
      <c r="S20" s="4"/>
    </row>
    <row r="21" spans="1:22" x14ac:dyDescent="0.3">
      <c r="A21" s="5" t="str">
        <f>"CalStd"&amp;B21</f>
        <v>CalStd2</v>
      </c>
      <c r="B21" s="19">
        <v>2</v>
      </c>
      <c r="C21" s="43">
        <f>0.125</f>
        <v>0.125</v>
      </c>
      <c r="D21" s="43">
        <f t="shared" ref="D21:D27" si="0">C21*1000/1000</f>
        <v>0.125</v>
      </c>
      <c r="E21" s="48">
        <v>7248.8006909672795</v>
      </c>
      <c r="F21" s="48">
        <v>20387968.412919831</v>
      </c>
      <c r="G21" s="49">
        <f t="shared" ref="G21:G27" si="1">E21/F21</f>
        <v>3.5554306069915842E-4</v>
      </c>
      <c r="H21" s="49">
        <f t="shared" ref="H21:H27" si="2">G21-$G$20</f>
        <v>2.9734089389580194E-4</v>
      </c>
      <c r="I21" s="30"/>
      <c r="J21" s="45"/>
      <c r="K21" s="45"/>
      <c r="L21" s="46"/>
      <c r="M21" s="46"/>
      <c r="N21" s="46"/>
      <c r="O21" s="46"/>
      <c r="P21" s="46"/>
      <c r="Q21" s="46"/>
      <c r="R21" s="46"/>
      <c r="S21" s="4"/>
    </row>
    <row r="22" spans="1:22" x14ac:dyDescent="0.3">
      <c r="A22" s="5" t="str">
        <f t="shared" ref="A22:A27" si="3">"CalStd"&amp;B22</f>
        <v>CalStd3</v>
      </c>
      <c r="B22" s="19">
        <v>3</v>
      </c>
      <c r="C22" s="48">
        <f>0.25</f>
        <v>0.25</v>
      </c>
      <c r="D22" s="48">
        <f t="shared" si="0"/>
        <v>0.25</v>
      </c>
      <c r="E22" s="48">
        <v>16584.405579159404</v>
      </c>
      <c r="F22" s="48">
        <v>26923174.287658904</v>
      </c>
      <c r="G22" s="49">
        <f t="shared" si="1"/>
        <v>6.1598997956052292E-4</v>
      </c>
      <c r="H22" s="49">
        <f t="shared" si="2"/>
        <v>5.5778781275716649E-4</v>
      </c>
      <c r="I22" s="30"/>
      <c r="J22" s="45"/>
      <c r="K22" s="45"/>
      <c r="L22" s="46"/>
      <c r="M22" s="46"/>
      <c r="N22" s="46"/>
      <c r="O22" s="46"/>
      <c r="P22" s="46"/>
      <c r="Q22" s="46"/>
      <c r="R22" s="46"/>
      <c r="S22" s="4"/>
    </row>
    <row r="23" spans="1:22" x14ac:dyDescent="0.3">
      <c r="A23" s="5" t="str">
        <f t="shared" si="3"/>
        <v>CalStd4</v>
      </c>
      <c r="B23" s="19">
        <v>4</v>
      </c>
      <c r="C23" s="48">
        <f>0.5</f>
        <v>0.5</v>
      </c>
      <c r="D23" s="48">
        <f t="shared" si="0"/>
        <v>0.5</v>
      </c>
      <c r="E23" s="48">
        <v>27243.154882204923</v>
      </c>
      <c r="F23" s="48">
        <v>19579155.804660041</v>
      </c>
      <c r="G23" s="49">
        <f>E23/F23</f>
        <v>1.3914366458905635E-3</v>
      </c>
      <c r="H23" s="49">
        <f t="shared" si="2"/>
        <v>1.333234479087207E-3</v>
      </c>
      <c r="I23" s="30"/>
      <c r="J23" s="45"/>
      <c r="K23" s="45"/>
      <c r="L23" s="46"/>
      <c r="M23" s="46"/>
      <c r="N23" s="46"/>
      <c r="O23" s="46"/>
      <c r="P23" s="46"/>
      <c r="Q23" s="46"/>
      <c r="R23" s="46"/>
      <c r="S23" s="4"/>
    </row>
    <row r="24" spans="1:22" x14ac:dyDescent="0.3">
      <c r="A24" s="5" t="str">
        <f t="shared" si="3"/>
        <v>CalStd5</v>
      </c>
      <c r="B24" s="19">
        <v>5</v>
      </c>
      <c r="C24" s="48">
        <f>1</f>
        <v>1</v>
      </c>
      <c r="D24" s="48">
        <f t="shared" si="0"/>
        <v>1</v>
      </c>
      <c r="E24" s="48">
        <v>60271.924811351833</v>
      </c>
      <c r="F24" s="48">
        <v>19676645.095592711</v>
      </c>
      <c r="G24" s="47">
        <f t="shared" si="1"/>
        <v>3.0631199840491044E-3</v>
      </c>
      <c r="H24" s="47">
        <f t="shared" si="2"/>
        <v>3.0049178172457478E-3</v>
      </c>
      <c r="I24" s="30"/>
      <c r="J24" s="45"/>
      <c r="K24" s="45"/>
      <c r="L24" s="46"/>
      <c r="M24" s="46"/>
      <c r="N24" s="46"/>
      <c r="O24" s="46"/>
      <c r="P24" s="46"/>
      <c r="Q24" s="46"/>
      <c r="R24" s="46"/>
      <c r="S24" s="4"/>
    </row>
    <row r="25" spans="1:22" x14ac:dyDescent="0.3">
      <c r="A25" s="5" t="str">
        <f t="shared" si="3"/>
        <v>CalStd6</v>
      </c>
      <c r="B25" s="19">
        <v>6</v>
      </c>
      <c r="C25" s="48">
        <f>2</f>
        <v>2</v>
      </c>
      <c r="D25" s="48">
        <f t="shared" si="0"/>
        <v>2</v>
      </c>
      <c r="E25" s="48">
        <v>111553.73041109259</v>
      </c>
      <c r="F25" s="48">
        <v>17547979.844035402</v>
      </c>
      <c r="G25" s="47">
        <f t="shared" si="1"/>
        <v>6.3570696685641545E-3</v>
      </c>
      <c r="H25" s="47">
        <f t="shared" si="2"/>
        <v>6.2988675017607984E-3</v>
      </c>
      <c r="I25" s="30"/>
      <c r="J25" s="45"/>
      <c r="K25" s="45"/>
      <c r="L25" s="46"/>
      <c r="M25" s="46"/>
      <c r="N25" s="46"/>
      <c r="O25" s="46"/>
      <c r="P25" s="46"/>
      <c r="Q25" s="46"/>
      <c r="R25" s="46"/>
      <c r="S25" s="4"/>
    </row>
    <row r="26" spans="1:22" x14ac:dyDescent="0.3">
      <c r="A26" s="5" t="str">
        <f t="shared" si="3"/>
        <v>CalStd7</v>
      </c>
      <c r="B26" s="19">
        <v>7</v>
      </c>
      <c r="C26" s="48">
        <f>3</f>
        <v>3</v>
      </c>
      <c r="D26" s="48">
        <f t="shared" si="0"/>
        <v>3</v>
      </c>
      <c r="E26" s="48">
        <v>196448.83196310027</v>
      </c>
      <c r="F26" s="48">
        <v>20705726.136576671</v>
      </c>
      <c r="G26" s="47">
        <f t="shared" si="1"/>
        <v>9.4876572145940509E-3</v>
      </c>
      <c r="H26" s="47">
        <f t="shared" si="2"/>
        <v>9.4294550477906948E-3</v>
      </c>
      <c r="I26" s="30"/>
      <c r="J26" s="45"/>
      <c r="K26" s="45"/>
      <c r="L26" s="46"/>
      <c r="M26" s="46"/>
      <c r="N26" s="46"/>
      <c r="O26" s="46"/>
      <c r="P26" s="46"/>
      <c r="Q26" s="46"/>
      <c r="R26" s="46"/>
      <c r="S26" s="4"/>
    </row>
    <row r="27" spans="1:22" x14ac:dyDescent="0.3">
      <c r="A27" s="5" t="str">
        <f t="shared" si="3"/>
        <v>CalStd8</v>
      </c>
      <c r="B27" s="19">
        <v>8</v>
      </c>
      <c r="C27" s="48">
        <f>5</f>
        <v>5</v>
      </c>
      <c r="D27" s="48">
        <f t="shared" si="0"/>
        <v>5</v>
      </c>
      <c r="E27" s="48">
        <v>299673.78028521192</v>
      </c>
      <c r="F27" s="48">
        <v>19371840.71018064</v>
      </c>
      <c r="G27" s="47">
        <f t="shared" si="1"/>
        <v>1.5469556288872536E-2</v>
      </c>
      <c r="H27" s="43">
        <f t="shared" si="2"/>
        <v>1.541135412206918E-2</v>
      </c>
      <c r="I27" s="30"/>
      <c r="J27" s="45"/>
      <c r="K27" s="45"/>
      <c r="L27" s="46"/>
      <c r="M27" s="46"/>
      <c r="N27" s="46"/>
      <c r="O27" s="46"/>
      <c r="P27" s="46"/>
      <c r="Q27" s="46"/>
      <c r="R27" s="46"/>
      <c r="S27" s="4"/>
    </row>
    <row r="28" spans="1:22" ht="14.5" x14ac:dyDescent="0.3">
      <c r="B28" s="196"/>
      <c r="C28" s="197" t="s">
        <v>5</v>
      </c>
      <c r="D28" s="197"/>
      <c r="E28" s="197"/>
      <c r="F28" s="197"/>
      <c r="G28" s="197"/>
      <c r="H28" s="47">
        <f>SLOPE(H20:H27,D20:D27)</f>
        <v>3.1269871839910042E-3</v>
      </c>
      <c r="I28" s="50"/>
      <c r="J28" s="45"/>
      <c r="K28" s="45"/>
      <c r="L28" s="45"/>
      <c r="M28" s="45"/>
      <c r="N28" s="46"/>
      <c r="O28" s="46"/>
      <c r="P28" s="46"/>
      <c r="Q28" s="46"/>
      <c r="R28" s="46"/>
      <c r="S28" s="4"/>
    </row>
    <row r="29" spans="1:22" ht="14.5" x14ac:dyDescent="0.3">
      <c r="B29" s="196"/>
      <c r="C29" s="197" t="s">
        <v>4</v>
      </c>
      <c r="D29" s="197"/>
      <c r="E29" s="197"/>
      <c r="F29" s="197"/>
      <c r="G29" s="197"/>
      <c r="H29" s="66">
        <f>INTERCEPT(H20:H27,D20:D27)</f>
        <v>-1.0000189191082271E-4</v>
      </c>
      <c r="I29" s="50"/>
      <c r="J29" s="45"/>
      <c r="K29" s="45"/>
      <c r="L29" s="45"/>
      <c r="M29" s="45"/>
      <c r="N29" s="46"/>
      <c r="O29" s="46"/>
      <c r="P29" s="46"/>
      <c r="Q29" s="46"/>
      <c r="R29" s="46"/>
      <c r="S29" s="4"/>
    </row>
    <row r="30" spans="1:22" x14ac:dyDescent="0.3">
      <c r="B30" s="196"/>
      <c r="C30" s="198" t="s">
        <v>29</v>
      </c>
      <c r="D30" s="198"/>
      <c r="E30" s="198"/>
      <c r="F30" s="198"/>
      <c r="G30" s="198"/>
      <c r="H30" s="47">
        <f>RSQ(H20:H27,D20:D27)</f>
        <v>0.99952340689939767</v>
      </c>
      <c r="I30" s="39"/>
      <c r="J30" s="46"/>
      <c r="K30" s="46"/>
      <c r="L30" s="46"/>
      <c r="M30" s="46"/>
      <c r="N30" s="46"/>
      <c r="O30" s="46"/>
      <c r="P30" s="46"/>
      <c r="Q30" s="46"/>
      <c r="R30" s="46"/>
      <c r="S30" s="4"/>
    </row>
    <row r="31" spans="1:22" x14ac:dyDescent="0.3">
      <c r="B31" s="196"/>
      <c r="C31" s="198" t="s">
        <v>3</v>
      </c>
      <c r="D31" s="198"/>
      <c r="E31" s="198"/>
      <c r="F31" s="198"/>
      <c r="G31" s="198"/>
      <c r="H31" s="47">
        <f>SQRT(H30)</f>
        <v>0.999761675050308</v>
      </c>
      <c r="I31" s="39"/>
      <c r="J31" s="46"/>
      <c r="K31" s="46"/>
      <c r="L31" s="46"/>
      <c r="M31" s="46"/>
      <c r="N31" s="46"/>
      <c r="O31" s="46"/>
      <c r="P31" s="46"/>
      <c r="Q31" s="46"/>
      <c r="R31" s="46"/>
      <c r="S31" s="4"/>
    </row>
    <row r="32" spans="1:22" x14ac:dyDescent="0.3">
      <c r="C32" s="31"/>
      <c r="D32" s="31"/>
      <c r="E32" s="31"/>
      <c r="F32" s="39"/>
      <c r="G32" s="39"/>
      <c r="H32" s="39"/>
      <c r="I32" s="39"/>
      <c r="J32" s="39"/>
      <c r="K32" s="39"/>
      <c r="L32" s="51"/>
      <c r="M32" s="51"/>
      <c r="N32" s="51"/>
      <c r="O32" s="39"/>
      <c r="P32" s="39"/>
      <c r="Q32" s="39"/>
      <c r="R32" s="39"/>
      <c r="S32" s="4"/>
      <c r="T32" s="4"/>
      <c r="U32" s="4"/>
    </row>
    <row r="33" spans="1:21" x14ac:dyDescent="0.3">
      <c r="C33" s="31"/>
      <c r="D33" s="31"/>
      <c r="E33" s="31"/>
      <c r="F33" s="39"/>
      <c r="G33" s="39"/>
      <c r="H33" s="39"/>
      <c r="I33" s="39"/>
      <c r="J33" s="39"/>
      <c r="K33" s="39"/>
      <c r="L33" s="51"/>
      <c r="M33" s="51"/>
      <c r="N33" s="51"/>
      <c r="O33" s="39"/>
      <c r="P33" s="39"/>
      <c r="Q33" s="39"/>
      <c r="R33" s="39"/>
      <c r="S33" s="4"/>
      <c r="T33" s="4"/>
      <c r="U33" s="4"/>
    </row>
    <row r="34" spans="1:21" ht="14.5" thickBot="1" x14ac:dyDescent="0.35">
      <c r="C34" s="31"/>
      <c r="D34" s="31"/>
      <c r="E34" s="31"/>
      <c r="F34" s="39"/>
      <c r="G34" s="39"/>
      <c r="H34" s="39"/>
      <c r="I34" s="39"/>
      <c r="J34" s="39"/>
      <c r="K34" s="39"/>
      <c r="L34" s="51"/>
      <c r="M34" s="51"/>
      <c r="N34" s="51"/>
      <c r="O34" s="39"/>
      <c r="P34" s="39"/>
      <c r="Q34" s="39"/>
      <c r="R34" s="39"/>
      <c r="S34" s="4"/>
      <c r="T34" s="4"/>
      <c r="U34" s="4"/>
    </row>
    <row r="35" spans="1:21" s="81" customFormat="1" ht="48.75" customHeight="1" thickBot="1" x14ac:dyDescent="0.4">
      <c r="A35" s="73"/>
      <c r="B35" s="74" t="s">
        <v>21</v>
      </c>
      <c r="C35" s="75" t="s">
        <v>46</v>
      </c>
      <c r="D35" s="75" t="s">
        <v>2</v>
      </c>
      <c r="E35" s="76" t="s">
        <v>57</v>
      </c>
      <c r="F35" s="62" t="s">
        <v>1</v>
      </c>
      <c r="G35" s="62" t="s">
        <v>0</v>
      </c>
      <c r="H35" s="77" t="s">
        <v>42</v>
      </c>
      <c r="I35" s="77" t="s">
        <v>43</v>
      </c>
      <c r="J35" s="78" t="s">
        <v>8</v>
      </c>
      <c r="K35" s="79" t="s">
        <v>134</v>
      </c>
      <c r="L35" s="76" t="s">
        <v>135</v>
      </c>
      <c r="M35" s="76" t="s">
        <v>243</v>
      </c>
      <c r="N35" s="76" t="s">
        <v>136</v>
      </c>
      <c r="O35" s="52" t="s">
        <v>38</v>
      </c>
      <c r="P35" s="65" t="s">
        <v>137</v>
      </c>
      <c r="Q35" s="80" t="s">
        <v>49</v>
      </c>
    </row>
    <row r="36" spans="1:21" s="82" customFormat="1" ht="18" customHeight="1" x14ac:dyDescent="0.3">
      <c r="A36" s="82" t="e">
        <f>C36&amp;#REF!</f>
        <v>#REF!</v>
      </c>
      <c r="C36" s="83" t="s">
        <v>87</v>
      </c>
      <c r="D36" s="83" t="s">
        <v>106</v>
      </c>
      <c r="E36" s="84">
        <v>50</v>
      </c>
      <c r="F36" s="84">
        <v>50</v>
      </c>
      <c r="G36" s="84">
        <v>1</v>
      </c>
      <c r="H36" s="85">
        <v>86651.673423371642</v>
      </c>
      <c r="I36" s="85">
        <v>5445460.032975439</v>
      </c>
      <c r="J36" s="86">
        <f>H36/I36</f>
        <v>1.5912645194096582E-2</v>
      </c>
      <c r="K36" s="87">
        <f>((J36)-$H$29)/$H$28</f>
        <v>5.1207907624265685</v>
      </c>
      <c r="L36" s="88">
        <f t="shared" ref="L36:L71" si="4">K36*F36*G36/E36</f>
        <v>5.1207907624265685</v>
      </c>
      <c r="M36" s="164">
        <f>L36*1000</f>
        <v>5120.7907624265681</v>
      </c>
      <c r="N36" s="188">
        <f>AVERAGE(L36:L37)</f>
        <v>4.9476633990669132</v>
      </c>
      <c r="O36" s="188">
        <f>ABS(L36-L37)/N36*100</f>
        <v>6.998348488795969</v>
      </c>
      <c r="P36" s="188">
        <f>2/3*2^(1-(0.5*LOG(N36/1000000000)))</f>
        <v>23.716799419783385</v>
      </c>
      <c r="Q36" s="89"/>
    </row>
    <row r="37" spans="1:21" s="82" customFormat="1" ht="18" customHeight="1" x14ac:dyDescent="0.3">
      <c r="A37" s="82" t="e">
        <f>C37&amp;#REF!</f>
        <v>#REF!</v>
      </c>
      <c r="C37" s="83" t="s">
        <v>88</v>
      </c>
      <c r="D37" s="83" t="s">
        <v>106</v>
      </c>
      <c r="E37" s="84">
        <v>50</v>
      </c>
      <c r="F37" s="84">
        <v>50</v>
      </c>
      <c r="G37" s="84">
        <v>1</v>
      </c>
      <c r="H37" s="85">
        <v>70084.250546028197</v>
      </c>
      <c r="I37" s="85">
        <v>4725871.252196895</v>
      </c>
      <c r="J37" s="86">
        <f t="shared" ref="J37:J71" si="5">H37/I37</f>
        <v>1.482991110124899E-2</v>
      </c>
      <c r="K37" s="87">
        <f t="shared" ref="K37:K71" si="6">((J37)-$H$29)/$H$28</f>
        <v>4.7745360357072579</v>
      </c>
      <c r="L37" s="88">
        <f t="shared" si="4"/>
        <v>4.7745360357072579</v>
      </c>
      <c r="M37" s="164">
        <f t="shared" ref="M37:M71" si="7">L37*1000</f>
        <v>4774.5360357072577</v>
      </c>
      <c r="N37" s="189"/>
      <c r="O37" s="189"/>
      <c r="P37" s="189"/>
      <c r="Q37" s="89"/>
    </row>
    <row r="38" spans="1:21" s="82" customFormat="1" ht="18" customHeight="1" x14ac:dyDescent="0.3">
      <c r="A38" s="82" t="e">
        <f>C38&amp;#REF!</f>
        <v>#REF!</v>
      </c>
      <c r="C38" s="83" t="s">
        <v>89</v>
      </c>
      <c r="D38" s="83" t="s">
        <v>106</v>
      </c>
      <c r="E38" s="84">
        <v>50</v>
      </c>
      <c r="F38" s="84">
        <v>50</v>
      </c>
      <c r="G38" s="84">
        <v>1</v>
      </c>
      <c r="H38" s="85">
        <v>88582.868333870298</v>
      </c>
      <c r="I38" s="85">
        <v>6758836.0071505783</v>
      </c>
      <c r="J38" s="86">
        <f t="shared" si="5"/>
        <v>1.3106231345183277E-2</v>
      </c>
      <c r="K38" s="87">
        <f t="shared" si="6"/>
        <v>4.2233090383948602</v>
      </c>
      <c r="L38" s="88">
        <f t="shared" si="4"/>
        <v>4.2233090383948602</v>
      </c>
      <c r="M38" s="164">
        <f t="shared" si="7"/>
        <v>4223.3090383948602</v>
      </c>
      <c r="N38" s="188">
        <f>AVERAGE(L38:L39)</f>
        <v>4.4843269426525527</v>
      </c>
      <c r="O38" s="188">
        <f>ABS(L38-L39)/N38*100</f>
        <v>11.641341391727188</v>
      </c>
      <c r="P38" s="188">
        <f t="shared" ref="P38" si="8">2/3*2^(1-(0.5*LOG(N38/1000000000)))</f>
        <v>24.070410903380452</v>
      </c>
      <c r="Q38" s="89"/>
    </row>
    <row r="39" spans="1:21" s="82" customFormat="1" ht="18" customHeight="1" x14ac:dyDescent="0.3">
      <c r="A39" s="82" t="e">
        <f>C39&amp;#REF!</f>
        <v>#REF!</v>
      </c>
      <c r="C39" s="83" t="s">
        <v>90</v>
      </c>
      <c r="D39" s="83" t="s">
        <v>106</v>
      </c>
      <c r="E39" s="84">
        <v>50</v>
      </c>
      <c r="F39" s="84">
        <v>50</v>
      </c>
      <c r="G39" s="84">
        <v>1</v>
      </c>
      <c r="H39" s="85">
        <v>73212.516489346061</v>
      </c>
      <c r="I39" s="85">
        <v>4967389.3278987966</v>
      </c>
      <c r="J39" s="86">
        <f t="shared" si="5"/>
        <v>1.4738630627995273E-2</v>
      </c>
      <c r="K39" s="87">
        <f t="shared" si="6"/>
        <v>4.7453448469102462</v>
      </c>
      <c r="L39" s="88">
        <f t="shared" si="4"/>
        <v>4.7453448469102462</v>
      </c>
      <c r="M39" s="164">
        <f t="shared" si="7"/>
        <v>4745.3448469102459</v>
      </c>
      <c r="N39" s="189"/>
      <c r="O39" s="189"/>
      <c r="P39" s="189"/>
      <c r="Q39" s="89"/>
    </row>
    <row r="40" spans="1:21" s="82" customFormat="1" ht="18" customHeight="1" x14ac:dyDescent="0.3">
      <c r="A40" s="82" t="e">
        <f>C40&amp;#REF!</f>
        <v>#REF!</v>
      </c>
      <c r="C40" s="83" t="s">
        <v>91</v>
      </c>
      <c r="D40" s="83" t="s">
        <v>106</v>
      </c>
      <c r="E40" s="84">
        <v>50</v>
      </c>
      <c r="F40" s="84">
        <v>50</v>
      </c>
      <c r="G40" s="84">
        <v>1</v>
      </c>
      <c r="H40" s="85">
        <v>69132.120164299617</v>
      </c>
      <c r="I40" s="85">
        <v>4144574.7778220451</v>
      </c>
      <c r="J40" s="86">
        <f t="shared" si="5"/>
        <v>1.6680147872884615E-2</v>
      </c>
      <c r="K40" s="87">
        <f t="shared" si="6"/>
        <v>5.3662355415792806</v>
      </c>
      <c r="L40" s="88">
        <f t="shared" si="4"/>
        <v>5.3662355415792806</v>
      </c>
      <c r="M40" s="164">
        <f t="shared" si="7"/>
        <v>5366.2355415792808</v>
      </c>
      <c r="N40" s="188">
        <f>AVERAGE(L40:L41)</f>
        <v>5.6939977369299761</v>
      </c>
      <c r="O40" s="188">
        <f>ABS(L40-L41)/N40*100</f>
        <v>11.512550952554996</v>
      </c>
      <c r="P40" s="188">
        <f t="shared" ref="P40" si="9">2/3*2^(1-(0.5*LOG(N40/1000000000)))</f>
        <v>23.22052771015165</v>
      </c>
      <c r="Q40" s="89"/>
    </row>
    <row r="41" spans="1:21" s="82" customFormat="1" ht="18" customHeight="1" x14ac:dyDescent="0.3">
      <c r="A41" s="82" t="e">
        <f>C41&amp;#REF!</f>
        <v>#REF!</v>
      </c>
      <c r="C41" s="83" t="s">
        <v>92</v>
      </c>
      <c r="D41" s="83" t="s">
        <v>106</v>
      </c>
      <c r="E41" s="84">
        <v>50</v>
      </c>
      <c r="F41" s="84">
        <v>50</v>
      </c>
      <c r="G41" s="84">
        <v>1</v>
      </c>
      <c r="H41" s="85">
        <v>73662.128255774311</v>
      </c>
      <c r="I41" s="85">
        <v>3932849.3800831144</v>
      </c>
      <c r="J41" s="86">
        <f t="shared" si="5"/>
        <v>1.872996424140138E-2</v>
      </c>
      <c r="K41" s="87">
        <f t="shared" si="6"/>
        <v>6.0217599322806725</v>
      </c>
      <c r="L41" s="88">
        <f t="shared" si="4"/>
        <v>6.0217599322806725</v>
      </c>
      <c r="M41" s="164">
        <f t="shared" si="7"/>
        <v>6021.7599322806727</v>
      </c>
      <c r="N41" s="189"/>
      <c r="O41" s="189"/>
      <c r="P41" s="189"/>
      <c r="Q41" s="89"/>
    </row>
    <row r="42" spans="1:21" s="90" customFormat="1" ht="18" customHeight="1" x14ac:dyDescent="0.3">
      <c r="A42" s="90" t="e">
        <f>C42&amp;#REF!</f>
        <v>#REF!</v>
      </c>
      <c r="C42" s="91" t="s">
        <v>93</v>
      </c>
      <c r="D42" s="91" t="s">
        <v>107</v>
      </c>
      <c r="E42" s="92">
        <v>50</v>
      </c>
      <c r="F42" s="92">
        <v>50</v>
      </c>
      <c r="G42" s="92">
        <v>1</v>
      </c>
      <c r="H42" s="93">
        <v>3337.5653785230902</v>
      </c>
      <c r="I42" s="93">
        <v>21360856.638946712</v>
      </c>
      <c r="J42" s="94">
        <f>H42/I42</f>
        <v>1.5624679454277087E-4</v>
      </c>
      <c r="K42" s="95">
        <f t="shared" si="6"/>
        <v>8.1947469361400085E-2</v>
      </c>
      <c r="L42" s="98">
        <f t="shared" si="4"/>
        <v>8.1947469361400085E-2</v>
      </c>
      <c r="M42" s="164">
        <f t="shared" si="7"/>
        <v>81.947469361400081</v>
      </c>
      <c r="N42" s="207">
        <f>AVERAGE(L42:L43)</f>
        <v>8.1900128387331489E-2</v>
      </c>
      <c r="O42" s="184">
        <f>ABS(L42-L43)/N42*100</f>
        <v>0.11560659305611633</v>
      </c>
      <c r="P42" s="184">
        <f t="shared" ref="P42" si="10">2/3*2^(1-(0.5*LOG(N42/1000000000)))</f>
        <v>43.968402405983035</v>
      </c>
      <c r="Q42" s="96"/>
    </row>
    <row r="43" spans="1:21" s="90" customFormat="1" ht="18" customHeight="1" x14ac:dyDescent="0.3">
      <c r="A43" s="90" t="e">
        <f>C43&amp;#REF!</f>
        <v>#REF!</v>
      </c>
      <c r="C43" s="91" t="s">
        <v>94</v>
      </c>
      <c r="D43" s="91" t="s">
        <v>107</v>
      </c>
      <c r="E43" s="92">
        <v>50</v>
      </c>
      <c r="F43" s="92">
        <v>50</v>
      </c>
      <c r="G43" s="92">
        <v>1</v>
      </c>
      <c r="H43" s="93">
        <v>3244.0937652150301</v>
      </c>
      <c r="I43" s="93">
        <v>20802043.458810996</v>
      </c>
      <c r="J43" s="94">
        <f>H43/I43</f>
        <v>1.5595072530439065E-4</v>
      </c>
      <c r="K43" s="95">
        <f t="shared" si="6"/>
        <v>8.185278741326292E-2</v>
      </c>
      <c r="L43" s="98">
        <f t="shared" si="4"/>
        <v>8.1852787413262906E-2</v>
      </c>
      <c r="M43" s="164">
        <f t="shared" si="7"/>
        <v>81.852787413262902</v>
      </c>
      <c r="N43" s="208"/>
      <c r="O43" s="185"/>
      <c r="P43" s="185"/>
      <c r="Q43" s="96"/>
    </row>
    <row r="44" spans="1:21" s="90" customFormat="1" ht="18" customHeight="1" x14ac:dyDescent="0.3">
      <c r="A44" s="90" t="e">
        <f>C44&amp;#REF!</f>
        <v>#REF!</v>
      </c>
      <c r="C44" s="91" t="s">
        <v>95</v>
      </c>
      <c r="D44" s="91" t="s">
        <v>107</v>
      </c>
      <c r="E44" s="92">
        <v>50</v>
      </c>
      <c r="F44" s="92">
        <v>50</v>
      </c>
      <c r="G44" s="92">
        <v>1</v>
      </c>
      <c r="H44" s="93">
        <v>3207.0932853656595</v>
      </c>
      <c r="I44" s="93">
        <v>20569438.513472755</v>
      </c>
      <c r="J44" s="94">
        <f t="shared" si="5"/>
        <v>1.5591545113227321E-4</v>
      </c>
      <c r="K44" s="97">
        <f t="shared" si="6"/>
        <v>8.1841506851481921E-2</v>
      </c>
      <c r="L44" s="98">
        <f t="shared" si="4"/>
        <v>8.1841506851481907E-2</v>
      </c>
      <c r="M44" s="164">
        <f t="shared" si="7"/>
        <v>81.84150685148191</v>
      </c>
      <c r="N44" s="207">
        <f>AVERAGE(L44:L45)</f>
        <v>8.1875976666304209E-2</v>
      </c>
      <c r="O44" s="184">
        <f>ABS(L44-L45)/N44*100</f>
        <v>8.4200069973609473E-2</v>
      </c>
      <c r="P44" s="184">
        <f t="shared" ref="P44" si="11">2/3*2^(1-(0.5*LOG(N44/1000000000)))</f>
        <v>43.970354306351808</v>
      </c>
      <c r="Q44" s="96"/>
    </row>
    <row r="45" spans="1:21" s="90" customFormat="1" ht="18" customHeight="1" x14ac:dyDescent="0.3">
      <c r="A45" s="90" t="e">
        <f>C45&amp;#REF!</f>
        <v>#REF!</v>
      </c>
      <c r="C45" s="91" t="s">
        <v>96</v>
      </c>
      <c r="D45" s="91" t="s">
        <v>107</v>
      </c>
      <c r="E45" s="92">
        <v>50</v>
      </c>
      <c r="F45" s="92">
        <v>50</v>
      </c>
      <c r="G45" s="92">
        <v>1</v>
      </c>
      <c r="H45" s="93">
        <v>3583.91351107951</v>
      </c>
      <c r="I45" s="93">
        <v>22954525.042224601</v>
      </c>
      <c r="J45" s="94">
        <f t="shared" si="5"/>
        <v>1.5613102447064095E-4</v>
      </c>
      <c r="K45" s="99">
        <f t="shared" si="6"/>
        <v>8.1910446481126511E-2</v>
      </c>
      <c r="L45" s="98">
        <f t="shared" si="4"/>
        <v>8.1910446481126511E-2</v>
      </c>
      <c r="M45" s="164">
        <f t="shared" si="7"/>
        <v>81.910446481126513</v>
      </c>
      <c r="N45" s="208"/>
      <c r="O45" s="185"/>
      <c r="P45" s="185"/>
      <c r="Q45" s="96"/>
    </row>
    <row r="46" spans="1:21" s="90" customFormat="1" ht="18" customHeight="1" x14ac:dyDescent="0.3">
      <c r="A46" s="90" t="e">
        <f>C46&amp;#REF!</f>
        <v>#REF!</v>
      </c>
      <c r="C46" s="91" t="s">
        <v>97</v>
      </c>
      <c r="D46" s="91" t="s">
        <v>107</v>
      </c>
      <c r="E46" s="92">
        <v>50</v>
      </c>
      <c r="F46" s="92">
        <v>50</v>
      </c>
      <c r="G46" s="92">
        <v>1</v>
      </c>
      <c r="H46" s="93">
        <v>3443.5801189396202</v>
      </c>
      <c r="I46" s="93">
        <v>22046088.232095081</v>
      </c>
      <c r="J46" s="94">
        <f t="shared" si="5"/>
        <v>1.5619914438727483E-4</v>
      </c>
      <c r="K46" s="99">
        <f t="shared" si="6"/>
        <v>8.1932231001697178E-2</v>
      </c>
      <c r="L46" s="98">
        <f t="shared" si="4"/>
        <v>8.1932231001697178E-2</v>
      </c>
      <c r="M46" s="164">
        <f t="shared" si="7"/>
        <v>81.932231001697176</v>
      </c>
      <c r="N46" s="207">
        <f>AVERAGE(L46:L47)</f>
        <v>8.2000658873612575E-2</v>
      </c>
      <c r="O46" s="184">
        <f>ABS(L46-L47)/N46*100</f>
        <v>0.1668959075581519</v>
      </c>
      <c r="P46" s="184">
        <f t="shared" ref="P46" si="12">2/3*2^(1-(0.5*LOG(N46/1000000000)))</f>
        <v>43.960284815040723</v>
      </c>
      <c r="Q46" s="96"/>
    </row>
    <row r="47" spans="1:21" s="102" customFormat="1" x14ac:dyDescent="0.3">
      <c r="A47" s="90" t="e">
        <f>C47&amp;#REF!</f>
        <v>#REF!</v>
      </c>
      <c r="B47" s="90"/>
      <c r="C47" s="91" t="s">
        <v>98</v>
      </c>
      <c r="D47" s="91" t="s">
        <v>107</v>
      </c>
      <c r="E47" s="92">
        <v>50</v>
      </c>
      <c r="F47" s="92">
        <v>50</v>
      </c>
      <c r="G47" s="92">
        <v>1</v>
      </c>
      <c r="H47" s="93">
        <v>3290.2820720493801</v>
      </c>
      <c r="I47" s="93">
        <v>21007107.139738332</v>
      </c>
      <c r="J47" s="94">
        <f t="shared" si="5"/>
        <v>1.5662709054428922E-4</v>
      </c>
      <c r="K47" s="99">
        <f t="shared" si="6"/>
        <v>8.2069086745527958E-2</v>
      </c>
      <c r="L47" s="98">
        <f t="shared" si="4"/>
        <v>8.2069086745527958E-2</v>
      </c>
      <c r="M47" s="164">
        <f t="shared" si="7"/>
        <v>82.069086745527954</v>
      </c>
      <c r="N47" s="208"/>
      <c r="O47" s="185"/>
      <c r="P47" s="185"/>
      <c r="Q47" s="96"/>
      <c r="R47" s="90"/>
    </row>
    <row r="48" spans="1:21" s="103" customFormat="1" ht="18" customHeight="1" x14ac:dyDescent="0.3">
      <c r="A48" s="103" t="e">
        <f>C48&amp;#REF!</f>
        <v>#REF!</v>
      </c>
      <c r="C48" s="104" t="s">
        <v>81</v>
      </c>
      <c r="D48" s="104" t="s">
        <v>108</v>
      </c>
      <c r="E48" s="105">
        <v>50</v>
      </c>
      <c r="F48" s="105">
        <v>50</v>
      </c>
      <c r="G48" s="105">
        <v>1</v>
      </c>
      <c r="H48" s="106">
        <v>1543.4358072252292</v>
      </c>
      <c r="I48" s="106">
        <v>4524786.0965875974</v>
      </c>
      <c r="J48" s="107">
        <f t="shared" si="5"/>
        <v>3.4110691075302392E-4</v>
      </c>
      <c r="K48" s="108">
        <f t="shared" si="6"/>
        <v>0.14106511370502489</v>
      </c>
      <c r="L48" s="129">
        <f t="shared" si="4"/>
        <v>0.14106511370502489</v>
      </c>
      <c r="M48" s="164">
        <f t="shared" si="7"/>
        <v>141.06511370502488</v>
      </c>
      <c r="N48" s="180">
        <f>AVERAGE(L48:L49)</f>
        <v>0.14913846492179644</v>
      </c>
      <c r="O48" s="180">
        <f>ABS(L48-L49)/N48*100</f>
        <v>10.826651891589442</v>
      </c>
      <c r="P48" s="180">
        <f t="shared" ref="P48" si="13">2/3*2^(1-(0.5*LOG(N48/1000000000)))</f>
        <v>40.175460767588966</v>
      </c>
      <c r="Q48" s="110"/>
    </row>
    <row r="49" spans="1:18" s="103" customFormat="1" ht="18" customHeight="1" x14ac:dyDescent="0.3">
      <c r="A49" s="103" t="e">
        <f>C49&amp;#REF!</f>
        <v>#REF!</v>
      </c>
      <c r="C49" s="104" t="s">
        <v>82</v>
      </c>
      <c r="D49" s="104" t="s">
        <v>108</v>
      </c>
      <c r="E49" s="105">
        <v>50</v>
      </c>
      <c r="F49" s="105">
        <v>50</v>
      </c>
      <c r="G49" s="105">
        <v>1</v>
      </c>
      <c r="H49" s="106">
        <v>1960.1687361502156</v>
      </c>
      <c r="I49" s="106">
        <v>5005570.8344393354</v>
      </c>
      <c r="J49" s="107">
        <f t="shared" si="5"/>
        <v>3.9159744232642959E-4</v>
      </c>
      <c r="K49" s="108">
        <f t="shared" si="6"/>
        <v>0.15721181613856802</v>
      </c>
      <c r="L49" s="129">
        <f t="shared" si="4"/>
        <v>0.15721181613856802</v>
      </c>
      <c r="M49" s="164">
        <f t="shared" si="7"/>
        <v>157.21181613856803</v>
      </c>
      <c r="N49" s="181"/>
      <c r="O49" s="181"/>
      <c r="P49" s="181"/>
      <c r="Q49" s="110"/>
    </row>
    <row r="50" spans="1:18" s="103" customFormat="1" ht="18" customHeight="1" x14ac:dyDescent="0.3">
      <c r="A50" s="103" t="e">
        <f>C50&amp;#REF!</f>
        <v>#REF!</v>
      </c>
      <c r="C50" s="104" t="s">
        <v>83</v>
      </c>
      <c r="D50" s="104" t="s">
        <v>108</v>
      </c>
      <c r="E50" s="105">
        <v>50</v>
      </c>
      <c r="F50" s="105">
        <v>50</v>
      </c>
      <c r="G50" s="105">
        <v>1</v>
      </c>
      <c r="H50" s="106">
        <v>1406.752378953993</v>
      </c>
      <c r="I50" s="106">
        <v>4558618.9824316772</v>
      </c>
      <c r="J50" s="107">
        <f t="shared" si="5"/>
        <v>3.0859178720034141E-4</v>
      </c>
      <c r="K50" s="108">
        <f t="shared" si="6"/>
        <v>0.13066688638924065</v>
      </c>
      <c r="L50" s="129">
        <f t="shared" si="4"/>
        <v>0.13066688638924065</v>
      </c>
      <c r="M50" s="164">
        <f t="shared" si="7"/>
        <v>130.66688638924066</v>
      </c>
      <c r="N50" s="180">
        <f>AVERAGE(L50:L51)</f>
        <v>0.12506294760330905</v>
      </c>
      <c r="O50" s="180">
        <f>ABS(L50-L51)/N50*100</f>
        <v>8.9617890723428495</v>
      </c>
      <c r="P50" s="180">
        <f t="shared" ref="P50" si="14">2/3*2^(1-(0.5*LOG(N50/1000000000)))</f>
        <v>41.254316375838719</v>
      </c>
      <c r="Q50" s="110"/>
    </row>
    <row r="51" spans="1:18" s="103" customFormat="1" ht="18" customHeight="1" x14ac:dyDescent="0.3">
      <c r="A51" s="103" t="e">
        <f>C51&amp;#REF!</f>
        <v>#REF!</v>
      </c>
      <c r="C51" s="104" t="s">
        <v>84</v>
      </c>
      <c r="D51" s="104" t="s">
        <v>108</v>
      </c>
      <c r="E51" s="105">
        <v>50</v>
      </c>
      <c r="F51" s="105">
        <v>50</v>
      </c>
      <c r="G51" s="105">
        <v>1</v>
      </c>
      <c r="H51" s="106">
        <v>1310.0749246391895</v>
      </c>
      <c r="I51" s="106">
        <v>4789250.0857516658</v>
      </c>
      <c r="J51" s="107">
        <f t="shared" si="5"/>
        <v>2.7354489767338492E-4</v>
      </c>
      <c r="K51" s="108">
        <f t="shared" si="6"/>
        <v>0.11945900881737745</v>
      </c>
      <c r="L51" s="129">
        <f t="shared" si="4"/>
        <v>0.11945900881737744</v>
      </c>
      <c r="M51" s="164">
        <f t="shared" si="7"/>
        <v>119.45900881737744</v>
      </c>
      <c r="N51" s="181"/>
      <c r="O51" s="181"/>
      <c r="P51" s="181"/>
      <c r="Q51" s="110"/>
    </row>
    <row r="52" spans="1:18" s="103" customFormat="1" ht="18" customHeight="1" x14ac:dyDescent="0.3">
      <c r="A52" s="103" t="e">
        <f>C52&amp;#REF!</f>
        <v>#REF!</v>
      </c>
      <c r="C52" s="104" t="s">
        <v>85</v>
      </c>
      <c r="D52" s="104" t="s">
        <v>108</v>
      </c>
      <c r="E52" s="105">
        <v>50</v>
      </c>
      <c r="F52" s="105">
        <v>50</v>
      </c>
      <c r="G52" s="105">
        <v>1</v>
      </c>
      <c r="H52" s="106">
        <v>1750.1300235954732</v>
      </c>
      <c r="I52" s="106">
        <v>4599792.0932811266</v>
      </c>
      <c r="J52" s="107">
        <f t="shared" si="5"/>
        <v>3.8048024521627224E-4</v>
      </c>
      <c r="K52" s="108">
        <f t="shared" si="6"/>
        <v>0.15365657383790454</v>
      </c>
      <c r="L52" s="129">
        <f t="shared" si="4"/>
        <v>0.15365657383790454</v>
      </c>
      <c r="M52" s="164">
        <f t="shared" si="7"/>
        <v>153.65657383790455</v>
      </c>
      <c r="N52" s="180">
        <f>AVERAGE(L52:L53)</f>
        <v>0.1435527655539629</v>
      </c>
      <c r="O52" s="180">
        <f>ABS(L52-L53)/N52*100</f>
        <v>14.076786671370003</v>
      </c>
      <c r="P52" s="180">
        <f t="shared" ref="P52" si="15">2/3*2^(1-(0.5*LOG(N52/1000000000)))</f>
        <v>40.4069546086304</v>
      </c>
      <c r="Q52" s="110"/>
    </row>
    <row r="53" spans="1:18" s="111" customFormat="1" x14ac:dyDescent="0.3">
      <c r="A53" s="103" t="e">
        <f>C53&amp;#REF!</f>
        <v>#REF!</v>
      </c>
      <c r="B53" s="103"/>
      <c r="C53" s="104" t="s">
        <v>86</v>
      </c>
      <c r="D53" s="104" t="s">
        <v>108</v>
      </c>
      <c r="E53" s="105">
        <v>50</v>
      </c>
      <c r="F53" s="105">
        <v>50</v>
      </c>
      <c r="G53" s="105">
        <v>1</v>
      </c>
      <c r="H53" s="106">
        <v>1470.09140594104</v>
      </c>
      <c r="I53" s="106">
        <v>4633254.8837467842</v>
      </c>
      <c r="J53" s="107">
        <f t="shared" si="5"/>
        <v>3.1729128718949688E-4</v>
      </c>
      <c r="K53" s="108">
        <f t="shared" si="6"/>
        <v>0.13344895727002126</v>
      </c>
      <c r="L53" s="129">
        <f t="shared" si="4"/>
        <v>0.13344895727002126</v>
      </c>
      <c r="M53" s="164">
        <f t="shared" si="7"/>
        <v>133.44895727002125</v>
      </c>
      <c r="N53" s="181"/>
      <c r="O53" s="181"/>
      <c r="P53" s="181"/>
      <c r="Q53" s="110"/>
      <c r="R53" s="103"/>
    </row>
    <row r="54" spans="1:18" s="121" customFormat="1" x14ac:dyDescent="0.3">
      <c r="A54" s="82"/>
      <c r="B54" s="82"/>
      <c r="C54" s="83" t="s">
        <v>109</v>
      </c>
      <c r="D54" s="83" t="s">
        <v>127</v>
      </c>
      <c r="E54" s="84">
        <v>50</v>
      </c>
      <c r="F54" s="84">
        <v>50</v>
      </c>
      <c r="G54" s="84">
        <v>1</v>
      </c>
      <c r="H54" s="85">
        <v>33916.665161045377</v>
      </c>
      <c r="I54" s="85">
        <v>24391166.756184667</v>
      </c>
      <c r="J54" s="120">
        <f t="shared" si="5"/>
        <v>1.3905306580893843E-3</v>
      </c>
      <c r="K54" s="87">
        <f t="shared" si="6"/>
        <v>0.47666730379682137</v>
      </c>
      <c r="L54" s="88">
        <f t="shared" si="4"/>
        <v>0.47666730379682137</v>
      </c>
      <c r="M54" s="164">
        <f t="shared" si="7"/>
        <v>476.66730379682139</v>
      </c>
      <c r="N54" s="188">
        <f>AVERAGE(L54:L55)</f>
        <v>0.48902622336095436</v>
      </c>
      <c r="O54" s="188">
        <f>ABS(L54-L55)/N54*100</f>
        <v>5.0545017726015624</v>
      </c>
      <c r="P54" s="188">
        <f t="shared" ref="P54" si="16">2/3*2^(1-(0.5*LOG(N54/1000000000)))</f>
        <v>33.599583053037421</v>
      </c>
      <c r="Q54" s="89"/>
      <c r="R54" s="82"/>
    </row>
    <row r="55" spans="1:18" s="121" customFormat="1" x14ac:dyDescent="0.3">
      <c r="A55" s="82"/>
      <c r="B55" s="82"/>
      <c r="C55" s="83" t="s">
        <v>110</v>
      </c>
      <c r="D55" s="83" t="s">
        <v>127</v>
      </c>
      <c r="E55" s="84">
        <v>50</v>
      </c>
      <c r="F55" s="84">
        <v>50</v>
      </c>
      <c r="G55" s="84">
        <v>1</v>
      </c>
      <c r="H55" s="85">
        <v>34331.380314081965</v>
      </c>
      <c r="I55" s="85">
        <v>23389318.566796262</v>
      </c>
      <c r="J55" s="120">
        <f t="shared" si="5"/>
        <v>1.4678230242594231E-3</v>
      </c>
      <c r="K55" s="87">
        <f t="shared" si="6"/>
        <v>0.50138514292508729</v>
      </c>
      <c r="L55" s="88">
        <f t="shared" si="4"/>
        <v>0.50138514292508729</v>
      </c>
      <c r="M55" s="164">
        <f t="shared" si="7"/>
        <v>501.38514292508728</v>
      </c>
      <c r="N55" s="189"/>
      <c r="O55" s="189"/>
      <c r="P55" s="189"/>
      <c r="Q55" s="89"/>
      <c r="R55" s="82"/>
    </row>
    <row r="56" spans="1:18" s="121" customFormat="1" x14ac:dyDescent="0.3">
      <c r="A56" s="82"/>
      <c r="B56" s="82"/>
      <c r="C56" s="83" t="s">
        <v>111</v>
      </c>
      <c r="D56" s="83" t="s">
        <v>127</v>
      </c>
      <c r="E56" s="84">
        <v>50</v>
      </c>
      <c r="F56" s="84">
        <v>50</v>
      </c>
      <c r="G56" s="84">
        <v>1</v>
      </c>
      <c r="H56" s="85">
        <v>33081.342467454881</v>
      </c>
      <c r="I56" s="85">
        <v>23080042.195561592</v>
      </c>
      <c r="J56" s="120">
        <f t="shared" si="5"/>
        <v>1.4333311086327473E-3</v>
      </c>
      <c r="K56" s="87">
        <f t="shared" si="6"/>
        <v>0.49035474414275088</v>
      </c>
      <c r="L56" s="88">
        <f t="shared" si="4"/>
        <v>0.49035474414275088</v>
      </c>
      <c r="M56" s="164">
        <f t="shared" si="7"/>
        <v>490.35474414275086</v>
      </c>
      <c r="N56" s="188">
        <f>AVERAGE(L56:L57)</f>
        <v>0.49474025024388157</v>
      </c>
      <c r="O56" s="188">
        <f>ABS(L56-L57)/N56*100</f>
        <v>1.7728519557359226</v>
      </c>
      <c r="P56" s="188">
        <f t="shared" ref="P56" si="17">2/3*2^(1-(0.5*LOG(N56/1000000000)))</f>
        <v>33.540885610434152</v>
      </c>
      <c r="Q56" s="89"/>
      <c r="R56" s="82"/>
    </row>
    <row r="57" spans="1:18" s="121" customFormat="1" x14ac:dyDescent="0.3">
      <c r="A57" s="82"/>
      <c r="B57" s="82"/>
      <c r="C57" s="83" t="s">
        <v>112</v>
      </c>
      <c r="D57" s="83" t="s">
        <v>127</v>
      </c>
      <c r="E57" s="84">
        <v>50</v>
      </c>
      <c r="F57" s="84">
        <v>50</v>
      </c>
      <c r="G57" s="84">
        <v>1</v>
      </c>
      <c r="H57" s="85">
        <v>34802.53264262071</v>
      </c>
      <c r="I57" s="85">
        <v>23824982.509762049</v>
      </c>
      <c r="J57" s="120">
        <f t="shared" si="5"/>
        <v>1.4607579513798475E-3</v>
      </c>
      <c r="K57" s="87">
        <f t="shared" si="6"/>
        <v>0.49912575634501233</v>
      </c>
      <c r="L57" s="88">
        <f t="shared" si="4"/>
        <v>0.49912575634501233</v>
      </c>
      <c r="M57" s="164">
        <f t="shared" si="7"/>
        <v>499.12575634501235</v>
      </c>
      <c r="N57" s="189"/>
      <c r="O57" s="189"/>
      <c r="P57" s="189"/>
      <c r="Q57" s="89"/>
      <c r="R57" s="82"/>
    </row>
    <row r="58" spans="1:18" s="121" customFormat="1" x14ac:dyDescent="0.3">
      <c r="A58" s="82"/>
      <c r="B58" s="82"/>
      <c r="C58" s="83" t="s">
        <v>113</v>
      </c>
      <c r="D58" s="83" t="s">
        <v>127</v>
      </c>
      <c r="E58" s="84">
        <v>50</v>
      </c>
      <c r="F58" s="84">
        <v>50</v>
      </c>
      <c r="G58" s="84">
        <v>1</v>
      </c>
      <c r="H58" s="85">
        <v>34605.200189252595</v>
      </c>
      <c r="I58" s="85">
        <v>23568845.666612476</v>
      </c>
      <c r="J58" s="120">
        <f t="shared" si="5"/>
        <v>1.4682602906715186E-3</v>
      </c>
      <c r="K58" s="87">
        <f t="shared" si="6"/>
        <v>0.50152497925519257</v>
      </c>
      <c r="L58" s="88">
        <f t="shared" si="4"/>
        <v>0.50152497925519257</v>
      </c>
      <c r="M58" s="164">
        <f t="shared" si="7"/>
        <v>501.52497925519259</v>
      </c>
      <c r="N58" s="188">
        <f>AVERAGE(L58:L59)</f>
        <v>0.50054148590693925</v>
      </c>
      <c r="O58" s="188">
        <f>ABS(L58-L59)/N58*100</f>
        <v>0.39297176195947453</v>
      </c>
      <c r="P58" s="188">
        <f t="shared" ref="P58" si="18">2/3*2^(1-(0.5*LOG(N58/1000000000)))</f>
        <v>33.482084878898753</v>
      </c>
      <c r="Q58" s="89"/>
      <c r="R58" s="82"/>
    </row>
    <row r="59" spans="1:18" s="121" customFormat="1" x14ac:dyDescent="0.3">
      <c r="A59" s="82"/>
      <c r="B59" s="82"/>
      <c r="C59" s="83" t="s">
        <v>114</v>
      </c>
      <c r="D59" s="83" t="s">
        <v>127</v>
      </c>
      <c r="E59" s="84">
        <v>50</v>
      </c>
      <c r="F59" s="84">
        <v>50</v>
      </c>
      <c r="G59" s="84">
        <v>1</v>
      </c>
      <c r="H59" s="85">
        <v>34321.031179253478</v>
      </c>
      <c r="I59" s="85">
        <v>23473638.630513411</v>
      </c>
      <c r="J59" s="120">
        <f t="shared" si="5"/>
        <v>1.4621095484804614E-3</v>
      </c>
      <c r="K59" s="87">
        <f t="shared" si="6"/>
        <v>0.49955799255868588</v>
      </c>
      <c r="L59" s="88">
        <f t="shared" si="4"/>
        <v>0.49955799255868594</v>
      </c>
      <c r="M59" s="164">
        <f t="shared" si="7"/>
        <v>499.55799255868595</v>
      </c>
      <c r="N59" s="189"/>
      <c r="O59" s="189"/>
      <c r="P59" s="189"/>
      <c r="Q59" s="89"/>
      <c r="R59" s="82"/>
    </row>
    <row r="60" spans="1:18" s="102" customFormat="1" x14ac:dyDescent="0.3">
      <c r="A60" s="90"/>
      <c r="B60" s="90"/>
      <c r="C60" s="91" t="s">
        <v>115</v>
      </c>
      <c r="D60" s="91" t="s">
        <v>128</v>
      </c>
      <c r="E60" s="92">
        <v>50</v>
      </c>
      <c r="F60" s="92">
        <v>50</v>
      </c>
      <c r="G60" s="92">
        <v>1</v>
      </c>
      <c r="H60" s="93">
        <v>93986.950524804299</v>
      </c>
      <c r="I60" s="93">
        <v>29338054.598106999</v>
      </c>
      <c r="J60" s="122">
        <f t="shared" si="5"/>
        <v>3.2035849619991056E-3</v>
      </c>
      <c r="K60" s="100">
        <f t="shared" si="6"/>
        <v>1.0564759813609239</v>
      </c>
      <c r="L60" s="101">
        <f t="shared" si="4"/>
        <v>1.0564759813609239</v>
      </c>
      <c r="M60" s="164">
        <f t="shared" si="7"/>
        <v>1056.4759813609239</v>
      </c>
      <c r="N60" s="184">
        <f>AVERAGE(L60:L61)</f>
        <v>1.1384313428809048</v>
      </c>
      <c r="O60" s="184">
        <f>ABS(L60-L61)/N60*100</f>
        <v>14.397945389062357</v>
      </c>
      <c r="P60" s="184">
        <f t="shared" ref="P60" si="19">2/3*2^(1-(0.5*LOG(N60/1000000000)))</f>
        <v>29.586847455515713</v>
      </c>
      <c r="Q60" s="96"/>
      <c r="R60" s="90"/>
    </row>
    <row r="61" spans="1:18" s="102" customFormat="1" x14ac:dyDescent="0.3">
      <c r="A61" s="90"/>
      <c r="B61" s="90"/>
      <c r="C61" s="91" t="s">
        <v>116</v>
      </c>
      <c r="D61" s="91" t="s">
        <v>128</v>
      </c>
      <c r="E61" s="92">
        <v>50</v>
      </c>
      <c r="F61" s="92">
        <v>50</v>
      </c>
      <c r="G61" s="92">
        <v>1</v>
      </c>
      <c r="H61" s="93">
        <v>85678.277984145781</v>
      </c>
      <c r="I61" s="93">
        <v>23055770.106993418</v>
      </c>
      <c r="J61" s="122">
        <f t="shared" si="5"/>
        <v>3.7161316922637651E-3</v>
      </c>
      <c r="K61" s="100">
        <f t="shared" si="6"/>
        <v>1.2203867044008858</v>
      </c>
      <c r="L61" s="101">
        <f t="shared" si="4"/>
        <v>1.2203867044008858</v>
      </c>
      <c r="M61" s="164">
        <f t="shared" si="7"/>
        <v>1220.3867044008857</v>
      </c>
      <c r="N61" s="185"/>
      <c r="O61" s="185"/>
      <c r="P61" s="185"/>
      <c r="Q61" s="96"/>
      <c r="R61" s="90"/>
    </row>
    <row r="62" spans="1:18" s="102" customFormat="1" x14ac:dyDescent="0.3">
      <c r="A62" s="90" t="e">
        <f>C62&amp;#REF!</f>
        <v>#REF!</v>
      </c>
      <c r="B62" s="90"/>
      <c r="C62" s="91" t="s">
        <v>117</v>
      </c>
      <c r="D62" s="91" t="s">
        <v>128</v>
      </c>
      <c r="E62" s="92">
        <v>50</v>
      </c>
      <c r="F62" s="92">
        <v>50</v>
      </c>
      <c r="G62" s="92">
        <v>1</v>
      </c>
      <c r="H62" s="93">
        <v>80326.357411575198</v>
      </c>
      <c r="I62" s="93">
        <v>23092053.179101001</v>
      </c>
      <c r="J62" s="122">
        <f t="shared" si="5"/>
        <v>3.4785281667492848E-3</v>
      </c>
      <c r="K62" s="100">
        <f t="shared" si="6"/>
        <v>1.1444018948912975</v>
      </c>
      <c r="L62" s="101">
        <f t="shared" si="4"/>
        <v>1.1444018948912975</v>
      </c>
      <c r="M62" s="164">
        <f t="shared" si="7"/>
        <v>1144.4018948912976</v>
      </c>
      <c r="N62" s="184">
        <f>AVERAGE(L62:L63)</f>
        <v>1.2035740699345638</v>
      </c>
      <c r="O62" s="184">
        <f>ABS(L62-L63)/N62*100</f>
        <v>9.8327434133710465</v>
      </c>
      <c r="P62" s="184">
        <f t="shared" ref="P62" si="20">2/3*2^(1-(0.5*LOG(N62/1000000000)))</f>
        <v>29.340083830277937</v>
      </c>
      <c r="Q62" s="96"/>
      <c r="R62" s="90"/>
    </row>
    <row r="63" spans="1:18" s="90" customFormat="1" ht="18" customHeight="1" x14ac:dyDescent="0.3">
      <c r="A63" s="90" t="e">
        <f>C63&amp;#REF!</f>
        <v>#REF!</v>
      </c>
      <c r="C63" s="91" t="s">
        <v>118</v>
      </c>
      <c r="D63" s="91" t="s">
        <v>128</v>
      </c>
      <c r="E63" s="92">
        <v>50</v>
      </c>
      <c r="F63" s="92">
        <v>50</v>
      </c>
      <c r="G63" s="92">
        <v>1</v>
      </c>
      <c r="H63" s="93">
        <v>90853.874013084875</v>
      </c>
      <c r="I63" s="93">
        <v>23607058.014434546</v>
      </c>
      <c r="J63" s="122">
        <f t="shared" si="5"/>
        <v>3.8485894327676168E-3</v>
      </c>
      <c r="K63" s="100">
        <f t="shared" si="6"/>
        <v>1.2627462449778302</v>
      </c>
      <c r="L63" s="101">
        <f t="shared" si="4"/>
        <v>1.2627462449778302</v>
      </c>
      <c r="M63" s="164">
        <f t="shared" si="7"/>
        <v>1262.7462449778302</v>
      </c>
      <c r="N63" s="185"/>
      <c r="O63" s="185"/>
      <c r="P63" s="185"/>
      <c r="Q63" s="96"/>
    </row>
    <row r="64" spans="1:18" s="90" customFormat="1" ht="18" customHeight="1" x14ac:dyDescent="0.3">
      <c r="A64" s="90" t="e">
        <f>C64&amp;#REF!</f>
        <v>#REF!</v>
      </c>
      <c r="C64" s="91" t="s">
        <v>119</v>
      </c>
      <c r="D64" s="91" t="s">
        <v>128</v>
      </c>
      <c r="E64" s="92">
        <v>50</v>
      </c>
      <c r="F64" s="92">
        <v>50</v>
      </c>
      <c r="G64" s="92">
        <v>1</v>
      </c>
      <c r="H64" s="93">
        <v>91337.116057867257</v>
      </c>
      <c r="I64" s="93">
        <v>24132593.451793816</v>
      </c>
      <c r="J64" s="122">
        <f t="shared" si="5"/>
        <v>3.7848031642483092E-3</v>
      </c>
      <c r="K64" s="100">
        <f t="shared" si="6"/>
        <v>1.2423476105203979</v>
      </c>
      <c r="L64" s="101">
        <f t="shared" si="4"/>
        <v>1.2423476105203979</v>
      </c>
      <c r="M64" s="164">
        <f t="shared" si="7"/>
        <v>1242.3476105203979</v>
      </c>
      <c r="N64" s="184">
        <f>AVERAGE(L64:L65)</f>
        <v>1.2834451457204687</v>
      </c>
      <c r="O64" s="184">
        <f>ABS(L64-L65)/N64*100</f>
        <v>6.4042527001807388</v>
      </c>
      <c r="P64" s="184">
        <f t="shared" ref="P64" si="21">2/3*2^(1-(0.5*LOG(N64/1000000000)))</f>
        <v>29.057704722726669</v>
      </c>
      <c r="Q64" s="96"/>
    </row>
    <row r="65" spans="1:21" s="90" customFormat="1" ht="18" customHeight="1" x14ac:dyDescent="0.3">
      <c r="A65" s="90" t="e">
        <f>C65&amp;#REF!</f>
        <v>#REF!</v>
      </c>
      <c r="C65" s="91" t="s">
        <v>120</v>
      </c>
      <c r="D65" s="91" t="s">
        <v>128</v>
      </c>
      <c r="E65" s="92">
        <v>50</v>
      </c>
      <c r="F65" s="92">
        <v>50</v>
      </c>
      <c r="G65" s="92">
        <v>1</v>
      </c>
      <c r="H65" s="93">
        <v>89222.259315376446</v>
      </c>
      <c r="I65" s="93">
        <v>22074739.782641251</v>
      </c>
      <c r="J65" s="122">
        <f t="shared" si="5"/>
        <v>4.0418260959767909E-3</v>
      </c>
      <c r="K65" s="100">
        <f t="shared" si="6"/>
        <v>1.3245426809205396</v>
      </c>
      <c r="L65" s="101">
        <f t="shared" si="4"/>
        <v>1.3245426809205396</v>
      </c>
      <c r="M65" s="164">
        <f t="shared" si="7"/>
        <v>1324.5426809205396</v>
      </c>
      <c r="N65" s="185"/>
      <c r="O65" s="185"/>
      <c r="P65" s="185"/>
      <c r="Q65" s="96"/>
    </row>
    <row r="66" spans="1:21" s="103" customFormat="1" ht="18" customHeight="1" x14ac:dyDescent="0.3">
      <c r="C66" s="104" t="s">
        <v>121</v>
      </c>
      <c r="D66" s="104" t="s">
        <v>129</v>
      </c>
      <c r="E66" s="105">
        <v>50</v>
      </c>
      <c r="F66" s="105">
        <v>50</v>
      </c>
      <c r="G66" s="105">
        <v>1</v>
      </c>
      <c r="H66" s="106">
        <v>71266.374434621306</v>
      </c>
      <c r="I66" s="106">
        <v>11129354.013499264</v>
      </c>
      <c r="J66" s="123">
        <f t="shared" si="5"/>
        <v>6.4034601063259651E-3</v>
      </c>
      <c r="K66" s="108">
        <f t="shared" si="6"/>
        <v>2.0797853062948457</v>
      </c>
      <c r="L66" s="109">
        <f t="shared" si="4"/>
        <v>2.0797853062948457</v>
      </c>
      <c r="M66" s="164">
        <f t="shared" si="7"/>
        <v>2079.7853062948457</v>
      </c>
      <c r="N66" s="180">
        <f>AVERAGE(L66:L67)</f>
        <v>1.9588893752920247</v>
      </c>
      <c r="O66" s="180">
        <f>ABS(L66-L67)/N66*100</f>
        <v>12.343313770314177</v>
      </c>
      <c r="P66" s="180">
        <f t="shared" ref="P66" si="22">2/3*2^(1-(0.5*LOG(N66/1000000000)))</f>
        <v>27.266026095203461</v>
      </c>
      <c r="Q66" s="110"/>
    </row>
    <row r="67" spans="1:21" s="103" customFormat="1" ht="18" customHeight="1" x14ac:dyDescent="0.3">
      <c r="C67" s="104" t="s">
        <v>122</v>
      </c>
      <c r="D67" s="104" t="s">
        <v>129</v>
      </c>
      <c r="E67" s="105">
        <v>50</v>
      </c>
      <c r="F67" s="105">
        <v>50</v>
      </c>
      <c r="G67" s="105">
        <v>1</v>
      </c>
      <c r="H67" s="106">
        <v>87530.010442176761</v>
      </c>
      <c r="I67" s="106">
        <v>15499224.352935711</v>
      </c>
      <c r="J67" s="123">
        <f t="shared" si="5"/>
        <v>5.6473800526410014E-3</v>
      </c>
      <c r="K67" s="108">
        <f t="shared" si="6"/>
        <v>1.8379934442892039</v>
      </c>
      <c r="L67" s="109">
        <f t="shared" si="4"/>
        <v>1.8379934442892039</v>
      </c>
      <c r="M67" s="164">
        <f t="shared" si="7"/>
        <v>1837.9934442892038</v>
      </c>
      <c r="N67" s="181"/>
      <c r="O67" s="181"/>
      <c r="P67" s="181"/>
      <c r="Q67" s="110"/>
    </row>
    <row r="68" spans="1:21" s="103" customFormat="1" ht="18" customHeight="1" x14ac:dyDescent="0.3">
      <c r="C68" s="104" t="s">
        <v>123</v>
      </c>
      <c r="D68" s="104" t="s">
        <v>129</v>
      </c>
      <c r="E68" s="105">
        <v>50</v>
      </c>
      <c r="F68" s="105">
        <v>50</v>
      </c>
      <c r="G68" s="105">
        <v>1</v>
      </c>
      <c r="H68" s="106">
        <v>88788.783155841753</v>
      </c>
      <c r="I68" s="106">
        <v>15550297.515157951</v>
      </c>
      <c r="J68" s="123">
        <f t="shared" si="5"/>
        <v>5.7097803478867969E-3</v>
      </c>
      <c r="K68" s="108">
        <f t="shared" si="6"/>
        <v>1.857948849148316</v>
      </c>
      <c r="L68" s="109">
        <f t="shared" si="4"/>
        <v>1.857948849148316</v>
      </c>
      <c r="M68" s="164">
        <f t="shared" si="7"/>
        <v>1857.948849148316</v>
      </c>
      <c r="N68" s="180">
        <f>AVERAGE(L68:L69)</f>
        <v>1.845110418952534</v>
      </c>
      <c r="O68" s="180">
        <f>ABS(L68-L69)/N68*100</f>
        <v>1.3916164652162397</v>
      </c>
      <c r="P68" s="180">
        <f t="shared" ref="P68" si="23">2/3*2^(1-(0.5*LOG(N68/1000000000)))</f>
        <v>27.512709461508415</v>
      </c>
      <c r="Q68" s="110"/>
    </row>
    <row r="69" spans="1:21" s="103" customFormat="1" ht="18" customHeight="1" x14ac:dyDescent="0.3">
      <c r="C69" s="104" t="s">
        <v>124</v>
      </c>
      <c r="D69" s="104" t="s">
        <v>129</v>
      </c>
      <c r="E69" s="105">
        <v>50</v>
      </c>
      <c r="F69" s="105">
        <v>50</v>
      </c>
      <c r="G69" s="105">
        <v>1</v>
      </c>
      <c r="H69" s="106">
        <v>86754.597416774181</v>
      </c>
      <c r="I69" s="106">
        <v>15410740.716211312</v>
      </c>
      <c r="J69" s="123">
        <f t="shared" si="5"/>
        <v>5.6294891345172512E-3</v>
      </c>
      <c r="K69" s="108">
        <f t="shared" si="6"/>
        <v>1.8322719887567522</v>
      </c>
      <c r="L69" s="109">
        <f t="shared" si="4"/>
        <v>1.8322719887567522</v>
      </c>
      <c r="M69" s="164">
        <f t="shared" si="7"/>
        <v>1832.2719887567523</v>
      </c>
      <c r="N69" s="181"/>
      <c r="O69" s="181"/>
      <c r="P69" s="181"/>
      <c r="Q69" s="110"/>
    </row>
    <row r="70" spans="1:21" s="103" customFormat="1" ht="18" customHeight="1" x14ac:dyDescent="0.3">
      <c r="A70" s="103" t="e">
        <f>C70&amp;#REF!</f>
        <v>#REF!</v>
      </c>
      <c r="C70" s="104" t="s">
        <v>125</v>
      </c>
      <c r="D70" s="104" t="s">
        <v>129</v>
      </c>
      <c r="E70" s="105">
        <v>50</v>
      </c>
      <c r="F70" s="105">
        <v>50</v>
      </c>
      <c r="G70" s="105">
        <v>1</v>
      </c>
      <c r="H70" s="106">
        <v>88678.263141646472</v>
      </c>
      <c r="I70" s="106">
        <v>15532656.302119831</v>
      </c>
      <c r="J70" s="123">
        <f t="shared" si="5"/>
        <v>5.7091498979182356E-3</v>
      </c>
      <c r="K70" s="108">
        <f t="shared" si="6"/>
        <v>1.8577472333656262</v>
      </c>
      <c r="L70" s="109">
        <f t="shared" si="4"/>
        <v>1.8577472333656262</v>
      </c>
      <c r="M70" s="164">
        <f t="shared" si="7"/>
        <v>1857.7472333656262</v>
      </c>
      <c r="N70" s="180">
        <f>AVERAGE(L70:L71)</f>
        <v>1.8502502205064049</v>
      </c>
      <c r="O70" s="180">
        <f>ABS(L70-L71)/N70*100</f>
        <v>0.81037826950448166</v>
      </c>
      <c r="P70" s="180">
        <f t="shared" ref="P70" si="24">2/3*2^(1-(0.5*LOG(N70/1000000000)))</f>
        <v>27.501192391113026</v>
      </c>
      <c r="Q70" s="110"/>
    </row>
    <row r="71" spans="1:21" s="103" customFormat="1" ht="18" customHeight="1" x14ac:dyDescent="0.3">
      <c r="A71" s="103" t="e">
        <f>C71&amp;#REF!</f>
        <v>#REF!</v>
      </c>
      <c r="C71" s="104" t="s">
        <v>126</v>
      </c>
      <c r="D71" s="104" t="s">
        <v>129</v>
      </c>
      <c r="E71" s="105">
        <v>50</v>
      </c>
      <c r="F71" s="105">
        <v>50</v>
      </c>
      <c r="G71" s="105">
        <v>1</v>
      </c>
      <c r="H71" s="106">
        <v>86261.834625940581</v>
      </c>
      <c r="I71" s="106">
        <v>15234513.633519361</v>
      </c>
      <c r="J71" s="123">
        <f t="shared" si="5"/>
        <v>5.662263771660233E-3</v>
      </c>
      <c r="K71" s="108">
        <f t="shared" si="6"/>
        <v>1.8427532076471833</v>
      </c>
      <c r="L71" s="109">
        <f t="shared" si="4"/>
        <v>1.8427532076471835</v>
      </c>
      <c r="M71" s="164">
        <f t="shared" si="7"/>
        <v>1842.7532076471834</v>
      </c>
      <c r="N71" s="181"/>
      <c r="O71" s="181"/>
      <c r="P71" s="181"/>
      <c r="Q71" s="110"/>
    </row>
    <row r="72" spans="1:21" x14ac:dyDescent="0.3">
      <c r="C72" s="36"/>
      <c r="D72" s="36"/>
      <c r="E72" s="36"/>
      <c r="F72" s="36"/>
      <c r="G72" s="36"/>
      <c r="H72" s="36"/>
      <c r="I72" s="30"/>
      <c r="J72" s="30"/>
      <c r="K72" s="30"/>
      <c r="L72" s="30"/>
      <c r="M72" s="30"/>
      <c r="N72" s="30"/>
      <c r="O72" s="30"/>
      <c r="P72" s="30"/>
      <c r="Q72" s="30"/>
      <c r="R72" s="30"/>
      <c r="T72" s="15"/>
      <c r="U72" s="15"/>
    </row>
    <row r="73" spans="1:21" x14ac:dyDescent="0.3"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</row>
    <row r="74" spans="1:21" x14ac:dyDescent="0.3">
      <c r="C74" s="61" t="s">
        <v>47</v>
      </c>
      <c r="D74" s="54"/>
      <c r="E74" s="55"/>
      <c r="F74" s="30"/>
      <c r="G74" s="30"/>
      <c r="H74" s="58" t="s">
        <v>48</v>
      </c>
      <c r="I74" s="30"/>
      <c r="J74" s="30"/>
      <c r="K74" s="30"/>
      <c r="L74" s="30"/>
      <c r="M74" s="30"/>
      <c r="N74" s="30"/>
      <c r="O74" s="30"/>
      <c r="P74" s="30"/>
      <c r="Q74" s="30"/>
      <c r="R74" s="30"/>
    </row>
    <row r="75" spans="1:21" ht="14.5" x14ac:dyDescent="0.35">
      <c r="C75" s="53" t="s">
        <v>30</v>
      </c>
      <c r="D75" s="56" t="s">
        <v>51</v>
      </c>
      <c r="E75" s="55"/>
      <c r="F75" s="30"/>
      <c r="G75" s="30"/>
      <c r="H75" s="57" t="s">
        <v>54</v>
      </c>
      <c r="I75" s="30"/>
      <c r="J75" s="30"/>
      <c r="K75" s="30"/>
      <c r="L75" s="30"/>
      <c r="M75" s="30"/>
      <c r="N75" s="30"/>
      <c r="O75" s="30"/>
      <c r="P75" s="30"/>
      <c r="Q75" s="30"/>
      <c r="R75" s="30"/>
    </row>
    <row r="76" spans="1:21" x14ac:dyDescent="0.3">
      <c r="C76" s="53" t="s">
        <v>31</v>
      </c>
      <c r="D76" s="56" t="s">
        <v>52</v>
      </c>
      <c r="E76" s="55"/>
      <c r="F76" s="30"/>
      <c r="G76" s="30"/>
      <c r="H76" s="57"/>
      <c r="I76" s="30"/>
      <c r="J76" s="30"/>
      <c r="K76" s="30"/>
      <c r="L76" s="30"/>
      <c r="M76" s="30"/>
      <c r="N76" s="30"/>
      <c r="O76" s="30"/>
      <c r="P76" s="30"/>
      <c r="Q76" s="30"/>
      <c r="R76" s="30"/>
    </row>
    <row r="77" spans="1:21" x14ac:dyDescent="0.3">
      <c r="C77" s="22" t="s">
        <v>39</v>
      </c>
      <c r="D77" s="21" t="s">
        <v>53</v>
      </c>
      <c r="E77" s="20"/>
      <c r="H77" s="46"/>
    </row>
    <row r="78" spans="1:21" x14ac:dyDescent="0.3">
      <c r="C78" s="57" t="s">
        <v>139</v>
      </c>
      <c r="D78" s="64" t="s">
        <v>140</v>
      </c>
      <c r="E78" s="30"/>
      <c r="F78" s="30"/>
    </row>
  </sheetData>
  <mergeCells count="63">
    <mergeCell ref="C1:S1"/>
    <mergeCell ref="C7:D7"/>
    <mergeCell ref="C8:D8"/>
    <mergeCell ref="C12:D12"/>
    <mergeCell ref="B28:B31"/>
    <mergeCell ref="C28:G28"/>
    <mergeCell ref="C29:G29"/>
    <mergeCell ref="C30:G30"/>
    <mergeCell ref="C31:G31"/>
    <mergeCell ref="N36:N37"/>
    <mergeCell ref="O36:O37"/>
    <mergeCell ref="P36:P37"/>
    <mergeCell ref="N38:N39"/>
    <mergeCell ref="O38:O39"/>
    <mergeCell ref="P38:P39"/>
    <mergeCell ref="N40:N41"/>
    <mergeCell ref="O40:O41"/>
    <mergeCell ref="P40:P41"/>
    <mergeCell ref="N42:N43"/>
    <mergeCell ref="O42:O43"/>
    <mergeCell ref="P42:P43"/>
    <mergeCell ref="N44:N45"/>
    <mergeCell ref="O44:O45"/>
    <mergeCell ref="P44:P45"/>
    <mergeCell ref="N46:N47"/>
    <mergeCell ref="O46:O47"/>
    <mergeCell ref="P46:P47"/>
    <mergeCell ref="N48:N49"/>
    <mergeCell ref="O48:O49"/>
    <mergeCell ref="P48:P49"/>
    <mergeCell ref="N50:N51"/>
    <mergeCell ref="O50:O51"/>
    <mergeCell ref="P50:P51"/>
    <mergeCell ref="N52:N53"/>
    <mergeCell ref="O52:O53"/>
    <mergeCell ref="P52:P53"/>
    <mergeCell ref="N54:N55"/>
    <mergeCell ref="O54:O55"/>
    <mergeCell ref="P54:P55"/>
    <mergeCell ref="N56:N57"/>
    <mergeCell ref="O56:O57"/>
    <mergeCell ref="P56:P57"/>
    <mergeCell ref="N58:N59"/>
    <mergeCell ref="O58:O59"/>
    <mergeCell ref="P58:P59"/>
    <mergeCell ref="N60:N61"/>
    <mergeCell ref="O60:O61"/>
    <mergeCell ref="P60:P61"/>
    <mergeCell ref="N62:N63"/>
    <mergeCell ref="O62:O63"/>
    <mergeCell ref="P62:P63"/>
    <mergeCell ref="N64:N65"/>
    <mergeCell ref="O64:O65"/>
    <mergeCell ref="P64:P65"/>
    <mergeCell ref="N66:N67"/>
    <mergeCell ref="O66:O67"/>
    <mergeCell ref="P66:P67"/>
    <mergeCell ref="N68:N69"/>
    <mergeCell ref="O68:O69"/>
    <mergeCell ref="P68:P69"/>
    <mergeCell ref="N70:N71"/>
    <mergeCell ref="O70:O71"/>
    <mergeCell ref="P70:P71"/>
  </mergeCells>
  <conditionalFormatting sqref="C17:D17 D16">
    <cfRule type="duplicateValues" dxfId="11" priority="4"/>
  </conditionalFormatting>
  <conditionalFormatting sqref="C32:D34">
    <cfRule type="duplicateValues" dxfId="10" priority="2"/>
  </conditionalFormatting>
  <printOptions horizontalCentered="1"/>
  <pageMargins left="0.31496062992125984" right="0.31496062992125984" top="0.55118110236220474" bottom="0.55118110236220474" header="0.31496062992125984" footer="0.31496062992125984"/>
  <pageSetup paperSize="9" scale="38" fitToHeight="0" orientation="portrait" horizontalDpi="4294967292" verticalDpi="360" r:id="rId1"/>
  <headerFooter>
    <oddHeader xml:space="preserve">&amp;R&amp;"Arial,Regular"&amp;10No.: 18-13-14.1/F-MU
Revisi 7
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8</vt:i4>
      </vt:variant>
    </vt:vector>
  </HeadingPairs>
  <TitlesOfParts>
    <vt:vector size="22" baseType="lpstr">
      <vt:lpstr>changelog </vt:lpstr>
      <vt:lpstr>Total Data SPSS_2</vt:lpstr>
      <vt:lpstr>Total Data</vt:lpstr>
      <vt:lpstr>Total Data Simca</vt:lpstr>
      <vt:lpstr>Total Data SPSS_1</vt:lpstr>
      <vt:lpstr>Skema</vt:lpstr>
      <vt:lpstr>EU_Cd </vt:lpstr>
      <vt:lpstr>BPOM_Cd</vt:lpstr>
      <vt:lpstr>EU_Sb</vt:lpstr>
      <vt:lpstr>BPOM_Sb</vt:lpstr>
      <vt:lpstr>EU_Hg</vt:lpstr>
      <vt:lpstr>BPOM_Hg</vt:lpstr>
      <vt:lpstr>EU_Pb</vt:lpstr>
      <vt:lpstr>BPOM_Pb</vt:lpstr>
      <vt:lpstr>BPOM_Cd!Print_Area</vt:lpstr>
      <vt:lpstr>BPOM_Hg!Print_Area</vt:lpstr>
      <vt:lpstr>BPOM_Pb!Print_Area</vt:lpstr>
      <vt:lpstr>BPOM_Sb!Print_Area</vt:lpstr>
      <vt:lpstr>'EU_Cd '!Print_Area</vt:lpstr>
      <vt:lpstr>EU_Hg!Print_Area</vt:lpstr>
      <vt:lpstr>EU_Pb!Print_Area</vt:lpstr>
      <vt:lpstr>EU_Sb!Print_Area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</dc:creator>
  <cp:lastModifiedBy>Alfi nurzaki</cp:lastModifiedBy>
  <cp:lastPrinted>2023-03-30T09:04:47Z</cp:lastPrinted>
  <dcterms:created xsi:type="dcterms:W3CDTF">2018-09-21T09:11:48Z</dcterms:created>
  <dcterms:modified xsi:type="dcterms:W3CDTF">2023-10-17T13:24:24Z</dcterms:modified>
</cp:coreProperties>
</file>