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0" firstSheet="0" activeTab="0"/>
  </bookViews>
  <sheets>
    <sheet name="Лист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<sst xmlns="http://schemas.openxmlformats.org/spreadsheetml/2006/main" count="80" uniqueCount="65">
  <si>
    <t>Параметры закона движения</t>
  </si>
  <si>
    <t>Параметры нагрузки</t>
  </si>
  <si>
    <r>
      <t xml:space="preserve">g=g</t>
    </r>
    <r>
      <rPr>
        <sz val="8"/>
        <color rgb="FF000000"/>
        <rFont val="Calibri"/>
        <family val="2"/>
        <charset val="204"/>
      </rPr>
      <t xml:space="preserve">0*</t>
    </r>
    <r>
      <rPr>
        <sz val="12"/>
        <color rgb="FF000000"/>
        <rFont val="Calibri"/>
        <family val="2"/>
        <charset val="204"/>
      </rPr>
      <t xml:space="preserve">sin(wt)</t>
    </r>
  </si>
  <si>
    <t>g0</t>
  </si>
  <si>
    <t>w</t>
  </si>
  <si>
    <t>g</t>
  </si>
  <si>
    <t>m, кг</t>
  </si>
  <si>
    <t>R, M</t>
  </si>
  <si>
    <t>Плоскость перемещения</t>
  </si>
  <si>
    <t>вертикальная</t>
  </si>
  <si>
    <t>Eps_Cp</t>
  </si>
  <si>
    <t>двн</t>
  </si>
  <si>
    <t>№</t>
  </si>
  <si>
    <t>Наименование двигателя</t>
  </si>
  <si>
    <t>Pн, кВт</t>
  </si>
  <si>
    <t>Mн, Н*м</t>
  </si>
  <si>
    <t>Jн, кг*м^2</t>
  </si>
  <si>
    <t>Ωн, рад/с</t>
  </si>
  <si>
    <r>
      <t xml:space="preserve">M</t>
    </r>
    <r>
      <rPr>
        <vertAlign val="subscript"/>
        <sz val="11"/>
        <color rgb="FF000000"/>
        <rFont val="Calibri"/>
        <family val="2"/>
        <charset val="204"/>
      </rPr>
      <t xml:space="preserve">д </t>
    </r>
    <r>
      <rPr>
        <sz val="11"/>
        <color rgb="FF000000"/>
        <rFont val="Calibri"/>
        <family val="2"/>
        <charset val="1"/>
      </rPr>
      <t xml:space="preserve">Н*м</t>
    </r>
  </si>
  <si>
    <r>
      <t xml:space="preserve">M</t>
    </r>
    <r>
      <rPr>
        <vertAlign val="subscript"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1"/>
      </rPr>
      <t xml:space="preserve">Н*м</t>
    </r>
  </si>
  <si>
    <t>i (редуктора)</t>
  </si>
  <si>
    <t>α</t>
  </si>
  <si>
    <t>ɣ</t>
  </si>
  <si>
    <r>
      <t xml:space="preserve">Ώ</t>
    </r>
    <r>
      <rPr>
        <sz val="11"/>
        <color rgb="FF000000"/>
        <rFont val="Calibri"/>
        <family val="2"/>
        <charset val="1"/>
      </rPr>
      <t xml:space="preserve">м</t>
    </r>
  </si>
  <si>
    <t>30W Brushless DC Motor with Planetary Gearbox</t>
  </si>
  <si>
    <t>збс</t>
  </si>
  <si>
    <t>http://au.rs-online.com/web/p/dc-geared-motors/3515195/</t>
  </si>
  <si>
    <t>Eps(m)</t>
  </si>
  <si>
    <t>SD1-0167/CONT</t>
  </si>
  <si>
    <t>не збс</t>
  </si>
  <si>
    <t>http://au.rs-online.com/web/p/dc-geared-motors/0716547/</t>
  </si>
  <si>
    <t>J</t>
  </si>
  <si>
    <t>M</t>
  </si>
  <si>
    <t>Mн</t>
  </si>
  <si>
    <t>Рн</t>
  </si>
  <si>
    <t>gamma</t>
  </si>
  <si>
    <t>&lt;1</t>
  </si>
  <si>
    <t>&gt;1</t>
  </si>
  <si>
    <t>Pдв</t>
  </si>
  <si>
    <t>alpha</t>
  </si>
  <si>
    <t>0,8-0,9</t>
  </si>
  <si>
    <t>U</t>
  </si>
  <si>
    <t>I</t>
  </si>
  <si>
    <t>R</t>
  </si>
  <si>
    <t>km</t>
  </si>
  <si>
    <t>ke</t>
  </si>
  <si>
    <t>PM7-0048/CONT</t>
  </si>
  <si>
    <t>M'н</t>
  </si>
  <si>
    <t>i0</t>
  </si>
  <si>
    <t>Мтр.мин</t>
  </si>
  <si>
    <t>Pтр.мин</t>
  </si>
  <si>
    <t>M HCP</t>
  </si>
  <si>
    <t>M TP</t>
  </si>
  <si>
    <t>E_0 CP</t>
  </si>
  <si>
    <t>Um</t>
  </si>
  <si>
    <t>ky</t>
  </si>
  <si>
    <t>kd</t>
  </si>
  <si>
    <t>J sum</t>
  </si>
  <si>
    <t>K_E</t>
  </si>
  <si>
    <t>1/Jsum</t>
  </si>
  <si>
    <t>kf</t>
  </si>
  <si>
    <t>1/ip</t>
  </si>
  <si>
    <t>K</t>
  </si>
  <si>
    <t>Kf</t>
  </si>
  <si>
    <t>Tm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</si>
</sst>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u.rs-online.com/web/p/dc-geared-motors/3515195/" TargetMode="External"/><Relationship Id="rId2" Type="http://schemas.openxmlformats.org/officeDocument/2006/relationships/hyperlink" Target="http://au.rs-online.com/web/p/dc-geared-motors/071654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4"/>
  <sheetViews>
    <sheetView windowProtection="false" showFormulas="false" showGridLines="true" showRowColHeaders="true" showZeros="true" rightToLeft="false" tabSelected="true" showOutlineSymbols="true" defaultGridColor="true" view="normal" topLeftCell="F37" colorId="64" zoomScale="120" zoomScaleNormal="120" zoomScalePageLayoutView="100" workbookViewId="0">
      <selection pane="topLeft" activeCell="H43" activeCellId="0" sqref="H43"/>
    </sheetView>
  </sheetViews>
  <sheetFormatPr defaultRowHeight="15"/>
  <cols>
    <col collapsed="false" hidden="false" max="1" min="1" style="1" width="9.1417004048583"/>
    <col collapsed="false" hidden="false" max="2" min="2" style="1" width="12.2834008097166"/>
    <col collapsed="false" hidden="false" max="4" min="3" style="1" width="9.1417004048583"/>
    <col collapsed="false" hidden="false" max="5" min="5" style="1" width="15.9838056680162"/>
    <col collapsed="false" hidden="false" max="6" min="6" style="1" width="44.0971659919028"/>
    <col collapsed="false" hidden="false" max="7" min="7" style="1" width="9.1417004048583"/>
    <col collapsed="false" hidden="false" max="8" min="8" style="1" width="12.5668016194332"/>
    <col collapsed="false" hidden="false" max="1025" min="9" style="1" width="9.1417004048583"/>
  </cols>
  <sheetData>
    <row r="1" customFormat="false" ht="15" hidden="false" customHeight="false" outlineLevel="0" collapsed="false">
      <c r="B1" s="0"/>
      <c r="C1" s="0"/>
      <c r="D1" s="2" t="s">
        <v>0</v>
      </c>
      <c r="E1" s="2"/>
      <c r="F1" s="2"/>
      <c r="G1" s="0"/>
      <c r="H1" s="2" t="s">
        <v>1</v>
      </c>
      <c r="I1" s="2"/>
      <c r="J1" s="2"/>
      <c r="K1" s="0"/>
      <c r="L1" s="0"/>
      <c r="M1" s="0"/>
      <c r="N1" s="0"/>
      <c r="O1" s="0"/>
      <c r="P1" s="0"/>
      <c r="Q1" s="0"/>
      <c r="R1" s="0"/>
      <c r="S1" s="0"/>
    </row>
    <row r="2" customFormat="false" ht="15.75" hidden="false" customHeight="false" outlineLevel="0" collapsed="false">
      <c r="B2" s="1" t="s">
        <v>2</v>
      </c>
      <c r="C2" s="0"/>
      <c r="D2" s="1" t="s">
        <v>3</v>
      </c>
      <c r="E2" s="1" t="s">
        <v>4</v>
      </c>
      <c r="F2" s="0"/>
      <c r="G2" s="1" t="s">
        <v>5</v>
      </c>
      <c r="H2" s="1" t="s">
        <v>6</v>
      </c>
      <c r="I2" s="1" t="s">
        <v>7</v>
      </c>
      <c r="J2" s="1" t="s">
        <v>8</v>
      </c>
      <c r="K2" s="0"/>
      <c r="L2" s="0"/>
      <c r="M2" s="0"/>
      <c r="N2" s="0"/>
      <c r="O2" s="0"/>
      <c r="P2" s="0"/>
      <c r="Q2" s="0"/>
      <c r="R2" s="0"/>
      <c r="S2" s="0"/>
    </row>
    <row r="3" customFormat="false" ht="15" hidden="false" customHeight="false" outlineLevel="0" collapsed="false">
      <c r="B3" s="0"/>
      <c r="C3" s="0"/>
      <c r="D3" s="3" t="n">
        <v>30</v>
      </c>
      <c r="E3" s="3" t="n">
        <v>7.5</v>
      </c>
      <c r="F3" s="0"/>
      <c r="G3" s="0"/>
      <c r="H3" s="1" t="n">
        <v>0.62</v>
      </c>
      <c r="I3" s="1" t="n">
        <v>0.35</v>
      </c>
      <c r="J3" s="1" t="s">
        <v>9</v>
      </c>
      <c r="K3" s="0"/>
      <c r="L3" s="0"/>
      <c r="M3" s="0"/>
      <c r="N3" s="0"/>
      <c r="O3" s="0"/>
      <c r="P3" s="0"/>
      <c r="Q3" s="0"/>
      <c r="R3" s="0"/>
      <c r="S3" s="0"/>
    </row>
    <row r="4" customFormat="false" ht="15" hidden="false" customHeight="false" outlineLevel="0" collapsed="false">
      <c r="B4" s="0"/>
      <c r="C4" s="0"/>
      <c r="D4" s="1" t="n">
        <f aca="false">D3*3.14/180</f>
        <v>0.523333333333333</v>
      </c>
      <c r="E4" s="0" t="n">
        <f aca="false">(E3/180)*PI()</f>
        <v>0.130899693899575</v>
      </c>
      <c r="F4" s="1" t="n">
        <f aca="false">E3^2*D4</f>
        <v>29.4375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5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</row>
    <row r="6" customFormat="false" ht="15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</row>
    <row r="7" customFormat="false" ht="15" hidden="false" customHeight="false" outlineLevel="0" collapsed="false">
      <c r="B7" s="1" t="s">
        <v>10</v>
      </c>
      <c r="C7" s="1" t="n">
        <f aca="false">D4*E3^2/SQRT(2)</f>
        <v>20.815455871179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</row>
    <row r="8" customFormat="false" ht="15" hidden="false" customHeight="false" outlineLevel="0" collapsed="false">
      <c r="B8" s="0"/>
      <c r="C8" s="0"/>
      <c r="D8" s="0"/>
      <c r="E8" s="0"/>
      <c r="F8" s="0"/>
      <c r="G8" s="0"/>
      <c r="H8" s="0" t="s">
        <v>11</v>
      </c>
      <c r="I8" s="0"/>
      <c r="J8" s="0" t="s">
        <v>11</v>
      </c>
      <c r="K8" s="0"/>
      <c r="L8" s="0"/>
      <c r="M8" s="0"/>
      <c r="N8" s="0"/>
      <c r="O8" s="0"/>
      <c r="P8" s="0"/>
      <c r="Q8" s="0"/>
      <c r="R8" s="0"/>
      <c r="S8" s="0"/>
    </row>
    <row r="9" customFormat="false" ht="45" hidden="false" customHeight="false" outlineLevel="0" collapsed="false">
      <c r="B9" s="0"/>
      <c r="C9" s="0"/>
      <c r="D9" s="0"/>
      <c r="E9" s="4" t="s">
        <v>12</v>
      </c>
      <c r="F9" s="4" t="s">
        <v>13</v>
      </c>
      <c r="G9" s="5" t="s">
        <v>14</v>
      </c>
      <c r="H9" s="5" t="s">
        <v>15</v>
      </c>
      <c r="I9" s="4" t="s">
        <v>16</v>
      </c>
      <c r="J9" s="6" t="s">
        <v>17</v>
      </c>
      <c r="K9" s="7" t="s">
        <v>18</v>
      </c>
      <c r="L9" s="7" t="s">
        <v>19</v>
      </c>
      <c r="M9" s="8" t="s">
        <v>20</v>
      </c>
      <c r="N9" s="9" t="s">
        <v>21</v>
      </c>
      <c r="O9" s="9" t="s">
        <v>22</v>
      </c>
      <c r="P9" s="0"/>
      <c r="Q9" s="0"/>
      <c r="R9" s="0"/>
      <c r="S9" s="0"/>
    </row>
    <row r="10" customFormat="false" ht="15" hidden="false" customHeight="false" outlineLevel="0" collapsed="false">
      <c r="B10" s="10" t="s">
        <v>23</v>
      </c>
      <c r="C10" s="1" t="n">
        <f aca="false">3.92475</f>
        <v>3.92475</v>
      </c>
      <c r="D10" s="1" t="n">
        <f aca="false">D4*E3</f>
        <v>3.925</v>
      </c>
      <c r="E10" s="1" t="n">
        <v>1</v>
      </c>
      <c r="F10" s="1" t="s">
        <v>24</v>
      </c>
      <c r="G10" s="1" t="n">
        <v>0.024</v>
      </c>
      <c r="H10" s="1" t="n">
        <v>5</v>
      </c>
      <c r="I10" s="0" t="n">
        <v>0.001</v>
      </c>
      <c r="J10" s="1" t="n">
        <v>52.77</v>
      </c>
      <c r="K10" s="0"/>
      <c r="L10" s="0"/>
      <c r="M10" s="0"/>
      <c r="N10" s="1" t="n">
        <f aca="false">D23*$C$10/J10</f>
        <v>0.887527140437555</v>
      </c>
      <c r="O10" s="1" t="n">
        <f aca="false">$D$13/H10</f>
        <v>0.42532</v>
      </c>
      <c r="P10" s="1" t="s">
        <v>25</v>
      </c>
      <c r="Q10" s="11" t="s">
        <v>26</v>
      </c>
      <c r="R10" s="0"/>
      <c r="S10" s="0"/>
    </row>
    <row r="11" customFormat="false" ht="15" hidden="false" customHeight="false" outlineLevel="0" collapsed="false">
      <c r="B11" s="1" t="s">
        <v>27</v>
      </c>
      <c r="C11" s="1" t="n">
        <v>-29.4356</v>
      </c>
      <c r="D11" s="0"/>
      <c r="E11" s="1" t="n">
        <v>2</v>
      </c>
      <c r="F11" s="1" t="s">
        <v>28</v>
      </c>
      <c r="G11" s="1" t="n">
        <v>0.038</v>
      </c>
      <c r="H11" s="1" t="n">
        <v>2.3</v>
      </c>
      <c r="I11" s="0"/>
      <c r="J11" s="1" t="n">
        <v>5.2</v>
      </c>
      <c r="K11" s="0"/>
      <c r="L11" s="0"/>
      <c r="M11" s="0"/>
      <c r="N11" s="12" t="n">
        <f aca="false">$C$10/J11</f>
        <v>0.754759615384615</v>
      </c>
      <c r="O11" s="1" t="n">
        <f aca="false">$D$13/H11</f>
        <v>0.924608695652174</v>
      </c>
      <c r="P11" s="1" t="s">
        <v>29</v>
      </c>
      <c r="Q11" s="11" t="s">
        <v>30</v>
      </c>
      <c r="R11" s="0"/>
      <c r="S11" s="0"/>
    </row>
    <row r="12" customFormat="false" ht="15" hidden="false" customHeight="false" outlineLevel="0" collapsed="false">
      <c r="B12" s="1" t="s">
        <v>31</v>
      </c>
      <c r="C12" s="1" t="n">
        <f aca="false">H3*I3^2</f>
        <v>0.07595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</row>
    <row r="13" customFormat="false" ht="15" hidden="false" customHeight="false" outlineLevel="0" collapsed="false">
      <c r="B13" s="1" t="s">
        <v>32</v>
      </c>
      <c r="C13" s="1" t="n">
        <f aca="false">C11*C12*SIGN(C11)</f>
        <v>2.23563382</v>
      </c>
      <c r="D13" s="1" t="n">
        <f aca="false">I3*H3*9.8</f>
        <v>2.1266</v>
      </c>
      <c r="E13" s="1" t="n">
        <f aca="false">C13+D13</f>
        <v>4.36223382</v>
      </c>
      <c r="F13" s="0" t="s">
        <v>33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</row>
    <row r="14" customFormat="false" ht="13.8" hidden="false" customHeight="false" outlineLevel="0" collapsed="false">
      <c r="B14" s="1" t="s">
        <v>34</v>
      </c>
      <c r="C14" s="1" t="n">
        <f aca="false">C13*C10</f>
        <v>8.774303835045</v>
      </c>
      <c r="D14" s="13" t="n">
        <f aca="false">E13*D10</f>
        <v>17.1217677435</v>
      </c>
      <c r="E14" s="0"/>
      <c r="F14" s="0"/>
      <c r="G14" s="1" t="s">
        <v>35</v>
      </c>
      <c r="H14" s="14" t="s">
        <v>36</v>
      </c>
      <c r="I14" s="0"/>
      <c r="J14" s="1" t="s">
        <v>37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5" hidden="false" customHeight="false" outlineLevel="0" collapsed="false">
      <c r="B15" s="1" t="s">
        <v>38</v>
      </c>
      <c r="C15" s="1" t="n">
        <f aca="false">2*D14</f>
        <v>34.243535487</v>
      </c>
      <c r="D15" s="0"/>
      <c r="E15" s="0"/>
      <c r="F15" s="0"/>
      <c r="G15" s="1" t="s">
        <v>39</v>
      </c>
      <c r="H15" s="1" t="s">
        <v>40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</row>
    <row r="16" customFormat="false" ht="15" hidden="false" customHeight="false" outlineLevel="0" collapsed="false">
      <c r="C16" s="0"/>
      <c r="D16" s="0"/>
      <c r="E16" s="15"/>
      <c r="F16" s="16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</row>
    <row r="17" customFormat="false" ht="1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</row>
    <row r="18" customFormat="false" ht="60" hidden="false" customHeight="false" outlineLevel="0" collapsed="false">
      <c r="C18" s="0"/>
      <c r="D18" s="0"/>
      <c r="E18" s="4" t="s">
        <v>13</v>
      </c>
      <c r="F18" s="5" t="s">
        <v>14</v>
      </c>
      <c r="G18" s="5" t="s">
        <v>15</v>
      </c>
      <c r="H18" s="4" t="s">
        <v>16</v>
      </c>
      <c r="I18" s="6" t="s">
        <v>17</v>
      </c>
      <c r="J18" s="7" t="s">
        <v>18</v>
      </c>
      <c r="K18" s="7" t="s">
        <v>19</v>
      </c>
      <c r="L18" s="8" t="s">
        <v>20</v>
      </c>
      <c r="M18" s="9" t="s">
        <v>21</v>
      </c>
      <c r="N18" s="9" t="s">
        <v>22</v>
      </c>
      <c r="O18" s="1" t="s">
        <v>41</v>
      </c>
      <c r="P18" s="1" t="s">
        <v>42</v>
      </c>
      <c r="Q18" s="1" t="s">
        <v>43</v>
      </c>
      <c r="R18" s="17" t="s">
        <v>44</v>
      </c>
      <c r="S18" s="17" t="s">
        <v>45</v>
      </c>
    </row>
    <row r="19" customFormat="false" ht="15" hidden="false" customHeight="false" outlineLevel="0" collapsed="false">
      <c r="C19" s="0"/>
      <c r="D19" s="0"/>
      <c r="E19" s="1" t="s">
        <v>46</v>
      </c>
      <c r="F19" s="1" t="n">
        <v>0.015</v>
      </c>
      <c r="G19" s="1" t="n">
        <v>5</v>
      </c>
      <c r="H19" s="17" t="n">
        <f aca="false">0.001</f>
        <v>0.001</v>
      </c>
      <c r="I19" s="1" t="n">
        <v>4.7</v>
      </c>
      <c r="L19" s="1" t="n">
        <f aca="false">91/3</f>
        <v>30.3333333333333</v>
      </c>
      <c r="M19" s="1" t="n">
        <f aca="false">$C$10/I19</f>
        <v>0.835053191489362</v>
      </c>
      <c r="N19" s="1" t="n">
        <f aca="false">$C$13/G19</f>
        <v>0.447126764</v>
      </c>
      <c r="O19" s="1" t="n">
        <v>12</v>
      </c>
      <c r="P19" s="1" t="n">
        <f aca="false">15/12</f>
        <v>1.25</v>
      </c>
      <c r="Q19" s="1" t="n">
        <f aca="false">O19/P19</f>
        <v>9.6</v>
      </c>
    </row>
    <row r="20" customFormat="false" ht="15" hidden="false" customHeight="false" outlineLevel="0" collapsed="false">
      <c r="C20" s="0"/>
      <c r="D20" s="0"/>
      <c r="E20" s="0"/>
      <c r="F20" s="0"/>
      <c r="I20" s="1" t="n">
        <f aca="false">45</f>
        <v>45</v>
      </c>
    </row>
    <row r="21" customFormat="false" ht="15" hidden="false" customHeight="false" outlineLevel="0" collapsed="false">
      <c r="C21" s="0"/>
      <c r="D21" s="0"/>
      <c r="E21" s="0"/>
      <c r="F21" s="1" t="n">
        <f aca="false">C23+H19*F4*(-1)</f>
        <v>2.765104775</v>
      </c>
    </row>
    <row r="22" customFormat="false" ht="15" hidden="false" customHeight="false" outlineLevel="0" collapsed="false">
      <c r="C22" s="1" t="s">
        <v>47</v>
      </c>
      <c r="D22" s="1" t="s">
        <v>48</v>
      </c>
      <c r="E22" s="1" t="s">
        <v>49</v>
      </c>
      <c r="F22" s="1" t="s">
        <v>50</v>
      </c>
    </row>
    <row r="23" customFormat="false" ht="15" hidden="false" customHeight="false" outlineLevel="0" collapsed="false">
      <c r="C23" s="1" t="n">
        <f aca="false">C13/0.8</f>
        <v>2.794542275</v>
      </c>
      <c r="D23" s="1" t="n">
        <f aca="false">SQRT((C23+C12*F4)/(1.2*H19*F4))</f>
        <v>11.9331950317574</v>
      </c>
      <c r="E23" s="17" t="n">
        <f aca="false">2*(C23+C12*C11*SIGN(C11))/D23</f>
        <v>0.84305604351783</v>
      </c>
      <c r="F23" s="1" t="n">
        <f aca="false">2*(C23+C12*C11*SIGN(C11))*C10</f>
        <v>39.4843672577025</v>
      </c>
    </row>
    <row r="25" customFormat="false" ht="15" hidden="false" customHeight="false" outlineLevel="0" collapsed="false">
      <c r="G25" s="1" t="s">
        <v>51</v>
      </c>
      <c r="H25" s="1" t="n">
        <f aca="false">(F27+5)/2</f>
        <v>4.68111691</v>
      </c>
    </row>
    <row r="27" customFormat="false" ht="13.8" hidden="false" customHeight="false" outlineLevel="0" collapsed="false">
      <c r="E27" s="1" t="s">
        <v>52</v>
      </c>
      <c r="F27" s="1" t="n">
        <f aca="false">E13</f>
        <v>4.36223382</v>
      </c>
    </row>
    <row r="28" customFormat="false" ht="15" hidden="false" customHeight="false" outlineLevel="0" collapsed="false">
      <c r="G28" s="1" t="s">
        <v>53</v>
      </c>
      <c r="H28" s="1" t="n">
        <f aca="false">(D4*E3*E3)/SQRT(2)</f>
        <v>20.815455871179</v>
      </c>
    </row>
    <row r="29" customFormat="false" ht="13.8" hidden="false" customHeight="false" outlineLevel="0" collapsed="false"/>
    <row r="31" customFormat="false" ht="15" hidden="false" customHeight="false" outlineLevel="0" collapsed="false">
      <c r="G31" s="1" t="n">
        <f aca="false">(H25*H25)/(D23*D23) + 1.2*(I10+C12/(D23*D23))^(2)*D23*D23*H28*H28</f>
        <v>0.327961852333708</v>
      </c>
    </row>
    <row r="32" customFormat="false" ht="15" hidden="false" customHeight="false" outlineLevel="0" collapsed="false">
      <c r="G32" s="1" t="n">
        <f aca="false">SQRT(G31)</f>
        <v>0.572679537205327</v>
      </c>
    </row>
    <row r="38" customFormat="false" ht="13.8" hidden="false" customHeight="false" outlineLevel="0" collapsed="false">
      <c r="G38" s="1" t="s">
        <v>41</v>
      </c>
      <c r="H38" s="1" t="n">
        <v>24</v>
      </c>
    </row>
    <row r="39" customFormat="false" ht="15" hidden="false" customHeight="false" outlineLevel="0" collapsed="false">
      <c r="G39" s="1" t="s">
        <v>54</v>
      </c>
      <c r="H39" s="1" t="n">
        <v>10</v>
      </c>
    </row>
    <row r="40" customFormat="false" ht="15" hidden="false" customHeight="false" outlineLevel="0" collapsed="false">
      <c r="G40" s="1" t="s">
        <v>55</v>
      </c>
      <c r="H40" s="1" t="n">
        <f aca="false">H38/H39</f>
        <v>2.4</v>
      </c>
      <c r="J40" s="1" t="s">
        <v>42</v>
      </c>
      <c r="K40" s="1" t="n">
        <v>1</v>
      </c>
    </row>
    <row r="42" customFormat="false" ht="15" hidden="false" customHeight="false" outlineLevel="0" collapsed="false">
      <c r="G42" s="1" t="s">
        <v>43</v>
      </c>
      <c r="H42" s="1" t="n">
        <v>24</v>
      </c>
    </row>
    <row r="43" customFormat="false" ht="15" hidden="false" customHeight="false" outlineLevel="0" collapsed="false">
      <c r="G43" s="1" t="s">
        <v>56</v>
      </c>
      <c r="H43" s="1" t="n">
        <f aca="false">1/H42</f>
        <v>0.0416666666666667</v>
      </c>
      <c r="J43" s="1" t="s">
        <v>44</v>
      </c>
      <c r="K43" s="1" t="n">
        <f aca="false">5/1</f>
        <v>5</v>
      </c>
    </row>
    <row r="45" customFormat="false" ht="15" hidden="false" customHeight="false" outlineLevel="0" collapsed="false">
      <c r="G45" s="1" t="s">
        <v>57</v>
      </c>
      <c r="H45" s="1" t="n">
        <f aca="false">I10+2*I10+(C12/(D23*D23))</f>
        <v>0.00353335245802633</v>
      </c>
    </row>
    <row r="47" customFormat="false" ht="15" hidden="false" customHeight="false" outlineLevel="0" collapsed="false">
      <c r="G47" s="1" t="s">
        <v>58</v>
      </c>
      <c r="H47" s="1" t="n">
        <f aca="false">H38/52.77</f>
        <v>0.45480386583286</v>
      </c>
    </row>
    <row r="50" customFormat="false" ht="15" hidden="false" customHeight="false" outlineLevel="0" collapsed="false">
      <c r="H50" s="1" t="n">
        <f aca="false">24/7.5</f>
        <v>3.2</v>
      </c>
    </row>
    <row r="53" customFormat="false" ht="15" hidden="false" customHeight="false" outlineLevel="0" collapsed="false">
      <c r="G53" s="1" t="s">
        <v>59</v>
      </c>
      <c r="H53" s="1" t="n">
        <f aca="false">1/H45</f>
        <v>283.017336051038</v>
      </c>
      <c r="J53" s="1" t="s">
        <v>60</v>
      </c>
    </row>
    <row r="55" customFormat="false" ht="15" hidden="false" customHeight="false" outlineLevel="0" collapsed="false">
      <c r="G55" s="1" t="s">
        <v>61</v>
      </c>
      <c r="H55" s="1" t="n">
        <f aca="false">1/D23</f>
        <v>0.0837998538814405</v>
      </c>
    </row>
    <row r="58" customFormat="false" ht="15" hidden="false" customHeight="false" outlineLevel="0" collapsed="false">
      <c r="M58" s="1" t="n">
        <f aca="false">27/180</f>
        <v>0.15</v>
      </c>
      <c r="N58" s="1" t="n">
        <f aca="false">3.14*M58</f>
        <v>0.471</v>
      </c>
    </row>
    <row r="59" customFormat="false" ht="15" hidden="false" customHeight="false" outlineLevel="0" collapsed="false">
      <c r="M59" s="1" t="n">
        <f aca="false">27/360</f>
        <v>0.075</v>
      </c>
    </row>
    <row r="60" customFormat="false" ht="15" hidden="false" customHeight="false" outlineLevel="0" collapsed="false">
      <c r="G60" s="1" t="s">
        <v>62</v>
      </c>
      <c r="H60" s="1" t="n">
        <f aca="false">H40/(H47*D23)</f>
        <v>0.442211828932362</v>
      </c>
    </row>
    <row r="62" customFormat="false" ht="15" hidden="false" customHeight="false" outlineLevel="0" collapsed="false">
      <c r="G62" s="1" t="s">
        <v>63</v>
      </c>
      <c r="H62" s="1" t="n">
        <f aca="false">24/(K43*H47*D23*D23)</f>
        <v>0.0741145732983529</v>
      </c>
    </row>
    <row r="64" customFormat="false" ht="15" hidden="false" customHeight="false" outlineLevel="0" collapsed="false">
      <c r="G64" s="1" t="s">
        <v>64</v>
      </c>
      <c r="H64" s="1" t="n">
        <f aca="false">(H42*H45)/(H47*K43)</f>
        <v>0.0372910018420099</v>
      </c>
    </row>
  </sheetData>
  <mergeCells count="2">
    <mergeCell ref="D1:F1"/>
    <mergeCell ref="H1:J1"/>
  </mergeCells>
  <hyperlinks>
    <hyperlink ref="Q10" r:id="rId1" display="http://au.rs-online.com/web/p/dc-geared-motors/3515195/"/>
    <hyperlink ref="Q11" r:id="rId2" display="http://au.rs-online.com/web/p/dc-geared-motors/071654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language>ru-RU</dc:language>
  <dcterms:modified xsi:type="dcterms:W3CDTF">2017-10-24T17:00:49Z</dcterms:modified>
  <cp:revision>0</cp:revision>
</cp:coreProperties>
</file>