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B5641C74-5CDC-4ADB-A1BF-4EBB871E497D}" xr6:coauthVersionLast="47" xr6:coauthVersionMax="47" xr10:uidLastSave="{00000000-0000-0000-0000-000000000000}"/>
  <bookViews>
    <workbookView xWindow="-108" yWindow="-108" windowWidth="23256" windowHeight="12576" activeTab="1" xr2:uid="{692682D6-B432-47D6-B814-AA5FB880D973}"/>
  </bookViews>
  <sheets>
    <sheet name="Inhouse heat systems" sheetId="1" r:id="rId1"/>
    <sheet name="District heating" sheetId="2" r:id="rId2"/>
    <sheet name="Cable lengths" sheetId="3" r:id="rId3"/>
    <sheet name="Energy costs" sheetId="10" r:id="rId4"/>
    <sheet name="Electricity fixed and variable" sheetId="7" r:id="rId5"/>
    <sheet name="Isolation cost" sheetId="6" r:id="rId6"/>
    <sheet name="Gas fixed and variable" sheetId="8" r:id="rId7"/>
    <sheet name="Energy saving isol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0" l="1"/>
  <c r="F18" i="10"/>
  <c r="F19" i="10"/>
  <c r="F20" i="10"/>
  <c r="F21" i="10"/>
  <c r="P28" i="10"/>
  <c r="P29" i="10"/>
  <c r="P30" i="10"/>
  <c r="P31" i="10"/>
  <c r="P27" i="10"/>
  <c r="P5" i="10"/>
  <c r="P8" i="10"/>
  <c r="P9" i="10"/>
  <c r="P10" i="10"/>
  <c r="P11" i="10"/>
  <c r="P12" i="10"/>
  <c r="P13" i="10"/>
  <c r="P14" i="10"/>
  <c r="P15" i="10"/>
  <c r="P16" i="10"/>
  <c r="P7" i="10"/>
  <c r="P18" i="10"/>
  <c r="P19" i="10"/>
  <c r="P20" i="10"/>
  <c r="P21" i="10"/>
  <c r="P22" i="10"/>
  <c r="P23" i="10"/>
  <c r="P24" i="10"/>
  <c r="P25" i="10"/>
  <c r="P26" i="10"/>
  <c r="P17" i="10"/>
  <c r="M7" i="10"/>
  <c r="M8" i="10"/>
  <c r="M10" i="10"/>
  <c r="F22" i="10"/>
  <c r="J18" i="10"/>
  <c r="J22" i="10"/>
  <c r="J24" i="10"/>
  <c r="L22" i="10"/>
  <c r="L23" i="10"/>
  <c r="J23" i="10" s="1"/>
  <c r="L24" i="10"/>
  <c r="F24" i="10" s="1"/>
  <c r="L25" i="10"/>
  <c r="M25" i="10" s="1"/>
  <c r="L26" i="10"/>
  <c r="M26" i="10" s="1"/>
  <c r="L18" i="10"/>
  <c r="M18" i="10" s="1"/>
  <c r="L19" i="10"/>
  <c r="M19" i="10" s="1"/>
  <c r="L20" i="10"/>
  <c r="M20" i="10" s="1"/>
  <c r="L21" i="10"/>
  <c r="M15" i="10"/>
  <c r="L17" i="10"/>
  <c r="M17" i="10" s="1"/>
  <c r="R6" i="10"/>
  <c r="M23" i="10" s="1"/>
  <c r="M4" i="10"/>
  <c r="F16" i="10"/>
  <c r="J16" i="10" s="1"/>
  <c r="L16" i="10" s="1"/>
  <c r="M16" i="10" s="1"/>
  <c r="F15" i="10"/>
  <c r="J15" i="10" s="1"/>
  <c r="L15" i="10" s="1"/>
  <c r="F14" i="10"/>
  <c r="J14" i="10" s="1"/>
  <c r="L14" i="10" s="1"/>
  <c r="M14" i="10" s="1"/>
  <c r="F13" i="10"/>
  <c r="J13" i="10" s="1"/>
  <c r="L13" i="10" s="1"/>
  <c r="M13" i="10" s="1"/>
  <c r="F12" i="10"/>
  <c r="J12" i="10" s="1"/>
  <c r="L12" i="10" s="1"/>
  <c r="M12" i="10" s="1"/>
  <c r="J11" i="10"/>
  <c r="L11" i="10" s="1"/>
  <c r="M11" i="10" s="1"/>
  <c r="J10" i="10"/>
  <c r="L10" i="10" s="1"/>
  <c r="J9" i="10"/>
  <c r="L9" i="10" s="1"/>
  <c r="M9" i="10" s="1"/>
  <c r="J8" i="10"/>
  <c r="L8" i="10" s="1"/>
  <c r="J7" i="10"/>
  <c r="L7" i="10" s="1"/>
  <c r="J6" i="10"/>
  <c r="L6" i="10" s="1"/>
  <c r="M6" i="10" s="1"/>
  <c r="J5" i="10"/>
  <c r="L5" i="10" s="1"/>
  <c r="M5" i="10" s="1"/>
  <c r="J4" i="10"/>
  <c r="L4" i="10" s="1"/>
  <c r="J3" i="10"/>
  <c r="L3" i="10" s="1"/>
  <c r="M3" i="10" s="1"/>
  <c r="J2" i="10"/>
  <c r="L2" i="10" s="1"/>
  <c r="M2" i="10" s="1"/>
  <c r="F7" i="1"/>
  <c r="M6" i="2"/>
  <c r="M3" i="2"/>
  <c r="M4" i="2"/>
  <c r="M5" i="2"/>
  <c r="M2" i="2"/>
  <c r="E8" i="8"/>
  <c r="H8" i="8" s="1"/>
  <c r="J8" i="8" s="1"/>
  <c r="E9" i="8"/>
  <c r="H9" i="8" s="1"/>
  <c r="J9" i="8" s="1"/>
  <c r="E11" i="8"/>
  <c r="E10" i="8"/>
  <c r="E7" i="8"/>
  <c r="H7" i="8" s="1"/>
  <c r="J7" i="8" s="1"/>
  <c r="J3" i="7"/>
  <c r="J4" i="7"/>
  <c r="J5" i="7"/>
  <c r="J6" i="7"/>
  <c r="J2" i="7"/>
  <c r="H3" i="7"/>
  <c r="H4" i="7"/>
  <c r="H5" i="7"/>
  <c r="H6" i="7"/>
  <c r="H2" i="7"/>
  <c r="J3" i="8"/>
  <c r="J4" i="8"/>
  <c r="J6" i="8"/>
  <c r="J10" i="8"/>
  <c r="J11" i="8"/>
  <c r="J2" i="8"/>
  <c r="H2" i="8"/>
  <c r="H10" i="8"/>
  <c r="H11" i="8"/>
  <c r="H3" i="8"/>
  <c r="H4" i="8"/>
  <c r="H5" i="8"/>
  <c r="J5" i="8" s="1"/>
  <c r="H6" i="8"/>
  <c r="M22" i="10" l="1"/>
  <c r="J20" i="10"/>
  <c r="M21" i="10"/>
  <c r="J19" i="10"/>
  <c r="J21" i="10"/>
  <c r="F26" i="10"/>
  <c r="J17" i="10"/>
  <c r="F25" i="10"/>
  <c r="M24" i="10"/>
  <c r="J26" i="10"/>
  <c r="J25" i="10"/>
  <c r="F2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tc={0FDBB4EC-87AB-46A6-B919-B527DF9C099E}</author>
    <author>tc={48054496-1C53-4DB0-A6F0-9C74A2E84D08}</author>
    <author>tc={5B652A96-D545-4FAB-A1DF-D85E1FBE196C}</author>
    <author>Loomans, N.</author>
  </authors>
  <commentList>
    <comment ref="F13" authorId="0" shapeId="0" xr:uid="{0FDBB4EC-87AB-46A6-B919-B527DF9C099E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4" authorId="1" shapeId="0" xr:uid="{48054496-1C53-4DB0-A6F0-9C74A2E84D08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5" authorId="2" shapeId="0" xr:uid="{5B652A96-D545-4FAB-A1DF-D85E1FBE196C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6" authorId="3" shapeId="0" xr:uid="{304F8695-C2FC-4D73-B98F-AFBFE62BA33A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tc={CB2624A8-EEC4-4366-955D-D44460D42BAA}</author>
    <author>tc={7C94406E-5488-4217-9E33-1005438C504D}</author>
    <author>tc={F9A38D72-9A39-4A9E-9765-B0486F4A274F}</author>
    <author>Loomans, N.</author>
  </authors>
  <commentList>
    <comment ref="E8" authorId="0" shapeId="0" xr:uid="{CB2624A8-EEC4-4366-955D-D44460D42BA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9" authorId="1" shapeId="0" xr:uid="{7C94406E-5488-4217-9E33-1005438C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0" authorId="2" shapeId="0" xr:uid="{F9A38D72-9A39-4A9E-9765-B0486F4A27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1" authorId="3" shapeId="0" xr:uid="{CBFD75A0-1DE4-4383-86B4-3DCA9886B879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<sst xmlns="http://schemas.openxmlformats.org/spreadsheetml/2006/main" count="304" uniqueCount="119">
  <si>
    <t>Unit</t>
  </si>
  <si>
    <t>Heat pump</t>
  </si>
  <si>
    <t>Type</t>
  </si>
  <si>
    <t>Air-water</t>
  </si>
  <si>
    <t>Hybrid</t>
  </si>
  <si>
    <t>Ground-water</t>
  </si>
  <si>
    <t>Fixed OPEX</t>
  </si>
  <si>
    <t>Lifetime</t>
  </si>
  <si>
    <t>Decentral</t>
  </si>
  <si>
    <t>Variable OPEX (EUR/kW/y</t>
  </si>
  <si>
    <t>Gas boiler</t>
  </si>
  <si>
    <t>Green gas boiler</t>
  </si>
  <si>
    <t>Heat Installations household</t>
  </si>
  <si>
    <t>Warmteaansluiting grondgebonden</t>
  </si>
  <si>
    <t>€/aansluiting</t>
  </si>
  <si>
    <t>Warmteaansluiting gestapeld</t>
  </si>
  <si>
    <t>Warmteaansluiting collectief</t>
  </si>
  <si>
    <t>Warmtenet</t>
  </si>
  <si>
    <t>€/m</t>
  </si>
  <si>
    <t>Component</t>
  </si>
  <si>
    <t>Aansluitkosten</t>
  </si>
  <si>
    <t>Neighborhood</t>
  </si>
  <si>
    <t>Urbanisation</t>
  </si>
  <si>
    <t>Gasnet (m/connection)</t>
  </si>
  <si>
    <t>Electricitynet (m/connection)</t>
  </si>
  <si>
    <t>Oude dorpskern</t>
  </si>
  <si>
    <t>3-4</t>
  </si>
  <si>
    <t>Historische binnenstad</t>
  </si>
  <si>
    <t>Buitengebied</t>
  </si>
  <si>
    <t>Jonge binnenstad</t>
  </si>
  <si>
    <t>Gemiddeld</t>
  </si>
  <si>
    <t>2-3-4</t>
  </si>
  <si>
    <t>CAPEX (EUR/kW)</t>
  </si>
  <si>
    <t>HT-radiator</t>
  </si>
  <si>
    <t>LT-radiator</t>
  </si>
  <si>
    <t>Underfloor heating</t>
  </si>
  <si>
    <t>EUR/kW</t>
  </si>
  <si>
    <t>EUR/m2</t>
  </si>
  <si>
    <t>EUR/kW/y</t>
  </si>
  <si>
    <t>Unit (Fixed OPEX)</t>
  </si>
  <si>
    <t>Woningtype</t>
  </si>
  <si>
    <t>Isolatiesprong</t>
  </si>
  <si>
    <t>2015 (EUR)</t>
  </si>
  <si>
    <t>2020 (EUR)</t>
  </si>
  <si>
    <t>2030 (EUR)</t>
  </si>
  <si>
    <t>2050 (EUR)</t>
  </si>
  <si>
    <t>Tussenwoning</t>
  </si>
  <si>
    <t>Hoekwoning</t>
  </si>
  <si>
    <t>Flat</t>
  </si>
  <si>
    <t>Twee-onder-een-kapwoning</t>
  </si>
  <si>
    <t>Vrijstaande woning</t>
  </si>
  <si>
    <t>Laag -&gt; Midden</t>
  </si>
  <si>
    <t>Laag -&gt; Hoog</t>
  </si>
  <si>
    <t>Midden -&gt; Hoog</t>
  </si>
  <si>
    <t>Netbeheerkosten</t>
  </si>
  <si>
    <t>Vaste leveringskosten</t>
  </si>
  <si>
    <t>belastingvermindering</t>
  </si>
  <si>
    <t>Variabele leveringskosten</t>
  </si>
  <si>
    <t>Energiebelasting</t>
  </si>
  <si>
    <t>ODE</t>
  </si>
  <si>
    <t>Jaar</t>
  </si>
  <si>
    <t>Year</t>
  </si>
  <si>
    <t>ODE (EUR/m3)</t>
  </si>
  <si>
    <t>Energiebelasting EUR/m3)</t>
  </si>
  <si>
    <t>Tarief variabele leveringskosten EUR/m3)</t>
  </si>
  <si>
    <t>Tarief vaste leveringskosten (EUR/y)</t>
  </si>
  <si>
    <t>Tarief netbeheerkosten (EUR/y)</t>
  </si>
  <si>
    <t>Housing type</t>
  </si>
  <si>
    <t>Low</t>
  </si>
  <si>
    <t>Medium</t>
  </si>
  <si>
    <t>High</t>
  </si>
  <si>
    <t>Energiedrager</t>
  </si>
  <si>
    <t>natural gas</t>
  </si>
  <si>
    <t>green gas</t>
  </si>
  <si>
    <t>BTW</t>
  </si>
  <si>
    <t>Totaal</t>
  </si>
  <si>
    <t>Subtotaal</t>
  </si>
  <si>
    <t>/aansluiting</t>
  </si>
  <si>
    <t>/m</t>
  </si>
  <si>
    <t/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</si>
  <si>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</si>
  <si>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</si>
  <si>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</si>
  <si>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</si>
  <si>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</si>
  <si>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</si>
  <si>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</si>
  <si>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</si>
  <si>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</si>
  <si>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</si>
  <si>
    <t>Isolation</t>
  </si>
  <si>
    <t>See energievraag en isolatie woningen</t>
  </si>
  <si>
    <t>LT-Warmtenet</t>
  </si>
  <si>
    <t>MT-Warmtenet</t>
  </si>
  <si>
    <t>Electric boiler</t>
  </si>
  <si>
    <t>EUR per aansluiting</t>
  </si>
  <si>
    <t>CO2-emissiefactor</t>
  </si>
  <si>
    <t>electricity</t>
  </si>
  <si>
    <t>LT-warmte</t>
  </si>
  <si>
    <t>MT-warmte</t>
  </si>
  <si>
    <t>Eur/kWh</t>
  </si>
  <si>
    <t>Eur/m3</t>
  </si>
  <si>
    <t>kWh per m3 gas</t>
  </si>
  <si>
    <t>GJ per kWh</t>
  </si>
  <si>
    <t>Eur/GJ</t>
  </si>
  <si>
    <t>Netbeheerkosten (eur/jaar)</t>
  </si>
  <si>
    <t>Vaste leveringskosten (eur/jaar)</t>
  </si>
  <si>
    <t>Benzine autokilometer</t>
  </si>
  <si>
    <t>kg/kWh</t>
  </si>
  <si>
    <t>kg/Nm3</t>
  </si>
  <si>
    <t>kWh per km</t>
  </si>
  <si>
    <t>kg/km</t>
  </si>
  <si>
    <t>kg/GJ</t>
  </si>
  <si>
    <t>CO2-emissiefactor (kg/kWh)</t>
  </si>
  <si>
    <t>KEV 2021</t>
  </si>
  <si>
    <t>Lijst Emissiefactoren</t>
  </si>
  <si>
    <t>Eur/l</t>
  </si>
  <si>
    <t>Cent accijns per liter brandstof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</si>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</sst>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49" fontId="0" fillId="0" borderId="0" xfId="1" applyNumberFormat="1" applyFont="1"/>
    <xf numFmtId="2" fontId="0" fillId="0" borderId="0" xfId="0" applyNumberFormat="1"/>
    <xf numFmtId="9" fontId="0" fillId="0" borderId="0" xfId="2" applyFont="1"/>
    <xf numFmtId="0" fontId="0" fillId="0" borderId="0" xfId="0" applyFill="1"/>
    <xf numFmtId="164" fontId="0" fillId="0" borderId="0" xfId="0" applyNumberFormat="1" applyFill="1"/>
    <xf numFmtId="0" fontId="0" fillId="0" borderId="0" xfId="0" applyFont="1"/>
    <xf numFmtId="2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AA70B0DB-01DC-45B7-BD28-402812321547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AA70B0DB-01DC-45B7-BD28-402812321547}" id="{0FDBB4EC-87AB-46A6-B919-B527DF9C099E}">
    <text>Power peers groen gas</text>
  </threadedComment>
  <threadedComment ref="F14" dT="2022-08-05T13:29:38.93" personId="{AA70B0DB-01DC-45B7-BD28-402812321547}" id="{48054496-1C53-4DB0-A6F0-9C74A2E84D08}">
    <text>Power peers groen gas</text>
  </threadedComment>
  <threadedComment ref="F15" dT="2022-08-05T13:29:38.93" personId="{AA70B0DB-01DC-45B7-BD28-402812321547}" id="{5B652A96-D545-4FAB-A1DF-D85E1FBE196C}">
    <text>Power peers groen gas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8" dT="2022-08-05T13:29:38.93" personId="{AA70B0DB-01DC-45B7-BD28-402812321547}" id="{CB2624A8-EEC4-4366-955D-D44460D42BAA}">
    <text>Power peers groen gas</text>
  </threadedComment>
  <threadedComment ref="E9" dT="2022-08-05T13:29:38.93" personId="{AA70B0DB-01DC-45B7-BD28-402812321547}" id="{7C94406E-5488-4217-9E33-1005438C504D}">
    <text>Power peers groen gas</text>
  </threadedComment>
  <threadedComment ref="E10" dT="2022-08-05T13:29:38.93" personId="{AA70B0DB-01DC-45B7-BD28-402812321547}" id="{F9A38D72-9A39-4A9E-9765-B0486F4A274F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EAE-B245-4BB5-9FCD-4FA4EE9440AC}">
  <dimension ref="A1:H11"/>
  <sheetViews>
    <sheetView workbookViewId="0">
      <selection activeCell="F7" sqref="F7"/>
    </sheetView>
  </sheetViews>
  <sheetFormatPr defaultRowHeight="14.4" x14ac:dyDescent="0.3"/>
  <cols>
    <col min="1" max="1" width="26.88671875" bestFit="1" customWidth="1"/>
    <col min="2" max="2" width="13.5546875" bestFit="1" customWidth="1"/>
    <col min="3" max="3" width="13.44140625" bestFit="1" customWidth="1"/>
    <col min="4" max="4" width="24.109375" bestFit="1" customWidth="1"/>
    <col min="5" max="5" width="17" bestFit="1" customWidth="1"/>
  </cols>
  <sheetData>
    <row r="1" spans="1:8" x14ac:dyDescent="0.3">
      <c r="A1" s="2" t="s">
        <v>12</v>
      </c>
      <c r="B1" s="2" t="s">
        <v>2</v>
      </c>
      <c r="C1" s="2" t="s">
        <v>6</v>
      </c>
      <c r="D1" s="2" t="s">
        <v>39</v>
      </c>
      <c r="E1" s="2" t="s">
        <v>9</v>
      </c>
      <c r="F1" s="2" t="s">
        <v>32</v>
      </c>
      <c r="G1" s="2" t="s">
        <v>0</v>
      </c>
      <c r="H1" s="2" t="s">
        <v>7</v>
      </c>
    </row>
    <row r="2" spans="1:8" x14ac:dyDescent="0.3">
      <c r="A2" t="s">
        <v>1</v>
      </c>
      <c r="B2" t="s">
        <v>3</v>
      </c>
      <c r="C2">
        <v>10</v>
      </c>
      <c r="D2" t="s">
        <v>38</v>
      </c>
      <c r="E2">
        <v>0</v>
      </c>
      <c r="F2">
        <v>909.8</v>
      </c>
      <c r="G2" t="s">
        <v>36</v>
      </c>
      <c r="H2">
        <v>15</v>
      </c>
    </row>
    <row r="3" spans="1:8" x14ac:dyDescent="0.3">
      <c r="A3" t="s">
        <v>1</v>
      </c>
      <c r="B3" t="s">
        <v>5</v>
      </c>
      <c r="C3">
        <v>10</v>
      </c>
      <c r="D3" t="s">
        <v>38</v>
      </c>
      <c r="E3">
        <v>0</v>
      </c>
      <c r="F3">
        <v>1390.4</v>
      </c>
      <c r="G3" t="s">
        <v>36</v>
      </c>
      <c r="H3">
        <v>15</v>
      </c>
    </row>
    <row r="4" spans="1:8" x14ac:dyDescent="0.3">
      <c r="A4" t="s">
        <v>1</v>
      </c>
      <c r="B4" t="s">
        <v>4</v>
      </c>
      <c r="C4" s="1">
        <v>40.816326530612201</v>
      </c>
      <c r="D4" t="s">
        <v>38</v>
      </c>
      <c r="E4">
        <v>0</v>
      </c>
      <c r="F4">
        <v>779.38775510204096</v>
      </c>
      <c r="G4" t="s">
        <v>36</v>
      </c>
      <c r="H4">
        <v>15</v>
      </c>
    </row>
    <row r="5" spans="1:8" x14ac:dyDescent="0.3">
      <c r="A5" t="s">
        <v>10</v>
      </c>
      <c r="B5" t="s">
        <v>8</v>
      </c>
      <c r="C5">
        <v>4.4545454545454497</v>
      </c>
      <c r="D5" t="s">
        <v>38</v>
      </c>
      <c r="E5">
        <v>0</v>
      </c>
      <c r="F5">
        <v>97.022272727272707</v>
      </c>
      <c r="G5" t="s">
        <v>36</v>
      </c>
      <c r="H5">
        <v>15</v>
      </c>
    </row>
    <row r="6" spans="1:8" x14ac:dyDescent="0.3">
      <c r="A6" t="s">
        <v>11</v>
      </c>
      <c r="B6" t="s">
        <v>8</v>
      </c>
      <c r="C6">
        <v>4.4545454545454497</v>
      </c>
      <c r="D6" t="s">
        <v>38</v>
      </c>
      <c r="E6">
        <v>0</v>
      </c>
      <c r="F6">
        <v>97.022272727272707</v>
      </c>
      <c r="G6" t="s">
        <v>36</v>
      </c>
      <c r="H6">
        <v>15</v>
      </c>
    </row>
    <row r="7" spans="1:8" x14ac:dyDescent="0.3">
      <c r="A7" t="s">
        <v>94</v>
      </c>
      <c r="B7" t="s">
        <v>8</v>
      </c>
      <c r="C7">
        <v>0</v>
      </c>
      <c r="D7" t="s">
        <v>38</v>
      </c>
      <c r="E7">
        <v>0</v>
      </c>
      <c r="F7">
        <f>(1774.85+1112)/2</f>
        <v>1443.425</v>
      </c>
      <c r="G7" t="s">
        <v>95</v>
      </c>
      <c r="H7">
        <v>15</v>
      </c>
    </row>
    <row r="8" spans="1:8" x14ac:dyDescent="0.3">
      <c r="A8" t="s">
        <v>33</v>
      </c>
      <c r="C8">
        <v>0</v>
      </c>
      <c r="D8" t="s">
        <v>38</v>
      </c>
      <c r="E8">
        <v>0</v>
      </c>
      <c r="F8">
        <v>8</v>
      </c>
      <c r="G8" t="s">
        <v>37</v>
      </c>
      <c r="H8">
        <v>15</v>
      </c>
    </row>
    <row r="9" spans="1:8" x14ac:dyDescent="0.3">
      <c r="A9" t="s">
        <v>34</v>
      </c>
      <c r="C9">
        <v>0</v>
      </c>
      <c r="D9" t="s">
        <v>38</v>
      </c>
      <c r="E9">
        <v>0</v>
      </c>
      <c r="F9">
        <v>15</v>
      </c>
      <c r="G9" t="s">
        <v>37</v>
      </c>
      <c r="H9">
        <v>15</v>
      </c>
    </row>
    <row r="10" spans="1:8" x14ac:dyDescent="0.3">
      <c r="A10" t="s">
        <v>35</v>
      </c>
      <c r="C10">
        <v>0</v>
      </c>
      <c r="D10" t="s">
        <v>38</v>
      </c>
      <c r="E10">
        <v>0</v>
      </c>
      <c r="F10">
        <v>71</v>
      </c>
      <c r="G10" t="s">
        <v>37</v>
      </c>
      <c r="H10">
        <v>30</v>
      </c>
    </row>
    <row r="11" spans="1:8" x14ac:dyDescent="0.3">
      <c r="A11" t="s">
        <v>90</v>
      </c>
      <c r="B11" t="s">
        <v>91</v>
      </c>
      <c r="C11">
        <v>0</v>
      </c>
      <c r="D11" t="s">
        <v>38</v>
      </c>
      <c r="E11">
        <v>0</v>
      </c>
      <c r="F11">
        <v>0</v>
      </c>
      <c r="G11" t="s">
        <v>37</v>
      </c>
      <c r="H11">
        <v>30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7254-8431-436A-A556-48E8AFAFCC33}">
  <dimension ref="A1:N6"/>
  <sheetViews>
    <sheetView tabSelected="1" topLeftCell="C1" workbookViewId="0">
      <selection activeCell="H15" sqref="H15"/>
    </sheetView>
  </sheetViews>
  <sheetFormatPr defaultRowHeight="14.4" x14ac:dyDescent="0.3"/>
  <cols>
    <col min="1" max="1" width="33.109375" bestFit="1" customWidth="1"/>
    <col min="2" max="2" width="14.44140625" bestFit="1" customWidth="1"/>
    <col min="3" max="3" width="12.5546875" bestFit="1" customWidth="1"/>
    <col min="4" max="4" width="26.6640625" bestFit="1" customWidth="1"/>
    <col min="5" max="5" width="12.5546875" bestFit="1" customWidth="1"/>
    <col min="6" max="6" width="36.44140625" bestFit="1" customWidth="1"/>
    <col min="7" max="7" width="36.33203125" bestFit="1" customWidth="1"/>
  </cols>
  <sheetData>
    <row r="1" spans="1:14" s="2" customFormat="1" x14ac:dyDescent="0.3">
      <c r="A1" s="2" t="s">
        <v>19</v>
      </c>
      <c r="B1" s="2" t="s">
        <v>20</v>
      </c>
      <c r="C1" s="2" t="s">
        <v>0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118</v>
      </c>
    </row>
    <row r="2" spans="1:14" x14ac:dyDescent="0.3">
      <c r="A2" t="s">
        <v>13</v>
      </c>
      <c r="B2">
        <v>12000</v>
      </c>
      <c r="C2" t="s">
        <v>14</v>
      </c>
      <c r="D2" s="6" t="s">
        <v>13</v>
      </c>
      <c r="E2" s="6">
        <v>12000</v>
      </c>
      <c r="F2" s="6" t="s">
        <v>77</v>
      </c>
      <c r="G2" s="6">
        <v>836.14</v>
      </c>
      <c r="H2" s="6" t="s">
        <v>77</v>
      </c>
      <c r="I2" s="6">
        <v>360</v>
      </c>
      <c r="J2" s="6">
        <v>267.92</v>
      </c>
      <c r="K2" s="6">
        <v>30</v>
      </c>
      <c r="L2" s="6">
        <v>50</v>
      </c>
      <c r="M2" s="7">
        <f>L2*3.6/1000</f>
        <v>0.18</v>
      </c>
      <c r="N2" s="6">
        <v>0.7</v>
      </c>
    </row>
    <row r="3" spans="1:14" x14ac:dyDescent="0.3">
      <c r="A3" t="s">
        <v>15</v>
      </c>
      <c r="B3">
        <v>10000</v>
      </c>
      <c r="C3" t="s">
        <v>14</v>
      </c>
      <c r="D3" s="6" t="s">
        <v>15</v>
      </c>
      <c r="E3" s="6">
        <v>10000</v>
      </c>
      <c r="F3" s="6" t="s">
        <v>77</v>
      </c>
      <c r="G3" s="6">
        <v>836.14</v>
      </c>
      <c r="H3" s="6" t="s">
        <v>77</v>
      </c>
      <c r="I3" s="6">
        <v>360</v>
      </c>
      <c r="J3" s="6">
        <v>267.92</v>
      </c>
      <c r="K3" s="6">
        <v>30</v>
      </c>
      <c r="L3" s="6">
        <v>50</v>
      </c>
      <c r="M3" s="7">
        <f t="shared" ref="M3:M5" si="0">L3*3.6/1000</f>
        <v>0.18</v>
      </c>
      <c r="N3" s="6">
        <v>0.7</v>
      </c>
    </row>
    <row r="4" spans="1:14" x14ac:dyDescent="0.3">
      <c r="A4" t="s">
        <v>16</v>
      </c>
      <c r="B4">
        <v>4000</v>
      </c>
      <c r="C4" t="s">
        <v>14</v>
      </c>
      <c r="D4" s="6" t="s">
        <v>16</v>
      </c>
      <c r="E4" s="6">
        <v>4000</v>
      </c>
      <c r="F4" s="6" t="s">
        <v>77</v>
      </c>
      <c r="G4" s="6">
        <v>836.14</v>
      </c>
      <c r="H4" s="6" t="s">
        <v>77</v>
      </c>
      <c r="I4" s="6">
        <v>360</v>
      </c>
      <c r="J4" s="6">
        <v>267.92</v>
      </c>
      <c r="K4" s="6">
        <v>30</v>
      </c>
      <c r="L4" s="6">
        <v>50</v>
      </c>
      <c r="M4" s="7">
        <f t="shared" si="0"/>
        <v>0.18</v>
      </c>
      <c r="N4" s="6">
        <v>0.7</v>
      </c>
    </row>
    <row r="5" spans="1:14" x14ac:dyDescent="0.3">
      <c r="A5" t="s">
        <v>92</v>
      </c>
      <c r="B5">
        <v>270</v>
      </c>
      <c r="C5" t="s">
        <v>18</v>
      </c>
      <c r="D5" s="6" t="s">
        <v>17</v>
      </c>
      <c r="E5" s="6">
        <v>270</v>
      </c>
      <c r="F5" s="6" t="s">
        <v>78</v>
      </c>
      <c r="G5" s="6">
        <v>0</v>
      </c>
      <c r="H5" s="6" t="s">
        <v>79</v>
      </c>
      <c r="I5" s="6">
        <v>0</v>
      </c>
      <c r="J5" s="6">
        <v>0</v>
      </c>
      <c r="K5" s="6">
        <v>30</v>
      </c>
      <c r="L5" s="6">
        <v>50</v>
      </c>
      <c r="M5" s="7">
        <f t="shared" si="0"/>
        <v>0.18</v>
      </c>
      <c r="N5" s="6">
        <v>0.85</v>
      </c>
    </row>
    <row r="6" spans="1:14" x14ac:dyDescent="0.3">
      <c r="A6" t="s">
        <v>93</v>
      </c>
      <c r="B6">
        <v>271</v>
      </c>
      <c r="C6" t="s">
        <v>18</v>
      </c>
      <c r="D6" s="6" t="s">
        <v>17</v>
      </c>
      <c r="E6" s="6">
        <v>270</v>
      </c>
      <c r="F6" s="6" t="s">
        <v>78</v>
      </c>
      <c r="G6" s="6">
        <v>0</v>
      </c>
      <c r="H6" s="6" t="s">
        <v>79</v>
      </c>
      <c r="I6" s="6">
        <v>0</v>
      </c>
      <c r="J6" s="6">
        <v>0</v>
      </c>
      <c r="K6" s="6">
        <v>30</v>
      </c>
      <c r="L6" s="6">
        <v>50</v>
      </c>
      <c r="M6" s="7">
        <f t="shared" ref="M6" si="1">L6*3.6/1000</f>
        <v>0.18</v>
      </c>
      <c r="N6" s="6">
        <v>0.7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F280-26BB-4261-BACF-CAF01FCB9D88}">
  <dimension ref="A1:D6"/>
  <sheetViews>
    <sheetView workbookViewId="0">
      <selection activeCell="D27" sqref="D27"/>
    </sheetView>
  </sheetViews>
  <sheetFormatPr defaultRowHeight="14.4" x14ac:dyDescent="0.3"/>
  <cols>
    <col min="1" max="1" width="21.6640625" bestFit="1" customWidth="1"/>
    <col min="3" max="3" width="22" bestFit="1" customWidth="1"/>
    <col min="4" max="4" width="27.5546875" bestFit="1" customWidth="1"/>
  </cols>
  <sheetData>
    <row r="1" spans="1:4" x14ac:dyDescent="0.3">
      <c r="A1" s="2" t="s">
        <v>21</v>
      </c>
      <c r="B1" s="2" t="s">
        <v>22</v>
      </c>
      <c r="C1" s="2" t="s">
        <v>23</v>
      </c>
      <c r="D1" s="2" t="s">
        <v>24</v>
      </c>
    </row>
    <row r="2" spans="1:4" x14ac:dyDescent="0.3">
      <c r="A2" t="s">
        <v>25</v>
      </c>
      <c r="B2" s="3" t="s">
        <v>26</v>
      </c>
      <c r="C2">
        <v>39</v>
      </c>
      <c r="D2">
        <v>44</v>
      </c>
    </row>
    <row r="3" spans="1:4" x14ac:dyDescent="0.3">
      <c r="A3" t="s">
        <v>27</v>
      </c>
      <c r="B3" s="3">
        <v>1</v>
      </c>
      <c r="C3">
        <v>12</v>
      </c>
      <c r="D3">
        <v>13</v>
      </c>
    </row>
    <row r="4" spans="1:4" x14ac:dyDescent="0.3">
      <c r="A4" t="s">
        <v>28</v>
      </c>
      <c r="B4" s="3">
        <v>5</v>
      </c>
      <c r="C4">
        <v>61</v>
      </c>
      <c r="D4">
        <v>107</v>
      </c>
    </row>
    <row r="5" spans="1:4" x14ac:dyDescent="0.3">
      <c r="A5" t="s">
        <v>29</v>
      </c>
      <c r="B5" s="3">
        <v>1</v>
      </c>
      <c r="C5">
        <v>14</v>
      </c>
      <c r="D5">
        <v>15</v>
      </c>
    </row>
    <row r="6" spans="1:4" x14ac:dyDescent="0.3">
      <c r="A6" t="s">
        <v>30</v>
      </c>
      <c r="B6" s="3" t="s">
        <v>31</v>
      </c>
      <c r="C6">
        <v>22</v>
      </c>
      <c r="D6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FE0D-B0F0-4C41-B47D-B91F5137ACCD}">
  <dimension ref="A1:S31"/>
  <sheetViews>
    <sheetView topLeftCell="A13" workbookViewId="0">
      <selection activeCell="P1" sqref="P1"/>
    </sheetView>
  </sheetViews>
  <sheetFormatPr defaultRowHeight="14.4" x14ac:dyDescent="0.3"/>
  <sheetData>
    <row r="1" spans="1:19" x14ac:dyDescent="0.3">
      <c r="A1" t="s">
        <v>60</v>
      </c>
      <c r="B1" t="s">
        <v>71</v>
      </c>
      <c r="C1" t="s">
        <v>105</v>
      </c>
      <c r="D1" t="s">
        <v>106</v>
      </c>
      <c r="E1" t="s">
        <v>56</v>
      </c>
      <c r="F1" t="s">
        <v>57</v>
      </c>
      <c r="H1" t="s">
        <v>58</v>
      </c>
      <c r="I1" t="s">
        <v>59</v>
      </c>
      <c r="J1" t="s">
        <v>76</v>
      </c>
      <c r="K1" t="s">
        <v>74</v>
      </c>
      <c r="L1" t="s">
        <v>75</v>
      </c>
      <c r="N1" t="s">
        <v>96</v>
      </c>
      <c r="P1" t="s">
        <v>113</v>
      </c>
    </row>
    <row r="2" spans="1:19" x14ac:dyDescent="0.3">
      <c r="A2">
        <v>2018</v>
      </c>
      <c r="B2" t="s">
        <v>97</v>
      </c>
      <c r="C2">
        <v>195</v>
      </c>
      <c r="D2">
        <v>45</v>
      </c>
      <c r="E2">
        <v>313</v>
      </c>
      <c r="F2">
        <v>0.06</v>
      </c>
      <c r="G2" t="s">
        <v>100</v>
      </c>
      <c r="H2" s="4">
        <v>0.11</v>
      </c>
      <c r="I2">
        <v>0.01</v>
      </c>
      <c r="J2" s="4">
        <f>SUM(F2:I2)</f>
        <v>0.18</v>
      </c>
      <c r="K2" s="5">
        <v>0.21</v>
      </c>
      <c r="L2" s="4">
        <f>J2*(1+K2)</f>
        <v>0.21779999999999999</v>
      </c>
      <c r="M2" s="4">
        <f>L2</f>
        <v>0.21779999999999999</v>
      </c>
      <c r="N2">
        <v>0.42699999999999999</v>
      </c>
      <c r="O2" t="s">
        <v>108</v>
      </c>
      <c r="P2" s="4">
        <v>0.36899999999999999</v>
      </c>
    </row>
    <row r="3" spans="1:19" x14ac:dyDescent="0.3">
      <c r="A3">
        <v>2019</v>
      </c>
      <c r="B3" t="s">
        <v>97</v>
      </c>
      <c r="C3">
        <v>197</v>
      </c>
      <c r="D3">
        <v>55</v>
      </c>
      <c r="E3">
        <v>258</v>
      </c>
      <c r="F3">
        <v>7.0000000000000007E-2</v>
      </c>
      <c r="G3" t="s">
        <v>100</v>
      </c>
      <c r="H3" s="4">
        <v>0.1</v>
      </c>
      <c r="I3">
        <v>0.02</v>
      </c>
      <c r="J3" s="4">
        <f t="shared" ref="J3:J6" si="0">SUM(F3:I3)</f>
        <v>0.19</v>
      </c>
      <c r="K3" s="5">
        <v>0.21</v>
      </c>
      <c r="L3" s="4">
        <f t="shared" ref="L3:L6" si="1">J3*(1+K3)</f>
        <v>0.22989999999999999</v>
      </c>
      <c r="M3" s="4">
        <f t="shared" ref="M3:M6" si="2">L3</f>
        <v>0.22989999999999999</v>
      </c>
      <c r="N3">
        <v>0.42699999999999999</v>
      </c>
      <c r="O3" t="s">
        <v>108</v>
      </c>
      <c r="P3" s="4">
        <v>0.36899999999999999</v>
      </c>
    </row>
    <row r="4" spans="1:19" x14ac:dyDescent="0.3">
      <c r="A4">
        <v>2020</v>
      </c>
      <c r="B4" t="s">
        <v>97</v>
      </c>
      <c r="C4">
        <v>197</v>
      </c>
      <c r="D4">
        <v>55</v>
      </c>
      <c r="E4">
        <v>430</v>
      </c>
      <c r="F4">
        <v>0.06</v>
      </c>
      <c r="G4" t="s">
        <v>100</v>
      </c>
      <c r="H4" s="4">
        <v>0.1</v>
      </c>
      <c r="I4">
        <v>0.03</v>
      </c>
      <c r="J4" s="4">
        <f t="shared" si="0"/>
        <v>0.19</v>
      </c>
      <c r="K4" s="5">
        <v>0.21</v>
      </c>
      <c r="L4" s="4">
        <f t="shared" si="1"/>
        <v>0.22989999999999999</v>
      </c>
      <c r="M4" s="4">
        <f t="shared" si="2"/>
        <v>0.22989999999999999</v>
      </c>
      <c r="N4">
        <v>0.42699999999999999</v>
      </c>
      <c r="O4" t="s">
        <v>108</v>
      </c>
      <c r="P4" s="4">
        <v>0.36899999999999999</v>
      </c>
      <c r="R4">
        <v>0.83</v>
      </c>
      <c r="S4" t="s">
        <v>117</v>
      </c>
    </row>
    <row r="5" spans="1:19" x14ac:dyDescent="0.3">
      <c r="A5">
        <v>2022</v>
      </c>
      <c r="B5" t="s">
        <v>97</v>
      </c>
      <c r="C5">
        <v>229</v>
      </c>
      <c r="D5">
        <v>64</v>
      </c>
      <c r="E5">
        <v>430</v>
      </c>
      <c r="F5">
        <v>0.64</v>
      </c>
      <c r="G5" t="s">
        <v>100</v>
      </c>
      <c r="H5" s="4">
        <v>3.6999999999999998E-2</v>
      </c>
      <c r="I5">
        <v>0.03</v>
      </c>
      <c r="J5" s="4">
        <f t="shared" si="0"/>
        <v>0.70700000000000007</v>
      </c>
      <c r="K5" s="5">
        <v>0.09</v>
      </c>
      <c r="L5" s="4">
        <f t="shared" si="1"/>
        <v>0.77063000000000015</v>
      </c>
      <c r="M5" s="4">
        <f t="shared" si="2"/>
        <v>0.77063000000000015</v>
      </c>
      <c r="N5">
        <v>0.42699999999999999</v>
      </c>
      <c r="O5" t="s">
        <v>108</v>
      </c>
      <c r="P5" s="4">
        <f t="shared" ref="P5" si="3">N5</f>
        <v>0.42699999999999999</v>
      </c>
      <c r="Q5" t="s">
        <v>115</v>
      </c>
      <c r="R5">
        <v>9.7690000000000001</v>
      </c>
      <c r="S5" t="s">
        <v>102</v>
      </c>
    </row>
    <row r="6" spans="1:19" x14ac:dyDescent="0.3">
      <c r="A6">
        <v>2030</v>
      </c>
      <c r="B6" t="s">
        <v>97</v>
      </c>
      <c r="C6">
        <v>246</v>
      </c>
      <c r="D6">
        <v>55</v>
      </c>
      <c r="E6">
        <v>449</v>
      </c>
      <c r="F6">
        <v>0.08</v>
      </c>
      <c r="G6" t="s">
        <v>100</v>
      </c>
      <c r="H6" s="4">
        <v>7.0000000000000007E-2</v>
      </c>
      <c r="I6">
        <v>0.03</v>
      </c>
      <c r="J6" s="4">
        <f t="shared" si="0"/>
        <v>0.18000000000000002</v>
      </c>
      <c r="K6" s="5">
        <v>0.21</v>
      </c>
      <c r="L6" s="4">
        <f t="shared" si="1"/>
        <v>0.21780000000000002</v>
      </c>
      <c r="M6" s="4">
        <f t="shared" si="2"/>
        <v>0.21780000000000002</v>
      </c>
      <c r="N6">
        <v>0.42699999999999999</v>
      </c>
      <c r="O6" t="s">
        <v>108</v>
      </c>
      <c r="P6" s="4">
        <v>9.4E-2</v>
      </c>
      <c r="Q6" t="s">
        <v>114</v>
      </c>
      <c r="R6">
        <f>3.6/1000</f>
        <v>3.5999999999999999E-3</v>
      </c>
      <c r="S6" t="s">
        <v>103</v>
      </c>
    </row>
    <row r="7" spans="1:19" x14ac:dyDescent="0.3">
      <c r="A7">
        <v>2018</v>
      </c>
      <c r="B7" t="s">
        <v>72</v>
      </c>
      <c r="C7">
        <v>146</v>
      </c>
      <c r="D7">
        <v>46</v>
      </c>
      <c r="E7">
        <v>0</v>
      </c>
      <c r="F7" s="4">
        <v>0.28000000000000003</v>
      </c>
      <c r="G7" s="4" t="s">
        <v>101</v>
      </c>
      <c r="H7">
        <v>0.26</v>
      </c>
      <c r="I7" s="4">
        <v>2.8500000000000001E-2</v>
      </c>
      <c r="J7" s="4">
        <f t="shared" ref="J7:J16" si="4">SUM(F7:I7)</f>
        <v>0.56850000000000001</v>
      </c>
      <c r="K7" s="5">
        <v>0.21</v>
      </c>
      <c r="L7" s="4">
        <f>J7*(1+K7)</f>
        <v>0.68788499999999997</v>
      </c>
      <c r="M7" s="4">
        <f t="shared" ref="M7:M16" si="5">L7/$R$5</f>
        <v>7.0415088545398713E-2</v>
      </c>
      <c r="N7">
        <v>2.085</v>
      </c>
      <c r="O7" t="s">
        <v>109</v>
      </c>
      <c r="P7" s="4">
        <f t="shared" ref="P7:P16" si="6">N7/$R$5</f>
        <v>0.21343023850957107</v>
      </c>
      <c r="Q7" t="s">
        <v>115</v>
      </c>
      <c r="R7">
        <v>0.2</v>
      </c>
      <c r="S7" t="s">
        <v>110</v>
      </c>
    </row>
    <row r="8" spans="1:19" x14ac:dyDescent="0.3">
      <c r="A8">
        <v>2019</v>
      </c>
      <c r="B8" t="s">
        <v>72</v>
      </c>
      <c r="C8">
        <v>147</v>
      </c>
      <c r="D8">
        <v>55</v>
      </c>
      <c r="E8">
        <v>0</v>
      </c>
      <c r="F8" s="4">
        <v>0.28999999999999998</v>
      </c>
      <c r="G8" s="4" t="s">
        <v>101</v>
      </c>
      <c r="H8">
        <v>0.28999999999999998</v>
      </c>
      <c r="I8" s="4">
        <v>5.2400000000000002E-2</v>
      </c>
      <c r="J8" s="4">
        <f t="shared" si="4"/>
        <v>0.63239999999999996</v>
      </c>
      <c r="K8" s="5">
        <v>0.21</v>
      </c>
      <c r="L8" s="4">
        <f t="shared" ref="L8:L16" si="7">J8*(1+K8)</f>
        <v>0.76520399999999988</v>
      </c>
      <c r="M8" s="4">
        <f t="shared" si="5"/>
        <v>7.832981881461766E-2</v>
      </c>
      <c r="N8">
        <v>2.085</v>
      </c>
      <c r="O8" t="s">
        <v>109</v>
      </c>
      <c r="P8" s="4">
        <f t="shared" si="6"/>
        <v>0.21343023850957107</v>
      </c>
      <c r="Q8" t="s">
        <v>115</v>
      </c>
    </row>
    <row r="9" spans="1:19" x14ac:dyDescent="0.3">
      <c r="A9">
        <v>2020</v>
      </c>
      <c r="B9" t="s">
        <v>72</v>
      </c>
      <c r="C9">
        <v>151</v>
      </c>
      <c r="D9">
        <v>55</v>
      </c>
      <c r="E9">
        <v>0</v>
      </c>
      <c r="F9" s="4">
        <v>0.26</v>
      </c>
      <c r="G9" s="4" t="s">
        <v>101</v>
      </c>
      <c r="H9">
        <v>0.33</v>
      </c>
      <c r="I9" s="4">
        <v>7.7499999999999999E-2</v>
      </c>
      <c r="J9" s="4">
        <f t="shared" si="4"/>
        <v>0.66750000000000009</v>
      </c>
      <c r="K9" s="5">
        <v>0.21</v>
      </c>
      <c r="L9" s="4">
        <f t="shared" si="7"/>
        <v>0.80767500000000014</v>
      </c>
      <c r="M9" s="4">
        <f t="shared" si="5"/>
        <v>8.2677346708977389E-2</v>
      </c>
      <c r="N9">
        <v>2.085</v>
      </c>
      <c r="O9" t="s">
        <v>109</v>
      </c>
      <c r="P9" s="4">
        <f t="shared" si="6"/>
        <v>0.21343023850957107</v>
      </c>
      <c r="Q9" t="s">
        <v>115</v>
      </c>
    </row>
    <row r="10" spans="1:19" x14ac:dyDescent="0.3">
      <c r="A10">
        <v>2022</v>
      </c>
      <c r="B10" t="s">
        <v>72</v>
      </c>
      <c r="C10">
        <v>151</v>
      </c>
      <c r="D10">
        <v>60</v>
      </c>
      <c r="E10">
        <v>0</v>
      </c>
      <c r="F10" s="4">
        <v>2</v>
      </c>
      <c r="G10" s="4" t="s">
        <v>101</v>
      </c>
      <c r="H10">
        <v>0.36</v>
      </c>
      <c r="I10" s="4">
        <v>8.6499999999999994E-2</v>
      </c>
      <c r="J10" s="4">
        <f t="shared" si="4"/>
        <v>2.4464999999999999</v>
      </c>
      <c r="K10" s="5">
        <v>0.21</v>
      </c>
      <c r="L10" s="4">
        <f t="shared" si="7"/>
        <v>2.9602649999999997</v>
      </c>
      <c r="M10" s="4">
        <f t="shared" si="5"/>
        <v>0.30302641007267883</v>
      </c>
      <c r="N10">
        <v>2.085</v>
      </c>
      <c r="O10" t="s">
        <v>109</v>
      </c>
      <c r="P10" s="4">
        <f t="shared" si="6"/>
        <v>0.21343023850957107</v>
      </c>
      <c r="Q10" t="s">
        <v>115</v>
      </c>
    </row>
    <row r="11" spans="1:19" x14ac:dyDescent="0.3">
      <c r="A11">
        <v>2030</v>
      </c>
      <c r="B11" t="s">
        <v>72</v>
      </c>
      <c r="C11">
        <v>151</v>
      </c>
      <c r="D11">
        <v>55</v>
      </c>
      <c r="E11">
        <v>0</v>
      </c>
      <c r="F11" s="4">
        <v>0.33</v>
      </c>
      <c r="G11" s="4" t="s">
        <v>101</v>
      </c>
      <c r="H11">
        <v>0.39</v>
      </c>
      <c r="I11" s="4">
        <v>0.1</v>
      </c>
      <c r="J11" s="4">
        <f t="shared" si="4"/>
        <v>0.82</v>
      </c>
      <c r="K11" s="5">
        <v>0.21</v>
      </c>
      <c r="L11" s="4">
        <f t="shared" si="7"/>
        <v>0.99219999999999986</v>
      </c>
      <c r="M11" s="4">
        <f t="shared" si="5"/>
        <v>0.10156617872863137</v>
      </c>
      <c r="N11">
        <v>2.085</v>
      </c>
      <c r="O11" t="s">
        <v>109</v>
      </c>
      <c r="P11" s="4">
        <f t="shared" si="6"/>
        <v>0.21343023850957107</v>
      </c>
      <c r="Q11" t="s">
        <v>115</v>
      </c>
    </row>
    <row r="12" spans="1:19" x14ac:dyDescent="0.3">
      <c r="A12">
        <v>2018</v>
      </c>
      <c r="B12" t="s">
        <v>73</v>
      </c>
      <c r="C12">
        <v>146</v>
      </c>
      <c r="D12">
        <v>46</v>
      </c>
      <c r="E12">
        <v>0</v>
      </c>
      <c r="F12" s="4">
        <f>1.54 * (1-K12)</f>
        <v>1.2166000000000001</v>
      </c>
      <c r="G12" s="4" t="s">
        <v>101</v>
      </c>
      <c r="H12">
        <v>0.26</v>
      </c>
      <c r="I12" s="4">
        <v>0</v>
      </c>
      <c r="J12" s="4">
        <f t="shared" si="4"/>
        <v>1.4766000000000001</v>
      </c>
      <c r="K12" s="5">
        <v>0.21</v>
      </c>
      <c r="L12" s="4">
        <f t="shared" si="7"/>
        <v>1.7866860000000002</v>
      </c>
      <c r="M12" s="4">
        <f t="shared" si="5"/>
        <v>0.18289343842767941</v>
      </c>
      <c r="N12">
        <v>0.72299999999999998</v>
      </c>
      <c r="O12" t="s">
        <v>109</v>
      </c>
      <c r="P12" s="4">
        <f t="shared" si="6"/>
        <v>7.4009622274541914E-2</v>
      </c>
      <c r="Q12" t="s">
        <v>115</v>
      </c>
    </row>
    <row r="13" spans="1:19" x14ac:dyDescent="0.3">
      <c r="A13">
        <v>2019</v>
      </c>
      <c r="B13" t="s">
        <v>73</v>
      </c>
      <c r="C13">
        <v>147</v>
      </c>
      <c r="D13">
        <v>55</v>
      </c>
      <c r="E13">
        <v>0</v>
      </c>
      <c r="F13" s="4">
        <f>1.54 * (1-K13)</f>
        <v>1.2166000000000001</v>
      </c>
      <c r="G13" s="4" t="s">
        <v>101</v>
      </c>
      <c r="H13">
        <v>0.28999999999999998</v>
      </c>
      <c r="I13" s="4">
        <v>0</v>
      </c>
      <c r="J13" s="4">
        <f t="shared" si="4"/>
        <v>1.5066000000000002</v>
      </c>
      <c r="K13" s="5">
        <v>0.21</v>
      </c>
      <c r="L13" s="4">
        <f t="shared" si="7"/>
        <v>1.8229860000000002</v>
      </c>
      <c r="M13" s="4">
        <f t="shared" si="5"/>
        <v>0.18660927423482446</v>
      </c>
      <c r="N13">
        <v>0.72299999999999998</v>
      </c>
      <c r="O13" t="s">
        <v>109</v>
      </c>
      <c r="P13" s="4">
        <f t="shared" si="6"/>
        <v>7.4009622274541914E-2</v>
      </c>
      <c r="Q13" t="s">
        <v>115</v>
      </c>
    </row>
    <row r="14" spans="1:19" x14ac:dyDescent="0.3">
      <c r="A14">
        <v>2020</v>
      </c>
      <c r="B14" t="s">
        <v>73</v>
      </c>
      <c r="C14">
        <v>151</v>
      </c>
      <c r="D14">
        <v>55</v>
      </c>
      <c r="E14">
        <v>0</v>
      </c>
      <c r="F14" s="4">
        <f>1.54 * (1-K14)</f>
        <v>1.2166000000000001</v>
      </c>
      <c r="G14" s="4" t="s">
        <v>101</v>
      </c>
      <c r="H14">
        <v>0.33</v>
      </c>
      <c r="I14" s="4">
        <v>0</v>
      </c>
      <c r="J14" s="4">
        <f t="shared" si="4"/>
        <v>1.5466000000000002</v>
      </c>
      <c r="K14" s="5">
        <v>0.21</v>
      </c>
      <c r="L14" s="4">
        <f t="shared" si="7"/>
        <v>1.8713860000000002</v>
      </c>
      <c r="M14" s="4">
        <f t="shared" si="5"/>
        <v>0.19156372197768454</v>
      </c>
      <c r="N14">
        <v>0.72299999999999998</v>
      </c>
      <c r="O14" t="s">
        <v>109</v>
      </c>
      <c r="P14" s="4">
        <f t="shared" si="6"/>
        <v>7.4009622274541914E-2</v>
      </c>
      <c r="Q14" t="s">
        <v>115</v>
      </c>
    </row>
    <row r="15" spans="1:19" x14ac:dyDescent="0.3">
      <c r="A15">
        <v>2022</v>
      </c>
      <c r="B15" t="s">
        <v>73</v>
      </c>
      <c r="C15">
        <v>168</v>
      </c>
      <c r="D15">
        <v>60</v>
      </c>
      <c r="E15">
        <v>0</v>
      </c>
      <c r="F15" s="4">
        <f>1.54 * (1-K15)</f>
        <v>1.2166000000000001</v>
      </c>
      <c r="G15" s="4" t="s">
        <v>101</v>
      </c>
      <c r="H15">
        <v>0.33</v>
      </c>
      <c r="I15" s="4">
        <v>0</v>
      </c>
      <c r="J15" s="4">
        <f t="shared" si="4"/>
        <v>1.5466000000000002</v>
      </c>
      <c r="K15" s="5">
        <v>0.21</v>
      </c>
      <c r="L15" s="4">
        <f t="shared" si="7"/>
        <v>1.8713860000000002</v>
      </c>
      <c r="M15" s="4">
        <f t="shared" si="5"/>
        <v>0.19156372197768454</v>
      </c>
      <c r="N15">
        <v>0.72299999999999998</v>
      </c>
      <c r="O15" t="s">
        <v>109</v>
      </c>
      <c r="P15" s="4">
        <f t="shared" si="6"/>
        <v>7.4009622274541914E-2</v>
      </c>
      <c r="Q15" t="s">
        <v>115</v>
      </c>
    </row>
    <row r="16" spans="1:19" x14ac:dyDescent="0.3">
      <c r="A16">
        <v>2030</v>
      </c>
      <c r="B16" t="s">
        <v>73</v>
      </c>
      <c r="C16">
        <v>151</v>
      </c>
      <c r="D16">
        <v>55</v>
      </c>
      <c r="E16">
        <v>0</v>
      </c>
      <c r="F16" s="4">
        <f>65*0.0097694444</f>
        <v>0.63501388600000008</v>
      </c>
      <c r="G16" s="4" t="s">
        <v>101</v>
      </c>
      <c r="H16">
        <v>0.39</v>
      </c>
      <c r="I16" s="4">
        <v>0</v>
      </c>
      <c r="J16" s="4">
        <f t="shared" si="4"/>
        <v>1.025013886</v>
      </c>
      <c r="K16" s="5">
        <v>0.21</v>
      </c>
      <c r="L16" s="4">
        <f t="shared" si="7"/>
        <v>1.2402668020599998</v>
      </c>
      <c r="M16" s="4">
        <f t="shared" si="5"/>
        <v>0.12695944334732315</v>
      </c>
      <c r="N16">
        <v>0.72299999999999998</v>
      </c>
      <c r="O16" t="s">
        <v>109</v>
      </c>
      <c r="P16" s="4">
        <f t="shared" si="6"/>
        <v>7.4009622274541914E-2</v>
      </c>
      <c r="Q16" t="s">
        <v>115</v>
      </c>
    </row>
    <row r="17" spans="1:17" s="8" customFormat="1" x14ac:dyDescent="0.3">
      <c r="A17" s="8">
        <v>2018</v>
      </c>
      <c r="B17" s="8" t="s">
        <v>98</v>
      </c>
      <c r="C17" s="6">
        <v>267.92</v>
      </c>
      <c r="D17" s="8">
        <v>0</v>
      </c>
      <c r="E17">
        <v>0</v>
      </c>
      <c r="F17" s="9">
        <f>L17*(1-K17)</f>
        <v>42.620500000000007</v>
      </c>
      <c r="G17" s="9" t="s">
        <v>104</v>
      </c>
      <c r="H17" s="8">
        <v>0</v>
      </c>
      <c r="I17" s="4">
        <v>0</v>
      </c>
      <c r="J17" s="9">
        <f t="shared" ref="J17:J26" si="8">L17*(1-K17)</f>
        <v>42.620500000000007</v>
      </c>
      <c r="K17" s="5">
        <v>0.21</v>
      </c>
      <c r="L17" s="9">
        <f>53.95</f>
        <v>53.95</v>
      </c>
      <c r="M17" s="4">
        <f t="shared" ref="M17:M26" si="9">L17*$R$6</f>
        <v>0.19422</v>
      </c>
      <c r="N17" s="8">
        <v>8.8000000000000007</v>
      </c>
      <c r="O17" s="8" t="s">
        <v>112</v>
      </c>
      <c r="P17" s="9">
        <f t="shared" ref="P17:P26" si="10">N17*$R$6</f>
        <v>3.168E-2</v>
      </c>
      <c r="Q17" t="s">
        <v>115</v>
      </c>
    </row>
    <row r="18" spans="1:17" x14ac:dyDescent="0.3">
      <c r="A18">
        <v>2019</v>
      </c>
      <c r="B18" s="8" t="s">
        <v>98</v>
      </c>
      <c r="C18" s="6">
        <v>267.92</v>
      </c>
      <c r="D18" s="8">
        <v>0</v>
      </c>
      <c r="E18">
        <v>0</v>
      </c>
      <c r="F18" s="9">
        <f t="shared" ref="F18:F26" si="11">L18*(1-K18)</f>
        <v>42.620500000000007</v>
      </c>
      <c r="G18" s="9" t="s">
        <v>104</v>
      </c>
      <c r="H18" s="6">
        <v>0</v>
      </c>
      <c r="I18" s="4">
        <v>0</v>
      </c>
      <c r="J18" s="9">
        <f t="shared" si="8"/>
        <v>42.620500000000007</v>
      </c>
      <c r="K18" s="5">
        <v>0.21</v>
      </c>
      <c r="L18" s="9">
        <f t="shared" ref="L18:L26" si="12">53.95</f>
        <v>53.95</v>
      </c>
      <c r="M18" s="4">
        <f t="shared" si="9"/>
        <v>0.19422</v>
      </c>
      <c r="N18" s="8">
        <v>8.8000000000000007</v>
      </c>
      <c r="O18" s="8" t="s">
        <v>112</v>
      </c>
      <c r="P18" s="9">
        <f t="shared" si="10"/>
        <v>3.168E-2</v>
      </c>
      <c r="Q18" t="s">
        <v>115</v>
      </c>
    </row>
    <row r="19" spans="1:17" x14ac:dyDescent="0.3">
      <c r="A19">
        <v>2020</v>
      </c>
      <c r="B19" s="8" t="s">
        <v>98</v>
      </c>
      <c r="C19" s="6">
        <v>267.92</v>
      </c>
      <c r="D19" s="8">
        <v>0</v>
      </c>
      <c r="E19">
        <v>0</v>
      </c>
      <c r="F19" s="9">
        <f t="shared" si="11"/>
        <v>42.620500000000007</v>
      </c>
      <c r="G19" s="9" t="s">
        <v>104</v>
      </c>
      <c r="H19" s="6">
        <v>0</v>
      </c>
      <c r="I19" s="4">
        <v>0</v>
      </c>
      <c r="J19" s="9">
        <f t="shared" si="8"/>
        <v>42.620500000000007</v>
      </c>
      <c r="K19" s="5">
        <v>0.21</v>
      </c>
      <c r="L19" s="9">
        <f t="shared" si="12"/>
        <v>53.95</v>
      </c>
      <c r="M19" s="4">
        <f t="shared" si="9"/>
        <v>0.19422</v>
      </c>
      <c r="N19" s="8">
        <v>8.8000000000000007</v>
      </c>
      <c r="O19" s="8" t="s">
        <v>112</v>
      </c>
      <c r="P19" s="9">
        <f t="shared" si="10"/>
        <v>3.168E-2</v>
      </c>
      <c r="Q19" t="s">
        <v>115</v>
      </c>
    </row>
    <row r="20" spans="1:17" x14ac:dyDescent="0.3">
      <c r="A20">
        <v>2022</v>
      </c>
      <c r="B20" s="8" t="s">
        <v>98</v>
      </c>
      <c r="C20" s="6">
        <v>267.92</v>
      </c>
      <c r="D20" s="8">
        <v>0</v>
      </c>
      <c r="E20">
        <v>0</v>
      </c>
      <c r="F20" s="9">
        <f t="shared" si="11"/>
        <v>42.620500000000007</v>
      </c>
      <c r="G20" s="9" t="s">
        <v>104</v>
      </c>
      <c r="H20" s="6">
        <v>0</v>
      </c>
      <c r="I20" s="4">
        <v>0</v>
      </c>
      <c r="J20" s="9">
        <f t="shared" si="8"/>
        <v>42.620500000000007</v>
      </c>
      <c r="K20" s="5">
        <v>0.21</v>
      </c>
      <c r="L20" s="9">
        <f t="shared" si="12"/>
        <v>53.95</v>
      </c>
      <c r="M20" s="4">
        <f t="shared" si="9"/>
        <v>0.19422</v>
      </c>
      <c r="N20" s="8">
        <v>8.8000000000000007</v>
      </c>
      <c r="O20" s="8" t="s">
        <v>112</v>
      </c>
      <c r="P20" s="9">
        <f t="shared" si="10"/>
        <v>3.168E-2</v>
      </c>
      <c r="Q20" t="s">
        <v>115</v>
      </c>
    </row>
    <row r="21" spans="1:17" x14ac:dyDescent="0.3">
      <c r="A21">
        <v>2030</v>
      </c>
      <c r="B21" s="8" t="s">
        <v>98</v>
      </c>
      <c r="C21" s="6">
        <v>267.92</v>
      </c>
      <c r="D21" s="8">
        <v>0</v>
      </c>
      <c r="E21">
        <v>0</v>
      </c>
      <c r="F21" s="9">
        <f t="shared" si="11"/>
        <v>42.620500000000007</v>
      </c>
      <c r="G21" s="9" t="s">
        <v>104</v>
      </c>
      <c r="H21" s="6">
        <v>0</v>
      </c>
      <c r="I21" s="4">
        <v>0</v>
      </c>
      <c r="J21" s="9">
        <f t="shared" si="8"/>
        <v>42.620500000000007</v>
      </c>
      <c r="K21" s="5">
        <v>0.21</v>
      </c>
      <c r="L21" s="9">
        <f t="shared" si="12"/>
        <v>53.95</v>
      </c>
      <c r="M21" s="4">
        <f t="shared" si="9"/>
        <v>0.19422</v>
      </c>
      <c r="N21" s="8">
        <v>8.8000000000000007</v>
      </c>
      <c r="O21" s="8" t="s">
        <v>112</v>
      </c>
      <c r="P21" s="9">
        <f t="shared" si="10"/>
        <v>3.168E-2</v>
      </c>
      <c r="Q21" t="s">
        <v>115</v>
      </c>
    </row>
    <row r="22" spans="1:17" x14ac:dyDescent="0.3">
      <c r="A22">
        <v>2018</v>
      </c>
      <c r="B22" s="8" t="s">
        <v>99</v>
      </c>
      <c r="C22" s="6">
        <v>267.92</v>
      </c>
      <c r="D22" s="8">
        <v>0</v>
      </c>
      <c r="E22">
        <v>0</v>
      </c>
      <c r="F22" s="9">
        <f t="shared" si="11"/>
        <v>42.620500000000007</v>
      </c>
      <c r="G22" s="9" t="s">
        <v>104</v>
      </c>
      <c r="H22" s="6">
        <v>0</v>
      </c>
      <c r="I22" s="4">
        <v>0</v>
      </c>
      <c r="J22" s="9">
        <f t="shared" si="8"/>
        <v>42.620500000000007</v>
      </c>
      <c r="K22" s="5">
        <v>0.21</v>
      </c>
      <c r="L22" s="9">
        <f>53.95</f>
        <v>53.95</v>
      </c>
      <c r="M22" s="4">
        <f t="shared" si="9"/>
        <v>0.19422</v>
      </c>
      <c r="N22" s="8">
        <v>26.84</v>
      </c>
      <c r="O22" s="8" t="s">
        <v>112</v>
      </c>
      <c r="P22" s="9">
        <f t="shared" si="10"/>
        <v>9.6624000000000002E-2</v>
      </c>
      <c r="Q22" t="s">
        <v>115</v>
      </c>
    </row>
    <row r="23" spans="1:17" x14ac:dyDescent="0.3">
      <c r="A23">
        <v>2019</v>
      </c>
      <c r="B23" s="8" t="s">
        <v>99</v>
      </c>
      <c r="C23" s="6">
        <v>267.92</v>
      </c>
      <c r="D23" s="8">
        <v>0</v>
      </c>
      <c r="E23">
        <v>0</v>
      </c>
      <c r="F23" s="9">
        <f t="shared" si="11"/>
        <v>42.620500000000007</v>
      </c>
      <c r="G23" s="9" t="s">
        <v>104</v>
      </c>
      <c r="H23" s="6">
        <v>0</v>
      </c>
      <c r="I23" s="4">
        <v>0</v>
      </c>
      <c r="J23" s="9">
        <f t="shared" si="8"/>
        <v>42.620500000000007</v>
      </c>
      <c r="K23" s="5">
        <v>0.21</v>
      </c>
      <c r="L23" s="9">
        <f t="shared" si="12"/>
        <v>53.95</v>
      </c>
      <c r="M23" s="4">
        <f t="shared" si="9"/>
        <v>0.19422</v>
      </c>
      <c r="N23" s="8">
        <v>26.84</v>
      </c>
      <c r="O23" s="8" t="s">
        <v>112</v>
      </c>
      <c r="P23" s="9">
        <f t="shared" si="10"/>
        <v>9.6624000000000002E-2</v>
      </c>
      <c r="Q23" t="s">
        <v>115</v>
      </c>
    </row>
    <row r="24" spans="1:17" x14ac:dyDescent="0.3">
      <c r="A24">
        <v>2020</v>
      </c>
      <c r="B24" s="8" t="s">
        <v>99</v>
      </c>
      <c r="C24" s="6">
        <v>267.92</v>
      </c>
      <c r="D24" s="8">
        <v>0</v>
      </c>
      <c r="E24">
        <v>0</v>
      </c>
      <c r="F24" s="9">
        <f t="shared" si="11"/>
        <v>42.620500000000007</v>
      </c>
      <c r="G24" s="9" t="s">
        <v>104</v>
      </c>
      <c r="H24" s="6">
        <v>0</v>
      </c>
      <c r="I24" s="4">
        <v>0</v>
      </c>
      <c r="J24" s="9">
        <f t="shared" si="8"/>
        <v>42.620500000000007</v>
      </c>
      <c r="K24" s="5">
        <v>0.21</v>
      </c>
      <c r="L24" s="9">
        <f t="shared" si="12"/>
        <v>53.95</v>
      </c>
      <c r="M24" s="4">
        <f t="shared" si="9"/>
        <v>0.19422</v>
      </c>
      <c r="N24" s="8">
        <v>26.84</v>
      </c>
      <c r="O24" s="8" t="s">
        <v>112</v>
      </c>
      <c r="P24" s="9">
        <f t="shared" si="10"/>
        <v>9.6624000000000002E-2</v>
      </c>
      <c r="Q24" t="s">
        <v>115</v>
      </c>
    </row>
    <row r="25" spans="1:17" x14ac:dyDescent="0.3">
      <c r="A25">
        <v>2022</v>
      </c>
      <c r="B25" s="8" t="s">
        <v>99</v>
      </c>
      <c r="C25" s="6">
        <v>267.92</v>
      </c>
      <c r="D25" s="8">
        <v>0</v>
      </c>
      <c r="E25">
        <v>0</v>
      </c>
      <c r="F25" s="9">
        <f t="shared" si="11"/>
        <v>42.620500000000007</v>
      </c>
      <c r="G25" s="9" t="s">
        <v>104</v>
      </c>
      <c r="H25" s="6">
        <v>0</v>
      </c>
      <c r="I25" s="4">
        <v>0</v>
      </c>
      <c r="J25" s="9">
        <f t="shared" si="8"/>
        <v>42.620500000000007</v>
      </c>
      <c r="K25" s="5">
        <v>0.21</v>
      </c>
      <c r="L25" s="9">
        <f t="shared" si="12"/>
        <v>53.95</v>
      </c>
      <c r="M25" s="4">
        <f t="shared" si="9"/>
        <v>0.19422</v>
      </c>
      <c r="N25" s="8">
        <v>26.84</v>
      </c>
      <c r="O25" s="8" t="s">
        <v>112</v>
      </c>
      <c r="P25" s="9">
        <f t="shared" si="10"/>
        <v>9.6624000000000002E-2</v>
      </c>
      <c r="Q25" t="s">
        <v>115</v>
      </c>
    </row>
    <row r="26" spans="1:17" x14ac:dyDescent="0.3">
      <c r="A26">
        <v>2030</v>
      </c>
      <c r="B26" s="8" t="s">
        <v>99</v>
      </c>
      <c r="C26" s="6">
        <v>267.92</v>
      </c>
      <c r="D26" s="8">
        <v>0</v>
      </c>
      <c r="E26">
        <v>0</v>
      </c>
      <c r="F26" s="9">
        <f t="shared" si="11"/>
        <v>42.620500000000007</v>
      </c>
      <c r="G26" s="9" t="s">
        <v>104</v>
      </c>
      <c r="H26" s="6">
        <v>0</v>
      </c>
      <c r="I26" s="4">
        <v>0</v>
      </c>
      <c r="J26" s="9">
        <f t="shared" si="8"/>
        <v>42.620500000000007</v>
      </c>
      <c r="K26" s="5">
        <v>0.21</v>
      </c>
      <c r="L26" s="9">
        <f t="shared" si="12"/>
        <v>53.95</v>
      </c>
      <c r="M26" s="4">
        <f t="shared" si="9"/>
        <v>0.19422</v>
      </c>
      <c r="N26" s="8">
        <v>26.84</v>
      </c>
      <c r="O26" s="8" t="s">
        <v>112</v>
      </c>
      <c r="P26" s="9">
        <f t="shared" si="10"/>
        <v>9.6624000000000002E-2</v>
      </c>
      <c r="Q26" t="s">
        <v>115</v>
      </c>
    </row>
    <row r="27" spans="1:17" x14ac:dyDescent="0.3">
      <c r="A27">
        <v>2018</v>
      </c>
      <c r="B27" s="8" t="s">
        <v>107</v>
      </c>
      <c r="D27" s="8">
        <v>0</v>
      </c>
      <c r="E27">
        <v>0</v>
      </c>
      <c r="G27" t="s">
        <v>116</v>
      </c>
      <c r="H27" s="6">
        <v>0</v>
      </c>
      <c r="L27">
        <v>1.6180000000000001</v>
      </c>
      <c r="N27">
        <v>4.7E-2</v>
      </c>
      <c r="O27" t="s">
        <v>111</v>
      </c>
      <c r="P27" s="4">
        <f>N27/$R$7</f>
        <v>0.23499999999999999</v>
      </c>
      <c r="Q27" t="s">
        <v>115</v>
      </c>
    </row>
    <row r="28" spans="1:17" x14ac:dyDescent="0.3">
      <c r="A28">
        <v>2019</v>
      </c>
      <c r="B28" s="8" t="s">
        <v>107</v>
      </c>
      <c r="D28" s="8">
        <v>0</v>
      </c>
      <c r="E28">
        <v>0</v>
      </c>
      <c r="G28" t="s">
        <v>116</v>
      </c>
      <c r="L28">
        <v>1.647</v>
      </c>
      <c r="N28">
        <v>4.7E-2</v>
      </c>
      <c r="O28" t="s">
        <v>111</v>
      </c>
      <c r="P28" s="4">
        <f>N28/$R$7</f>
        <v>0.23499999999999999</v>
      </c>
      <c r="Q28" t="s">
        <v>115</v>
      </c>
    </row>
    <row r="29" spans="1:17" x14ac:dyDescent="0.3">
      <c r="A29">
        <v>2020</v>
      </c>
      <c r="B29" s="8" t="s">
        <v>107</v>
      </c>
      <c r="D29" s="8">
        <v>0</v>
      </c>
      <c r="E29">
        <v>0</v>
      </c>
      <c r="G29" t="s">
        <v>116</v>
      </c>
      <c r="L29">
        <v>1.5620000000000001</v>
      </c>
      <c r="N29">
        <v>4.7E-2</v>
      </c>
      <c r="O29" t="s">
        <v>111</v>
      </c>
      <c r="P29" s="4">
        <f>N29/$R$7</f>
        <v>0.23499999999999999</v>
      </c>
      <c r="Q29" t="s">
        <v>115</v>
      </c>
    </row>
    <row r="30" spans="1:17" x14ac:dyDescent="0.3">
      <c r="A30">
        <v>2022</v>
      </c>
      <c r="B30" s="8" t="s">
        <v>107</v>
      </c>
      <c r="D30" s="8">
        <v>0</v>
      </c>
      <c r="E30">
        <v>0</v>
      </c>
      <c r="G30" t="s">
        <v>116</v>
      </c>
      <c r="L30">
        <v>2</v>
      </c>
      <c r="N30">
        <v>4.7E-2</v>
      </c>
      <c r="O30" t="s">
        <v>111</v>
      </c>
      <c r="P30" s="4">
        <f>N30/$R$7</f>
        <v>0.23499999999999999</v>
      </c>
      <c r="Q30" t="s">
        <v>115</v>
      </c>
    </row>
    <row r="31" spans="1:17" x14ac:dyDescent="0.3">
      <c r="A31">
        <v>2030</v>
      </c>
      <c r="B31" s="8" t="s">
        <v>107</v>
      </c>
      <c r="D31" s="8">
        <v>0</v>
      </c>
      <c r="E31">
        <v>0</v>
      </c>
      <c r="G31" t="s">
        <v>116</v>
      </c>
      <c r="L31">
        <v>2</v>
      </c>
      <c r="N31">
        <v>4.7E-2</v>
      </c>
      <c r="O31" t="s">
        <v>111</v>
      </c>
      <c r="P31" s="4">
        <f>N31/$R$7</f>
        <v>0.23499999999999999</v>
      </c>
      <c r="Q31" t="s">
        <v>115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523-DB97-4A3B-ABB1-1F3475BBAC32}">
  <dimension ref="A1:J6"/>
  <sheetViews>
    <sheetView workbookViewId="0">
      <selection sqref="A1:J6"/>
    </sheetView>
  </sheetViews>
  <sheetFormatPr defaultRowHeight="14.4" x14ac:dyDescent="0.3"/>
  <cols>
    <col min="1" max="1" width="5" bestFit="1" customWidth="1"/>
    <col min="2" max="2" width="16.88671875" bestFit="1" customWidth="1"/>
    <col min="3" max="3" width="20.88671875" bestFit="1" customWidth="1"/>
    <col min="4" max="4" width="21.5546875" bestFit="1" customWidth="1"/>
    <col min="5" max="5" width="24.5546875" bestFit="1" customWidth="1"/>
    <col min="6" max="6" width="16" bestFit="1" customWidth="1"/>
    <col min="7" max="7" width="5" bestFit="1" customWidth="1"/>
  </cols>
  <sheetData>
    <row r="1" spans="1:10" x14ac:dyDescent="0.3">
      <c r="A1" t="s">
        <v>60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76</v>
      </c>
      <c r="I1" t="s">
        <v>74</v>
      </c>
      <c r="J1" t="s">
        <v>75</v>
      </c>
    </row>
    <row r="2" spans="1:10" x14ac:dyDescent="0.3">
      <c r="A2">
        <v>2018</v>
      </c>
      <c r="B2">
        <v>195</v>
      </c>
      <c r="C2">
        <v>45</v>
      </c>
      <c r="D2">
        <v>313</v>
      </c>
      <c r="E2">
        <v>0.06</v>
      </c>
      <c r="F2" s="4">
        <v>0.11</v>
      </c>
      <c r="G2">
        <v>0.01</v>
      </c>
      <c r="H2" s="4">
        <f>SUM(E2:G2)</f>
        <v>0.18</v>
      </c>
      <c r="I2" s="5">
        <v>0.21</v>
      </c>
      <c r="J2" s="4">
        <f>H2*(1+I2)</f>
        <v>0.21779999999999999</v>
      </c>
    </row>
    <row r="3" spans="1:10" x14ac:dyDescent="0.3">
      <c r="A3">
        <v>2019</v>
      </c>
      <c r="B3">
        <v>197</v>
      </c>
      <c r="C3">
        <v>55</v>
      </c>
      <c r="D3">
        <v>258</v>
      </c>
      <c r="E3">
        <v>7.0000000000000007E-2</v>
      </c>
      <c r="F3" s="4">
        <v>0.1</v>
      </c>
      <c r="G3">
        <v>0.02</v>
      </c>
      <c r="H3" s="4">
        <f t="shared" ref="H3:H6" si="0">SUM(E3:G3)</f>
        <v>0.19</v>
      </c>
      <c r="I3" s="5">
        <v>0.21</v>
      </c>
      <c r="J3" s="4">
        <f t="shared" ref="J3:J6" si="1">H3*(1+I3)</f>
        <v>0.22989999999999999</v>
      </c>
    </row>
    <row r="4" spans="1:10" x14ac:dyDescent="0.3">
      <c r="A4">
        <v>2020</v>
      </c>
      <c r="B4">
        <v>197</v>
      </c>
      <c r="C4">
        <v>55</v>
      </c>
      <c r="D4">
        <v>430</v>
      </c>
      <c r="E4">
        <v>0.06</v>
      </c>
      <c r="F4" s="4">
        <v>0.1</v>
      </c>
      <c r="G4">
        <v>0.03</v>
      </c>
      <c r="H4" s="4">
        <f t="shared" si="0"/>
        <v>0.19</v>
      </c>
      <c r="I4" s="5">
        <v>0.21</v>
      </c>
      <c r="J4" s="4">
        <f t="shared" si="1"/>
        <v>0.22989999999999999</v>
      </c>
    </row>
    <row r="5" spans="1:10" x14ac:dyDescent="0.3">
      <c r="A5">
        <v>2022</v>
      </c>
      <c r="B5">
        <v>229</v>
      </c>
      <c r="C5">
        <v>64</v>
      </c>
      <c r="D5">
        <v>430</v>
      </c>
      <c r="E5">
        <v>0.64</v>
      </c>
      <c r="F5" s="4">
        <v>3.6999999999999998E-2</v>
      </c>
      <c r="G5">
        <v>0.03</v>
      </c>
      <c r="H5" s="4">
        <f t="shared" si="0"/>
        <v>0.70700000000000007</v>
      </c>
      <c r="I5" s="5">
        <v>0.09</v>
      </c>
      <c r="J5" s="4">
        <f t="shared" si="1"/>
        <v>0.77063000000000015</v>
      </c>
    </row>
    <row r="6" spans="1:10" x14ac:dyDescent="0.3">
      <c r="A6">
        <v>2030</v>
      </c>
      <c r="B6">
        <v>246</v>
      </c>
      <c r="C6">
        <v>55</v>
      </c>
      <c r="D6">
        <v>449</v>
      </c>
      <c r="E6">
        <v>0.08</v>
      </c>
      <c r="F6" s="4">
        <v>7.0000000000000007E-2</v>
      </c>
      <c r="G6">
        <v>0.03</v>
      </c>
      <c r="H6" s="4">
        <f t="shared" si="0"/>
        <v>0.18000000000000002</v>
      </c>
      <c r="I6" s="5">
        <v>0.21</v>
      </c>
      <c r="J6" s="4">
        <f t="shared" si="1"/>
        <v>0.21780000000000002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4AC1-EA0B-4248-8D24-3E88A33BF26F}">
  <dimension ref="A1:F16"/>
  <sheetViews>
    <sheetView workbookViewId="0">
      <selection activeCell="C23" sqref="C23"/>
    </sheetView>
  </sheetViews>
  <sheetFormatPr defaultRowHeight="14.4" x14ac:dyDescent="0.3"/>
  <cols>
    <col min="1" max="1" width="27" bestFit="1" customWidth="1"/>
    <col min="2" max="2" width="15.109375" bestFit="1" customWidth="1"/>
    <col min="3" max="6" width="10.44140625" bestFit="1" customWidth="1"/>
  </cols>
  <sheetData>
    <row r="1" spans="1:6" x14ac:dyDescent="0.3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</row>
    <row r="2" spans="1:6" x14ac:dyDescent="0.3">
      <c r="A2" t="s">
        <v>46</v>
      </c>
      <c r="B2" t="s">
        <v>51</v>
      </c>
      <c r="C2">
        <v>800</v>
      </c>
      <c r="D2">
        <v>7200</v>
      </c>
      <c r="E2">
        <v>6500</v>
      </c>
      <c r="F2">
        <v>5400</v>
      </c>
    </row>
    <row r="3" spans="1:6" x14ac:dyDescent="0.3">
      <c r="A3" t="s">
        <v>46</v>
      </c>
      <c r="B3" t="s">
        <v>52</v>
      </c>
      <c r="C3">
        <v>30000</v>
      </c>
      <c r="D3">
        <v>20000</v>
      </c>
      <c r="E3">
        <v>18000</v>
      </c>
      <c r="F3">
        <v>15000</v>
      </c>
    </row>
    <row r="4" spans="1:6" x14ac:dyDescent="0.3">
      <c r="A4" t="s">
        <v>46</v>
      </c>
      <c r="B4" t="s">
        <v>53</v>
      </c>
      <c r="C4">
        <v>24000</v>
      </c>
      <c r="D4">
        <v>16000</v>
      </c>
      <c r="E4">
        <v>14400</v>
      </c>
      <c r="F4">
        <v>12000</v>
      </c>
    </row>
    <row r="5" spans="1:6" x14ac:dyDescent="0.3">
      <c r="A5" t="s">
        <v>47</v>
      </c>
      <c r="B5" t="s">
        <v>51</v>
      </c>
      <c r="C5">
        <v>9500</v>
      </c>
      <c r="D5">
        <v>8500</v>
      </c>
      <c r="E5">
        <v>7700</v>
      </c>
      <c r="F5">
        <v>6500</v>
      </c>
    </row>
    <row r="6" spans="1:6" x14ac:dyDescent="0.3">
      <c r="A6" t="s">
        <v>47</v>
      </c>
      <c r="B6" t="s">
        <v>52</v>
      </c>
      <c r="C6">
        <v>40000</v>
      </c>
      <c r="D6">
        <v>26000</v>
      </c>
      <c r="E6">
        <v>24000</v>
      </c>
      <c r="F6">
        <v>20000</v>
      </c>
    </row>
    <row r="7" spans="1:6" x14ac:dyDescent="0.3">
      <c r="A7" t="s">
        <v>47</v>
      </c>
      <c r="B7" t="s">
        <v>53</v>
      </c>
      <c r="C7">
        <v>32000</v>
      </c>
      <c r="D7">
        <v>20800</v>
      </c>
      <c r="E7">
        <v>19200</v>
      </c>
      <c r="F7">
        <v>16000</v>
      </c>
    </row>
    <row r="8" spans="1:6" x14ac:dyDescent="0.3">
      <c r="A8" t="s">
        <v>48</v>
      </c>
      <c r="B8" t="s">
        <v>51</v>
      </c>
      <c r="C8">
        <v>6500</v>
      </c>
      <c r="D8">
        <v>5800</v>
      </c>
      <c r="E8">
        <v>5200</v>
      </c>
      <c r="F8">
        <v>4400</v>
      </c>
    </row>
    <row r="9" spans="1:6" x14ac:dyDescent="0.3">
      <c r="A9" t="s">
        <v>48</v>
      </c>
      <c r="B9" t="s">
        <v>52</v>
      </c>
      <c r="C9">
        <v>22000</v>
      </c>
      <c r="D9">
        <v>15000</v>
      </c>
      <c r="E9">
        <v>13500</v>
      </c>
      <c r="F9">
        <v>9500</v>
      </c>
    </row>
    <row r="10" spans="1:6" x14ac:dyDescent="0.3">
      <c r="A10" t="s">
        <v>48</v>
      </c>
      <c r="B10" t="s">
        <v>53</v>
      </c>
      <c r="C10">
        <v>17600</v>
      </c>
      <c r="D10">
        <v>12000</v>
      </c>
      <c r="E10">
        <v>10800</v>
      </c>
      <c r="F10">
        <v>9600</v>
      </c>
    </row>
    <row r="11" spans="1:6" x14ac:dyDescent="0.3">
      <c r="A11" t="s">
        <v>49</v>
      </c>
      <c r="B11" t="s">
        <v>51</v>
      </c>
      <c r="C11">
        <v>11500</v>
      </c>
      <c r="D11">
        <v>10300</v>
      </c>
      <c r="E11">
        <v>9300</v>
      </c>
      <c r="F11">
        <v>7800</v>
      </c>
    </row>
    <row r="12" spans="1:6" x14ac:dyDescent="0.3">
      <c r="A12" t="s">
        <v>49</v>
      </c>
      <c r="B12" t="s">
        <v>52</v>
      </c>
      <c r="C12">
        <v>40000</v>
      </c>
      <c r="D12">
        <v>31000</v>
      </c>
      <c r="E12">
        <v>28000</v>
      </c>
      <c r="F12">
        <v>24000</v>
      </c>
    </row>
    <row r="13" spans="1:6" x14ac:dyDescent="0.3">
      <c r="A13" t="s">
        <v>49</v>
      </c>
      <c r="B13" t="s">
        <v>53</v>
      </c>
      <c r="C13">
        <v>32000</v>
      </c>
      <c r="D13">
        <v>24800</v>
      </c>
      <c r="E13">
        <v>22400</v>
      </c>
      <c r="F13">
        <v>19200</v>
      </c>
    </row>
    <row r="14" spans="1:6" x14ac:dyDescent="0.3">
      <c r="A14" t="s">
        <v>50</v>
      </c>
      <c r="B14" t="s">
        <v>51</v>
      </c>
      <c r="C14">
        <v>16000</v>
      </c>
      <c r="D14">
        <v>14200</v>
      </c>
      <c r="E14">
        <v>13000</v>
      </c>
      <c r="F14">
        <v>11000</v>
      </c>
    </row>
    <row r="15" spans="1:6" x14ac:dyDescent="0.3">
      <c r="A15" t="s">
        <v>50</v>
      </c>
      <c r="B15" t="s">
        <v>52</v>
      </c>
      <c r="C15">
        <v>66000</v>
      </c>
      <c r="D15">
        <v>44000</v>
      </c>
      <c r="E15">
        <v>40000</v>
      </c>
      <c r="F15">
        <v>34000</v>
      </c>
    </row>
    <row r="16" spans="1:6" x14ac:dyDescent="0.3">
      <c r="A16" t="s">
        <v>50</v>
      </c>
      <c r="B16" t="s">
        <v>53</v>
      </c>
      <c r="C16">
        <v>52800</v>
      </c>
      <c r="D16">
        <v>35200</v>
      </c>
      <c r="E16">
        <v>32000</v>
      </c>
      <c r="F16">
        <v>27200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6E8-27CD-4C0C-9908-8DFDF47D66DD}">
  <dimension ref="A1:J11"/>
  <sheetViews>
    <sheetView zoomScale="85" zoomScaleNormal="85" workbookViewId="0">
      <selection sqref="A1:J11"/>
    </sheetView>
  </sheetViews>
  <sheetFormatPr defaultRowHeight="14.4" x14ac:dyDescent="0.3"/>
  <cols>
    <col min="1" max="1" width="16.33203125" customWidth="1"/>
    <col min="2" max="2" width="28.109375" customWidth="1"/>
    <col min="3" max="3" width="29.88671875" bestFit="1" customWidth="1"/>
    <col min="4" max="4" width="33.88671875" bestFit="1" customWidth="1"/>
    <col min="5" max="5" width="38.5546875" bestFit="1" customWidth="1"/>
    <col min="6" max="6" width="24.44140625" bestFit="1" customWidth="1"/>
    <col min="7" max="7" width="13.6640625" bestFit="1" customWidth="1"/>
    <col min="8" max="10" width="13.6640625" customWidth="1"/>
  </cols>
  <sheetData>
    <row r="1" spans="1:10" x14ac:dyDescent="0.3">
      <c r="A1" t="s">
        <v>71</v>
      </c>
      <c r="B1" t="s">
        <v>61</v>
      </c>
      <c r="C1" t="s">
        <v>66</v>
      </c>
      <c r="D1" t="s">
        <v>65</v>
      </c>
      <c r="E1" t="s">
        <v>64</v>
      </c>
      <c r="F1" t="s">
        <v>63</v>
      </c>
      <c r="G1" t="s">
        <v>62</v>
      </c>
      <c r="H1" t="s">
        <v>76</v>
      </c>
      <c r="I1" t="s">
        <v>74</v>
      </c>
      <c r="J1" t="s">
        <v>75</v>
      </c>
    </row>
    <row r="2" spans="1:10" x14ac:dyDescent="0.3">
      <c r="A2" t="s">
        <v>72</v>
      </c>
      <c r="B2">
        <v>2018</v>
      </c>
      <c r="C2">
        <v>146</v>
      </c>
      <c r="D2">
        <v>46</v>
      </c>
      <c r="E2" s="4">
        <v>0.28000000000000003</v>
      </c>
      <c r="F2">
        <v>0.26</v>
      </c>
      <c r="G2" s="4">
        <v>2.8500000000000001E-2</v>
      </c>
      <c r="H2" s="4">
        <f t="shared" ref="H2:H11" si="0">SUM(E2:G2)</f>
        <v>0.56850000000000001</v>
      </c>
      <c r="I2" s="5">
        <v>0.21</v>
      </c>
      <c r="J2" s="4">
        <f>H2*(1+I2)</f>
        <v>0.68788499999999997</v>
      </c>
    </row>
    <row r="3" spans="1:10" x14ac:dyDescent="0.3">
      <c r="A3" t="s">
        <v>72</v>
      </c>
      <c r="B3">
        <v>2019</v>
      </c>
      <c r="C3">
        <v>147</v>
      </c>
      <c r="D3">
        <v>55</v>
      </c>
      <c r="E3" s="4">
        <v>0.28999999999999998</v>
      </c>
      <c r="F3">
        <v>0.28999999999999998</v>
      </c>
      <c r="G3" s="4">
        <v>5.2400000000000002E-2</v>
      </c>
      <c r="H3" s="4">
        <f t="shared" si="0"/>
        <v>0.63239999999999996</v>
      </c>
      <c r="I3" s="5">
        <v>0.21</v>
      </c>
      <c r="J3" s="4">
        <f t="shared" ref="J3:J11" si="1">H3*(1+I3)</f>
        <v>0.76520399999999988</v>
      </c>
    </row>
    <row r="4" spans="1:10" x14ac:dyDescent="0.3">
      <c r="A4" t="s">
        <v>72</v>
      </c>
      <c r="B4">
        <v>2020</v>
      </c>
      <c r="C4">
        <v>151</v>
      </c>
      <c r="D4">
        <v>55</v>
      </c>
      <c r="E4" s="4">
        <v>0.26</v>
      </c>
      <c r="F4">
        <v>0.33</v>
      </c>
      <c r="G4" s="4">
        <v>7.7499999999999999E-2</v>
      </c>
      <c r="H4" s="4">
        <f t="shared" si="0"/>
        <v>0.66750000000000009</v>
      </c>
      <c r="I4" s="5">
        <v>0.21</v>
      </c>
      <c r="J4" s="4">
        <f t="shared" si="1"/>
        <v>0.80767500000000014</v>
      </c>
    </row>
    <row r="5" spans="1:10" x14ac:dyDescent="0.3">
      <c r="A5" t="s">
        <v>72</v>
      </c>
      <c r="B5">
        <v>2022</v>
      </c>
      <c r="C5">
        <v>151</v>
      </c>
      <c r="D5">
        <v>60</v>
      </c>
      <c r="E5" s="4">
        <v>2</v>
      </c>
      <c r="F5">
        <v>0.36</v>
      </c>
      <c r="G5" s="4">
        <v>8.6499999999999994E-2</v>
      </c>
      <c r="H5" s="4">
        <f t="shared" si="0"/>
        <v>2.4464999999999999</v>
      </c>
      <c r="I5" s="5">
        <v>0.21</v>
      </c>
      <c r="J5" s="4">
        <f t="shared" si="1"/>
        <v>2.9602649999999997</v>
      </c>
    </row>
    <row r="6" spans="1:10" x14ac:dyDescent="0.3">
      <c r="A6" t="s">
        <v>72</v>
      </c>
      <c r="B6">
        <v>2030</v>
      </c>
      <c r="C6">
        <v>151</v>
      </c>
      <c r="D6">
        <v>55</v>
      </c>
      <c r="E6" s="4">
        <v>0.35</v>
      </c>
      <c r="F6">
        <v>0.39</v>
      </c>
      <c r="G6" s="4">
        <v>0.1</v>
      </c>
      <c r="H6" s="4">
        <f t="shared" si="0"/>
        <v>0.84</v>
      </c>
      <c r="I6" s="5">
        <v>0.21</v>
      </c>
      <c r="J6" s="4">
        <f t="shared" si="1"/>
        <v>1.0164</v>
      </c>
    </row>
    <row r="7" spans="1:10" x14ac:dyDescent="0.3">
      <c r="A7" t="s">
        <v>73</v>
      </c>
      <c r="B7">
        <v>2018</v>
      </c>
      <c r="C7">
        <v>146</v>
      </c>
      <c r="D7">
        <v>46</v>
      </c>
      <c r="E7" s="4">
        <f>1.54 * (1-I7)</f>
        <v>1.2166000000000001</v>
      </c>
      <c r="F7">
        <v>0.26</v>
      </c>
      <c r="G7" s="4">
        <v>0</v>
      </c>
      <c r="H7" s="4">
        <f t="shared" si="0"/>
        <v>1.4766000000000001</v>
      </c>
      <c r="I7" s="5">
        <v>0.21</v>
      </c>
      <c r="J7" s="4">
        <f t="shared" si="1"/>
        <v>1.7866860000000002</v>
      </c>
    </row>
    <row r="8" spans="1:10" x14ac:dyDescent="0.3">
      <c r="A8" t="s">
        <v>73</v>
      </c>
      <c r="B8">
        <v>2019</v>
      </c>
      <c r="C8">
        <v>147</v>
      </c>
      <c r="D8">
        <v>55</v>
      </c>
      <c r="E8" s="4">
        <f>1.54 * (1-I8)</f>
        <v>1.2166000000000001</v>
      </c>
      <c r="F8">
        <v>0.28999999999999998</v>
      </c>
      <c r="G8" s="4">
        <v>0</v>
      </c>
      <c r="H8" s="4">
        <f t="shared" si="0"/>
        <v>1.5066000000000002</v>
      </c>
      <c r="I8" s="5">
        <v>0.21</v>
      </c>
      <c r="J8" s="4">
        <f t="shared" si="1"/>
        <v>1.8229860000000002</v>
      </c>
    </row>
    <row r="9" spans="1:10" x14ac:dyDescent="0.3">
      <c r="A9" t="s">
        <v>73</v>
      </c>
      <c r="B9">
        <v>2020</v>
      </c>
      <c r="C9">
        <v>151</v>
      </c>
      <c r="D9">
        <v>55</v>
      </c>
      <c r="E9" s="4">
        <f>1.54 * (1-I9)</f>
        <v>1.2166000000000001</v>
      </c>
      <c r="F9">
        <v>0.33</v>
      </c>
      <c r="G9" s="4">
        <v>0</v>
      </c>
      <c r="H9" s="4">
        <f t="shared" si="0"/>
        <v>1.5466000000000002</v>
      </c>
      <c r="I9" s="5">
        <v>0.21</v>
      </c>
      <c r="J9" s="4">
        <f t="shared" si="1"/>
        <v>1.8713860000000002</v>
      </c>
    </row>
    <row r="10" spans="1:10" x14ac:dyDescent="0.3">
      <c r="A10" t="s">
        <v>73</v>
      </c>
      <c r="B10">
        <v>2022</v>
      </c>
      <c r="C10">
        <v>168</v>
      </c>
      <c r="D10">
        <v>60</v>
      </c>
      <c r="E10" s="4">
        <f>1.54 * (1-I10)</f>
        <v>1.2166000000000001</v>
      </c>
      <c r="F10">
        <v>0.33</v>
      </c>
      <c r="G10" s="4">
        <v>0</v>
      </c>
      <c r="H10" s="4">
        <f t="shared" si="0"/>
        <v>1.5466000000000002</v>
      </c>
      <c r="I10" s="5">
        <v>0.21</v>
      </c>
      <c r="J10" s="4">
        <f t="shared" si="1"/>
        <v>1.8713860000000002</v>
      </c>
    </row>
    <row r="11" spans="1:10" x14ac:dyDescent="0.3">
      <c r="A11" t="s">
        <v>73</v>
      </c>
      <c r="B11">
        <v>2030</v>
      </c>
      <c r="C11">
        <v>151</v>
      </c>
      <c r="D11">
        <v>55</v>
      </c>
      <c r="E11" s="4">
        <f>65*0.0097694444</f>
        <v>0.63501388600000008</v>
      </c>
      <c r="F11">
        <v>0.39</v>
      </c>
      <c r="G11" s="4">
        <v>0</v>
      </c>
      <c r="H11" s="4">
        <f t="shared" si="0"/>
        <v>1.025013886</v>
      </c>
      <c r="I11" s="5">
        <v>0.21</v>
      </c>
      <c r="J11" s="4">
        <f t="shared" si="1"/>
        <v>1.2402668020599998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0170-35A7-422A-9D94-DBCB40C9F5FD}">
  <dimension ref="A1:D6"/>
  <sheetViews>
    <sheetView workbookViewId="0">
      <selection activeCell="G29" sqref="G29"/>
    </sheetView>
  </sheetViews>
  <sheetFormatPr defaultRowHeight="14.4" x14ac:dyDescent="0.3"/>
  <cols>
    <col min="1" max="1" width="27" bestFit="1" customWidth="1"/>
  </cols>
  <sheetData>
    <row r="1" spans="1:4" x14ac:dyDescent="0.3">
      <c r="A1" t="s">
        <v>67</v>
      </c>
      <c r="B1" t="s">
        <v>68</v>
      </c>
      <c r="C1" t="s">
        <v>69</v>
      </c>
      <c r="D1" t="s">
        <v>70</v>
      </c>
    </row>
    <row r="2" spans="1:4" x14ac:dyDescent="0.3">
      <c r="A2" t="s">
        <v>48</v>
      </c>
      <c r="B2">
        <v>0</v>
      </c>
      <c r="C2">
        <v>0.32</v>
      </c>
      <c r="D2">
        <v>0.67</v>
      </c>
    </row>
    <row r="3" spans="1:4" x14ac:dyDescent="0.3">
      <c r="A3" t="s">
        <v>47</v>
      </c>
      <c r="B3">
        <v>0</v>
      </c>
      <c r="C3">
        <v>0.23</v>
      </c>
      <c r="D3">
        <v>0.69</v>
      </c>
    </row>
    <row r="4" spans="1:4" x14ac:dyDescent="0.3">
      <c r="A4" t="s">
        <v>50</v>
      </c>
      <c r="B4">
        <v>0</v>
      </c>
      <c r="C4">
        <v>0.23</v>
      </c>
      <c r="D4">
        <v>0.67</v>
      </c>
    </row>
    <row r="5" spans="1:4" x14ac:dyDescent="0.3">
      <c r="A5" t="s">
        <v>49</v>
      </c>
      <c r="B5">
        <v>0</v>
      </c>
      <c r="C5">
        <v>0.26</v>
      </c>
      <c r="D5">
        <v>0.69</v>
      </c>
    </row>
    <row r="6" spans="1:4" x14ac:dyDescent="0.3">
      <c r="A6" t="s">
        <v>46</v>
      </c>
      <c r="B6">
        <v>0</v>
      </c>
      <c r="C6">
        <v>0.31</v>
      </c>
      <c r="D6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Inhouse heat systems</vt:lpstr>
      <vt:lpstr>District heating</vt:lpstr>
      <vt:lpstr>Cable lengths</vt:lpstr>
      <vt:lpstr>Energy costs</vt:lpstr>
      <vt:lpstr>Electricity fixed and variable</vt:lpstr>
      <vt:lpstr>Isolation cost</vt:lpstr>
      <vt:lpstr>Gas fixed and variable</vt:lpstr>
      <vt:lpstr>Energy saving 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Loomans, N.</cp:lastModifiedBy>
  <dcterms:created xsi:type="dcterms:W3CDTF">2022-04-25T09:20:15Z</dcterms:created>
  <dcterms:modified xsi:type="dcterms:W3CDTF">2022-09-15T11:32:50Z</dcterms:modified>
</cp:coreProperties>
</file>