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Planilla Clotoide" sheetId="7" r:id="rId1"/>
    <sheet name="V1-PK" sheetId="22" r:id="rId2"/>
    <sheet name="Enlace Clotoidal" sheetId="8" r:id="rId3"/>
    <sheet name="Curva entre clotoide" sheetId="20" r:id="rId4"/>
    <sheet name="Enlace clotoidal salida" sheetId="23" r:id="rId5"/>
    <sheet name="V3-FK" sheetId="21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2" l="1"/>
  <c r="C3" i="22"/>
  <c r="C4" i="22"/>
  <c r="C5" i="22"/>
  <c r="C6" i="22"/>
  <c r="C7" i="22"/>
  <c r="C8" i="22"/>
  <c r="C9" i="22"/>
  <c r="C2" i="22"/>
  <c r="M6" i="23"/>
  <c r="M7" i="23"/>
  <c r="M8" i="23"/>
  <c r="M9" i="23"/>
  <c r="L6" i="23"/>
  <c r="L7" i="23"/>
  <c r="L8" i="23"/>
  <c r="L9" i="23"/>
  <c r="E9" i="20"/>
  <c r="E4" i="20"/>
  <c r="E5" i="20"/>
  <c r="E6" i="20"/>
  <c r="E7" i="20"/>
  <c r="E8" i="20"/>
  <c r="E3" i="20"/>
  <c r="E2" i="20"/>
  <c r="B4" i="21"/>
  <c r="B2" i="21"/>
  <c r="B38" i="7"/>
  <c r="B2" i="22"/>
  <c r="B9" i="7"/>
  <c r="H4" i="23" l="1"/>
  <c r="D4" i="21"/>
  <c r="H4" i="8"/>
  <c r="D2" i="22"/>
  <c r="F9" i="22" l="1"/>
  <c r="E9" i="22"/>
  <c r="H2" i="22"/>
  <c r="G2" i="22"/>
  <c r="H9" i="22" l="1"/>
  <c r="G9" i="22"/>
  <c r="H4" i="21"/>
  <c r="G4" i="21"/>
  <c r="B22" i="7" l="1"/>
  <c r="B16" i="7" l="1"/>
  <c r="B14" i="7"/>
  <c r="B13" i="7"/>
  <c r="B15" i="7"/>
  <c r="B17" i="7" l="1"/>
  <c r="C20" i="7" s="1"/>
  <c r="D21" i="7"/>
  <c r="F20" i="7"/>
  <c r="E20" i="7"/>
  <c r="B18" i="7"/>
  <c r="E21" i="7" s="1"/>
  <c r="F4" i="8"/>
  <c r="E4" i="8"/>
  <c r="D20" i="7" l="1"/>
  <c r="B12" i="7" s="1"/>
  <c r="C21" i="7"/>
  <c r="F21" i="7"/>
  <c r="I4" i="8"/>
  <c r="F7" i="22" l="1"/>
  <c r="H7" i="22" s="1"/>
  <c r="E7" i="22"/>
  <c r="G7" i="22" s="1"/>
  <c r="F4" i="22"/>
  <c r="H4" i="22" s="1"/>
  <c r="E4" i="22"/>
  <c r="G4" i="22" s="1"/>
  <c r="F5" i="22"/>
  <c r="H5" i="22" s="1"/>
  <c r="E5" i="22"/>
  <c r="G5" i="22" s="1"/>
  <c r="F6" i="22"/>
  <c r="H6" i="22" s="1"/>
  <c r="E6" i="22"/>
  <c r="G6" i="22" s="1"/>
  <c r="F2" i="22"/>
  <c r="E2" i="22"/>
  <c r="K4" i="8"/>
  <c r="J4" i="8"/>
  <c r="B23" i="7"/>
  <c r="B24" i="7"/>
  <c r="B31" i="7" l="1"/>
  <c r="B32" i="7" s="1"/>
  <c r="B25" i="7"/>
  <c r="B26" i="7"/>
  <c r="B27" i="7" l="1"/>
  <c r="B30" i="7" s="1"/>
  <c r="B40" i="7" s="1"/>
  <c r="B28" i="7"/>
  <c r="B29" i="7" s="1"/>
  <c r="B39" i="7" l="1"/>
  <c r="B34" i="7" l="1"/>
  <c r="B4" i="8"/>
  <c r="C8" i="8" l="1"/>
  <c r="D8" i="8" s="1"/>
  <c r="C5" i="8"/>
  <c r="D5" i="8" s="1"/>
  <c r="C4" i="8"/>
  <c r="C6" i="8"/>
  <c r="D6" i="8" s="1"/>
  <c r="K1" i="22"/>
  <c r="B35" i="7"/>
  <c r="F8" i="22" l="1"/>
  <c r="H8" i="22" s="1"/>
  <c r="B10" i="22"/>
  <c r="E8" i="8"/>
  <c r="F8" i="8"/>
  <c r="F3" i="22"/>
  <c r="H3" i="22" s="1"/>
  <c r="F5" i="8"/>
  <c r="E5" i="8"/>
  <c r="B2" i="20"/>
  <c r="B36" i="7"/>
  <c r="B1" i="8"/>
  <c r="B9" i="8" s="1"/>
  <c r="C9" i="8" s="1"/>
  <c r="D9" i="8" s="1"/>
  <c r="E9" i="8" s="1"/>
  <c r="E6" i="8"/>
  <c r="F6" i="8"/>
  <c r="E8" i="22" l="1"/>
  <c r="G8" i="22" s="1"/>
  <c r="E3" i="22"/>
  <c r="G3" i="22" s="1"/>
  <c r="F9" i="8"/>
  <c r="F10" i="22"/>
  <c r="H10" i="22" s="1"/>
  <c r="M4" i="8" s="1"/>
  <c r="E10" i="22"/>
  <c r="G10" i="22" s="1"/>
  <c r="L4" i="8" s="1"/>
  <c r="G9" i="8"/>
  <c r="H9" i="8" s="1"/>
  <c r="I8" i="8"/>
  <c r="C7" i="20"/>
  <c r="D7" i="20" s="1"/>
  <c r="C8" i="20"/>
  <c r="D8" i="20" s="1"/>
  <c r="I9" i="8"/>
  <c r="C7" i="8"/>
  <c r="D7" i="8" s="1"/>
  <c r="E7" i="8" s="1"/>
  <c r="G8" i="8"/>
  <c r="H8" i="8" s="1"/>
  <c r="G5" i="8"/>
  <c r="H5" i="8" s="1"/>
  <c r="I6" i="8"/>
  <c r="I5" i="8"/>
  <c r="B2" i="23"/>
  <c r="B9" i="23" s="1"/>
  <c r="L1" i="20"/>
  <c r="B9" i="20" s="1"/>
  <c r="C9" i="20" s="1"/>
  <c r="D9" i="20" s="1"/>
  <c r="B37" i="7"/>
  <c r="G6" i="8"/>
  <c r="H6" i="8" s="1"/>
  <c r="C2" i="20"/>
  <c r="D2" i="20" s="1"/>
  <c r="F2" i="20" s="1"/>
  <c r="C3" i="20"/>
  <c r="D3" i="20" s="1"/>
  <c r="C4" i="20"/>
  <c r="D4" i="20" s="1"/>
  <c r="C5" i="20"/>
  <c r="D5" i="20" s="1"/>
  <c r="F9" i="20" l="1"/>
  <c r="K9" i="8"/>
  <c r="M9" i="8" s="1"/>
  <c r="J2" i="20" s="1"/>
  <c r="F7" i="8"/>
  <c r="G7" i="8" s="1"/>
  <c r="H7" i="8" s="1"/>
  <c r="J9" i="8"/>
  <c r="L9" i="8" s="1"/>
  <c r="I2" i="20" s="1"/>
  <c r="F7" i="20"/>
  <c r="K8" i="8"/>
  <c r="M8" i="8" s="1"/>
  <c r="J8" i="8"/>
  <c r="L8" i="8" s="1"/>
  <c r="F8" i="20"/>
  <c r="C6" i="20"/>
  <c r="D6" i="20" s="1"/>
  <c r="K6" i="8"/>
  <c r="M6" i="8" s="1"/>
  <c r="K5" i="8"/>
  <c r="M5" i="8" s="1"/>
  <c r="J5" i="8"/>
  <c r="L5" i="8" s="1"/>
  <c r="F3" i="20"/>
  <c r="H2" i="20"/>
  <c r="G2" i="20"/>
  <c r="F5" i="20"/>
  <c r="F4" i="20"/>
  <c r="B1" i="23"/>
  <c r="B4" i="23" s="1"/>
  <c r="C9" i="23" s="1"/>
  <c r="D9" i="23" s="1"/>
  <c r="B1" i="21"/>
  <c r="B13" i="21" s="1"/>
  <c r="J6" i="8"/>
  <c r="L6" i="8" s="1"/>
  <c r="E9" i="23" l="1"/>
  <c r="F9" i="23"/>
  <c r="H9" i="20"/>
  <c r="J9" i="20" s="1"/>
  <c r="G9" i="20"/>
  <c r="I9" i="20" s="1"/>
  <c r="F6" i="20"/>
  <c r="G6" i="20" s="1"/>
  <c r="I7" i="8"/>
  <c r="K7" i="8" s="1"/>
  <c r="M7" i="8" s="1"/>
  <c r="C5" i="21"/>
  <c r="G8" i="20"/>
  <c r="H8" i="20"/>
  <c r="J8" i="20" s="1"/>
  <c r="C7" i="23"/>
  <c r="D7" i="23" s="1"/>
  <c r="C8" i="23"/>
  <c r="D8" i="23" s="1"/>
  <c r="G7" i="20"/>
  <c r="H7" i="20"/>
  <c r="J7" i="20" s="1"/>
  <c r="J7" i="8"/>
  <c r="L7" i="8" s="1"/>
  <c r="C4" i="23"/>
  <c r="C5" i="23"/>
  <c r="D5" i="23" s="1"/>
  <c r="C6" i="23"/>
  <c r="D6" i="23" s="1"/>
  <c r="H5" i="20"/>
  <c r="J5" i="20" s="1"/>
  <c r="G5" i="20"/>
  <c r="I5" i="20" s="1"/>
  <c r="H6" i="20"/>
  <c r="J6" i="20" s="1"/>
  <c r="G4" i="20"/>
  <c r="H4" i="20"/>
  <c r="J4" i="20" s="1"/>
  <c r="H3" i="20"/>
  <c r="J3" i="20" s="1"/>
  <c r="G3" i="20"/>
  <c r="G9" i="23" l="1"/>
  <c r="H9" i="23" s="1"/>
  <c r="I9" i="23"/>
  <c r="J9" i="23" s="1"/>
  <c r="C4" i="21"/>
  <c r="C13" i="21"/>
  <c r="I6" i="20"/>
  <c r="I4" i="20"/>
  <c r="I7" i="20"/>
  <c r="I8" i="20"/>
  <c r="I3" i="20"/>
  <c r="F8" i="23"/>
  <c r="E8" i="23"/>
  <c r="C10" i="21"/>
  <c r="C7" i="21"/>
  <c r="C8" i="21"/>
  <c r="C9" i="21"/>
  <c r="C11" i="21"/>
  <c r="C12" i="21"/>
  <c r="C6" i="21"/>
  <c r="E6" i="21" s="1"/>
  <c r="G6" i="21" s="1"/>
  <c r="E7" i="23"/>
  <c r="F7" i="23"/>
  <c r="F6" i="23"/>
  <c r="E6" i="23"/>
  <c r="E5" i="23"/>
  <c r="F5" i="23"/>
  <c r="F5" i="21"/>
  <c r="H5" i="21" s="1"/>
  <c r="E5" i="21"/>
  <c r="G5" i="21" s="1"/>
  <c r="E4" i="23"/>
  <c r="F4" i="23"/>
  <c r="E4" i="21"/>
  <c r="F4" i="21"/>
  <c r="K9" i="23" l="1"/>
  <c r="E13" i="21"/>
  <c r="G13" i="21" s="1"/>
  <c r="L4" i="23" s="1"/>
  <c r="F13" i="21"/>
  <c r="H13" i="21" s="1"/>
  <c r="M4" i="23" s="1"/>
  <c r="G7" i="23"/>
  <c r="H7" i="23" s="1"/>
  <c r="G8" i="23"/>
  <c r="H8" i="23" s="1"/>
  <c r="F6" i="21"/>
  <c r="H6" i="21" s="1"/>
  <c r="E8" i="21"/>
  <c r="G8" i="21" s="1"/>
  <c r="F8" i="21"/>
  <c r="H8" i="21" s="1"/>
  <c r="I8" i="23"/>
  <c r="E12" i="21"/>
  <c r="G12" i="21" s="1"/>
  <c r="F12" i="21"/>
  <c r="H12" i="21" s="1"/>
  <c r="E7" i="21"/>
  <c r="G7" i="21" s="1"/>
  <c r="F7" i="21"/>
  <c r="H7" i="21" s="1"/>
  <c r="F9" i="21"/>
  <c r="H9" i="21" s="1"/>
  <c r="E9" i="21"/>
  <c r="G9" i="21" s="1"/>
  <c r="I7" i="23"/>
  <c r="E10" i="21"/>
  <c r="G10" i="21" s="1"/>
  <c r="F10" i="21"/>
  <c r="H10" i="21" s="1"/>
  <c r="E11" i="21"/>
  <c r="G11" i="21" s="1"/>
  <c r="F11" i="21"/>
  <c r="H11" i="21" s="1"/>
  <c r="I6" i="23"/>
  <c r="I5" i="23"/>
  <c r="G6" i="23"/>
  <c r="H6" i="23" s="1"/>
  <c r="I4" i="23"/>
  <c r="G5" i="23"/>
  <c r="H5" i="23" s="1"/>
  <c r="J7" i="23" l="1"/>
  <c r="J8" i="23"/>
  <c r="K8" i="23"/>
  <c r="K7" i="23"/>
  <c r="K5" i="23"/>
  <c r="M5" i="23" s="1"/>
  <c r="K6" i="23"/>
  <c r="J5" i="23"/>
  <c r="L5" i="23" s="1"/>
  <c r="J6" i="23"/>
  <c r="K4" i="23"/>
  <c r="J4" i="23"/>
</calcChain>
</file>

<file path=xl/sharedStrings.xml><?xml version="1.0" encoding="utf-8"?>
<sst xmlns="http://schemas.openxmlformats.org/spreadsheetml/2006/main" count="114" uniqueCount="65">
  <si>
    <t>Datos</t>
  </si>
  <si>
    <t>Norte</t>
  </si>
  <si>
    <t>Este</t>
  </si>
  <si>
    <t>∆N v1-v2</t>
  </si>
  <si>
    <t>∆E v1-v2</t>
  </si>
  <si>
    <t>∆N v2-v3</t>
  </si>
  <si>
    <t>∆E v2-v3</t>
  </si>
  <si>
    <t>Azimut v1-v2</t>
  </si>
  <si>
    <t>Azimut v2-v3</t>
  </si>
  <si>
    <t>Correcion azimutes</t>
  </si>
  <si>
    <t>I cuadrante</t>
  </si>
  <si>
    <t>II cuadrante</t>
  </si>
  <si>
    <t>III cuadrante</t>
  </si>
  <si>
    <t>IV cuadrante</t>
  </si>
  <si>
    <t>DM</t>
  </si>
  <si>
    <t>Punto</t>
  </si>
  <si>
    <t>DH</t>
  </si>
  <si>
    <t>Azimut</t>
  </si>
  <si>
    <t>PN</t>
  </si>
  <si>
    <t>PE</t>
  </si>
  <si>
    <t>NORTE</t>
  </si>
  <si>
    <t>ESTE</t>
  </si>
  <si>
    <t>V1</t>
  </si>
  <si>
    <t>PC</t>
  </si>
  <si>
    <t>a</t>
  </si>
  <si>
    <t>FC</t>
  </si>
  <si>
    <t>V3</t>
  </si>
  <si>
    <t>DM PC</t>
  </si>
  <si>
    <t>DM FC</t>
  </si>
  <si>
    <t>A</t>
  </si>
  <si>
    <t>Radio</t>
  </si>
  <si>
    <t>L</t>
  </si>
  <si>
    <t>TauRad</t>
  </si>
  <si>
    <t>Taug</t>
  </si>
  <si>
    <t>Xp</t>
  </si>
  <si>
    <t>Yp</t>
  </si>
  <si>
    <t>∆R</t>
  </si>
  <si>
    <t>Tc</t>
  </si>
  <si>
    <t>Tl</t>
  </si>
  <si>
    <t>Tp</t>
  </si>
  <si>
    <t>α'</t>
  </si>
  <si>
    <t>Dc</t>
  </si>
  <si>
    <t>Kilometrajes (DM)</t>
  </si>
  <si>
    <t>PK</t>
  </si>
  <si>
    <t>FK</t>
  </si>
  <si>
    <t>X</t>
  </si>
  <si>
    <t>Y</t>
  </si>
  <si>
    <t>Delta</t>
  </si>
  <si>
    <t>Omega/2</t>
  </si>
  <si>
    <t>V2</t>
  </si>
  <si>
    <t>DMPK</t>
  </si>
  <si>
    <t>Azimut 1-2</t>
  </si>
  <si>
    <t>DHV1-PK</t>
  </si>
  <si>
    <t>DN</t>
  </si>
  <si>
    <t>DE</t>
  </si>
  <si>
    <t>Azimut 2-3</t>
  </si>
  <si>
    <t>DM FK</t>
  </si>
  <si>
    <t>DM PK</t>
  </si>
  <si>
    <t>DHV3-FK</t>
  </si>
  <si>
    <t>21k</t>
  </si>
  <si>
    <t>22k</t>
  </si>
  <si>
    <t>23k</t>
  </si>
  <si>
    <t>24k</t>
  </si>
  <si>
    <t>DM V1</t>
  </si>
  <si>
    <t>DM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</si>
</sst>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Fill="1" applyBorder="1"/>
    <xf numFmtId="1" fontId="0" fillId="0" borderId="1" xfId="0" applyNumberFormat="1" applyBorder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5" borderId="0" xfId="0" applyFill="1"/>
    <xf numFmtId="164" fontId="1" fillId="2" borderId="1" xfId="0" applyNumberFormat="1" applyFont="1" applyFill="1" applyBorder="1"/>
    <xf numFmtId="0" fontId="0" fillId="0" borderId="1" xfId="0" applyFont="1" applyBorder="1"/>
    <xf numFmtId="0" fontId="2" fillId="2" borderId="1" xfId="0" applyFont="1" applyFill="1" applyBorder="1"/>
    <xf numFmtId="0" fontId="0" fillId="5" borderId="1" xfId="0" applyFont="1" applyFill="1" applyBorder="1"/>
    <xf numFmtId="166" fontId="0" fillId="0" borderId="1" xfId="0" applyNumberFormat="1" applyBorder="1"/>
    <xf numFmtId="0" fontId="0" fillId="0" borderId="1" xfId="0" applyFill="1" applyBorder="1"/>
    <xf numFmtId="165" fontId="0" fillId="5" borderId="0" xfId="0" applyNumberFormat="1" applyFill="1"/>
    <xf numFmtId="165" fontId="1" fillId="5" borderId="1" xfId="0" applyNumberFormat="1" applyFont="1" applyFill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Border="1"/>
    <xf numFmtId="166" fontId="2" fillId="0" borderId="0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6" fontId="0" fillId="0" borderId="0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1" xfId="0" applyNumberFormat="1" applyFill="1" applyBorder="1"/>
    <xf numFmtId="165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20" sqref="D20"/>
    </sheetView>
  </sheetViews>
  <sheetFormatPr baseColWidth="10" defaultRowHeight="15" x14ac:dyDescent="0.25"/>
  <cols>
    <col min="1" max="1" width="11.42578125" style="9"/>
    <col min="2" max="2" width="19.28515625" style="9" customWidth="1"/>
    <col min="3" max="16384" width="11.42578125" style="9"/>
  </cols>
  <sheetData>
    <row r="1" spans="1:2" x14ac:dyDescent="0.25">
      <c r="A1" s="56" t="s">
        <v>0</v>
      </c>
      <c r="B1" s="56"/>
    </row>
    <row r="2" spans="1:2" x14ac:dyDescent="0.25">
      <c r="A2" s="57" t="s">
        <v>22</v>
      </c>
      <c r="B2" s="2">
        <v>219.09309999999999</v>
      </c>
    </row>
    <row r="3" spans="1:2" x14ac:dyDescent="0.25">
      <c r="A3" s="58"/>
      <c r="B3" s="2">
        <v>81.075999999999993</v>
      </c>
    </row>
    <row r="4" spans="1:2" x14ac:dyDescent="0.25">
      <c r="A4" s="57" t="s">
        <v>49</v>
      </c>
      <c r="B4" s="2">
        <v>108.4336</v>
      </c>
    </row>
    <row r="5" spans="1:2" x14ac:dyDescent="0.25">
      <c r="A5" s="58"/>
      <c r="B5" s="2">
        <v>194.49189999999999</v>
      </c>
    </row>
    <row r="6" spans="1:2" x14ac:dyDescent="0.25">
      <c r="A6" s="57" t="s">
        <v>26</v>
      </c>
      <c r="B6" s="2">
        <v>210.18950000000001</v>
      </c>
    </row>
    <row r="7" spans="1:2" x14ac:dyDescent="0.25">
      <c r="A7" s="58"/>
      <c r="B7" s="2">
        <v>317.9991</v>
      </c>
    </row>
    <row r="8" spans="1:2" x14ac:dyDescent="0.25">
      <c r="A8" s="62" t="s">
        <v>63</v>
      </c>
      <c r="B8" s="2">
        <v>100</v>
      </c>
    </row>
    <row r="9" spans="1:2" x14ac:dyDescent="0.25">
      <c r="A9" s="16" t="s">
        <v>50</v>
      </c>
      <c r="B9" s="55">
        <f>B8+B39</f>
        <v>178.97973369104287</v>
      </c>
    </row>
    <row r="10" spans="1:2" x14ac:dyDescent="0.25">
      <c r="A10" s="10" t="s">
        <v>29</v>
      </c>
      <c r="B10" s="10">
        <v>50</v>
      </c>
    </row>
    <row r="11" spans="1:2" x14ac:dyDescent="0.25">
      <c r="A11" s="10" t="s">
        <v>30</v>
      </c>
      <c r="B11" s="10">
        <v>67</v>
      </c>
    </row>
    <row r="12" spans="1:2" x14ac:dyDescent="0.25">
      <c r="A12" s="15" t="s">
        <v>48</v>
      </c>
      <c r="B12" s="30">
        <f>(IF((SUM(C20:F20))&gt;(SUM(C21:F21)),(SUM(C19:F20))-(SUM(C21:F21)),(SUM(C21:F21))-(SUM(C20:F20))))/2</f>
        <v>46.544373789748747</v>
      </c>
    </row>
    <row r="13" spans="1:2" x14ac:dyDescent="0.25">
      <c r="A13" s="17" t="s">
        <v>3</v>
      </c>
      <c r="B13" s="18">
        <f>B4-B2</f>
        <v>-110.65949999999999</v>
      </c>
    </row>
    <row r="14" spans="1:2" x14ac:dyDescent="0.25">
      <c r="A14" s="17" t="s">
        <v>4</v>
      </c>
      <c r="B14" s="18">
        <f>B5-B3</f>
        <v>113.41589999999999</v>
      </c>
    </row>
    <row r="15" spans="1:2" x14ac:dyDescent="0.25">
      <c r="A15" s="17" t="s">
        <v>5</v>
      </c>
      <c r="B15" s="18">
        <f>B6-B4</f>
        <v>101.75590000000001</v>
      </c>
    </row>
    <row r="16" spans="1:2" x14ac:dyDescent="0.25">
      <c r="A16" s="17" t="s">
        <v>6</v>
      </c>
      <c r="B16" s="18">
        <f>B7-B5</f>
        <v>123.50720000000001</v>
      </c>
    </row>
    <row r="17" spans="1:6" x14ac:dyDescent="0.25">
      <c r="A17" s="17" t="s">
        <v>51</v>
      </c>
      <c r="B17" s="19">
        <f>(DEGREES(ATAN(B14/B13)))*(10/9)</f>
        <v>-50.783080265657247</v>
      </c>
    </row>
    <row r="18" spans="1:6" x14ac:dyDescent="0.25">
      <c r="A18" s="17" t="s">
        <v>55</v>
      </c>
      <c r="B18" s="19">
        <f>(DEGREES(ATAN(B16/B15)))*(10/9)</f>
        <v>56.128172154845267</v>
      </c>
    </row>
    <row r="19" spans="1:6" x14ac:dyDescent="0.25">
      <c r="A19" s="59" t="s">
        <v>9</v>
      </c>
      <c r="B19" s="60"/>
      <c r="C19" s="4" t="s">
        <v>10</v>
      </c>
      <c r="D19" s="3" t="s">
        <v>11</v>
      </c>
      <c r="E19" s="3" t="s">
        <v>12</v>
      </c>
      <c r="F19" s="3" t="s">
        <v>13</v>
      </c>
    </row>
    <row r="20" spans="1:6" x14ac:dyDescent="0.25">
      <c r="A20" s="61" t="s">
        <v>7</v>
      </c>
      <c r="B20" s="61"/>
      <c r="C20" s="5">
        <f>IF(AND(B13&gt;0,B14&gt;0),0+B17,0)</f>
        <v>0</v>
      </c>
      <c r="D20" s="5">
        <f>(IF(AND(B13&lt;0,B14&gt;0),200+B17,0))</f>
        <v>149.21691973434275</v>
      </c>
      <c r="E20" s="5">
        <f>(IF(AND(B13&lt;0,B14&lt;0),200+B17,0))</f>
        <v>0</v>
      </c>
      <c r="F20" s="5">
        <f>(IF(AND(B13&gt;0,B14&lt;0),400+B17,0))</f>
        <v>0</v>
      </c>
    </row>
    <row r="21" spans="1:6" x14ac:dyDescent="0.25">
      <c r="A21" s="61" t="s">
        <v>8</v>
      </c>
      <c r="B21" s="61"/>
      <c r="C21" s="5">
        <f>IF(AND(B15&gt;0,B16&gt;0),0+B18,0)</f>
        <v>56.128172154845267</v>
      </c>
      <c r="D21" s="5">
        <f>(IF(AND(B15&lt;0,B16&gt;0),200+B18,0))</f>
        <v>0</v>
      </c>
      <c r="E21" s="5">
        <f>(IF(AND(B15&lt;0,B16&lt;0),200+B18,0))</f>
        <v>0</v>
      </c>
      <c r="F21" s="5">
        <f>(IF(AND(B15&gt;0,B16&lt;0),400+B18,0))</f>
        <v>0</v>
      </c>
    </row>
    <row r="22" spans="1:6" x14ac:dyDescent="0.25">
      <c r="A22" s="11" t="s">
        <v>31</v>
      </c>
      <c r="B22" s="53">
        <f>B10^2/B11</f>
        <v>37.313432835820898</v>
      </c>
    </row>
    <row r="23" spans="1:6" x14ac:dyDescent="0.25">
      <c r="A23" s="11" t="s">
        <v>32</v>
      </c>
      <c r="B23" s="52">
        <f>B22^2/(2*B10^2)</f>
        <v>0.27845845399866342</v>
      </c>
    </row>
    <row r="24" spans="1:6" x14ac:dyDescent="0.25">
      <c r="A24" s="11" t="s">
        <v>33</v>
      </c>
      <c r="B24" s="52">
        <f>31.831*(B22/B11)</f>
        <v>17.72722209846291</v>
      </c>
    </row>
    <row r="25" spans="1:6" x14ac:dyDescent="0.25">
      <c r="A25" s="11" t="s">
        <v>34</v>
      </c>
      <c r="B25" s="53">
        <f>(B10*SQRT(2*B23))*(1-(B23^2/10)+(B23^4/216))</f>
        <v>37.025146407656386</v>
      </c>
    </row>
    <row r="26" spans="1:6" x14ac:dyDescent="0.25">
      <c r="A26" s="11" t="s">
        <v>35</v>
      </c>
      <c r="B26" s="53">
        <f>(B10*SQRT(2*B23))*((B23/3)-(B23^3/42)+(B23^5/1320))</f>
        <v>3.4442787886178232</v>
      </c>
    </row>
    <row r="27" spans="1:6" x14ac:dyDescent="0.25">
      <c r="A27" s="11" t="s">
        <v>36</v>
      </c>
      <c r="B27" s="53">
        <f>B26-(B11*(1-COS(B23)))</f>
        <v>0.86345963757408528</v>
      </c>
    </row>
    <row r="28" spans="1:6" x14ac:dyDescent="0.25">
      <c r="A28" s="12" t="s">
        <v>37</v>
      </c>
      <c r="B28" s="53">
        <f>B26/SIN(B23)</f>
        <v>12.530400016475106</v>
      </c>
    </row>
    <row r="29" spans="1:6" x14ac:dyDescent="0.25">
      <c r="A29" s="12" t="s">
        <v>38</v>
      </c>
      <c r="B29" s="53">
        <f>B25-(B28*COS(B23))</f>
        <v>24.977413500625424</v>
      </c>
    </row>
    <row r="30" spans="1:6" x14ac:dyDescent="0.25">
      <c r="A30" s="12" t="s">
        <v>39</v>
      </c>
      <c r="B30" s="53">
        <f>B25+((B11+B27)*TAN(RADIANS(B12*(9/10))))-(B11*SIN(B23))</f>
        <v>79.47748865322265</v>
      </c>
    </row>
    <row r="31" spans="1:6" x14ac:dyDescent="0.25">
      <c r="A31" s="12" t="s">
        <v>40</v>
      </c>
      <c r="B31" s="52">
        <f>((2*B12)-(2*B24))/2</f>
        <v>28.817151691285837</v>
      </c>
    </row>
    <row r="32" spans="1:6" x14ac:dyDescent="0.25">
      <c r="A32" s="12" t="s">
        <v>41</v>
      </c>
      <c r="B32" s="53">
        <f>((PI())*B11*(B31*(9/10)))/90</f>
        <v>60.656273873986599</v>
      </c>
    </row>
    <row r="33" spans="1:2" x14ac:dyDescent="0.25">
      <c r="A33" s="56" t="s">
        <v>42</v>
      </c>
      <c r="B33" s="56"/>
    </row>
    <row r="34" spans="1:2" x14ac:dyDescent="0.25">
      <c r="A34" s="12" t="s">
        <v>43</v>
      </c>
      <c r="B34" s="11">
        <f>B9</f>
        <v>178.97973369104287</v>
      </c>
    </row>
    <row r="35" spans="1:2" x14ac:dyDescent="0.25">
      <c r="A35" s="12" t="s">
        <v>23</v>
      </c>
      <c r="B35" s="11">
        <f>B34+B22</f>
        <v>216.29316652686376</v>
      </c>
    </row>
    <row r="36" spans="1:2" x14ac:dyDescent="0.25">
      <c r="A36" s="12" t="s">
        <v>25</v>
      </c>
      <c r="B36" s="11">
        <f>B35+B32</f>
        <v>276.94944040085034</v>
      </c>
    </row>
    <row r="37" spans="1:2" x14ac:dyDescent="0.25">
      <c r="A37" s="12" t="s">
        <v>44</v>
      </c>
      <c r="B37" s="11">
        <f>B36+B22</f>
        <v>314.26287323667123</v>
      </c>
    </row>
    <row r="38" spans="1:2" x14ac:dyDescent="0.25">
      <c r="A38" s="63" t="s">
        <v>26</v>
      </c>
      <c r="B38" s="9">
        <f>B37+B40</f>
        <v>394.81129385019824</v>
      </c>
    </row>
    <row r="39" spans="1:2" x14ac:dyDescent="0.25">
      <c r="A39" s="28" t="s">
        <v>52</v>
      </c>
      <c r="B39" s="11">
        <f>(SQRT(B13^2+B14^2))-B30</f>
        <v>78.979733691042867</v>
      </c>
    </row>
    <row r="40" spans="1:2" x14ac:dyDescent="0.25">
      <c r="A40" s="28" t="s">
        <v>58</v>
      </c>
      <c r="B40" s="11">
        <f>(SQRT(B15^2+B16^2))-B30</f>
        <v>80.548420613527043</v>
      </c>
    </row>
  </sheetData>
  <mergeCells count="8">
    <mergeCell ref="A1:B1"/>
    <mergeCell ref="A33:B33"/>
    <mergeCell ref="A2:A3"/>
    <mergeCell ref="A4:A5"/>
    <mergeCell ref="A6:A7"/>
    <mergeCell ref="A19:B19"/>
    <mergeCell ref="A20:B20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7" sqref="C7"/>
    </sheetView>
  </sheetViews>
  <sheetFormatPr baseColWidth="10" defaultRowHeight="15" x14ac:dyDescent="0.25"/>
  <cols>
    <col min="5" max="5" width="12.28515625" bestFit="1" customWidth="1"/>
    <col min="6" max="6" width="11.5703125" bestFit="1" customWidth="1"/>
  </cols>
  <sheetData>
    <row r="1" spans="1:11" x14ac:dyDescent="0.25">
      <c r="A1" s="2" t="s">
        <v>15</v>
      </c>
      <c r="B1" s="2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J1" s="29" t="s">
        <v>57</v>
      </c>
      <c r="K1" s="29">
        <f>'Planilla Clotoide'!B34</f>
        <v>178.97973369104287</v>
      </c>
    </row>
    <row r="2" spans="1:11" x14ac:dyDescent="0.25">
      <c r="A2" s="1" t="s">
        <v>22</v>
      </c>
      <c r="B2" s="1">
        <f>'Planilla Clotoide'!B8</f>
        <v>100</v>
      </c>
      <c r="C2" s="8">
        <f>B2-$B$2</f>
        <v>0</v>
      </c>
      <c r="D2" s="5">
        <f>'Planilla Clotoide'!D20</f>
        <v>149.21691973434275</v>
      </c>
      <c r="E2" s="6">
        <f>C2*COS(RADIANS($D$2*(9/10)))</f>
        <v>0</v>
      </c>
      <c r="F2" s="6">
        <f>C2*SIN(RADIANS($D$2*(9/10)))</f>
        <v>0</v>
      </c>
      <c r="G2" s="5">
        <f>'Planilla Clotoide'!B2</f>
        <v>219.09309999999999</v>
      </c>
      <c r="H2" s="5">
        <f>'Planilla Clotoide'!B3</f>
        <v>81.075999999999993</v>
      </c>
    </row>
    <row r="3" spans="1:11" x14ac:dyDescent="0.25">
      <c r="A3" s="1"/>
      <c r="B3" s="1">
        <v>110</v>
      </c>
      <c r="C3" s="6">
        <f t="shared" ref="C3:C9" si="0">B3-$B$2</f>
        <v>10</v>
      </c>
      <c r="D3" s="1"/>
      <c r="E3" s="6">
        <f>C3*COS(RADIANS($D$2*(9/10)))</f>
        <v>-6.9835567204112809</v>
      </c>
      <c r="F3" s="6">
        <f>C3*SIN(RADIANS($D$2*(9/10)))</f>
        <v>7.1575090312760645</v>
      </c>
      <c r="G3" s="5">
        <f>$G$2+E3</f>
        <v>212.10954327958871</v>
      </c>
      <c r="H3" s="5">
        <f>$H$2+F3</f>
        <v>88.233509031276057</v>
      </c>
    </row>
    <row r="4" spans="1:11" x14ac:dyDescent="0.25">
      <c r="A4" s="1"/>
      <c r="B4" s="1">
        <v>120</v>
      </c>
      <c r="C4" s="6">
        <f t="shared" si="0"/>
        <v>20</v>
      </c>
      <c r="D4" s="1"/>
      <c r="E4" s="6">
        <f t="shared" ref="E4:E9" si="1">C4*COS(RADIANS($D$2*(9/10)))</f>
        <v>-13.967113440822562</v>
      </c>
      <c r="F4" s="6">
        <f t="shared" ref="F4:F9" si="2">C4*SIN(RADIANS($D$2*(9/10)))</f>
        <v>14.315018062552129</v>
      </c>
      <c r="G4" s="5">
        <f t="shared" ref="G4:G9" si="3">$G$2+E4</f>
        <v>205.12598655917742</v>
      </c>
      <c r="H4" s="5">
        <f t="shared" ref="H4:H9" si="4">$H$2+F4</f>
        <v>95.391018062552121</v>
      </c>
    </row>
    <row r="5" spans="1:11" x14ac:dyDescent="0.25">
      <c r="A5" s="1"/>
      <c r="B5" s="1">
        <v>130</v>
      </c>
      <c r="C5" s="6">
        <f t="shared" si="0"/>
        <v>30</v>
      </c>
      <c r="D5" s="1"/>
      <c r="E5" s="6">
        <f t="shared" si="1"/>
        <v>-20.950670161233845</v>
      </c>
      <c r="F5" s="6">
        <f t="shared" si="2"/>
        <v>21.472527093828194</v>
      </c>
      <c r="G5" s="5">
        <f t="shared" si="3"/>
        <v>198.14242983876613</v>
      </c>
      <c r="H5" s="5">
        <f t="shared" si="4"/>
        <v>102.54852709382818</v>
      </c>
    </row>
    <row r="6" spans="1:11" x14ac:dyDescent="0.25">
      <c r="A6" s="1"/>
      <c r="B6" s="1">
        <v>140</v>
      </c>
      <c r="C6" s="6">
        <f t="shared" si="0"/>
        <v>40</v>
      </c>
      <c r="D6" s="1"/>
      <c r="E6" s="6">
        <f t="shared" si="1"/>
        <v>-27.934226881645124</v>
      </c>
      <c r="F6" s="6">
        <f t="shared" si="2"/>
        <v>28.630036125104258</v>
      </c>
      <c r="G6" s="5">
        <f t="shared" si="3"/>
        <v>191.15887311835488</v>
      </c>
      <c r="H6" s="5">
        <f t="shared" si="4"/>
        <v>109.70603612510425</v>
      </c>
    </row>
    <row r="7" spans="1:11" x14ac:dyDescent="0.25">
      <c r="A7" s="1"/>
      <c r="B7" s="1">
        <v>150</v>
      </c>
      <c r="C7" s="6">
        <f t="shared" si="0"/>
        <v>50</v>
      </c>
      <c r="D7" s="1"/>
      <c r="E7" s="6">
        <f t="shared" si="1"/>
        <v>-34.91778360205641</v>
      </c>
      <c r="F7" s="6">
        <f t="shared" si="2"/>
        <v>35.787545156380325</v>
      </c>
      <c r="G7" s="5">
        <f t="shared" si="3"/>
        <v>184.17531639794359</v>
      </c>
      <c r="H7" s="5">
        <f t="shared" si="4"/>
        <v>116.86354515638033</v>
      </c>
    </row>
    <row r="8" spans="1:11" x14ac:dyDescent="0.25">
      <c r="A8" s="1"/>
      <c r="B8" s="1">
        <v>160</v>
      </c>
      <c r="C8" s="6">
        <f t="shared" si="0"/>
        <v>60</v>
      </c>
      <c r="D8" s="1"/>
      <c r="E8" s="6">
        <f t="shared" si="1"/>
        <v>-41.901340322467689</v>
      </c>
      <c r="F8" s="6">
        <f t="shared" si="2"/>
        <v>42.945054187656389</v>
      </c>
      <c r="G8" s="5">
        <f t="shared" si="3"/>
        <v>177.1917596775323</v>
      </c>
      <c r="H8" s="5">
        <f t="shared" si="4"/>
        <v>124.02105418765638</v>
      </c>
    </row>
    <row r="9" spans="1:11" x14ac:dyDescent="0.25">
      <c r="A9" s="1"/>
      <c r="B9" s="1">
        <v>170</v>
      </c>
      <c r="C9" s="6">
        <f t="shared" si="0"/>
        <v>70</v>
      </c>
      <c r="D9" s="1"/>
      <c r="E9" s="7">
        <f t="shared" si="1"/>
        <v>-48.884897042878968</v>
      </c>
      <c r="F9" s="7">
        <f t="shared" si="2"/>
        <v>50.102563218932453</v>
      </c>
      <c r="G9" s="54">
        <f t="shared" si="3"/>
        <v>170.20820295712102</v>
      </c>
      <c r="H9" s="54">
        <f t="shared" si="4"/>
        <v>131.17856321893245</v>
      </c>
    </row>
    <row r="10" spans="1:11" x14ac:dyDescent="0.25">
      <c r="A10" s="1" t="s">
        <v>43</v>
      </c>
      <c r="B10" s="6">
        <f>K1</f>
        <v>178.97973369104287</v>
      </c>
      <c r="C10" s="6">
        <f>B10-$B$2</f>
        <v>78.979733691042867</v>
      </c>
      <c r="D10" s="1"/>
      <c r="E10" s="7">
        <f t="shared" ref="E10" si="5">C10*COS(RADIANS($D$2*(9/10)))</f>
        <v>-55.155944999437573</v>
      </c>
      <c r="F10" s="7">
        <f t="shared" ref="F10" si="6">C10*SIN(RADIANS($D$2*(9/10)))</f>
        <v>56.529815718141784</v>
      </c>
      <c r="G10" s="54">
        <f t="shared" ref="G10" si="7">$G$2+E10</f>
        <v>163.93715500056243</v>
      </c>
      <c r="H10" s="54">
        <f t="shared" ref="H10" si="8">$H$2+F10</f>
        <v>137.60581571814177</v>
      </c>
    </row>
    <row r="11" spans="1:11" x14ac:dyDescent="0.25">
      <c r="A11" s="38"/>
      <c r="B11" s="38"/>
      <c r="C11" s="38"/>
      <c r="D11" s="38"/>
      <c r="E11" s="38"/>
      <c r="F11" s="38"/>
      <c r="G11" s="38"/>
      <c r="H11" s="38"/>
    </row>
    <row r="12" spans="1:11" x14ac:dyDescent="0.25">
      <c r="A12" s="38"/>
      <c r="B12" s="38"/>
      <c r="C12" s="38"/>
      <c r="D12" s="38"/>
      <c r="E12" s="38"/>
      <c r="F12" s="38"/>
      <c r="G12" s="38"/>
      <c r="H12" s="38"/>
    </row>
    <row r="13" spans="1:11" x14ac:dyDescent="0.25">
      <c r="A13" s="38"/>
      <c r="B13" s="38"/>
      <c r="C13" s="38"/>
      <c r="D13" s="38"/>
      <c r="E13" s="38"/>
      <c r="F13" s="38"/>
      <c r="G13" s="38"/>
      <c r="H13" s="38"/>
    </row>
    <row r="14" spans="1:11" x14ac:dyDescent="0.25">
      <c r="A14" s="38"/>
      <c r="B14" s="38"/>
      <c r="C14" s="38"/>
      <c r="D14" s="38"/>
      <c r="E14" s="38"/>
      <c r="F14" s="38"/>
      <c r="G14" s="38"/>
      <c r="H14" s="38"/>
    </row>
    <row r="15" spans="1:11" x14ac:dyDescent="0.25">
      <c r="A15" s="38"/>
      <c r="B15" s="38"/>
      <c r="C15" s="38"/>
      <c r="D15" s="38"/>
      <c r="E15" s="38"/>
      <c r="F15" s="38"/>
      <c r="G15" s="38"/>
      <c r="H15" s="38"/>
    </row>
    <row r="16" spans="1:11" x14ac:dyDescent="0.25">
      <c r="A16" s="38"/>
      <c r="B16" s="38"/>
      <c r="C16" s="38"/>
      <c r="D16" s="38"/>
      <c r="E16" s="38"/>
      <c r="F16" s="38"/>
      <c r="G16" s="38"/>
      <c r="H16" s="38"/>
    </row>
    <row r="17" spans="1:8" x14ac:dyDescent="0.25">
      <c r="A17" s="38"/>
      <c r="B17" s="38"/>
      <c r="C17" s="38"/>
      <c r="D17" s="38"/>
      <c r="E17" s="38"/>
      <c r="F17" s="38"/>
      <c r="G17" s="38"/>
      <c r="H17" s="38"/>
    </row>
    <row r="18" spans="1:8" x14ac:dyDescent="0.25">
      <c r="A18" s="38"/>
      <c r="B18" s="38"/>
      <c r="C18" s="38"/>
      <c r="D18" s="38"/>
      <c r="E18" s="38"/>
      <c r="F18" s="38"/>
      <c r="G18" s="38"/>
      <c r="H18" s="38"/>
    </row>
    <row r="19" spans="1:8" x14ac:dyDescent="0.25">
      <c r="A19" s="38"/>
      <c r="B19" s="38"/>
      <c r="C19" s="38"/>
      <c r="D19" s="38"/>
      <c r="E19" s="38"/>
      <c r="F19" s="38"/>
      <c r="G19" s="38"/>
      <c r="H19" s="38"/>
    </row>
    <row r="20" spans="1:8" x14ac:dyDescent="0.25">
      <c r="A20" s="38"/>
      <c r="B20" s="38"/>
      <c r="C20" s="38"/>
      <c r="D20" s="38"/>
      <c r="E20" s="38"/>
      <c r="F20" s="38"/>
      <c r="G20" s="38"/>
      <c r="H20" s="38"/>
    </row>
    <row r="21" spans="1:8" x14ac:dyDescent="0.25">
      <c r="A21" s="38"/>
      <c r="B21" s="38"/>
      <c r="C21" s="38"/>
      <c r="D21" s="38"/>
      <c r="E21" s="38"/>
      <c r="F21" s="38"/>
      <c r="G21" s="38"/>
      <c r="H21" s="38"/>
    </row>
    <row r="22" spans="1:8" x14ac:dyDescent="0.25">
      <c r="A22" s="38"/>
      <c r="B22" s="38"/>
      <c r="C22" s="38"/>
      <c r="D22" s="38"/>
      <c r="E22" s="38"/>
      <c r="F22" s="38"/>
      <c r="G22" s="38"/>
      <c r="H22" s="38"/>
    </row>
    <row r="23" spans="1:8" x14ac:dyDescent="0.25">
      <c r="A23" s="38"/>
      <c r="B23" s="38"/>
      <c r="C23" s="38"/>
      <c r="D23" s="38"/>
      <c r="E23" s="38"/>
      <c r="F23" s="38"/>
      <c r="G23" s="38"/>
      <c r="H23" s="38"/>
    </row>
    <row r="24" spans="1:8" x14ac:dyDescent="0.25">
      <c r="A24" s="38"/>
      <c r="B24" s="38"/>
      <c r="C24" s="38"/>
      <c r="D24" s="38"/>
      <c r="E24" s="38"/>
      <c r="F24" s="38"/>
      <c r="G24" s="38"/>
      <c r="H24" s="38"/>
    </row>
    <row r="25" spans="1:8" x14ac:dyDescent="0.25">
      <c r="A25" s="38"/>
      <c r="B25" s="38"/>
      <c r="C25" s="38"/>
      <c r="D25" s="38"/>
      <c r="E25" s="38"/>
      <c r="F25" s="38"/>
      <c r="G25" s="38"/>
      <c r="H25" s="38"/>
    </row>
    <row r="26" spans="1:8" x14ac:dyDescent="0.25">
      <c r="A26" s="38"/>
      <c r="B26" s="38"/>
      <c r="C26" s="38"/>
      <c r="D26" s="38"/>
      <c r="E26" s="38"/>
      <c r="F26" s="38"/>
      <c r="G26" s="38"/>
      <c r="H26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6" sqref="C6"/>
    </sheetView>
  </sheetViews>
  <sheetFormatPr baseColWidth="10" defaultRowHeight="15" x14ac:dyDescent="0.25"/>
  <cols>
    <col min="1" max="3" width="11.42578125" style="14"/>
    <col min="4" max="4" width="11.42578125" style="14" customWidth="1"/>
    <col min="5" max="5" width="12.140625" style="14" customWidth="1"/>
    <col min="6" max="6" width="14.5703125" style="14" customWidth="1"/>
    <col min="7" max="7" width="11.42578125" style="14"/>
    <col min="8" max="8" width="14.28515625" style="14" customWidth="1"/>
    <col min="9" max="16384" width="11.42578125" style="14"/>
  </cols>
  <sheetData>
    <row r="1" spans="1:13" x14ac:dyDescent="0.25">
      <c r="A1" s="13" t="s">
        <v>27</v>
      </c>
      <c r="B1" s="13">
        <f>'Planilla Clotoide'!B35</f>
        <v>216.29316652686376</v>
      </c>
    </row>
    <row r="3" spans="1:13" x14ac:dyDescent="0.25">
      <c r="A3" s="20" t="s">
        <v>15</v>
      </c>
      <c r="B3" s="20" t="s">
        <v>14</v>
      </c>
      <c r="C3" s="20" t="s">
        <v>31</v>
      </c>
      <c r="D3" s="20" t="s">
        <v>32</v>
      </c>
      <c r="E3" s="20" t="s">
        <v>45</v>
      </c>
      <c r="F3" s="20" t="s">
        <v>46</v>
      </c>
      <c r="G3" s="20" t="s">
        <v>47</v>
      </c>
      <c r="H3" s="32" t="s">
        <v>17</v>
      </c>
      <c r="I3" s="21" t="s">
        <v>16</v>
      </c>
      <c r="J3" s="21" t="s">
        <v>53</v>
      </c>
      <c r="K3" s="21" t="s">
        <v>54</v>
      </c>
      <c r="L3" s="21" t="s">
        <v>1</v>
      </c>
      <c r="M3" s="21" t="s">
        <v>2</v>
      </c>
    </row>
    <row r="4" spans="1:13" x14ac:dyDescent="0.25">
      <c r="A4" s="21" t="s">
        <v>43</v>
      </c>
      <c r="B4" s="21">
        <f>'Planilla Clotoide'!B9</f>
        <v>178.97973369104287</v>
      </c>
      <c r="C4" s="21">
        <f>B4-$B$4</f>
        <v>0</v>
      </c>
      <c r="D4" s="21">
        <v>0</v>
      </c>
      <c r="E4" s="21">
        <f>('Planilla Clotoide'!$B$10*SQRT(2*D4))*(1-(D4^2/10)+(D4^4/216))</f>
        <v>0</v>
      </c>
      <c r="F4" s="22">
        <f>('Planilla Clotoide'!$B$10*SQRT(2*D4))*((D4/3)-(D4^3/42)+(D4^5/1320))</f>
        <v>0</v>
      </c>
      <c r="G4" s="23">
        <v>0</v>
      </c>
      <c r="H4" s="47">
        <f>('Planilla Clotoide'!D20)</f>
        <v>149.21691973434275</v>
      </c>
      <c r="I4" s="20">
        <f t="shared" ref="I4:I9" si="0">SQRT(E4^2+F4^2)</f>
        <v>0</v>
      </c>
      <c r="J4" s="21">
        <f>COS(RADIANS(H4*(9/10)))*I4</f>
        <v>0</v>
      </c>
      <c r="K4" s="21">
        <f>SIN(RADIANS(H4*(9/10)))*I4</f>
        <v>0</v>
      </c>
      <c r="L4" s="46">
        <f>'V1-PK'!G10</f>
        <v>163.93715500056243</v>
      </c>
      <c r="M4" s="46">
        <f>'V1-PK'!H10</f>
        <v>137.60581571814177</v>
      </c>
    </row>
    <row r="5" spans="1:13" x14ac:dyDescent="0.25">
      <c r="A5" s="31"/>
      <c r="B5" s="21">
        <v>180</v>
      </c>
      <c r="C5" s="25">
        <f>B5-$B$4</f>
        <v>1.0202663089571331</v>
      </c>
      <c r="D5" s="24">
        <f>C5^2/(2*'Planilla Clotoide'!$B$10^2)</f>
        <v>2.0818866823860244E-4</v>
      </c>
      <c r="E5" s="25">
        <f>('Planilla Clotoide'!$B$10*SQRT(2*D5))*(1-(D5^2/10)+(D5^4/216))</f>
        <v>1.0202663045350415</v>
      </c>
      <c r="F5" s="25">
        <f>('Planilla Clotoide'!$B$10*SQRT(2*D5))*((D5/3)-(D5^3/42)+(D5^5/1320))</f>
        <v>7.0802627817635882E-5</v>
      </c>
      <c r="G5" s="26">
        <f>(DEGREES(ATAN(F5/E5)))*(10/9)</f>
        <v>4.4179007511646147E-3</v>
      </c>
      <c r="H5" s="47">
        <f>$H$4-G5</f>
        <v>149.21250183359157</v>
      </c>
      <c r="I5" s="27">
        <f t="shared" si="0"/>
        <v>1.0202663069917588</v>
      </c>
      <c r="J5" s="25">
        <f t="shared" ref="J5:J9" si="1">COS(RADIANS(H5*(9/10)))*I5</f>
        <v>-0.71245808371968244</v>
      </c>
      <c r="K5" s="25">
        <f t="shared" ref="K5:K9" si="2">SIN(RADIANS(H5*(9/10)))*I5</f>
        <v>0.73030597431835353</v>
      </c>
      <c r="L5" s="46">
        <f>$L$4+J5</f>
        <v>163.22469691684273</v>
      </c>
      <c r="M5" s="46">
        <f>$M$4+K5</f>
        <v>138.33612169246013</v>
      </c>
    </row>
    <row r="6" spans="1:13" x14ac:dyDescent="0.25">
      <c r="A6" s="31"/>
      <c r="B6" s="21">
        <v>190</v>
      </c>
      <c r="C6" s="25">
        <f t="shared" ref="C6:C9" si="3">B6-$B$4</f>
        <v>11.020266308957133</v>
      </c>
      <c r="D6" s="24">
        <f>C6^2/(2*'Planilla Clotoide'!$B$10^2)</f>
        <v>2.4289253904067134E-2</v>
      </c>
      <c r="E6" s="25">
        <f>('Planilla Clotoide'!$B$10*SQRT(2*D6))*(1-(D6^2/10)+(D6^4/216))</f>
        <v>11.019616166427353</v>
      </c>
      <c r="F6" s="25">
        <f>('Planilla Clotoide'!$B$10*SQRT(2*D6))*((D6/3)-(D6^3/42)+(D6^5/1320))</f>
        <v>8.9220922248644516E-2</v>
      </c>
      <c r="G6" s="26">
        <f t="shared" ref="G6:G9" si="4">(DEGREES(ATAN(F6/E6)))*(10/9)</f>
        <v>0.51543140204023874</v>
      </c>
      <c r="H6" s="47">
        <f t="shared" ref="H6:H9" si="5">$H$4-G6</f>
        <v>148.70148833230252</v>
      </c>
      <c r="I6" s="27">
        <f t="shared" si="0"/>
        <v>11.019977351535436</v>
      </c>
      <c r="J6" s="25">
        <f t="shared" si="1"/>
        <v>-7.6317514978633092</v>
      </c>
      <c r="K6" s="25">
        <f t="shared" si="2"/>
        <v>7.9496081603570321</v>
      </c>
      <c r="L6" s="46">
        <f t="shared" ref="L6:L9" si="6">$L$4+J6</f>
        <v>156.30540350269911</v>
      </c>
      <c r="M6" s="46">
        <f t="shared" ref="M6:M9" si="7">$M$4+K6</f>
        <v>145.5554238784988</v>
      </c>
    </row>
    <row r="7" spans="1:13" x14ac:dyDescent="0.25">
      <c r="A7" s="31"/>
      <c r="B7" s="21">
        <v>200</v>
      </c>
      <c r="C7" s="25">
        <f t="shared" si="3"/>
        <v>21.020266308957133</v>
      </c>
      <c r="D7" s="24">
        <f>C7^2/(2*'Planilla Clotoide'!$B$10^2)</f>
        <v>8.8370319139895667E-2</v>
      </c>
      <c r="E7" s="25">
        <f>('Planilla Clotoide'!$B$10*SQRT(2*D7))*(1-(D7^2/10)+(D7^4/216))</f>
        <v>21.003856859276848</v>
      </c>
      <c r="F7" s="25">
        <f>('Planilla Clotoide'!$B$10*SQRT(2*D7))*((D7/3)-(D7^3/42)+(D7^5/1320))</f>
        <v>0.61884391110945292</v>
      </c>
      <c r="G7" s="26">
        <f t="shared" si="4"/>
        <v>1.875152416000256</v>
      </c>
      <c r="H7" s="47">
        <f t="shared" si="5"/>
        <v>147.34176731834251</v>
      </c>
      <c r="I7" s="27">
        <f t="shared" si="0"/>
        <v>21.012971487900238</v>
      </c>
      <c r="J7" s="25">
        <f t="shared" si="1"/>
        <v>-14.225224484144329</v>
      </c>
      <c r="K7" s="25">
        <f t="shared" si="2"/>
        <v>15.465702671621779</v>
      </c>
      <c r="L7" s="46">
        <f t="shared" si="6"/>
        <v>149.71193051641811</v>
      </c>
      <c r="M7" s="46">
        <f t="shared" si="7"/>
        <v>153.07151838976355</v>
      </c>
    </row>
    <row r="8" spans="1:13" x14ac:dyDescent="0.25">
      <c r="A8" s="31"/>
      <c r="B8" s="21">
        <v>210</v>
      </c>
      <c r="C8" s="25">
        <f t="shared" si="3"/>
        <v>31.020266308957133</v>
      </c>
      <c r="D8" s="24">
        <f>C8^2/(2*'Planilla Clotoide'!$B$10^2)</f>
        <v>0.1924513843757242</v>
      </c>
      <c r="E8" s="25">
        <f>('Planilla Clotoide'!$B$10*SQRT(2*D8))*(1-(D8^2/10)+(D8^4/216))</f>
        <v>30.905571892365696</v>
      </c>
      <c r="F8" s="25">
        <f>('Planilla Clotoide'!$B$10*SQRT(2*D8))*((D8/3)-(D8^3/42)+(D8^5/1320))</f>
        <v>1.9847060754486703</v>
      </c>
      <c r="G8" s="26">
        <f t="shared" si="4"/>
        <v>4.0826635507482356</v>
      </c>
      <c r="H8" s="47">
        <f t="shared" si="5"/>
        <v>145.13425618359452</v>
      </c>
      <c r="I8" s="27">
        <f t="shared" si="0"/>
        <v>30.969233639212117</v>
      </c>
      <c r="J8" s="25">
        <f t="shared" si="1"/>
        <v>-20.162526262763215</v>
      </c>
      <c r="K8" s="25">
        <f t="shared" si="2"/>
        <v>23.506721738759982</v>
      </c>
      <c r="L8" s="46">
        <f t="shared" si="6"/>
        <v>143.77462873779922</v>
      </c>
      <c r="M8" s="46">
        <f t="shared" si="7"/>
        <v>161.11253745690175</v>
      </c>
    </row>
    <row r="9" spans="1:13" x14ac:dyDescent="0.25">
      <c r="A9" s="31" t="s">
        <v>23</v>
      </c>
      <c r="B9" s="25">
        <f>B1</f>
        <v>216.29316652686376</v>
      </c>
      <c r="C9" s="25">
        <f t="shared" si="3"/>
        <v>37.31343283582089</v>
      </c>
      <c r="D9" s="24">
        <f>C9^2/(2*'Planilla Clotoide'!$B$10^2)</f>
        <v>0.27845845399866337</v>
      </c>
      <c r="E9" s="25">
        <f>('Planilla Clotoide'!$B$10*SQRT(2*D9))*(1-(D9^2/10)+(D9^4/216))</f>
        <v>37.025146407656386</v>
      </c>
      <c r="F9" s="25">
        <f>('Planilla Clotoide'!$B$10*SQRT(2*D9))*((D9/3)-(D9^3/42)+(D9^5/1320))</f>
        <v>3.4442787886178219</v>
      </c>
      <c r="G9" s="26">
        <f t="shared" si="4"/>
        <v>5.9051856229419029</v>
      </c>
      <c r="H9" s="47">
        <f t="shared" si="5"/>
        <v>143.31173411140085</v>
      </c>
      <c r="I9" s="27">
        <f t="shared" si="0"/>
        <v>37.185004005406711</v>
      </c>
      <c r="J9" s="25">
        <f t="shared" si="1"/>
        <v>-23.391475348363574</v>
      </c>
      <c r="K9" s="25">
        <f t="shared" si="2"/>
        <v>28.906113607834111</v>
      </c>
      <c r="L9" s="46">
        <f t="shared" si="6"/>
        <v>140.54567965219886</v>
      </c>
      <c r="M9" s="46">
        <f t="shared" si="7"/>
        <v>166.51192932597587</v>
      </c>
    </row>
    <row r="10" spans="1:13" x14ac:dyDescent="0.25">
      <c r="A10" s="39"/>
      <c r="B10" s="40"/>
      <c r="C10" s="40"/>
      <c r="D10" s="41"/>
      <c r="E10" s="42"/>
      <c r="F10" s="42"/>
      <c r="G10" s="43"/>
      <c r="H10" s="41"/>
      <c r="I10" s="44"/>
      <c r="J10" s="40"/>
      <c r="K10" s="40"/>
      <c r="L10" s="42"/>
      <c r="M10" s="42"/>
    </row>
    <row r="11" spans="1:13" x14ac:dyDescent="0.25">
      <c r="A11" s="39"/>
      <c r="B11" s="40"/>
      <c r="C11" s="40"/>
      <c r="D11" s="41"/>
      <c r="E11" s="42"/>
      <c r="F11" s="42"/>
      <c r="G11" s="43"/>
      <c r="H11" s="41"/>
      <c r="I11" s="44"/>
      <c r="J11" s="40"/>
      <c r="K11" s="40"/>
      <c r="L11" s="42"/>
      <c r="M11" s="42"/>
    </row>
    <row r="12" spans="1:13" x14ac:dyDescent="0.25">
      <c r="A12" s="39"/>
      <c r="B12" s="40"/>
      <c r="C12" s="40"/>
      <c r="D12" s="41"/>
      <c r="E12" s="42"/>
      <c r="F12" s="42"/>
      <c r="G12" s="43"/>
      <c r="H12" s="41"/>
      <c r="I12" s="44"/>
      <c r="J12" s="40"/>
      <c r="K12" s="40"/>
      <c r="L12" s="42"/>
      <c r="M12" s="42"/>
    </row>
    <row r="13" spans="1:13" x14ac:dyDescent="0.25">
      <c r="A13" s="39"/>
      <c r="B13" s="40"/>
      <c r="C13" s="40"/>
      <c r="D13" s="41"/>
      <c r="E13" s="42"/>
      <c r="F13" s="42"/>
      <c r="G13" s="43"/>
      <c r="H13" s="41"/>
      <c r="I13" s="44"/>
      <c r="J13" s="40"/>
      <c r="K13" s="40"/>
      <c r="L13" s="42"/>
      <c r="M13" s="42"/>
    </row>
    <row r="14" spans="1:13" x14ac:dyDescent="0.25">
      <c r="A14" s="39"/>
      <c r="B14" s="40"/>
      <c r="C14" s="40"/>
      <c r="D14" s="41"/>
      <c r="E14" s="42"/>
      <c r="F14" s="42"/>
      <c r="G14" s="43"/>
      <c r="H14" s="41"/>
      <c r="I14" s="44"/>
      <c r="J14" s="40"/>
      <c r="K14" s="40"/>
      <c r="L14" s="42"/>
      <c r="M14" s="42"/>
    </row>
    <row r="15" spans="1:13" x14ac:dyDescent="0.25">
      <c r="A15" s="39"/>
      <c r="B15" s="40"/>
      <c r="C15" s="40"/>
      <c r="D15" s="41"/>
      <c r="E15" s="42"/>
      <c r="F15" s="42"/>
      <c r="G15" s="43"/>
      <c r="H15" s="41"/>
      <c r="I15" s="44"/>
      <c r="J15" s="40"/>
      <c r="K15" s="40"/>
      <c r="L15" s="42"/>
      <c r="M15" s="42"/>
    </row>
    <row r="16" spans="1:13" x14ac:dyDescent="0.25">
      <c r="A16" s="45"/>
      <c r="B16" s="40"/>
      <c r="C16" s="40"/>
      <c r="D16" s="41"/>
      <c r="E16" s="42"/>
      <c r="F16" s="42"/>
      <c r="G16" s="43"/>
      <c r="H16" s="41"/>
      <c r="I16" s="44"/>
      <c r="J16" s="40"/>
      <c r="K16" s="40"/>
      <c r="L16" s="42"/>
      <c r="M16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C5" sqref="C5"/>
    </sheetView>
  </sheetViews>
  <sheetFormatPr baseColWidth="10" defaultRowHeight="15" x14ac:dyDescent="0.25"/>
  <cols>
    <col min="7" max="8" width="12.28515625" bestFit="1" customWidth="1"/>
  </cols>
  <sheetData>
    <row r="1" spans="1:12" x14ac:dyDescent="0.25">
      <c r="A1" s="1" t="s">
        <v>15</v>
      </c>
      <c r="B1" s="1" t="s">
        <v>14</v>
      </c>
      <c r="C1" s="1" t="s">
        <v>24</v>
      </c>
      <c r="D1" s="1" t="s">
        <v>47</v>
      </c>
      <c r="E1" s="2" t="s">
        <v>17</v>
      </c>
      <c r="F1" s="1" t="s">
        <v>16</v>
      </c>
      <c r="G1" s="1" t="s">
        <v>53</v>
      </c>
      <c r="H1" s="1" t="s">
        <v>54</v>
      </c>
      <c r="I1" s="1" t="s">
        <v>1</v>
      </c>
      <c r="J1" s="1" t="s">
        <v>2</v>
      </c>
      <c r="K1" s="29" t="s">
        <v>28</v>
      </c>
      <c r="L1" s="29">
        <f>'Planilla Clotoide'!B36</f>
        <v>276.94944040085034</v>
      </c>
    </row>
    <row r="2" spans="1:12" x14ac:dyDescent="0.25">
      <c r="A2" s="1" t="s">
        <v>23</v>
      </c>
      <c r="B2" s="6">
        <f>'Planilla Clotoide'!B35</f>
        <v>216.29316652686376</v>
      </c>
      <c r="C2" s="1">
        <f>B2-$B$2</f>
        <v>0</v>
      </c>
      <c r="D2" s="1">
        <f>(100*C2)/(PI()*'Planilla Clotoide'!$B$11)</f>
        <v>0</v>
      </c>
      <c r="E2" s="5">
        <f>'Planilla Clotoide'!D20-'Planilla Clotoide'!B24</f>
        <v>131.48969763587985</v>
      </c>
      <c r="F2" s="1">
        <f>(2*'Planilla Clotoide'!$B$11*SIN(RADIANS(D2*9/10)))</f>
        <v>0</v>
      </c>
      <c r="G2" s="1">
        <f>COS(RADIANS(E2*(9/10)))*F2</f>
        <v>0</v>
      </c>
      <c r="H2" s="1">
        <f>SIN(RADIANS(E2*(9/10)))*F2</f>
        <v>0</v>
      </c>
      <c r="I2" s="6">
        <f>'Enlace Clotoidal'!L9</f>
        <v>140.54567965219886</v>
      </c>
      <c r="J2" s="6">
        <f>'Enlace Clotoidal'!M9</f>
        <v>166.51192932597587</v>
      </c>
    </row>
    <row r="3" spans="1:12" x14ac:dyDescent="0.25">
      <c r="A3" s="1"/>
      <c r="B3" s="1">
        <v>220</v>
      </c>
      <c r="C3" s="6">
        <f t="shared" ref="C3:C8" si="0">B3-$B$2</f>
        <v>3.7068334731362427</v>
      </c>
      <c r="D3" s="5">
        <f>(100*C3)/(PI()*'Planilla Clotoide'!$B$11)</f>
        <v>1.7610772252780045</v>
      </c>
      <c r="E3" s="5">
        <f>$E$2-D3</f>
        <v>129.72862041060185</v>
      </c>
      <c r="F3" s="6">
        <f>(2*'Planilla Clotoide'!$B$11*SIN(RADIANS(D3*9/10)))</f>
        <v>3.7063607228894582</v>
      </c>
      <c r="G3" s="6">
        <f t="shared" ref="G3:G8" si="1">COS(RADIANS(E3*(9/10)))*F3</f>
        <v>-1.6685598082293465</v>
      </c>
      <c r="H3" s="6">
        <f t="shared" ref="H3:H8" si="2">SIN(RADIANS(E3*(9/10)))*F3</f>
        <v>3.3095344044954893</v>
      </c>
      <c r="I3" s="6">
        <f>$I$2+G3</f>
        <v>138.87711984396952</v>
      </c>
      <c r="J3" s="6">
        <f>$J$2+H3</f>
        <v>169.82146373047135</v>
      </c>
    </row>
    <row r="4" spans="1:12" x14ac:dyDescent="0.25">
      <c r="A4" s="1"/>
      <c r="B4" s="1">
        <v>230</v>
      </c>
      <c r="C4" s="6">
        <f t="shared" si="0"/>
        <v>13.706833473136243</v>
      </c>
      <c r="D4" s="5">
        <f>(100*C4)/(PI()*'Planilla Clotoide'!$B$11)</f>
        <v>6.5119710489166716</v>
      </c>
      <c r="E4" s="5">
        <f t="shared" ref="E4:E9" si="3">$E$2-D4</f>
        <v>124.97772658696317</v>
      </c>
      <c r="F4" s="6">
        <f>(2*'Planilla Clotoide'!$B$11*SIN(RADIANS(D4*9/10)))</f>
        <v>13.682943076840099</v>
      </c>
      <c r="G4" s="6">
        <f t="shared" si="1"/>
        <v>-5.2318124582062131</v>
      </c>
      <c r="H4" s="6">
        <f t="shared" si="2"/>
        <v>12.643222280977451</v>
      </c>
      <c r="I4" s="6">
        <f t="shared" ref="I4:I8" si="4">$I$2+G4</f>
        <v>135.31386719399265</v>
      </c>
      <c r="J4" s="6">
        <f t="shared" ref="J4:J8" si="5">$J$2+H4</f>
        <v>179.15515160695332</v>
      </c>
    </row>
    <row r="5" spans="1:12" x14ac:dyDescent="0.25">
      <c r="A5" s="1"/>
      <c r="B5" s="1">
        <v>240</v>
      </c>
      <c r="C5" s="6">
        <f t="shared" si="0"/>
        <v>23.706833473136243</v>
      </c>
      <c r="D5" s="5">
        <f>(100*C5)/(PI()*'Planilla Clotoide'!$B$11)</f>
        <v>11.262864872555339</v>
      </c>
      <c r="E5" s="5">
        <f t="shared" si="3"/>
        <v>120.22683276332451</v>
      </c>
      <c r="F5" s="6">
        <f>(2*'Planilla Clotoide'!$B$11*SIN(RADIANS(D5*9/10)))</f>
        <v>23.583358166160835</v>
      </c>
      <c r="G5" s="6">
        <f t="shared" si="1"/>
        <v>-7.3675287449973839</v>
      </c>
      <c r="H5" s="6">
        <f t="shared" si="2"/>
        <v>22.402997624984522</v>
      </c>
      <c r="I5" s="6">
        <f t="shared" si="4"/>
        <v>133.17815090720148</v>
      </c>
      <c r="J5" s="6">
        <f t="shared" si="5"/>
        <v>188.91492695096039</v>
      </c>
    </row>
    <row r="6" spans="1:12" x14ac:dyDescent="0.25">
      <c r="A6" s="1"/>
      <c r="B6" s="1">
        <v>250</v>
      </c>
      <c r="C6" s="6">
        <f t="shared" si="0"/>
        <v>33.706833473136243</v>
      </c>
      <c r="D6" s="5">
        <f>(100*C6)/(PI()*'Planilla Clotoide'!$B$11)</f>
        <v>16.013758696194007</v>
      </c>
      <c r="E6" s="5">
        <f t="shared" si="3"/>
        <v>115.47593893968585</v>
      </c>
      <c r="F6" s="6">
        <f>(2*'Planilla Clotoide'!$B$11*SIN(RADIANS(D6*9/10)))</f>
        <v>33.352494489486844</v>
      </c>
      <c r="G6" s="6">
        <f t="shared" si="1"/>
        <v>-8.0282202634358697</v>
      </c>
      <c r="H6" s="6">
        <f t="shared" si="2"/>
        <v>32.371848388267978</v>
      </c>
      <c r="I6" s="6">
        <f t="shared" si="4"/>
        <v>132.51745938876297</v>
      </c>
      <c r="J6" s="6">
        <f t="shared" si="5"/>
        <v>198.88377771424385</v>
      </c>
    </row>
    <row r="7" spans="1:12" x14ac:dyDescent="0.25">
      <c r="A7" s="1"/>
      <c r="B7" s="1">
        <v>260</v>
      </c>
      <c r="C7" s="6">
        <f t="shared" si="0"/>
        <v>43.706833473136243</v>
      </c>
      <c r="D7" s="5">
        <f>(100*C7)/(PI()*'Planilla Clotoide'!$B$11)</f>
        <v>20.764652519832669</v>
      </c>
      <c r="E7" s="5">
        <f t="shared" si="3"/>
        <v>110.72504511604718</v>
      </c>
      <c r="F7" s="6">
        <f>(2*'Planilla Clotoide'!$B$11*SIN(RADIANS(D7*9/10)))</f>
        <v>42.935971319852733</v>
      </c>
      <c r="G7" s="6">
        <f t="shared" si="1"/>
        <v>-7.1991963045019354</v>
      </c>
      <c r="H7" s="6">
        <f t="shared" si="2"/>
        <v>42.328113656864772</v>
      </c>
      <c r="I7" s="6">
        <f t="shared" si="4"/>
        <v>133.34648334769693</v>
      </c>
      <c r="J7" s="6">
        <f t="shared" si="5"/>
        <v>208.84004298284066</v>
      </c>
    </row>
    <row r="8" spans="1:12" x14ac:dyDescent="0.25">
      <c r="A8" s="1"/>
      <c r="B8" s="1">
        <v>270</v>
      </c>
      <c r="C8" s="6">
        <f t="shared" si="0"/>
        <v>53.706833473136243</v>
      </c>
      <c r="D8" s="5">
        <f>(100*C8)/(PI()*'Planilla Clotoide'!$B$11)</f>
        <v>25.515546343471339</v>
      </c>
      <c r="E8" s="5">
        <f t="shared" si="3"/>
        <v>105.97415129240851</v>
      </c>
      <c r="F8" s="6">
        <f>(2*'Planilla Clotoide'!$B$11*SIN(RADIANS(D8*9/10)))</f>
        <v>52.280441419627429</v>
      </c>
      <c r="G8" s="6">
        <f t="shared" si="1"/>
        <v>-4.8988905084213323</v>
      </c>
      <c r="H8" s="6">
        <f t="shared" si="2"/>
        <v>52.050412359726749</v>
      </c>
      <c r="I8" s="6">
        <f t="shared" si="4"/>
        <v>135.64678914377751</v>
      </c>
      <c r="J8" s="6">
        <f t="shared" si="5"/>
        <v>218.56234168570262</v>
      </c>
    </row>
    <row r="9" spans="1:12" x14ac:dyDescent="0.25">
      <c r="A9" s="1" t="s">
        <v>25</v>
      </c>
      <c r="B9" s="6">
        <f>L1</f>
        <v>276.94944040085034</v>
      </c>
      <c r="C9" s="6">
        <f t="shared" ref="C9" si="6">B9-$B$2</f>
        <v>60.656273873986578</v>
      </c>
      <c r="D9" s="5">
        <f>(100*C9)/(PI()*'Planilla Clotoide'!$B$11)</f>
        <v>28.817151691285826</v>
      </c>
      <c r="E9" s="5">
        <f>$E$2-D9</f>
        <v>102.67254594459402</v>
      </c>
      <c r="F9" s="6">
        <f>(2*'Planilla Clotoide'!$B$11*SIN(RADIANS(D9*9/10)))</f>
        <v>58.605980960679979</v>
      </c>
      <c r="G9" s="6">
        <f t="shared" ref="G9" si="7">COS(RADIANS(E9*(9/10)))*F9</f>
        <v>-2.4595713563261432</v>
      </c>
      <c r="H9" s="6">
        <f t="shared" ref="H9" si="8">SIN(RADIANS(E9*(9/10)))*F9</f>
        <v>58.554346662794593</v>
      </c>
      <c r="I9" s="6">
        <f t="shared" ref="I9" si="9">$I$2+G9</f>
        <v>138.08610829587272</v>
      </c>
      <c r="J9" s="6">
        <f t="shared" ref="J9" si="10">$J$2+H9</f>
        <v>225.06627598877046</v>
      </c>
    </row>
    <row r="10" spans="1:12" x14ac:dyDescent="0.25">
      <c r="A10" s="38"/>
      <c r="B10" s="38"/>
      <c r="C10" s="48"/>
      <c r="D10" s="49"/>
      <c r="E10" s="49"/>
      <c r="F10" s="48"/>
      <c r="G10" s="48"/>
      <c r="H10" s="48"/>
      <c r="I10" s="48"/>
      <c r="J10" s="48"/>
    </row>
    <row r="11" spans="1:12" x14ac:dyDescent="0.25">
      <c r="A11" s="38"/>
      <c r="B11" s="38"/>
      <c r="C11" s="48"/>
      <c r="D11" s="49"/>
      <c r="E11" s="49"/>
      <c r="F11" s="48"/>
      <c r="G11" s="48"/>
      <c r="H11" s="48"/>
      <c r="I11" s="48"/>
      <c r="J11" s="48"/>
    </row>
    <row r="12" spans="1:12" x14ac:dyDescent="0.25">
      <c r="A12" s="38"/>
      <c r="B12" s="38"/>
      <c r="C12" s="48"/>
      <c r="D12" s="49"/>
      <c r="E12" s="49"/>
      <c r="F12" s="48"/>
      <c r="G12" s="48"/>
      <c r="H12" s="48"/>
      <c r="I12" s="48"/>
      <c r="J12" s="48"/>
    </row>
    <row r="13" spans="1:12" x14ac:dyDescent="0.25">
      <c r="A13" s="38"/>
      <c r="B13" s="38"/>
      <c r="C13" s="48"/>
      <c r="D13" s="49"/>
      <c r="E13" s="49"/>
      <c r="F13" s="48"/>
      <c r="G13" s="48"/>
      <c r="H13" s="48"/>
      <c r="I13" s="48"/>
      <c r="J13" s="48"/>
    </row>
    <row r="14" spans="1:12" x14ac:dyDescent="0.25">
      <c r="A14" s="38"/>
      <c r="B14" s="38"/>
      <c r="C14" s="48"/>
      <c r="D14" s="49"/>
      <c r="E14" s="49"/>
      <c r="F14" s="48"/>
      <c r="G14" s="48"/>
      <c r="H14" s="48"/>
      <c r="I14" s="48"/>
      <c r="J14" s="48"/>
    </row>
    <row r="15" spans="1:12" x14ac:dyDescent="0.25">
      <c r="A15" s="38"/>
      <c r="B15" s="38"/>
      <c r="C15" s="48"/>
      <c r="D15" s="49"/>
      <c r="E15" s="49"/>
      <c r="F15" s="48"/>
      <c r="G15" s="48"/>
      <c r="H15" s="48"/>
      <c r="I15" s="48"/>
      <c r="J15" s="48"/>
    </row>
    <row r="16" spans="1:12" x14ac:dyDescent="0.25">
      <c r="A16" s="38"/>
      <c r="B16" s="38"/>
      <c r="C16" s="48"/>
      <c r="D16" s="49"/>
      <c r="E16" s="49"/>
      <c r="F16" s="48"/>
      <c r="G16" s="48"/>
      <c r="H16" s="48"/>
      <c r="I16" s="48"/>
      <c r="J16" s="48"/>
    </row>
    <row r="17" spans="1:10" x14ac:dyDescent="0.25">
      <c r="A17" s="38"/>
      <c r="B17" s="38"/>
      <c r="C17" s="48"/>
      <c r="D17" s="49"/>
      <c r="E17" s="49"/>
      <c r="F17" s="48"/>
      <c r="G17" s="48"/>
      <c r="H17" s="48"/>
      <c r="I17" s="48"/>
      <c r="J17" s="48"/>
    </row>
    <row r="18" spans="1:10" x14ac:dyDescent="0.25">
      <c r="A18" s="38"/>
      <c r="B18" s="38"/>
      <c r="C18" s="48"/>
      <c r="D18" s="49"/>
      <c r="E18" s="49"/>
      <c r="F18" s="48"/>
      <c r="G18" s="48"/>
      <c r="H18" s="48"/>
      <c r="I18" s="48"/>
      <c r="J18" s="48"/>
    </row>
    <row r="19" spans="1:10" x14ac:dyDescent="0.25">
      <c r="A19" s="38"/>
      <c r="B19" s="38"/>
      <c r="C19" s="48"/>
      <c r="D19" s="49"/>
      <c r="E19" s="49"/>
      <c r="F19" s="48"/>
      <c r="G19" s="48"/>
      <c r="H19" s="48"/>
      <c r="I19" s="48"/>
      <c r="J19" s="48"/>
    </row>
    <row r="20" spans="1:10" x14ac:dyDescent="0.25">
      <c r="A20" s="38"/>
      <c r="B20" s="38"/>
      <c r="C20" s="48"/>
      <c r="D20" s="49"/>
      <c r="E20" s="49"/>
      <c r="F20" s="48"/>
      <c r="G20" s="48"/>
      <c r="H20" s="48"/>
      <c r="I20" s="48"/>
      <c r="J20" s="48"/>
    </row>
    <row r="21" spans="1:10" x14ac:dyDescent="0.25">
      <c r="A21" s="38"/>
      <c r="B21" s="38"/>
      <c r="C21" s="48"/>
      <c r="D21" s="49"/>
      <c r="E21" s="49"/>
      <c r="F21" s="48"/>
      <c r="G21" s="48"/>
      <c r="H21" s="48"/>
      <c r="I21" s="48"/>
      <c r="J21" s="48"/>
    </row>
    <row r="22" spans="1:10" x14ac:dyDescent="0.25">
      <c r="A22" s="38"/>
      <c r="B22" s="38"/>
      <c r="C22" s="48"/>
      <c r="D22" s="49"/>
      <c r="E22" s="49"/>
      <c r="F22" s="48"/>
      <c r="G22" s="48"/>
      <c r="H22" s="48"/>
      <c r="I22" s="48"/>
      <c r="J22" s="48"/>
    </row>
    <row r="23" spans="1:10" x14ac:dyDescent="0.25">
      <c r="A23" s="38"/>
      <c r="B23" s="38"/>
      <c r="C23" s="48"/>
      <c r="D23" s="49"/>
      <c r="E23" s="49"/>
      <c r="F23" s="48"/>
      <c r="G23" s="48"/>
      <c r="H23" s="48"/>
      <c r="I23" s="48"/>
      <c r="J23" s="48"/>
    </row>
    <row r="24" spans="1:10" x14ac:dyDescent="0.25">
      <c r="A24" s="38"/>
      <c r="B24" s="38"/>
      <c r="C24" s="48"/>
      <c r="D24" s="49"/>
      <c r="E24" s="49"/>
      <c r="F24" s="48"/>
      <c r="G24" s="48"/>
      <c r="H24" s="48"/>
      <c r="I24" s="48"/>
      <c r="J24" s="48"/>
    </row>
    <row r="25" spans="1:10" x14ac:dyDescent="0.25">
      <c r="A25" s="38"/>
      <c r="B25" s="38"/>
      <c r="C25" s="48"/>
      <c r="D25" s="49"/>
      <c r="E25" s="49"/>
      <c r="F25" s="48"/>
      <c r="G25" s="48"/>
      <c r="H25" s="48"/>
      <c r="I25" s="48"/>
      <c r="J25" s="48"/>
    </row>
    <row r="26" spans="1:10" x14ac:dyDescent="0.25">
      <c r="A26" s="38"/>
      <c r="B26" s="38"/>
      <c r="C26" s="48"/>
      <c r="D26" s="49"/>
      <c r="E26" s="49"/>
      <c r="F26" s="48"/>
      <c r="G26" s="48"/>
      <c r="H26" s="48"/>
      <c r="I26" s="48"/>
      <c r="J26" s="48"/>
    </row>
    <row r="27" spans="1:10" x14ac:dyDescent="0.25">
      <c r="A27" s="38"/>
      <c r="B27" s="38"/>
      <c r="C27" s="48"/>
      <c r="D27" s="49"/>
      <c r="E27" s="49"/>
      <c r="F27" s="48"/>
      <c r="G27" s="48"/>
      <c r="H27" s="48"/>
      <c r="I27" s="48"/>
      <c r="J27" s="48"/>
    </row>
    <row r="28" spans="1:10" x14ac:dyDescent="0.25">
      <c r="A28" s="38"/>
      <c r="B28" s="38"/>
      <c r="C28" s="48"/>
      <c r="D28" s="49"/>
      <c r="E28" s="49"/>
      <c r="F28" s="48"/>
      <c r="G28" s="48"/>
      <c r="H28" s="48"/>
      <c r="I28" s="48"/>
      <c r="J28" s="48"/>
    </row>
    <row r="29" spans="1:10" x14ac:dyDescent="0.25">
      <c r="A29" s="38"/>
      <c r="B29" s="38"/>
      <c r="C29" s="48"/>
      <c r="D29" s="49"/>
      <c r="E29" s="49"/>
      <c r="F29" s="48"/>
      <c r="G29" s="48"/>
      <c r="H29" s="48"/>
      <c r="I29" s="48"/>
      <c r="J29" s="48"/>
    </row>
    <row r="30" spans="1:10" x14ac:dyDescent="0.25">
      <c r="A30" s="38"/>
      <c r="B30" s="38"/>
      <c r="C30" s="48"/>
      <c r="D30" s="49"/>
      <c r="E30" s="49"/>
      <c r="F30" s="48"/>
      <c r="G30" s="48"/>
      <c r="H30" s="48"/>
      <c r="I30" s="48"/>
      <c r="J30" s="48"/>
    </row>
    <row r="31" spans="1:10" x14ac:dyDescent="0.25">
      <c r="A31" s="38"/>
      <c r="B31" s="38"/>
      <c r="C31" s="48"/>
      <c r="D31" s="49"/>
      <c r="E31" s="49"/>
      <c r="F31" s="48"/>
      <c r="G31" s="48"/>
      <c r="H31" s="48"/>
      <c r="I31" s="48"/>
      <c r="J31" s="48"/>
    </row>
    <row r="32" spans="1:10" x14ac:dyDescent="0.25">
      <c r="A32" s="38"/>
      <c r="B32" s="38"/>
      <c r="C32" s="48"/>
      <c r="D32" s="49"/>
      <c r="E32" s="49"/>
      <c r="F32" s="48"/>
      <c r="G32" s="48"/>
      <c r="H32" s="48"/>
      <c r="I32" s="48"/>
      <c r="J32" s="48"/>
    </row>
    <row r="33" spans="1:10" x14ac:dyDescent="0.25">
      <c r="A33" s="38"/>
      <c r="B33" s="38"/>
      <c r="C33" s="48"/>
      <c r="D33" s="49"/>
      <c r="E33" s="49"/>
      <c r="F33" s="48"/>
      <c r="G33" s="48"/>
      <c r="H33" s="48"/>
      <c r="I33" s="48"/>
      <c r="J33" s="48"/>
    </row>
    <row r="34" spans="1:10" x14ac:dyDescent="0.25">
      <c r="A34" s="38"/>
      <c r="B34" s="38"/>
      <c r="C34" s="48"/>
      <c r="D34" s="49"/>
      <c r="E34" s="49"/>
      <c r="F34" s="48"/>
      <c r="G34" s="48"/>
      <c r="H34" s="48"/>
      <c r="I34" s="48"/>
      <c r="J34" s="48"/>
    </row>
    <row r="35" spans="1:10" x14ac:dyDescent="0.25">
      <c r="A35" s="38"/>
      <c r="B35" s="38"/>
      <c r="C35" s="48"/>
      <c r="D35" s="49"/>
      <c r="E35" s="49"/>
      <c r="F35" s="48"/>
      <c r="G35" s="48"/>
      <c r="H35" s="48"/>
      <c r="I35" s="48"/>
      <c r="J35" s="48"/>
    </row>
    <row r="36" spans="1:10" x14ac:dyDescent="0.25">
      <c r="A36" s="38"/>
      <c r="B36" s="38"/>
      <c r="C36" s="48"/>
      <c r="D36" s="49"/>
      <c r="E36" s="49"/>
      <c r="F36" s="48"/>
      <c r="G36" s="48"/>
      <c r="H36" s="48"/>
      <c r="I36" s="48"/>
      <c r="J36" s="48"/>
    </row>
    <row r="37" spans="1:10" x14ac:dyDescent="0.25">
      <c r="A37" s="38"/>
      <c r="B37" s="38"/>
      <c r="C37" s="48"/>
      <c r="D37" s="49"/>
      <c r="E37" s="49"/>
      <c r="F37" s="48"/>
      <c r="G37" s="48"/>
      <c r="H37" s="48"/>
      <c r="I37" s="48"/>
      <c r="J37" s="48"/>
    </row>
    <row r="38" spans="1:10" x14ac:dyDescent="0.25">
      <c r="A38" s="38"/>
      <c r="B38" s="38"/>
      <c r="C38" s="48"/>
      <c r="D38" s="49"/>
      <c r="E38" s="49"/>
      <c r="F38" s="48"/>
      <c r="G38" s="48"/>
      <c r="H38" s="48"/>
      <c r="I38" s="48"/>
      <c r="J38" s="48"/>
    </row>
    <row r="39" spans="1:10" x14ac:dyDescent="0.25">
      <c r="A39" s="38"/>
      <c r="B39" s="38"/>
      <c r="C39" s="48"/>
      <c r="D39" s="49"/>
      <c r="E39" s="49"/>
      <c r="F39" s="48"/>
      <c r="G39" s="48"/>
      <c r="H39" s="48"/>
      <c r="I39" s="48"/>
      <c r="J39" s="48"/>
    </row>
    <row r="40" spans="1:10" x14ac:dyDescent="0.25">
      <c r="A40" s="38"/>
      <c r="B40" s="38"/>
      <c r="C40" s="48"/>
      <c r="D40" s="49"/>
      <c r="E40" s="49"/>
      <c r="F40" s="48"/>
      <c r="G40" s="48"/>
      <c r="H40" s="48"/>
      <c r="I40" s="48"/>
      <c r="J40" s="48"/>
    </row>
    <row r="41" spans="1:10" x14ac:dyDescent="0.25">
      <c r="A41" s="38"/>
      <c r="B41" s="38"/>
      <c r="C41" s="48"/>
      <c r="D41" s="49"/>
      <c r="E41" s="49"/>
      <c r="F41" s="48"/>
      <c r="G41" s="48"/>
      <c r="H41" s="48"/>
      <c r="I41" s="48"/>
      <c r="J41" s="48"/>
    </row>
    <row r="42" spans="1:10" x14ac:dyDescent="0.25">
      <c r="A42" s="38"/>
      <c r="B42" s="38"/>
      <c r="C42" s="48"/>
      <c r="D42" s="49"/>
      <c r="E42" s="49"/>
      <c r="F42" s="48"/>
      <c r="G42" s="48"/>
      <c r="H42" s="48"/>
      <c r="I42" s="48"/>
      <c r="J42" s="48"/>
    </row>
    <row r="43" spans="1:10" x14ac:dyDescent="0.25">
      <c r="A43" s="38"/>
      <c r="B43" s="38"/>
      <c r="C43" s="48"/>
      <c r="D43" s="49"/>
      <c r="E43" s="49"/>
      <c r="F43" s="48"/>
      <c r="G43" s="48"/>
      <c r="H43" s="48"/>
      <c r="I43" s="48"/>
      <c r="J43" s="48"/>
    </row>
    <row r="44" spans="1:10" x14ac:dyDescent="0.25">
      <c r="A44" s="38"/>
      <c r="B44" s="38"/>
      <c r="C44" s="48"/>
      <c r="D44" s="49"/>
      <c r="E44" s="49"/>
      <c r="F44" s="48"/>
      <c r="G44" s="48"/>
      <c r="H44" s="48"/>
      <c r="I44" s="48"/>
      <c r="J44" s="48"/>
    </row>
    <row r="45" spans="1:10" x14ac:dyDescent="0.25">
      <c r="A45" s="38"/>
      <c r="B45" s="38"/>
      <c r="C45" s="48"/>
      <c r="D45" s="49"/>
      <c r="E45" s="49"/>
      <c r="F45" s="48"/>
      <c r="G45" s="48"/>
      <c r="H45" s="48"/>
      <c r="I45" s="48"/>
      <c r="J45" s="48"/>
    </row>
    <row r="46" spans="1:10" x14ac:dyDescent="0.25">
      <c r="A46" s="38"/>
      <c r="B46" s="38"/>
      <c r="C46" s="48"/>
      <c r="D46" s="49"/>
      <c r="E46" s="49"/>
      <c r="F46" s="48"/>
      <c r="G46" s="48"/>
      <c r="H46" s="48"/>
      <c r="I46" s="48"/>
      <c r="J46" s="48"/>
    </row>
    <row r="47" spans="1:10" x14ac:dyDescent="0.25">
      <c r="A47" s="38"/>
      <c r="B47" s="38"/>
      <c r="C47" s="48"/>
      <c r="D47" s="49"/>
      <c r="E47" s="49"/>
      <c r="F47" s="48"/>
      <c r="G47" s="48"/>
      <c r="H47" s="48"/>
      <c r="I47" s="48"/>
      <c r="J47" s="48"/>
    </row>
    <row r="48" spans="1:10" x14ac:dyDescent="0.25">
      <c r="A48" s="38"/>
      <c r="B48" s="38"/>
      <c r="C48" s="48"/>
      <c r="D48" s="49"/>
      <c r="E48" s="49"/>
      <c r="F48" s="48"/>
      <c r="G48" s="48"/>
      <c r="H48" s="48"/>
      <c r="I48" s="48"/>
      <c r="J48" s="48"/>
    </row>
    <row r="49" spans="1:10" x14ac:dyDescent="0.25">
      <c r="A49" s="38"/>
      <c r="B49" s="38"/>
      <c r="C49" s="48"/>
      <c r="D49" s="49"/>
      <c r="E49" s="49"/>
      <c r="F49" s="48"/>
      <c r="G49" s="48"/>
      <c r="H49" s="48"/>
      <c r="I49" s="48"/>
      <c r="J49" s="48"/>
    </row>
    <row r="50" spans="1:10" x14ac:dyDescent="0.25">
      <c r="A50" s="38"/>
      <c r="B50" s="38"/>
      <c r="C50" s="48"/>
      <c r="D50" s="49"/>
      <c r="E50" s="49"/>
      <c r="F50" s="48"/>
      <c r="G50" s="48"/>
      <c r="H50" s="48"/>
      <c r="I50" s="48"/>
      <c r="J50" s="48"/>
    </row>
    <row r="51" spans="1:10" x14ac:dyDescent="0.25">
      <c r="A51" s="38"/>
      <c r="B51" s="38"/>
      <c r="C51" s="48"/>
      <c r="D51" s="49"/>
      <c r="E51" s="49"/>
      <c r="F51" s="48"/>
      <c r="G51" s="48"/>
      <c r="H51" s="48"/>
      <c r="I51" s="48"/>
      <c r="J51" s="48"/>
    </row>
    <row r="52" spans="1:10" x14ac:dyDescent="0.25">
      <c r="A52" s="38"/>
      <c r="B52" s="38"/>
      <c r="C52" s="48"/>
      <c r="D52" s="49"/>
      <c r="E52" s="49"/>
      <c r="F52" s="48"/>
      <c r="G52" s="48"/>
      <c r="H52" s="48"/>
      <c r="I52" s="48"/>
      <c r="J52" s="48"/>
    </row>
    <row r="53" spans="1:10" x14ac:dyDescent="0.25">
      <c r="A53" s="38"/>
      <c r="B53" s="38"/>
      <c r="C53" s="48"/>
      <c r="D53" s="49"/>
      <c r="E53" s="49"/>
      <c r="F53" s="48"/>
      <c r="G53" s="48"/>
      <c r="H53" s="48"/>
      <c r="I53" s="48"/>
      <c r="J53" s="48"/>
    </row>
    <row r="54" spans="1:10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7" sqref="C7"/>
    </sheetView>
  </sheetViews>
  <sheetFormatPr baseColWidth="10" defaultRowHeight="15" x14ac:dyDescent="0.25"/>
  <cols>
    <col min="2" max="2" width="12.7109375" customWidth="1"/>
    <col min="4" max="4" width="22.42578125" customWidth="1"/>
  </cols>
  <sheetData>
    <row r="1" spans="1:13" x14ac:dyDescent="0.25">
      <c r="A1" s="29" t="s">
        <v>56</v>
      </c>
      <c r="B1" s="36">
        <f>'Planilla Clotoide'!B37</f>
        <v>314.26287323667123</v>
      </c>
    </row>
    <row r="2" spans="1:13" x14ac:dyDescent="0.25">
      <c r="A2" s="29" t="s">
        <v>28</v>
      </c>
      <c r="B2" s="36">
        <f>'Planilla Clotoide'!B36</f>
        <v>276.94944040085034</v>
      </c>
    </row>
    <row r="3" spans="1:13" x14ac:dyDescent="0.25">
      <c r="A3" s="20" t="s">
        <v>15</v>
      </c>
      <c r="B3" s="20" t="s">
        <v>14</v>
      </c>
      <c r="C3" s="20" t="s">
        <v>31</v>
      </c>
      <c r="D3" s="20" t="s">
        <v>32</v>
      </c>
      <c r="E3" s="20" t="s">
        <v>45</v>
      </c>
      <c r="F3" s="20" t="s">
        <v>46</v>
      </c>
      <c r="G3" s="20" t="s">
        <v>47</v>
      </c>
      <c r="H3" s="32" t="s">
        <v>17</v>
      </c>
      <c r="I3" s="21" t="s">
        <v>16</v>
      </c>
      <c r="J3" s="21" t="s">
        <v>53</v>
      </c>
      <c r="K3" s="21" t="s">
        <v>54</v>
      </c>
      <c r="L3" s="21" t="s">
        <v>1</v>
      </c>
      <c r="M3" s="21" t="s">
        <v>2</v>
      </c>
    </row>
    <row r="4" spans="1:13" x14ac:dyDescent="0.25">
      <c r="A4" s="1" t="s">
        <v>44</v>
      </c>
      <c r="B4" s="6">
        <f>B1</f>
        <v>314.26287323667123</v>
      </c>
      <c r="C4" s="1">
        <f>$B$4-B4</f>
        <v>0</v>
      </c>
      <c r="D4" s="1">
        <v>0</v>
      </c>
      <c r="E4" s="1">
        <f>('Planilla Clotoide'!$B$10*SQRT(2*D4))*(1-(D4^2/10)+(D4^4/216))</f>
        <v>0</v>
      </c>
      <c r="F4" s="1">
        <f>('Planilla Clotoide'!$B$10*SQRT(2*D4))*((D4/3)-(D4^3/42)+(D4^5/1320))</f>
        <v>0</v>
      </c>
      <c r="G4" s="1"/>
      <c r="H4" s="5">
        <f>'Planilla Clotoide'!C21+200</f>
        <v>256.12817215484529</v>
      </c>
      <c r="I4" s="1">
        <f>SQRT(E4^2+F4^2)</f>
        <v>0</v>
      </c>
      <c r="J4" s="1">
        <f>COS(RADIANS(H4*(9/10)))*I4</f>
        <v>0</v>
      </c>
      <c r="K4" s="1">
        <f>SIN(RADIANS(H4*(9/10)))*I4</f>
        <v>0</v>
      </c>
      <c r="L4" s="6">
        <f>'V3-FK'!G13</f>
        <v>158.97106249407409</v>
      </c>
      <c r="M4" s="6">
        <f>'V3-FK'!H13</f>
        <v>255.83223002261394</v>
      </c>
    </row>
    <row r="5" spans="1:13" x14ac:dyDescent="0.25">
      <c r="A5" s="1" t="s">
        <v>62</v>
      </c>
      <c r="B5" s="1">
        <v>310</v>
      </c>
      <c r="C5" s="6">
        <f t="shared" ref="C5:C8" si="0">$B$4-B5</f>
        <v>4.2628732366712256</v>
      </c>
      <c r="D5" s="34">
        <f>C5^2/(2*'Planilla Clotoide'!$B$10^2)</f>
        <v>3.6344176463855623E-3</v>
      </c>
      <c r="E5" s="1">
        <f>('Planilla Clotoide'!$B$10*SQRT(2*D5))*(1-(D5^2/10)+(D5^4/216))</f>
        <v>4.2628676058489798</v>
      </c>
      <c r="F5" s="1">
        <f>('Planilla Clotoide'!$B$10*SQRT(2*D5))*((D5/3)-(D5^3/42)+(D5^5/1320))</f>
        <v>5.1643490326581058E-3</v>
      </c>
      <c r="G5" s="5">
        <f>(DEGREES(ATAN(F5/E5)))*(10/9)</f>
        <v>7.712472920009969E-2</v>
      </c>
      <c r="H5" s="5">
        <f>$H$4+G5</f>
        <v>256.20529688404537</v>
      </c>
      <c r="I5" s="6">
        <f t="shared" ref="I5:I8" si="1">SQRT(E5^2+F5^2)</f>
        <v>4.2628707340825551</v>
      </c>
      <c r="J5" s="6">
        <f t="shared" ref="J5:J8" si="2">COS(RADIANS(H5*(9/10)))*I5</f>
        <v>-2.7066498013341311</v>
      </c>
      <c r="K5" s="6">
        <f t="shared" ref="K5:K8" si="3">SIN(RADIANS(H5*(9/10)))*I5</f>
        <v>-3.2933438551775081</v>
      </c>
      <c r="L5" s="6">
        <f>$L$4+J5</f>
        <v>156.26441269273997</v>
      </c>
      <c r="M5" s="6">
        <f>$M$4+K5</f>
        <v>252.53888616743643</v>
      </c>
    </row>
    <row r="6" spans="1:13" x14ac:dyDescent="0.25">
      <c r="A6" s="1" t="s">
        <v>61</v>
      </c>
      <c r="B6" s="1">
        <v>300</v>
      </c>
      <c r="C6" s="6">
        <f t="shared" si="0"/>
        <v>14.262873236671226</v>
      </c>
      <c r="D6" s="34">
        <f>C6^2/(2*'Planilla Clotoide'!$B$10^2)</f>
        <v>4.068591059307046E-2</v>
      </c>
      <c r="E6" s="1">
        <f>('Planilla Clotoide'!$B$10*SQRT(2*D6))*(1-(D6^2/10)+(D6^4/216))</f>
        <v>14.260512422414321</v>
      </c>
      <c r="F6" s="1">
        <f>('Planilla Clotoide'!$B$10*SQRT(2*D6))*((D6/3)-(D6^3/42)+(D6^5/1320))</f>
        <v>0.19340979172631934</v>
      </c>
      <c r="G6" s="5">
        <f>(DEGREES(ATAN(F6/E6)))*(10/9)</f>
        <v>0.86336973853373744</v>
      </c>
      <c r="H6" s="5">
        <f t="shared" ref="H6:H8" si="4">$H$4+G6</f>
        <v>256.99154189337901</v>
      </c>
      <c r="I6" s="6">
        <f t="shared" si="1"/>
        <v>14.261823933051788</v>
      </c>
      <c r="J6" s="6">
        <f t="shared" si="2"/>
        <v>-8.9185793770196273</v>
      </c>
      <c r="K6" s="6">
        <f t="shared" si="3"/>
        <v>-11.129176240547588</v>
      </c>
      <c r="L6" s="6">
        <f t="shared" ref="L6:L9" si="5">$L$4+J6</f>
        <v>150.05248311705446</v>
      </c>
      <c r="M6" s="6">
        <f t="shared" ref="M6:M9" si="6">$M$4+K6</f>
        <v>244.70305378206635</v>
      </c>
    </row>
    <row r="7" spans="1:13" x14ac:dyDescent="0.25">
      <c r="A7" s="35" t="s">
        <v>60</v>
      </c>
      <c r="B7" s="1">
        <v>290</v>
      </c>
      <c r="C7" s="6">
        <f t="shared" si="0"/>
        <v>24.262873236671226</v>
      </c>
      <c r="D7" s="34">
        <f>C7^2/(2*'Planilla Clotoide'!$B$10^2)</f>
        <v>0.11773740353975536</v>
      </c>
      <c r="E7" s="1">
        <f>('Planilla Clotoide'!$B$10*SQRT(2*D7))*(1-(D7^2/10)+(D7^4/216))</f>
        <v>24.229261393114228</v>
      </c>
      <c r="F7" s="1">
        <f>('Planilla Clotoide'!$B$10*SQRT(2*D7))*((D7/3)-(D7^3/42)+(D7^5/1320))</f>
        <v>0.95127347864015177</v>
      </c>
      <c r="G7" s="5">
        <f t="shared" ref="G7:G8" si="7">(DEGREES(ATAN(F7/E7)))*(10/9)</f>
        <v>2.4981720047486218</v>
      </c>
      <c r="H7" s="5">
        <f t="shared" si="4"/>
        <v>258.62634415959388</v>
      </c>
      <c r="I7" s="6">
        <f t="shared" si="1"/>
        <v>24.247928342170177</v>
      </c>
      <c r="J7" s="6">
        <f t="shared" si="2"/>
        <v>-14.67250638580407</v>
      </c>
      <c r="K7" s="6">
        <f t="shared" si="3"/>
        <v>-19.30491091006531</v>
      </c>
      <c r="L7" s="6">
        <f t="shared" si="5"/>
        <v>144.29855610827002</v>
      </c>
      <c r="M7" s="6">
        <f t="shared" si="6"/>
        <v>236.52731911254864</v>
      </c>
    </row>
    <row r="8" spans="1:13" x14ac:dyDescent="0.25">
      <c r="A8" s="35" t="s">
        <v>59</v>
      </c>
      <c r="B8" s="1">
        <v>280</v>
      </c>
      <c r="C8" s="6">
        <f t="shared" si="0"/>
        <v>34.262873236671226</v>
      </c>
      <c r="D8" s="34">
        <f>C8^2/(2*'Planilla Clotoide'!$B$10^2)</f>
        <v>0.23478889648644027</v>
      </c>
      <c r="E8" s="1">
        <f>('Planilla Clotoide'!$B$10*SQRT(2*D8))*(1-(D8^2/10)+(D8^4/216))</f>
        <v>34.074478354995613</v>
      </c>
      <c r="F8" s="1">
        <f>('Planilla Clotoide'!$B$10*SQRT(2*D8))*((D8/3)-(D8^3/42)+(D8^5/1320))</f>
        <v>2.6709739659270881</v>
      </c>
      <c r="G8" s="5">
        <f t="shared" si="7"/>
        <v>4.9800468173800585</v>
      </c>
      <c r="H8" s="5">
        <f t="shared" si="4"/>
        <v>261.10821897222536</v>
      </c>
      <c r="I8" s="6">
        <f t="shared" si="1"/>
        <v>34.179001990867505</v>
      </c>
      <c r="J8" s="6">
        <f t="shared" si="2"/>
        <v>-19.605542068870701</v>
      </c>
      <c r="K8" s="6">
        <f t="shared" si="3"/>
        <v>-27.9969087093105</v>
      </c>
      <c r="L8" s="6">
        <f t="shared" si="5"/>
        <v>139.36552042520339</v>
      </c>
      <c r="M8" s="6">
        <f t="shared" si="6"/>
        <v>227.83532131330344</v>
      </c>
    </row>
    <row r="9" spans="1:13" x14ac:dyDescent="0.25">
      <c r="A9" s="35" t="s">
        <v>25</v>
      </c>
      <c r="B9" s="6">
        <f>B2</f>
        <v>276.94944040085034</v>
      </c>
      <c r="C9" s="6">
        <f t="shared" ref="C9" si="8">$B$4-B9</f>
        <v>37.31343283582089</v>
      </c>
      <c r="D9" s="34">
        <f>C9^2/(2*'Planilla Clotoide'!$B$10^2)</f>
        <v>0.27845845399866337</v>
      </c>
      <c r="E9" s="1">
        <f>('Planilla Clotoide'!$B$10*SQRT(2*D9))*(1-(D9^2/10)+(D9^4/216))</f>
        <v>37.025146407656386</v>
      </c>
      <c r="F9" s="1">
        <f>('Planilla Clotoide'!$B$10*SQRT(2*D9))*((D9/3)-(D9^3/42)+(D9^5/1320))</f>
        <v>3.4442787886178219</v>
      </c>
      <c r="G9" s="5">
        <f t="shared" ref="G9" si="9">(DEGREES(ATAN(F9/E9)))*(10/9)</f>
        <v>5.9051856229419029</v>
      </c>
      <c r="H9" s="5">
        <f t="shared" ref="H9" si="10">$H$4+G9</f>
        <v>262.03335777778722</v>
      </c>
      <c r="I9" s="6">
        <f t="shared" ref="I9" si="11">SQRT(E9^2+F9^2)</f>
        <v>37.185004005406711</v>
      </c>
      <c r="J9" s="6">
        <f t="shared" ref="J9" si="12">COS(RADIANS(H9*(9/10)))*I9</f>
        <v>-20.884954701742721</v>
      </c>
      <c r="K9" s="6">
        <f t="shared" ref="K9" si="13">SIN(RADIANS(H9*(9/10)))*I9</f>
        <v>-30.76594204616962</v>
      </c>
      <c r="L9" s="6">
        <f t="shared" si="5"/>
        <v>138.08610779233138</v>
      </c>
      <c r="M9" s="6">
        <f t="shared" si="6"/>
        <v>225.06628797644433</v>
      </c>
    </row>
    <row r="10" spans="1:13" x14ac:dyDescent="0.25">
      <c r="A10" s="50"/>
      <c r="B10" s="38"/>
      <c r="C10" s="48"/>
      <c r="D10" s="51"/>
      <c r="E10" s="38"/>
      <c r="F10" s="38"/>
      <c r="G10" s="49"/>
      <c r="H10" s="49"/>
      <c r="I10" s="48"/>
      <c r="J10" s="48"/>
      <c r="K10" s="48"/>
      <c r="L10" s="48"/>
      <c r="M10" s="48"/>
    </row>
    <row r="11" spans="1:13" x14ac:dyDescent="0.25">
      <c r="A11" s="50"/>
      <c r="B11" s="38"/>
      <c r="C11" s="48"/>
      <c r="D11" s="51"/>
      <c r="E11" s="38"/>
      <c r="F11" s="38"/>
      <c r="G11" s="49"/>
      <c r="H11" s="49"/>
      <c r="I11" s="48"/>
      <c r="J11" s="48"/>
      <c r="K11" s="48"/>
      <c r="L11" s="48"/>
      <c r="M11" s="48"/>
    </row>
    <row r="12" spans="1:13" x14ac:dyDescent="0.25">
      <c r="A12" s="50"/>
      <c r="B12" s="38"/>
      <c r="C12" s="48"/>
      <c r="D12" s="51"/>
      <c r="E12" s="38"/>
      <c r="F12" s="38"/>
      <c r="G12" s="49"/>
      <c r="H12" s="49"/>
      <c r="I12" s="48"/>
      <c r="J12" s="48"/>
      <c r="K12" s="48"/>
      <c r="L12" s="48"/>
      <c r="M12" s="48"/>
    </row>
    <row r="13" spans="1:13" x14ac:dyDescent="0.25">
      <c r="A13" s="50"/>
      <c r="B13" s="38"/>
      <c r="C13" s="48"/>
      <c r="D13" s="51"/>
      <c r="E13" s="38"/>
      <c r="F13" s="38"/>
      <c r="G13" s="49"/>
      <c r="H13" s="49"/>
      <c r="I13" s="48"/>
      <c r="J13" s="48"/>
      <c r="K13" s="48"/>
      <c r="L13" s="48"/>
      <c r="M13" s="48"/>
    </row>
    <row r="14" spans="1:13" x14ac:dyDescent="0.25">
      <c r="A14" s="50"/>
      <c r="B14" s="38"/>
      <c r="C14" s="48"/>
      <c r="D14" s="51"/>
      <c r="E14" s="38"/>
      <c r="F14" s="38"/>
      <c r="G14" s="49"/>
      <c r="H14" s="49"/>
      <c r="I14" s="48"/>
      <c r="J14" s="48"/>
      <c r="K14" s="48"/>
      <c r="L14" s="48"/>
      <c r="M14" s="48"/>
    </row>
    <row r="15" spans="1:13" x14ac:dyDescent="0.25">
      <c r="A15" s="38"/>
      <c r="B15" s="38"/>
      <c r="C15" s="48"/>
      <c r="D15" s="51"/>
      <c r="E15" s="38"/>
      <c r="F15" s="38"/>
      <c r="G15" s="49"/>
      <c r="H15" s="49"/>
      <c r="I15" s="48"/>
      <c r="J15" s="48"/>
      <c r="K15" s="48"/>
      <c r="L15" s="48"/>
      <c r="M15" s="48"/>
    </row>
    <row r="16" spans="1:13" x14ac:dyDescent="0.25">
      <c r="A16" s="38"/>
      <c r="B16" s="38"/>
      <c r="C16" s="48"/>
      <c r="D16" s="51"/>
      <c r="E16" s="38"/>
      <c r="F16" s="38"/>
      <c r="G16" s="49"/>
      <c r="H16" s="49"/>
      <c r="I16" s="48"/>
      <c r="J16" s="48"/>
      <c r="K16" s="48"/>
      <c r="L16" s="48"/>
      <c r="M16" s="48"/>
    </row>
    <row r="17" spans="1:13" x14ac:dyDescent="0.25">
      <c r="A17" s="38"/>
      <c r="B17" s="48"/>
      <c r="C17" s="48"/>
      <c r="D17" s="51"/>
      <c r="E17" s="38"/>
      <c r="F17" s="38"/>
      <c r="G17" s="49"/>
      <c r="H17" s="49"/>
      <c r="I17" s="48"/>
      <c r="J17" s="48"/>
      <c r="K17" s="48"/>
      <c r="L17" s="48"/>
      <c r="M17" s="4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4" sqref="C4"/>
    </sheetView>
  </sheetViews>
  <sheetFormatPr baseColWidth="10" defaultRowHeight="15" x14ac:dyDescent="0.25"/>
  <cols>
    <col min="5" max="5" width="12.28515625" bestFit="1" customWidth="1"/>
    <col min="6" max="6" width="11.5703125" bestFit="1" customWidth="1"/>
  </cols>
  <sheetData>
    <row r="1" spans="1:8" x14ac:dyDescent="0.25">
      <c r="A1" s="29" t="s">
        <v>56</v>
      </c>
      <c r="B1" s="36">
        <f>'Planilla Clotoide'!B37</f>
        <v>314.26287323667123</v>
      </c>
    </row>
    <row r="2" spans="1:8" x14ac:dyDescent="0.25">
      <c r="A2" s="33" t="s">
        <v>64</v>
      </c>
      <c r="B2" s="37">
        <f>'Planilla Clotoide'!B38</f>
        <v>394.81129385019824</v>
      </c>
    </row>
    <row r="3" spans="1:8" x14ac:dyDescent="0.25">
      <c r="A3" s="2" t="s">
        <v>15</v>
      </c>
      <c r="B3" s="2" t="s">
        <v>14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</row>
    <row r="4" spans="1:8" x14ac:dyDescent="0.25">
      <c r="A4" s="1" t="s">
        <v>26</v>
      </c>
      <c r="B4" s="6">
        <f>B2</f>
        <v>394.81129385019824</v>
      </c>
      <c r="C4" s="1">
        <f>$B$4-B4</f>
        <v>0</v>
      </c>
      <c r="D4" s="1">
        <f>'Planilla Clotoide'!C21+200</f>
        <v>256.12817215484529</v>
      </c>
      <c r="E4" s="1">
        <f>C4*COS(RADIANS($D$4*(9/10)))</f>
        <v>0</v>
      </c>
      <c r="F4" s="1">
        <f>C4*SIN(RADIANS($D$4*(9/10)))</f>
        <v>0</v>
      </c>
      <c r="G4" s="6">
        <f>'Planilla Clotoide'!B6</f>
        <v>210.18950000000001</v>
      </c>
      <c r="H4" s="6">
        <f>'Planilla Clotoide'!B7</f>
        <v>317.9991</v>
      </c>
    </row>
    <row r="5" spans="1:8" x14ac:dyDescent="0.25">
      <c r="A5" s="1"/>
      <c r="B5" s="1">
        <v>390</v>
      </c>
      <c r="C5" s="6">
        <f t="shared" ref="C5:C13" si="0">$B$4-B5</f>
        <v>4.8112938501982399</v>
      </c>
      <c r="D5" s="1"/>
      <c r="E5" s="6">
        <f t="shared" ref="E5:E12" si="1">C5*COS(RADIANS($D$4*(9/10)))</f>
        <v>-3.0593641875535451</v>
      </c>
      <c r="F5" s="6">
        <f t="shared" ref="F5:F12" si="2">C5*SIN(RADIANS($D$4*(9/10)))</f>
        <v>-3.713332638058465</v>
      </c>
      <c r="G5" s="6">
        <f>$G$4+E5</f>
        <v>207.13013581244647</v>
      </c>
      <c r="H5" s="6">
        <f>$H$4+F5</f>
        <v>314.28576736194151</v>
      </c>
    </row>
    <row r="6" spans="1:8" x14ac:dyDescent="0.25">
      <c r="A6" s="1"/>
      <c r="B6" s="1">
        <v>380</v>
      </c>
      <c r="C6" s="6">
        <f t="shared" si="0"/>
        <v>14.81129385019824</v>
      </c>
      <c r="D6" s="1"/>
      <c r="E6" s="6">
        <f t="shared" si="1"/>
        <v>-9.4180782524354694</v>
      </c>
      <c r="F6" s="6">
        <f t="shared" si="2"/>
        <v>-11.431282847866299</v>
      </c>
      <c r="G6" s="6">
        <f t="shared" ref="G6:G12" si="3">$G$4+E6</f>
        <v>200.77142174756455</v>
      </c>
      <c r="H6" s="6">
        <f t="shared" ref="H6:H12" si="4">$H$4+F6</f>
        <v>306.56781715213367</v>
      </c>
    </row>
    <row r="7" spans="1:8" x14ac:dyDescent="0.25">
      <c r="A7" s="1"/>
      <c r="B7" s="1">
        <v>370</v>
      </c>
      <c r="C7" s="6">
        <f t="shared" si="0"/>
        <v>24.81129385019824</v>
      </c>
      <c r="D7" s="1"/>
      <c r="E7" s="6">
        <f t="shared" si="1"/>
        <v>-15.776792317317394</v>
      </c>
      <c r="F7" s="6">
        <f t="shared" si="2"/>
        <v>-19.149233057674135</v>
      </c>
      <c r="G7" s="6">
        <f t="shared" si="3"/>
        <v>194.41270768268262</v>
      </c>
      <c r="H7" s="6">
        <f t="shared" si="4"/>
        <v>298.84986694232589</v>
      </c>
    </row>
    <row r="8" spans="1:8" x14ac:dyDescent="0.25">
      <c r="A8" s="1"/>
      <c r="B8" s="1">
        <v>360</v>
      </c>
      <c r="C8" s="6">
        <f t="shared" si="0"/>
        <v>34.81129385019824</v>
      </c>
      <c r="D8" s="1"/>
      <c r="E8" s="6">
        <f t="shared" si="1"/>
        <v>-22.135506382199317</v>
      </c>
      <c r="F8" s="6">
        <f t="shared" si="2"/>
        <v>-26.86718326748197</v>
      </c>
      <c r="G8" s="6">
        <f t="shared" si="3"/>
        <v>188.0539936178007</v>
      </c>
      <c r="H8" s="6">
        <f t="shared" si="4"/>
        <v>291.13191673251805</v>
      </c>
    </row>
    <row r="9" spans="1:8" x14ac:dyDescent="0.25">
      <c r="A9" s="1"/>
      <c r="B9" s="1">
        <v>350</v>
      </c>
      <c r="C9" s="6">
        <f t="shared" si="0"/>
        <v>44.81129385019824</v>
      </c>
      <c r="D9" s="1"/>
      <c r="E9" s="6">
        <f t="shared" si="1"/>
        <v>-28.49422044708124</v>
      </c>
      <c r="F9" s="6">
        <f t="shared" si="2"/>
        <v>-34.585133477289801</v>
      </c>
      <c r="G9" s="6">
        <f t="shared" si="3"/>
        <v>181.69527955291878</v>
      </c>
      <c r="H9" s="6">
        <f t="shared" si="4"/>
        <v>283.41396652271021</v>
      </c>
    </row>
    <row r="10" spans="1:8" x14ac:dyDescent="0.25">
      <c r="A10" s="1"/>
      <c r="B10" s="1">
        <v>340</v>
      </c>
      <c r="C10" s="6">
        <f t="shared" si="0"/>
        <v>54.81129385019824</v>
      </c>
      <c r="D10" s="1"/>
      <c r="E10" s="6">
        <f t="shared" si="1"/>
        <v>-34.852934511963163</v>
      </c>
      <c r="F10" s="6">
        <f t="shared" si="2"/>
        <v>-42.30308368709764</v>
      </c>
      <c r="G10" s="6">
        <f t="shared" si="3"/>
        <v>175.33656548803685</v>
      </c>
      <c r="H10" s="6">
        <f t="shared" si="4"/>
        <v>275.69601631290237</v>
      </c>
    </row>
    <row r="11" spans="1:8" x14ac:dyDescent="0.25">
      <c r="A11" s="1"/>
      <c r="B11" s="1">
        <v>330</v>
      </c>
      <c r="C11" s="6">
        <f t="shared" si="0"/>
        <v>64.81129385019824</v>
      </c>
      <c r="D11" s="1"/>
      <c r="E11" s="6">
        <f t="shared" si="1"/>
        <v>-41.211648576845093</v>
      </c>
      <c r="F11" s="6">
        <f t="shared" si="2"/>
        <v>-50.021033896905472</v>
      </c>
      <c r="G11" s="6">
        <f t="shared" si="3"/>
        <v>168.9778514231549</v>
      </c>
      <c r="H11" s="6">
        <f t="shared" si="4"/>
        <v>267.97806610309453</v>
      </c>
    </row>
    <row r="12" spans="1:8" x14ac:dyDescent="0.25">
      <c r="A12" s="1"/>
      <c r="B12" s="1">
        <v>320</v>
      </c>
      <c r="C12" s="6">
        <f t="shared" si="0"/>
        <v>74.81129385019824</v>
      </c>
      <c r="D12" s="1"/>
      <c r="E12" s="6">
        <f t="shared" si="1"/>
        <v>-47.570362641727016</v>
      </c>
      <c r="F12" s="6">
        <f t="shared" si="2"/>
        <v>-57.738984106713303</v>
      </c>
      <c r="G12" s="6">
        <f t="shared" si="3"/>
        <v>162.61913735827301</v>
      </c>
      <c r="H12" s="6">
        <f t="shared" si="4"/>
        <v>260.2601158932867</v>
      </c>
    </row>
    <row r="13" spans="1:8" x14ac:dyDescent="0.25">
      <c r="A13" s="1" t="s">
        <v>44</v>
      </c>
      <c r="B13" s="6">
        <f>B1</f>
        <v>314.26287323667123</v>
      </c>
      <c r="C13" s="6">
        <f t="shared" si="0"/>
        <v>80.548420613527014</v>
      </c>
      <c r="D13" s="1"/>
      <c r="E13" s="6">
        <f t="shared" ref="E13" si="5">C13*COS(RADIANS($D$4*(9/10)))</f>
        <v>-51.218437505925934</v>
      </c>
      <c r="F13" s="6">
        <f t="shared" ref="F13" si="6">C13*SIN(RADIANS($D$4*(9/10)))</f>
        <v>-62.16686997738605</v>
      </c>
      <c r="G13" s="6">
        <f t="shared" ref="G13" si="7">$G$4+E13</f>
        <v>158.97106249407409</v>
      </c>
      <c r="H13" s="6">
        <f t="shared" ref="H13" si="8">$H$4+F13</f>
        <v>255.83223002261394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Planilla Clotoide</vt:lpstr>
      <vt:lpstr>V1-PK</vt:lpstr>
      <vt:lpstr>Enlace Clotoidal</vt:lpstr>
      <vt:lpstr>Curva entre clotoide</vt:lpstr>
      <vt:lpstr>Enlace clotoidal salida</vt:lpstr>
      <vt:lpstr>V3-FK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2018-11-01T06:44:38Z</dcterms:modified>
</cp:coreProperties>
</file>