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8EA0CB2C-CDF9-4078-8E32-31668E5D9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la curva" sheetId="1" r:id="rId1"/>
    <sheet name="LR ENTRADA" sheetId="2" r:id="rId2"/>
    <sheet name="CURVA CIRCULAR" sheetId="3" r:id="rId3"/>
    <sheet name="LR SALID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B2" i="2"/>
  <c r="B3" i="2" l="1"/>
  <c r="C3" i="2" s="1"/>
  <c r="C5" i="2"/>
  <c r="C9" i="2"/>
  <c r="C13" i="2"/>
  <c r="C6" i="2"/>
  <c r="C10" i="2"/>
  <c r="C14" i="2"/>
  <c r="C12" i="2"/>
  <c r="C7" i="2"/>
  <c r="C11" i="2"/>
  <c r="C15" i="2"/>
  <c r="C8" i="2"/>
  <c r="C16" i="2"/>
  <c r="D2" i="3"/>
  <c r="H2" i="2"/>
  <c r="G2" i="2"/>
  <c r="C4" i="2"/>
  <c r="E2" i="3" l="1"/>
  <c r="C10" i="1" l="1"/>
  <c r="C9" i="1"/>
  <c r="C11" i="1"/>
  <c r="E19" i="1" l="1"/>
  <c r="F19" i="1"/>
  <c r="C12" i="1"/>
  <c r="C14" i="1" s="1"/>
  <c r="C15" i="1"/>
  <c r="D19" i="1" s="1"/>
  <c r="F2" i="3" l="1"/>
  <c r="C19" i="1"/>
  <c r="D2" i="2"/>
  <c r="F20" i="1"/>
  <c r="C13" i="1"/>
  <c r="C16" i="1"/>
  <c r="E20" i="1" s="1"/>
  <c r="D20" i="1" l="1"/>
  <c r="D2" i="6" s="1"/>
  <c r="F5" i="2"/>
  <c r="H5" i="2" s="1"/>
  <c r="F9" i="2"/>
  <c r="H9" i="2" s="1"/>
  <c r="F13" i="2"/>
  <c r="H13" i="2" s="1"/>
  <c r="E8" i="2"/>
  <c r="G8" i="2" s="1"/>
  <c r="E12" i="2"/>
  <c r="G12" i="2" s="1"/>
  <c r="F6" i="2"/>
  <c r="H6" i="2" s="1"/>
  <c r="F10" i="2"/>
  <c r="H10" i="2" s="1"/>
  <c r="F14" i="2"/>
  <c r="H14" i="2" s="1"/>
  <c r="E5" i="2"/>
  <c r="G5" i="2" s="1"/>
  <c r="E9" i="2"/>
  <c r="G9" i="2" s="1"/>
  <c r="E13" i="2"/>
  <c r="G13" i="2" s="1"/>
  <c r="F7" i="2"/>
  <c r="H7" i="2" s="1"/>
  <c r="F11" i="2"/>
  <c r="H11" i="2" s="1"/>
  <c r="F15" i="2"/>
  <c r="H15" i="2" s="1"/>
  <c r="E6" i="2"/>
  <c r="G6" i="2" s="1"/>
  <c r="E10" i="2"/>
  <c r="G10" i="2" s="1"/>
  <c r="E14" i="2"/>
  <c r="G14" i="2" s="1"/>
  <c r="F8" i="2"/>
  <c r="H8" i="2" s="1"/>
  <c r="F12" i="2"/>
  <c r="H12" i="2" s="1"/>
  <c r="F16" i="2"/>
  <c r="H16" i="2" s="1"/>
  <c r="E7" i="2"/>
  <c r="G7" i="2" s="1"/>
  <c r="E11" i="2"/>
  <c r="G11" i="2" s="1"/>
  <c r="E15" i="2"/>
  <c r="G15" i="2" s="1"/>
  <c r="E16" i="2"/>
  <c r="G16" i="2" s="1"/>
  <c r="C20" i="1"/>
  <c r="H2" i="3"/>
  <c r="G2" i="3"/>
  <c r="E2" i="2"/>
  <c r="E3" i="2"/>
  <c r="G3" i="2" s="1"/>
  <c r="F3" i="2"/>
  <c r="H3" i="2" s="1"/>
  <c r="F2" i="2"/>
  <c r="F4" i="2"/>
  <c r="H4" i="2" s="1"/>
  <c r="E4" i="2"/>
  <c r="G4" i="2" s="1"/>
  <c r="C21" i="1" l="1"/>
  <c r="C22" i="1" s="1"/>
  <c r="C24" i="1" l="1"/>
  <c r="C23" i="1"/>
  <c r="C25" i="1"/>
  <c r="F2" i="6"/>
  <c r="E2" i="6"/>
  <c r="C28" i="1"/>
  <c r="C27" i="1"/>
  <c r="C35" i="1" l="1"/>
  <c r="B2" i="3" s="1"/>
  <c r="C36" i="1" l="1"/>
  <c r="M1" i="3" s="1"/>
  <c r="B5" i="3" s="1"/>
  <c r="C5" i="3" s="1"/>
  <c r="D5" i="3" s="1"/>
  <c r="F5" i="3" s="1"/>
  <c r="K1" i="2"/>
  <c r="B17" i="2" s="1"/>
  <c r="C17" i="2" s="1"/>
  <c r="C4" i="3"/>
  <c r="D4" i="3" s="1"/>
  <c r="F4" i="3" s="1"/>
  <c r="C3" i="3"/>
  <c r="D3" i="3" s="1"/>
  <c r="F3" i="3" s="1"/>
  <c r="E17" i="2" l="1"/>
  <c r="G17" i="2" s="1"/>
  <c r="I2" i="3" s="1"/>
  <c r="F17" i="2"/>
  <c r="H17" i="2" s="1"/>
  <c r="J2" i="3" s="1"/>
  <c r="B2" i="6"/>
  <c r="C37" i="1"/>
  <c r="K1" i="6" s="1"/>
  <c r="B15" i="6" s="1"/>
  <c r="E3" i="3"/>
  <c r="E5" i="3"/>
  <c r="E4" i="3"/>
  <c r="C15" i="6" l="1"/>
  <c r="C12" i="6"/>
  <c r="C13" i="6"/>
  <c r="C14" i="6"/>
  <c r="C6" i="6"/>
  <c r="C10" i="6"/>
  <c r="C7" i="6"/>
  <c r="C8" i="6"/>
  <c r="C9" i="6"/>
  <c r="C11" i="6"/>
  <c r="C4" i="6"/>
  <c r="C5" i="6"/>
  <c r="C3" i="6"/>
  <c r="G4" i="3"/>
  <c r="I4" i="3" s="1"/>
  <c r="G3" i="3"/>
  <c r="I3" i="3" s="1"/>
  <c r="H3" i="3"/>
  <c r="J3" i="3" s="1"/>
  <c r="H4" i="3"/>
  <c r="J4" i="3" s="1"/>
  <c r="G5" i="3"/>
  <c r="I5" i="3" s="1"/>
  <c r="G2" i="6" s="1"/>
  <c r="H5" i="3"/>
  <c r="J5" i="3" s="1"/>
  <c r="H2" i="6" s="1"/>
  <c r="F15" i="6" l="1"/>
  <c r="H15" i="6" s="1"/>
  <c r="E15" i="6"/>
  <c r="G15" i="6" s="1"/>
  <c r="F14" i="6"/>
  <c r="E14" i="6"/>
  <c r="G14" i="6" s="1"/>
  <c r="F13" i="6"/>
  <c r="H13" i="6" s="1"/>
  <c r="E13" i="6"/>
  <c r="G13" i="6" s="1"/>
  <c r="F12" i="6"/>
  <c r="H12" i="6" s="1"/>
  <c r="E12" i="6"/>
  <c r="G12" i="6" s="1"/>
  <c r="H14" i="6"/>
  <c r="F11" i="6"/>
  <c r="H11" i="6" s="1"/>
  <c r="E11" i="6"/>
  <c r="G11" i="6" s="1"/>
  <c r="E8" i="6"/>
  <c r="G8" i="6" s="1"/>
  <c r="F8" i="6"/>
  <c r="H8" i="6" s="1"/>
  <c r="E7" i="6"/>
  <c r="G7" i="6" s="1"/>
  <c r="F7" i="6"/>
  <c r="H7" i="6" s="1"/>
  <c r="F10" i="6"/>
  <c r="H10" i="6" s="1"/>
  <c r="E10" i="6"/>
  <c r="G10" i="6" s="1"/>
  <c r="E9" i="6"/>
  <c r="G9" i="6" s="1"/>
  <c r="F9" i="6"/>
  <c r="H9" i="6" s="1"/>
  <c r="E6" i="6"/>
  <c r="G6" i="6" s="1"/>
  <c r="F6" i="6"/>
  <c r="H6" i="6" s="1"/>
  <c r="F4" i="6"/>
  <c r="E4" i="6"/>
  <c r="G4" i="6" s="1"/>
  <c r="F3" i="6"/>
  <c r="E3" i="6"/>
  <c r="G3" i="6" s="1"/>
  <c r="F5" i="6"/>
  <c r="E5" i="6"/>
  <c r="G5" i="6" s="1"/>
  <c r="H4" i="6" l="1"/>
  <c r="H5" i="6"/>
  <c r="H3" i="6"/>
</calcChain>
</file>

<file path=xl/sharedStrings.xml><?xml version="1.0" encoding="utf-8"?>
<sst xmlns="http://schemas.openxmlformats.org/spreadsheetml/2006/main" count="80" uniqueCount="53">
  <si>
    <t>Datos</t>
  </si>
  <si>
    <t>v1</t>
  </si>
  <si>
    <t>v2</t>
  </si>
  <si>
    <t>v3</t>
  </si>
  <si>
    <t>Norte</t>
  </si>
  <si>
    <t>Este</t>
  </si>
  <si>
    <t>∆N v1-v2</t>
  </si>
  <si>
    <t>∆E v1-v2</t>
  </si>
  <si>
    <t>∆N v2-v3</t>
  </si>
  <si>
    <t>∆E v2-v3</t>
  </si>
  <si>
    <t>DH V1-V2</t>
  </si>
  <si>
    <t>DH V2-V3</t>
  </si>
  <si>
    <t>Azimut v1-v2</t>
  </si>
  <si>
    <t>Azimut v2-v3</t>
  </si>
  <si>
    <t>Correcion azimutes</t>
  </si>
  <si>
    <t>I cuadrante</t>
  </si>
  <si>
    <t>II cuadrante</t>
  </si>
  <si>
    <t>III cuadrante</t>
  </si>
  <si>
    <t>IV cuadrante</t>
  </si>
  <si>
    <t>Radio 1</t>
  </si>
  <si>
    <t>Elementos curva circular</t>
  </si>
  <si>
    <t>OTROS DATOS</t>
  </si>
  <si>
    <t>DH V1-PC</t>
  </si>
  <si>
    <t>DH V3-FC</t>
  </si>
  <si>
    <t>DM</t>
  </si>
  <si>
    <t>Punto</t>
  </si>
  <si>
    <t>DH</t>
  </si>
  <si>
    <t>Azimut</t>
  </si>
  <si>
    <t>PN</t>
  </si>
  <si>
    <t>PE</t>
  </si>
  <si>
    <t>NORTE</t>
  </si>
  <si>
    <t>ESTE</t>
  </si>
  <si>
    <t>V1</t>
  </si>
  <si>
    <t>PC</t>
  </si>
  <si>
    <t>a</t>
  </si>
  <si>
    <t>delta</t>
  </si>
  <si>
    <t>FC</t>
  </si>
  <si>
    <t>DATOS REQUERIDOS</t>
  </si>
  <si>
    <t>SIMBOLOGIA</t>
  </si>
  <si>
    <t>Intervalos estudio</t>
  </si>
  <si>
    <t>KILOMETRAJES (DM)</t>
  </si>
  <si>
    <t>PRINCIPIO CURVA</t>
  </si>
  <si>
    <t>FINAL DE CURVA</t>
  </si>
  <si>
    <t>V3</t>
  </si>
  <si>
    <t>DM PC</t>
  </si>
  <si>
    <t>DM FC-PCC</t>
  </si>
  <si>
    <t>DATOS KILOMETRAJES(DM)</t>
  </si>
  <si>
    <t>DM V3</t>
  </si>
  <si>
    <t>S</t>
  </si>
  <si>
    <t>Dc</t>
  </si>
  <si>
    <t>CUERDA</t>
  </si>
  <si>
    <t>α'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</si>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</sst>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1" xfId="0" quotePrefix="1" applyFill="1" applyBorder="1" applyAlignment="1"/>
    <xf numFmtId="0" fontId="0" fillId="0" borderId="5" xfId="0" applyBorder="1"/>
    <xf numFmtId="0" fontId="0" fillId="6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 applyAlignment="1">
      <alignment horizontal="left"/>
    </xf>
    <xf numFmtId="165" fontId="0" fillId="2" borderId="1" xfId="0" applyNumberFormat="1" applyFill="1" applyBorder="1"/>
    <xf numFmtId="164" fontId="0" fillId="6" borderId="1" xfId="0" applyNumberFormat="1" applyFill="1" applyBorder="1"/>
    <xf numFmtId="165" fontId="0" fillId="0" borderId="1" xfId="0" applyNumberFormat="1" applyFill="1" applyBorder="1"/>
    <xf numFmtId="0" fontId="0" fillId="8" borderId="1" xfId="0" applyFill="1" applyBorder="1"/>
    <xf numFmtId="165" fontId="0" fillId="8" borderId="1" xfId="0" applyNumberFormat="1" applyFill="1" applyBorder="1"/>
    <xf numFmtId="1" fontId="0" fillId="0" borderId="1" xfId="0" applyNumberFormat="1" applyBorder="1"/>
    <xf numFmtId="164" fontId="0" fillId="0" borderId="0" xfId="0" applyNumberFormat="1"/>
    <xf numFmtId="1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37"/>
  <sheetViews>
    <sheetView tabSelected="1" workbookViewId="0">
      <selection activeCell="C25" sqref="C25"/>
    </sheetView>
  </sheetViews>
  <sheetFormatPr baseColWidth="10" defaultColWidth="9.109375" defaultRowHeight="14.4" x14ac:dyDescent="0.3"/>
  <cols>
    <col min="3" max="3" width="13.44140625" customWidth="1"/>
    <col min="4" max="4" width="11.6640625" customWidth="1"/>
    <col min="5" max="5" width="12.33203125" customWidth="1"/>
    <col min="6" max="6" width="12.109375" customWidth="1"/>
    <col min="7" max="7" width="11.88671875" bestFit="1" customWidth="1"/>
  </cols>
  <sheetData>
    <row r="1" spans="1:10" x14ac:dyDescent="0.3">
      <c r="A1" s="25" t="s">
        <v>0</v>
      </c>
      <c r="B1" s="25"/>
      <c r="C1" s="25"/>
      <c r="F1" s="23" t="s">
        <v>38</v>
      </c>
      <c r="G1" s="23"/>
      <c r="H1" s="23"/>
      <c r="I1" s="23"/>
      <c r="J1" s="23"/>
    </row>
    <row r="2" spans="1:10" x14ac:dyDescent="0.3">
      <c r="A2" s="25" t="s">
        <v>1</v>
      </c>
      <c r="B2" s="2" t="s">
        <v>4</v>
      </c>
      <c r="C2" s="2">
        <v>448.89699999999999</v>
      </c>
      <c r="F2" s="23" t="s">
        <v>37</v>
      </c>
      <c r="G2" s="23"/>
      <c r="H2" s="26"/>
      <c r="I2" s="26"/>
      <c r="J2" s="26"/>
    </row>
    <row r="3" spans="1:10" x14ac:dyDescent="0.3">
      <c r="A3" s="25"/>
      <c r="B3" s="2" t="s">
        <v>5</v>
      </c>
      <c r="C3" s="2">
        <v>43.594999999999999</v>
      </c>
      <c r="F3" s="23" t="s">
        <v>46</v>
      </c>
      <c r="G3" s="23"/>
      <c r="H3" s="24"/>
      <c r="I3" s="24"/>
      <c r="J3" s="24"/>
    </row>
    <row r="4" spans="1:10" x14ac:dyDescent="0.3">
      <c r="A4" s="25" t="s">
        <v>2</v>
      </c>
      <c r="B4" s="2" t="s">
        <v>4</v>
      </c>
      <c r="C4" s="2">
        <v>404.95800000000003</v>
      </c>
    </row>
    <row r="5" spans="1:10" x14ac:dyDescent="0.3">
      <c r="A5" s="25"/>
      <c r="B5" s="2" t="s">
        <v>5</v>
      </c>
      <c r="C5" s="2">
        <v>191.72399999999999</v>
      </c>
    </row>
    <row r="6" spans="1:10" x14ac:dyDescent="0.3">
      <c r="A6" s="25" t="s">
        <v>3</v>
      </c>
      <c r="B6" s="2" t="s">
        <v>4</v>
      </c>
      <c r="C6" s="2">
        <v>358.86599999999999</v>
      </c>
    </row>
    <row r="7" spans="1:10" x14ac:dyDescent="0.3">
      <c r="A7" s="25"/>
      <c r="B7" s="2" t="s">
        <v>5</v>
      </c>
      <c r="C7" s="2">
        <v>314.46499999999997</v>
      </c>
    </row>
    <row r="8" spans="1:10" x14ac:dyDescent="0.3">
      <c r="A8" s="25" t="s">
        <v>19</v>
      </c>
      <c r="B8" s="25"/>
      <c r="C8" s="2">
        <v>200</v>
      </c>
    </row>
    <row r="9" spans="1:10" x14ac:dyDescent="0.3">
      <c r="A9" s="36" t="s">
        <v>6</v>
      </c>
      <c r="B9" s="36"/>
      <c r="C9" s="3">
        <f>C4-C2</f>
        <v>-43.938999999999965</v>
      </c>
    </row>
    <row r="10" spans="1:10" x14ac:dyDescent="0.3">
      <c r="A10" s="37" t="s">
        <v>7</v>
      </c>
      <c r="B10" s="37"/>
      <c r="C10" s="3">
        <f>C5-C3</f>
        <v>148.12899999999999</v>
      </c>
    </row>
    <row r="11" spans="1:10" x14ac:dyDescent="0.3">
      <c r="A11" s="38" t="s">
        <v>8</v>
      </c>
      <c r="B11" s="38"/>
      <c r="C11" s="4">
        <f>C6-C4</f>
        <v>-46.092000000000041</v>
      </c>
    </row>
    <row r="12" spans="1:10" x14ac:dyDescent="0.3">
      <c r="A12" s="38" t="s">
        <v>9</v>
      </c>
      <c r="B12" s="38"/>
      <c r="C12" s="4">
        <f>C7-C5</f>
        <v>122.74099999999999</v>
      </c>
    </row>
    <row r="13" spans="1:10" x14ac:dyDescent="0.3">
      <c r="A13" s="23" t="s">
        <v>10</v>
      </c>
      <c r="B13" s="23"/>
      <c r="C13" s="15">
        <f>SQRT(C9^2+C10^2)</f>
        <v>154.50836987684517</v>
      </c>
    </row>
    <row r="14" spans="1:10" x14ac:dyDescent="0.3">
      <c r="A14" s="23" t="s">
        <v>11</v>
      </c>
      <c r="B14" s="23"/>
      <c r="C14" s="15">
        <f>SQRT(C11^2+C12^2)</f>
        <v>131.10997500190442</v>
      </c>
    </row>
    <row r="15" spans="1:10" x14ac:dyDescent="0.3">
      <c r="A15" s="23" t="s">
        <v>12</v>
      </c>
      <c r="B15" s="23"/>
      <c r="C15" s="1">
        <f>(DEGREES(ATAN(C10/C9)))*(10/9)</f>
        <v>-81.642492356443043</v>
      </c>
      <c r="E15" s="19"/>
    </row>
    <row r="16" spans="1:10" x14ac:dyDescent="0.3">
      <c r="A16" s="23" t="s">
        <v>13</v>
      </c>
      <c r="B16" s="23"/>
      <c r="C16" s="1">
        <f>(DEGREES(ATAN(C12/C11)))*(10/9)</f>
        <v>-77.130795609059945</v>
      </c>
    </row>
    <row r="17" spans="1:6" x14ac:dyDescent="0.3">
      <c r="A17" s="23"/>
      <c r="B17" s="23"/>
      <c r="C17" s="8"/>
    </row>
    <row r="18" spans="1:6" x14ac:dyDescent="0.3">
      <c r="A18" s="27" t="s">
        <v>14</v>
      </c>
      <c r="B18" s="28"/>
      <c r="C18" s="7" t="s">
        <v>15</v>
      </c>
      <c r="D18" s="5" t="s">
        <v>16</v>
      </c>
      <c r="E18" s="5" t="s">
        <v>17</v>
      </c>
      <c r="F18" s="5" t="s">
        <v>18</v>
      </c>
    </row>
    <row r="19" spans="1:6" x14ac:dyDescent="0.3">
      <c r="A19" s="23" t="s">
        <v>12</v>
      </c>
      <c r="B19" s="23"/>
      <c r="C19" s="10">
        <f>IF(AND(C9&gt;0,C10&gt;0),0+C15,0)</f>
        <v>0</v>
      </c>
      <c r="D19" s="10">
        <f>(IF(AND(C9&lt;0,C10&gt;0),200+C15,0))</f>
        <v>118.35750764355696</v>
      </c>
      <c r="E19" s="10">
        <f>(IF(AND(C9&lt;0,C10&lt;0),200+C15,0))</f>
        <v>0</v>
      </c>
      <c r="F19" s="10">
        <f>(IF(AND(C9&gt;0,C10&lt;0),400+C15,0))</f>
        <v>0</v>
      </c>
    </row>
    <row r="20" spans="1:6" x14ac:dyDescent="0.3">
      <c r="A20" s="23" t="s">
        <v>13</v>
      </c>
      <c r="B20" s="23"/>
      <c r="C20" s="10">
        <f>IF(AND(C11&gt;0,C12&gt;0),0+C16,0)</f>
        <v>0</v>
      </c>
      <c r="D20" s="10">
        <f>(IF(AND(C11&lt;0,C12&gt;0),200+C16,0))</f>
        <v>122.86920439094006</v>
      </c>
      <c r="E20" s="10">
        <f>(IF(AND(C11&lt;0,C12&lt;0),200+C16,0))</f>
        <v>0</v>
      </c>
      <c r="F20" s="10">
        <f>(IF(AND(C11&gt;0,C12&lt;0),400+C16,0))</f>
        <v>0</v>
      </c>
    </row>
    <row r="21" spans="1:6" ht="15" customHeight="1" x14ac:dyDescent="0.3">
      <c r="A21" s="29" t="s">
        <v>51</v>
      </c>
      <c r="B21" s="29"/>
      <c r="C21" s="10">
        <f>((IF(SUM(C19,D19,E19,F19,)&lt;SUM(C20,D20,E20,F20),SUM(C20,D20,E20,F20)-SUM(C19,D19,E19,F19),SUM(C19,D19,E19,F19)-SUM(C20,D20,E20,F20)))/2)</f>
        <v>2.2558483736915491</v>
      </c>
      <c r="D21" s="30" t="s">
        <v>20</v>
      </c>
      <c r="E21" s="31"/>
      <c r="F21" s="32"/>
    </row>
    <row r="22" spans="1:6" x14ac:dyDescent="0.3">
      <c r="A22" s="29" t="s">
        <v>52</v>
      </c>
      <c r="B22" s="23"/>
      <c r="C22" s="11">
        <f>C8*TAN(RADIANS(C21*(9/10)))</f>
        <v>7.08992435292385</v>
      </c>
      <c r="D22" s="33"/>
      <c r="E22" s="34"/>
      <c r="F22" s="35"/>
    </row>
    <row r="23" spans="1:6" x14ac:dyDescent="0.3">
      <c r="A23" s="23" t="s">
        <v>48</v>
      </c>
      <c r="B23" s="23"/>
      <c r="C23" s="11">
        <f>C8*((1/COS(RADIANS(C21*(9/10))))-1)</f>
        <v>0.12562811226897175</v>
      </c>
      <c r="D23" s="33"/>
      <c r="E23" s="34"/>
      <c r="F23" s="35"/>
    </row>
    <row r="24" spans="1:6" x14ac:dyDescent="0.3">
      <c r="A24" s="23" t="s">
        <v>49</v>
      </c>
      <c r="B24" s="23"/>
      <c r="C24" s="11">
        <f>((PI())*C8*(C21*(9/10)))/90</f>
        <v>14.173913356803705</v>
      </c>
      <c r="D24" s="33"/>
      <c r="E24" s="34"/>
      <c r="F24" s="35"/>
    </row>
    <row r="25" spans="1:6" x14ac:dyDescent="0.3">
      <c r="A25" s="23" t="s">
        <v>50</v>
      </c>
      <c r="B25" s="23"/>
      <c r="C25" s="11">
        <f>2*C8*SIN(RADIANS(C21*(9/10)))</f>
        <v>14.170947359018818</v>
      </c>
      <c r="D25" s="33"/>
      <c r="E25" s="34"/>
      <c r="F25" s="35"/>
    </row>
    <row r="26" spans="1:6" x14ac:dyDescent="0.3">
      <c r="A26" s="25" t="s">
        <v>21</v>
      </c>
      <c r="B26" s="25"/>
      <c r="C26" s="25"/>
    </row>
    <row r="27" spans="1:6" x14ac:dyDescent="0.3">
      <c r="A27" s="23" t="s">
        <v>22</v>
      </c>
      <c r="B27" s="23"/>
      <c r="C27" s="11">
        <f>C13-C22</f>
        <v>147.41844552392132</v>
      </c>
    </row>
    <row r="28" spans="1:6" x14ac:dyDescent="0.3">
      <c r="A28" s="23" t="s">
        <v>23</v>
      </c>
      <c r="B28" s="23"/>
      <c r="C28" s="11">
        <f>C14-C22</f>
        <v>124.02005064898057</v>
      </c>
    </row>
    <row r="29" spans="1:6" x14ac:dyDescent="0.3">
      <c r="A29" s="23"/>
      <c r="B29" s="23"/>
      <c r="C29" s="11"/>
    </row>
    <row r="30" spans="1:6" x14ac:dyDescent="0.3">
      <c r="A30" s="23"/>
      <c r="B30" s="23"/>
      <c r="C30" s="11"/>
    </row>
    <row r="31" spans="1:6" x14ac:dyDescent="0.3">
      <c r="A31" s="26" t="s">
        <v>24</v>
      </c>
      <c r="B31" s="26"/>
      <c r="C31" s="2">
        <v>5900</v>
      </c>
    </row>
    <row r="32" spans="1:6" x14ac:dyDescent="0.3">
      <c r="A32" s="26" t="s">
        <v>39</v>
      </c>
      <c r="B32" s="26"/>
      <c r="C32" s="2">
        <v>10</v>
      </c>
    </row>
    <row r="33" spans="1:3" x14ac:dyDescent="0.3">
      <c r="A33" s="25" t="s">
        <v>40</v>
      </c>
      <c r="B33" s="25"/>
      <c r="C33" s="25"/>
    </row>
    <row r="34" spans="1:3" x14ac:dyDescent="0.3">
      <c r="A34" s="23" t="s">
        <v>32</v>
      </c>
      <c r="B34" s="23"/>
      <c r="C34" s="1">
        <f>C31</f>
        <v>5900</v>
      </c>
    </row>
    <row r="35" spans="1:3" x14ac:dyDescent="0.3">
      <c r="A35" s="23" t="s">
        <v>41</v>
      </c>
      <c r="B35" s="23"/>
      <c r="C35" s="11">
        <f>C34+C27</f>
        <v>6047.418445523921</v>
      </c>
    </row>
    <row r="36" spans="1:3" x14ac:dyDescent="0.3">
      <c r="A36" s="23" t="s">
        <v>42</v>
      </c>
      <c r="B36" s="23"/>
      <c r="C36" s="11">
        <f>C35+C24</f>
        <v>6061.5923588807245</v>
      </c>
    </row>
    <row r="37" spans="1:3" x14ac:dyDescent="0.3">
      <c r="A37" s="21" t="s">
        <v>43</v>
      </c>
      <c r="B37" s="22"/>
      <c r="C37" s="11">
        <f>C36+C28</f>
        <v>6185.6124095297055</v>
      </c>
    </row>
  </sheetData>
  <mergeCells count="40">
    <mergeCell ref="H2:J2"/>
    <mergeCell ref="F1:J1"/>
    <mergeCell ref="A1:C1"/>
    <mergeCell ref="A8:B8"/>
    <mergeCell ref="A17:B17"/>
    <mergeCell ref="A9:B9"/>
    <mergeCell ref="A10:B10"/>
    <mergeCell ref="A11:B11"/>
    <mergeCell ref="A12:B12"/>
    <mergeCell ref="A13:B13"/>
    <mergeCell ref="A14:B14"/>
    <mergeCell ref="A15:B15"/>
    <mergeCell ref="A16:B16"/>
    <mergeCell ref="A28:B28"/>
    <mergeCell ref="A30:B30"/>
    <mergeCell ref="A2:A3"/>
    <mergeCell ref="A4:A5"/>
    <mergeCell ref="F2:G2"/>
    <mergeCell ref="A26:C26"/>
    <mergeCell ref="A27:B27"/>
    <mergeCell ref="A22:B22"/>
    <mergeCell ref="A23:B23"/>
    <mergeCell ref="A24:B24"/>
    <mergeCell ref="A25:B25"/>
    <mergeCell ref="A37:B37"/>
    <mergeCell ref="F3:G3"/>
    <mergeCell ref="H3:J3"/>
    <mergeCell ref="A33:C33"/>
    <mergeCell ref="A34:B34"/>
    <mergeCell ref="A35:B35"/>
    <mergeCell ref="A36:B36"/>
    <mergeCell ref="A29:B29"/>
    <mergeCell ref="A31:B31"/>
    <mergeCell ref="A6:A7"/>
    <mergeCell ref="A19:B19"/>
    <mergeCell ref="A20:B20"/>
    <mergeCell ref="A18:B18"/>
    <mergeCell ref="A21:B21"/>
    <mergeCell ref="A32:B32"/>
    <mergeCell ref="D21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K17"/>
  <sheetViews>
    <sheetView workbookViewId="0">
      <selection activeCell="C17" sqref="C17"/>
    </sheetView>
  </sheetViews>
  <sheetFormatPr baseColWidth="10" defaultRowHeight="14.4" x14ac:dyDescent="0.3"/>
  <cols>
    <col min="4" max="4" width="13.33203125" bestFit="1" customWidth="1"/>
  </cols>
  <sheetData>
    <row r="1" spans="1:11" x14ac:dyDescent="0.3">
      <c r="A1" s="2" t="s">
        <v>25</v>
      </c>
      <c r="B1" s="2" t="s">
        <v>24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J1" s="16" t="s">
        <v>44</v>
      </c>
      <c r="K1" s="17">
        <f>'Planilla curva'!C35</f>
        <v>6047.418445523921</v>
      </c>
    </row>
    <row r="2" spans="1:11" x14ac:dyDescent="0.3">
      <c r="A2" s="2" t="s">
        <v>32</v>
      </c>
      <c r="B2" s="2">
        <f>'Planilla curva'!C31</f>
        <v>5900</v>
      </c>
      <c r="C2" s="1">
        <v>0</v>
      </c>
      <c r="D2" s="12">
        <f>'Planilla curva'!D19</f>
        <v>118.35750764355696</v>
      </c>
      <c r="E2" s="18">
        <f>C2*COS(RADIANS($D$2*(9/10)))</f>
        <v>0</v>
      </c>
      <c r="F2" s="18">
        <f>C2*SIN(RADIANS($D$2*(9/10)))</f>
        <v>0</v>
      </c>
      <c r="G2" s="11">
        <f>'Planilla curva'!C2</f>
        <v>448.89699999999999</v>
      </c>
      <c r="H2" s="11">
        <f>'Planilla curva'!C3</f>
        <v>43.594999999999999</v>
      </c>
    </row>
    <row r="3" spans="1:11" x14ac:dyDescent="0.3">
      <c r="A3" s="2"/>
      <c r="B3" s="2">
        <f>B2+'Planilla curva'!C32</f>
        <v>5910</v>
      </c>
      <c r="C3" s="1">
        <f>B3-$B$2</f>
        <v>10</v>
      </c>
      <c r="E3" s="11">
        <f t="shared" ref="E3:E17" si="0">C3*COS(RADIANS($D$2*(9/10)))</f>
        <v>-2.8437941604731605</v>
      </c>
      <c r="F3" s="11">
        <f>C3*SIN(RADIANS($D$2*(9/10)))</f>
        <v>9.5871181682953477</v>
      </c>
      <c r="G3" s="11">
        <f>$G$2+E3</f>
        <v>446.05320583952681</v>
      </c>
      <c r="H3" s="11">
        <f>$H$2+F3</f>
        <v>53.182118168295347</v>
      </c>
    </row>
    <row r="4" spans="1:11" x14ac:dyDescent="0.3">
      <c r="A4" s="2"/>
      <c r="B4" s="20">
        <v>5920</v>
      </c>
      <c r="C4" s="11">
        <f>B4-$B$2</f>
        <v>20</v>
      </c>
      <c r="E4" s="11">
        <f t="shared" si="0"/>
        <v>-5.6875883209463209</v>
      </c>
      <c r="F4" s="11">
        <f>C4*SIN(RADIANS($D$2*(9/10)))</f>
        <v>19.174236336590695</v>
      </c>
      <c r="G4" s="11">
        <f>$G$2+E4</f>
        <v>443.20941167905369</v>
      </c>
      <c r="H4" s="11">
        <f>$H$2+F4</f>
        <v>62.769236336590694</v>
      </c>
    </row>
    <row r="5" spans="1:11" x14ac:dyDescent="0.3">
      <c r="A5" s="2"/>
      <c r="B5" s="2">
        <v>5930</v>
      </c>
      <c r="C5" s="11">
        <f t="shared" ref="C5:C17" si="1">B5-$B$2</f>
        <v>30</v>
      </c>
      <c r="E5" s="11">
        <f t="shared" si="0"/>
        <v>-8.531382481419481</v>
      </c>
      <c r="F5" s="11">
        <f t="shared" ref="F5:F17" si="2">C5*SIN(RADIANS($D$2*(9/10)))</f>
        <v>28.761354504886043</v>
      </c>
      <c r="G5" s="11">
        <f t="shared" ref="G5:G17" si="3">$G$2+E5</f>
        <v>440.36561751858051</v>
      </c>
      <c r="H5" s="11">
        <f t="shared" ref="H5:H17" si="4">$H$2+F5</f>
        <v>72.356354504886042</v>
      </c>
    </row>
    <row r="6" spans="1:11" x14ac:dyDescent="0.3">
      <c r="A6" s="2"/>
      <c r="B6" s="2">
        <v>5940</v>
      </c>
      <c r="C6" s="11">
        <f t="shared" si="1"/>
        <v>40</v>
      </c>
      <c r="E6" s="11">
        <f t="shared" si="0"/>
        <v>-11.375176641892642</v>
      </c>
      <c r="F6" s="11">
        <f t="shared" si="2"/>
        <v>38.348472673181391</v>
      </c>
      <c r="G6" s="11">
        <f t="shared" si="3"/>
        <v>437.52182335810733</v>
      </c>
      <c r="H6" s="11">
        <f t="shared" si="4"/>
        <v>81.94347267318139</v>
      </c>
    </row>
    <row r="7" spans="1:11" x14ac:dyDescent="0.3">
      <c r="A7" s="2"/>
      <c r="B7" s="2">
        <v>5950</v>
      </c>
      <c r="C7" s="11">
        <f t="shared" si="1"/>
        <v>50</v>
      </c>
      <c r="E7" s="11">
        <f t="shared" si="0"/>
        <v>-14.218970802365801</v>
      </c>
      <c r="F7" s="11">
        <f t="shared" si="2"/>
        <v>47.935590841476738</v>
      </c>
      <c r="G7" s="11">
        <f t="shared" si="3"/>
        <v>434.6780291976342</v>
      </c>
      <c r="H7" s="11">
        <f t="shared" si="4"/>
        <v>91.530590841476737</v>
      </c>
    </row>
    <row r="8" spans="1:11" x14ac:dyDescent="0.3">
      <c r="A8" s="2"/>
      <c r="B8" s="2">
        <v>5960</v>
      </c>
      <c r="C8" s="11">
        <f t="shared" si="1"/>
        <v>60</v>
      </c>
      <c r="E8" s="11">
        <f t="shared" si="0"/>
        <v>-17.062764962838962</v>
      </c>
      <c r="F8" s="11">
        <f t="shared" si="2"/>
        <v>57.522709009772086</v>
      </c>
      <c r="G8" s="11">
        <f t="shared" si="3"/>
        <v>431.83423503716102</v>
      </c>
      <c r="H8" s="11">
        <f t="shared" si="4"/>
        <v>101.11770900977208</v>
      </c>
    </row>
    <row r="9" spans="1:11" x14ac:dyDescent="0.3">
      <c r="A9" s="2"/>
      <c r="B9" s="2">
        <v>5970</v>
      </c>
      <c r="C9" s="11">
        <f t="shared" si="1"/>
        <v>70</v>
      </c>
      <c r="E9" s="11">
        <f t="shared" si="0"/>
        <v>-19.906559123312121</v>
      </c>
      <c r="F9" s="11">
        <f t="shared" si="2"/>
        <v>67.109827178067434</v>
      </c>
      <c r="G9" s="11">
        <f t="shared" si="3"/>
        <v>428.9904408766879</v>
      </c>
      <c r="H9" s="11">
        <f t="shared" si="4"/>
        <v>110.70482717806743</v>
      </c>
    </row>
    <row r="10" spans="1:11" x14ac:dyDescent="0.3">
      <c r="A10" s="2"/>
      <c r="B10" s="2">
        <v>5980</v>
      </c>
      <c r="C10" s="11">
        <f t="shared" si="1"/>
        <v>80</v>
      </c>
      <c r="E10" s="11">
        <f t="shared" si="0"/>
        <v>-22.750353283785284</v>
      </c>
      <c r="F10" s="11">
        <f t="shared" si="2"/>
        <v>76.696945346362781</v>
      </c>
      <c r="G10" s="11">
        <f t="shared" si="3"/>
        <v>426.14664671621472</v>
      </c>
      <c r="H10" s="11">
        <f t="shared" si="4"/>
        <v>120.29194534636278</v>
      </c>
    </row>
    <row r="11" spans="1:11" x14ac:dyDescent="0.3">
      <c r="A11" s="2"/>
      <c r="B11" s="2">
        <v>5990</v>
      </c>
      <c r="C11" s="11">
        <f t="shared" si="1"/>
        <v>90</v>
      </c>
      <c r="E11" s="11">
        <f t="shared" si="0"/>
        <v>-25.594147444258443</v>
      </c>
      <c r="F11" s="11">
        <f t="shared" si="2"/>
        <v>86.284063514658129</v>
      </c>
      <c r="G11" s="11">
        <f t="shared" si="3"/>
        <v>423.30285255574154</v>
      </c>
      <c r="H11" s="11">
        <f t="shared" si="4"/>
        <v>129.87906351465813</v>
      </c>
    </row>
    <row r="12" spans="1:11" x14ac:dyDescent="0.3">
      <c r="A12" s="2"/>
      <c r="B12" s="2">
        <v>6000</v>
      </c>
      <c r="C12" s="11">
        <f t="shared" si="1"/>
        <v>100</v>
      </c>
      <c r="E12" s="11">
        <f t="shared" si="0"/>
        <v>-28.437941604731602</v>
      </c>
      <c r="F12" s="11">
        <f t="shared" si="2"/>
        <v>95.871181682953477</v>
      </c>
      <c r="G12" s="11">
        <f t="shared" si="3"/>
        <v>420.45905839526841</v>
      </c>
      <c r="H12" s="11">
        <f t="shared" si="4"/>
        <v>139.46618168295348</v>
      </c>
    </row>
    <row r="13" spans="1:11" x14ac:dyDescent="0.3">
      <c r="A13" s="2"/>
      <c r="B13" s="2">
        <v>6010</v>
      </c>
      <c r="C13" s="11">
        <f t="shared" si="1"/>
        <v>110</v>
      </c>
      <c r="E13" s="11">
        <f t="shared" si="0"/>
        <v>-31.281735765204765</v>
      </c>
      <c r="F13" s="11">
        <f t="shared" si="2"/>
        <v>105.45829985124882</v>
      </c>
      <c r="G13" s="11">
        <f t="shared" si="3"/>
        <v>417.61526423479523</v>
      </c>
      <c r="H13" s="11">
        <f t="shared" si="4"/>
        <v>149.05329985124882</v>
      </c>
    </row>
    <row r="14" spans="1:11" x14ac:dyDescent="0.3">
      <c r="A14" s="2"/>
      <c r="B14" s="2">
        <v>6020</v>
      </c>
      <c r="C14" s="11">
        <f t="shared" si="1"/>
        <v>120</v>
      </c>
      <c r="E14" s="11">
        <f t="shared" si="0"/>
        <v>-34.125529925677924</v>
      </c>
      <c r="F14" s="11">
        <f t="shared" si="2"/>
        <v>115.04541801954417</v>
      </c>
      <c r="G14" s="11">
        <f t="shared" si="3"/>
        <v>414.77147007432205</v>
      </c>
      <c r="H14" s="11">
        <f t="shared" si="4"/>
        <v>158.64041801954417</v>
      </c>
    </row>
    <row r="15" spans="1:11" x14ac:dyDescent="0.3">
      <c r="A15" s="2"/>
      <c r="B15" s="2">
        <v>6030</v>
      </c>
      <c r="C15" s="11">
        <f t="shared" si="1"/>
        <v>130</v>
      </c>
      <c r="E15" s="11">
        <f t="shared" si="0"/>
        <v>-36.969324086151083</v>
      </c>
      <c r="F15" s="11">
        <f t="shared" si="2"/>
        <v>124.63253618783952</v>
      </c>
      <c r="G15" s="11">
        <f t="shared" si="3"/>
        <v>411.92767591384893</v>
      </c>
      <c r="H15" s="11">
        <f t="shared" si="4"/>
        <v>168.22753618783952</v>
      </c>
    </row>
    <row r="16" spans="1:11" x14ac:dyDescent="0.3">
      <c r="A16" s="2"/>
      <c r="B16" s="2">
        <v>6040</v>
      </c>
      <c r="C16" s="11">
        <f t="shared" si="1"/>
        <v>140</v>
      </c>
      <c r="E16" s="11">
        <f t="shared" si="0"/>
        <v>-39.813118246624242</v>
      </c>
      <c r="F16" s="11">
        <f t="shared" si="2"/>
        <v>134.21965435613487</v>
      </c>
      <c r="G16" s="11">
        <f t="shared" si="3"/>
        <v>409.08388175337575</v>
      </c>
      <c r="H16" s="11">
        <f t="shared" si="4"/>
        <v>177.81465435613487</v>
      </c>
    </row>
    <row r="17" spans="1:8" x14ac:dyDescent="0.3">
      <c r="A17" s="2" t="s">
        <v>33</v>
      </c>
      <c r="B17" s="13">
        <f>K1</f>
        <v>6047.418445523921</v>
      </c>
      <c r="C17" s="11">
        <f t="shared" si="1"/>
        <v>147.41844552392104</v>
      </c>
      <c r="E17" s="11">
        <f t="shared" si="0"/>
        <v>-41.922771452695734</v>
      </c>
      <c r="F17" s="11">
        <f t="shared" si="2"/>
        <v>141.33180574242414</v>
      </c>
      <c r="G17" s="11">
        <f t="shared" si="3"/>
        <v>406.97422854730428</v>
      </c>
      <c r="H17" s="11">
        <f t="shared" si="4"/>
        <v>184.92680574242414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5"/>
  <sheetViews>
    <sheetView workbookViewId="0">
      <selection activeCell="I2" sqref="I2"/>
    </sheetView>
  </sheetViews>
  <sheetFormatPr baseColWidth="10" defaultRowHeight="14.4" x14ac:dyDescent="0.3"/>
  <cols>
    <col min="6" max="6" width="16" customWidth="1"/>
  </cols>
  <sheetData>
    <row r="1" spans="1:13" x14ac:dyDescent="0.3">
      <c r="A1" s="2" t="s">
        <v>25</v>
      </c>
      <c r="B1" s="2" t="s">
        <v>24</v>
      </c>
      <c r="C1" s="6" t="s">
        <v>34</v>
      </c>
      <c r="D1" s="6" t="s">
        <v>35</v>
      </c>
      <c r="E1" s="6" t="s">
        <v>26</v>
      </c>
      <c r="F1" s="9" t="s">
        <v>27</v>
      </c>
      <c r="G1" s="6" t="s">
        <v>28</v>
      </c>
      <c r="H1" s="6" t="s">
        <v>29</v>
      </c>
      <c r="I1" s="6" t="s">
        <v>4</v>
      </c>
      <c r="J1" s="6" t="s">
        <v>5</v>
      </c>
      <c r="L1" s="16" t="s">
        <v>45</v>
      </c>
      <c r="M1" s="17">
        <f>'Planilla curva'!C36</f>
        <v>6061.5923588807245</v>
      </c>
    </row>
    <row r="2" spans="1:13" x14ac:dyDescent="0.3">
      <c r="A2" s="2" t="s">
        <v>33</v>
      </c>
      <c r="B2" s="13">
        <f>'Planilla curva'!C35</f>
        <v>6047.418445523921</v>
      </c>
      <c r="C2" s="1">
        <v>0</v>
      </c>
      <c r="D2" s="1">
        <f>(100*C2)/(PI()*'Planilla curva'!$C$8)</f>
        <v>0</v>
      </c>
      <c r="E2" s="11">
        <f>(2*'Planilla curva'!$C$8*SIN(RADIANS(D2*9/10)))</f>
        <v>0</v>
      </c>
      <c r="F2" s="14">
        <f>'Planilla curva'!$D$19+D2</f>
        <v>118.35750764355696</v>
      </c>
      <c r="G2" s="1">
        <f>COS(RADIANS(F2*(9/10)))*E2</f>
        <v>0</v>
      </c>
      <c r="H2" s="1">
        <f>SIN(RADIANS(F2*(9/10)))*E2</f>
        <v>0</v>
      </c>
      <c r="I2" s="11">
        <f>'LR ENTRADA'!G17</f>
        <v>406.97422854730428</v>
      </c>
      <c r="J2" s="11">
        <f>'LR ENTRADA'!H17</f>
        <v>184.92680574242414</v>
      </c>
    </row>
    <row r="3" spans="1:13" x14ac:dyDescent="0.3">
      <c r="A3" s="2"/>
      <c r="B3" s="2">
        <v>6050</v>
      </c>
      <c r="C3" s="11">
        <f>B3-$B$2</f>
        <v>2.5815544760789635</v>
      </c>
      <c r="D3" s="10">
        <f>(100*C3)/(PI()*'Planilla curva'!$C$8)</f>
        <v>0.41086715572897509</v>
      </c>
      <c r="E3" s="11">
        <f>(2*'Planilla curva'!$C$8*SIN(RADIANS(D3*9/10)))</f>
        <v>2.581536554686755</v>
      </c>
      <c r="F3" s="14">
        <f>'Planilla curva'!$D$19+D3</f>
        <v>118.76837479928594</v>
      </c>
      <c r="G3" s="11">
        <f t="shared" ref="G3:G5" si="0">COS(RADIANS(F3*(9/10)))*E3</f>
        <v>-0.75009350079093995</v>
      </c>
      <c r="H3" s="11">
        <f t="shared" ref="H3:H5" si="1">SIN(RADIANS(F3*(9/10)))*E3</f>
        <v>2.4701600602501759</v>
      </c>
      <c r="I3" s="11">
        <f>$I$2+G3</f>
        <v>406.22413504651331</v>
      </c>
      <c r="J3" s="11">
        <f>$J$2+H3</f>
        <v>187.39696580267432</v>
      </c>
    </row>
    <row r="4" spans="1:13" x14ac:dyDescent="0.3">
      <c r="A4" s="2"/>
      <c r="B4" s="2">
        <v>6061</v>
      </c>
      <c r="C4" s="11">
        <f t="shared" ref="C4:C5" si="2">B4-$B$2</f>
        <v>13.581554476078963</v>
      </c>
      <c r="D4" s="10">
        <f>(100*C4)/(PI()*'Planilla curva'!$C$8)</f>
        <v>2.1615715297398239</v>
      </c>
      <c r="E4" s="11">
        <f>(2*'Planilla curva'!$C$8*SIN(RADIANS(D4*9/10)))</f>
        <v>13.57894500689458</v>
      </c>
      <c r="F4" s="14">
        <f>'Planilla curva'!$D$19+D4</f>
        <v>120.51907917329677</v>
      </c>
      <c r="G4" s="11">
        <f t="shared" si="0"/>
        <v>-4.3012835079185949</v>
      </c>
      <c r="H4" s="11">
        <f t="shared" si="1"/>
        <v>12.879701381816846</v>
      </c>
      <c r="I4" s="11">
        <f t="shared" ref="I4:I5" si="3">$I$2+G4</f>
        <v>402.6729450393857</v>
      </c>
      <c r="J4" s="11">
        <f t="shared" ref="J4:J5" si="4">$J$2+H4</f>
        <v>197.80650712424099</v>
      </c>
    </row>
    <row r="5" spans="1:13" x14ac:dyDescent="0.3">
      <c r="A5" s="2" t="s">
        <v>36</v>
      </c>
      <c r="B5" s="13">
        <f>M1</f>
        <v>6061.5923588807245</v>
      </c>
      <c r="C5" s="11">
        <f t="shared" si="2"/>
        <v>14.173913356803496</v>
      </c>
      <c r="D5" s="10">
        <f>(100*C5)/(PI()*'Planilla curva'!$C$8)</f>
        <v>2.2558483736915154</v>
      </c>
      <c r="E5" s="11">
        <f>(2*'Planilla curva'!$C$8*SIN(RADIANS(D5*9/10)))</f>
        <v>14.170947359018605</v>
      </c>
      <c r="F5" s="14">
        <f>'Planilla curva'!$D$19+D5</f>
        <v>120.61335601724848</v>
      </c>
      <c r="G5" s="11">
        <f t="shared" si="0"/>
        <v>-4.5087070430876111</v>
      </c>
      <c r="H5" s="11">
        <f t="shared" si="1"/>
        <v>13.434556555826045</v>
      </c>
      <c r="I5" s="11">
        <f t="shared" si="3"/>
        <v>402.46552150421667</v>
      </c>
      <c r="J5" s="11">
        <f t="shared" si="4"/>
        <v>198.36136229825019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K15"/>
  <sheetViews>
    <sheetView workbookViewId="0">
      <selection activeCell="D2" sqref="D2"/>
    </sheetView>
  </sheetViews>
  <sheetFormatPr baseColWidth="10" defaultRowHeight="14.4" x14ac:dyDescent="0.3"/>
  <sheetData>
    <row r="1" spans="1:11" x14ac:dyDescent="0.3">
      <c r="A1" s="2" t="s">
        <v>25</v>
      </c>
      <c r="B1" s="2" t="s">
        <v>24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J1" s="16" t="s">
        <v>47</v>
      </c>
      <c r="K1" s="17">
        <f>'Planilla curva'!C37</f>
        <v>6185.6124095297055</v>
      </c>
    </row>
    <row r="2" spans="1:11" x14ac:dyDescent="0.3">
      <c r="A2" s="2" t="s">
        <v>36</v>
      </c>
      <c r="B2" s="13">
        <f>'Planilla curva'!C36</f>
        <v>6061.5923588807245</v>
      </c>
      <c r="C2" s="1">
        <v>0</v>
      </c>
      <c r="D2" s="10">
        <f>'Planilla curva'!D20</f>
        <v>122.86920439094006</v>
      </c>
      <c r="E2" s="1">
        <f>C2*COS(RADIANS($D$2*(9/10)))</f>
        <v>0</v>
      </c>
      <c r="F2" s="1">
        <f>C2*SIN(RADIANS($D$2*(9/10)))</f>
        <v>0</v>
      </c>
      <c r="G2" s="11">
        <f>'CURVA CIRCULAR'!I5</f>
        <v>402.46552150421667</v>
      </c>
      <c r="H2" s="11">
        <f>'CURVA CIRCULAR'!J5</f>
        <v>198.36136229825019</v>
      </c>
    </row>
    <row r="3" spans="1:11" x14ac:dyDescent="0.3">
      <c r="A3" s="2"/>
      <c r="B3" s="2">
        <v>6070</v>
      </c>
      <c r="C3" s="11">
        <f>B3-$B$2</f>
        <v>8.4076411192754676</v>
      </c>
      <c r="E3" s="11">
        <f t="shared" ref="E3:E15" si="0">C3*COS(RADIANS($D$2*(9/10)))</f>
        <v>-2.9557247224249421</v>
      </c>
      <c r="F3" s="11">
        <f t="shared" ref="F3:F15" si="1">C3*SIN(RADIANS($D$2*(9/10)))</f>
        <v>7.8709669390601329</v>
      </c>
      <c r="G3" s="11">
        <f>$G$2+E3</f>
        <v>399.50979678179175</v>
      </c>
      <c r="H3" s="11">
        <f>$H$2+F3</f>
        <v>206.23232923731032</v>
      </c>
    </row>
    <row r="4" spans="1:11" x14ac:dyDescent="0.3">
      <c r="A4" s="2"/>
      <c r="B4" s="2">
        <v>6080</v>
      </c>
      <c r="C4" s="11">
        <f t="shared" ref="C4:C15" si="2">B4-$B$2</f>
        <v>18.407641119275468</v>
      </c>
      <c r="E4" s="11">
        <f t="shared" si="0"/>
        <v>-6.4712467106894138</v>
      </c>
      <c r="F4" s="11">
        <f t="shared" si="1"/>
        <v>17.232649755201095</v>
      </c>
      <c r="G4" s="11">
        <f t="shared" ref="G4:G15" si="3">$G$2+E4</f>
        <v>395.99427479352727</v>
      </c>
      <c r="H4" s="11">
        <f t="shared" ref="H4:H15" si="4">$H$2+F4</f>
        <v>215.59401205345128</v>
      </c>
    </row>
    <row r="5" spans="1:11" x14ac:dyDescent="0.3">
      <c r="A5" s="2"/>
      <c r="B5" s="2">
        <v>6090</v>
      </c>
      <c r="C5" s="11">
        <f t="shared" si="2"/>
        <v>28.407641119275468</v>
      </c>
      <c r="E5" s="11">
        <f t="shared" si="0"/>
        <v>-9.9867686989538846</v>
      </c>
      <c r="F5" s="11">
        <f t="shared" si="1"/>
        <v>26.594332571342061</v>
      </c>
      <c r="G5" s="11">
        <f t="shared" si="3"/>
        <v>392.47875280526279</v>
      </c>
      <c r="H5" s="11">
        <f t="shared" si="4"/>
        <v>224.95569486959224</v>
      </c>
    </row>
    <row r="6" spans="1:11" x14ac:dyDescent="0.3">
      <c r="A6" s="2"/>
      <c r="B6" s="2">
        <v>6100</v>
      </c>
      <c r="C6" s="11">
        <f t="shared" si="2"/>
        <v>38.407641119275468</v>
      </c>
      <c r="E6" s="11">
        <f t="shared" si="0"/>
        <v>-13.502290687218357</v>
      </c>
      <c r="F6" s="11">
        <f t="shared" si="1"/>
        <v>35.956015387483021</v>
      </c>
      <c r="G6" s="11">
        <f t="shared" si="3"/>
        <v>388.9632308169983</v>
      </c>
      <c r="H6" s="11">
        <f t="shared" si="4"/>
        <v>234.31737768573322</v>
      </c>
    </row>
    <row r="7" spans="1:11" x14ac:dyDescent="0.3">
      <c r="A7" s="2"/>
      <c r="B7" s="2">
        <v>6110</v>
      </c>
      <c r="C7" s="11">
        <f t="shared" si="2"/>
        <v>48.407641119275468</v>
      </c>
      <c r="E7" s="11">
        <f t="shared" si="0"/>
        <v>-17.01781267548283</v>
      </c>
      <c r="F7" s="11">
        <f t="shared" si="1"/>
        <v>45.317698203623991</v>
      </c>
      <c r="G7" s="11">
        <f t="shared" si="3"/>
        <v>385.44770882873382</v>
      </c>
      <c r="H7" s="11">
        <f t="shared" si="4"/>
        <v>243.67906050187418</v>
      </c>
    </row>
    <row r="8" spans="1:11" x14ac:dyDescent="0.3">
      <c r="A8" s="2"/>
      <c r="B8" s="2">
        <v>6120</v>
      </c>
      <c r="C8" s="11">
        <f t="shared" si="2"/>
        <v>58.407641119275468</v>
      </c>
      <c r="E8" s="11">
        <f t="shared" si="0"/>
        <v>-20.533334663747301</v>
      </c>
      <c r="F8" s="11">
        <f t="shared" si="1"/>
        <v>54.679381019764953</v>
      </c>
      <c r="G8" s="11">
        <f t="shared" si="3"/>
        <v>381.93218684046934</v>
      </c>
      <c r="H8" s="11">
        <f t="shared" si="4"/>
        <v>253.04074331801513</v>
      </c>
    </row>
    <row r="9" spans="1:11" x14ac:dyDescent="0.3">
      <c r="A9" s="2"/>
      <c r="B9" s="2">
        <v>6130</v>
      </c>
      <c r="C9" s="11">
        <f t="shared" si="2"/>
        <v>68.407641119275468</v>
      </c>
      <c r="E9" s="11">
        <f t="shared" si="0"/>
        <v>-24.048856652011771</v>
      </c>
      <c r="F9" s="11">
        <f t="shared" si="1"/>
        <v>64.041063835905916</v>
      </c>
      <c r="G9" s="11">
        <f t="shared" si="3"/>
        <v>378.41666485220492</v>
      </c>
      <c r="H9" s="11">
        <f t="shared" si="4"/>
        <v>262.40242613415609</v>
      </c>
    </row>
    <row r="10" spans="1:11" x14ac:dyDescent="0.3">
      <c r="A10" s="2"/>
      <c r="B10" s="2">
        <v>6140</v>
      </c>
      <c r="C10" s="11">
        <f t="shared" si="2"/>
        <v>78.407641119275468</v>
      </c>
      <c r="E10" s="11">
        <f t="shared" si="0"/>
        <v>-27.564378640276242</v>
      </c>
      <c r="F10" s="11">
        <f t="shared" si="1"/>
        <v>73.402746652046872</v>
      </c>
      <c r="G10" s="11">
        <f t="shared" si="3"/>
        <v>374.90114286394044</v>
      </c>
      <c r="H10" s="11">
        <f t="shared" si="4"/>
        <v>271.76410895029704</v>
      </c>
    </row>
    <row r="11" spans="1:11" x14ac:dyDescent="0.3">
      <c r="A11" s="2"/>
      <c r="B11" s="2">
        <v>6150</v>
      </c>
      <c r="C11" s="11">
        <f t="shared" si="2"/>
        <v>88.407641119275468</v>
      </c>
      <c r="E11" s="11">
        <f t="shared" si="0"/>
        <v>-31.079900628540717</v>
      </c>
      <c r="F11" s="11">
        <f t="shared" si="1"/>
        <v>82.764429468187842</v>
      </c>
      <c r="G11" s="11">
        <f t="shared" si="3"/>
        <v>371.38562087567595</v>
      </c>
      <c r="H11" s="11">
        <f t="shared" si="4"/>
        <v>281.12579176643806</v>
      </c>
    </row>
    <row r="12" spans="1:11" x14ac:dyDescent="0.3">
      <c r="A12" s="2"/>
      <c r="B12" s="2">
        <v>6160</v>
      </c>
      <c r="C12" s="11">
        <f t="shared" si="2"/>
        <v>98.407641119275468</v>
      </c>
      <c r="E12" s="11">
        <f t="shared" si="0"/>
        <v>-34.595422616805187</v>
      </c>
      <c r="F12" s="11">
        <f t="shared" si="1"/>
        <v>92.126112284328812</v>
      </c>
      <c r="G12" s="11">
        <f t="shared" si="3"/>
        <v>367.87009888741147</v>
      </c>
      <c r="H12" s="11">
        <f t="shared" si="4"/>
        <v>290.48747458257901</v>
      </c>
    </row>
    <row r="13" spans="1:11" x14ac:dyDescent="0.3">
      <c r="A13" s="2"/>
      <c r="B13" s="2">
        <v>6170</v>
      </c>
      <c r="C13" s="11">
        <f t="shared" si="2"/>
        <v>108.40764111927547</v>
      </c>
      <c r="E13" s="11">
        <f t="shared" si="0"/>
        <v>-38.110944605069662</v>
      </c>
      <c r="F13" s="11">
        <f t="shared" si="1"/>
        <v>101.48779510046977</v>
      </c>
      <c r="G13" s="11">
        <f t="shared" si="3"/>
        <v>364.35457689914699</v>
      </c>
      <c r="H13" s="11">
        <f t="shared" si="4"/>
        <v>299.84915739871997</v>
      </c>
    </row>
    <row r="14" spans="1:11" x14ac:dyDescent="0.3">
      <c r="A14" s="2"/>
      <c r="B14" s="2">
        <v>6180</v>
      </c>
      <c r="C14" s="11">
        <f t="shared" si="2"/>
        <v>118.40764111927547</v>
      </c>
      <c r="E14" s="11">
        <f t="shared" si="0"/>
        <v>-41.626466593334129</v>
      </c>
      <c r="F14" s="11">
        <f t="shared" si="1"/>
        <v>110.84947791661074</v>
      </c>
      <c r="G14" s="11">
        <f t="shared" si="3"/>
        <v>360.83905491088251</v>
      </c>
      <c r="H14" s="11">
        <f t="shared" si="4"/>
        <v>309.21084021486092</v>
      </c>
    </row>
    <row r="15" spans="1:11" x14ac:dyDescent="0.3">
      <c r="A15" s="2" t="s">
        <v>43</v>
      </c>
      <c r="B15" s="13">
        <f>K1</f>
        <v>6185.6124095297055</v>
      </c>
      <c r="C15" s="11">
        <f t="shared" si="2"/>
        <v>124.02005064898094</v>
      </c>
      <c r="E15" s="11">
        <f t="shared" si="0"/>
        <v>-43.599521504216597</v>
      </c>
      <c r="F15" s="11">
        <f t="shared" si="1"/>
        <v>116.10363770174969</v>
      </c>
      <c r="G15" s="11">
        <f t="shared" si="3"/>
        <v>358.8660000000001</v>
      </c>
      <c r="H15" s="11">
        <f t="shared" si="4"/>
        <v>314.46499999999986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Planilla curva</vt:lpstr>
      <vt:lpstr>LR ENTRADA</vt:lpstr>
      <vt:lpstr>CURVA CIRCULAR</vt:lpstr>
      <vt:lpstr>LR 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2022-03-18T19:50:26Z</dcterms:modified>
</cp:coreProperties>
</file>