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CE6F" lockStructure="1"/>
  <bookViews>
    <workbookView xWindow="7665" yWindow="-210" windowWidth="11445" windowHeight="9840" activeTab="2"/>
  </bookViews>
  <sheets>
    <sheet name="Team Setup" sheetId="16" r:id="rId1"/>
    <sheet name="Group Stages" sheetId="1" r:id="rId2"/>
    <sheet name="Knock Out Phase" sheetId="15" r:id="rId3"/>
    <sheet name="Team Info" sheetId="17" r:id="rId4"/>
    <sheet name="Team History" sheetId="21" r:id="rId5"/>
    <sheet name="About" sheetId="19" r:id="rId6"/>
    <sheet name="Dummy Table" sheetId="2" state="hidden" r:id="rId7"/>
  </sheets>
  <externalReferences>
    <externalReference r:id="rId8"/>
  </externalReferences>
  <definedNames>
    <definedName name="GroupMatch">'Team Info'!$AT$6:$AT$17</definedName>
    <definedName name="Holiday">'[1]Exam-Holiday-Event'!$D$3:$D$32</definedName>
    <definedName name="_xlnm.Print_Area" localSheetId="1">'Group Stages'!$B$2:$AA$107</definedName>
    <definedName name="_xlnm.Print_Area" localSheetId="2">'Knock Out Phase'!$B$2:$AF$166</definedName>
    <definedName name="_xlnm.Print_Area" localSheetId="3">'Team Info'!$B$2:$AQ$43</definedName>
    <definedName name="_xlnm.Print_Area" localSheetId="0">'Team Setup'!$A$4:$L$36</definedName>
    <definedName name="Quarters">'Team Info'!$AT$27:$AT$30</definedName>
    <definedName name="RoundMatch">'Team Info'!$AT$19:$AT$26</definedName>
    <definedName name="Semis">'Team Info'!$AT$31:$AT$34</definedName>
    <definedName name="Team">'Team Setup'!$B$5:$B$36</definedName>
    <definedName name="TeamGroupMatch">'Team Info'!$F$14:$F$19</definedName>
  </definedNames>
  <calcPr calcId="145621"/>
</workbook>
</file>

<file path=xl/calcChain.xml><?xml version="1.0" encoding="utf-8"?>
<calcChain xmlns="http://schemas.openxmlformats.org/spreadsheetml/2006/main">
  <c r="AJ36" i="2" l="1"/>
  <c r="G36" i="16" l="1"/>
  <c r="G35" i="16"/>
  <c r="G34" i="16"/>
  <c r="G33" i="16"/>
  <c r="G32" i="16"/>
  <c r="G31" i="16"/>
  <c r="G30" i="16"/>
  <c r="G29" i="16"/>
  <c r="G28" i="16"/>
  <c r="G27" i="16"/>
  <c r="G26" i="16"/>
  <c r="G25" i="16"/>
  <c r="G24" i="16"/>
  <c r="G23" i="16"/>
  <c r="G22" i="16"/>
  <c r="G21" i="16"/>
  <c r="G20" i="16"/>
  <c r="G19" i="16"/>
  <c r="G18" i="16"/>
  <c r="G17" i="16"/>
  <c r="G16" i="16"/>
  <c r="G15" i="16"/>
  <c r="G14" i="16"/>
  <c r="G13" i="16"/>
  <c r="G12" i="16"/>
  <c r="G11" i="16"/>
  <c r="G10" i="16"/>
  <c r="G9" i="16"/>
  <c r="G8" i="16"/>
  <c r="G7" i="16"/>
  <c r="G6" i="16"/>
  <c r="G5" i="16"/>
  <c r="X35" i="2" l="1"/>
  <c r="X34" i="2"/>
  <c r="X33" i="2"/>
  <c r="X32" i="2"/>
  <c r="X31" i="2"/>
  <c r="X30" i="2"/>
  <c r="X29" i="2"/>
  <c r="X28" i="2"/>
  <c r="X27" i="2"/>
  <c r="X26" i="2"/>
  <c r="X25" i="2"/>
  <c r="X24" i="2"/>
  <c r="X23" i="2"/>
  <c r="X22" i="2"/>
  <c r="X21" i="2"/>
  <c r="X20" i="2"/>
  <c r="X19" i="2"/>
  <c r="X18" i="2"/>
  <c r="X17" i="2"/>
  <c r="X16" i="2"/>
  <c r="X15" i="2"/>
  <c r="X14" i="2"/>
  <c r="X13" i="2"/>
  <c r="X12" i="2"/>
  <c r="X11" i="2"/>
  <c r="X10" i="2"/>
  <c r="X9" i="2"/>
  <c r="X8" i="2"/>
  <c r="X7" i="2"/>
  <c r="X6" i="2"/>
  <c r="X5" i="2"/>
  <c r="X4" i="2"/>
  <c r="CN12" i="2" l="1"/>
  <c r="CN8" i="2"/>
  <c r="CU33" i="2"/>
  <c r="CT33" i="2"/>
  <c r="CU32" i="2"/>
  <c r="CT32" i="2"/>
  <c r="CU29" i="2"/>
  <c r="CT29" i="2"/>
  <c r="CU28" i="2"/>
  <c r="CT28" i="2"/>
  <c r="CU25" i="2"/>
  <c r="CT25" i="2"/>
  <c r="CU24" i="2"/>
  <c r="CT24" i="2"/>
  <c r="CU21" i="2"/>
  <c r="CT21" i="2"/>
  <c r="CU20" i="2"/>
  <c r="CT20" i="2"/>
  <c r="CU17" i="2"/>
  <c r="CT17" i="2"/>
  <c r="CU16" i="2"/>
  <c r="CT16" i="2"/>
  <c r="CU13" i="2"/>
  <c r="CU12" i="2"/>
  <c r="CU9" i="2"/>
  <c r="CU8" i="2"/>
  <c r="CU5" i="2"/>
  <c r="CU4" i="2"/>
  <c r="CT13" i="2"/>
  <c r="CT12" i="2"/>
  <c r="CT9" i="2"/>
  <c r="CT8" i="2"/>
  <c r="CT5" i="2"/>
  <c r="CT4" i="2"/>
  <c r="CN35" i="2"/>
  <c r="CN34" i="2"/>
  <c r="CN33" i="2"/>
  <c r="CN32" i="2"/>
  <c r="CN31" i="2"/>
  <c r="CN30" i="2"/>
  <c r="CN29" i="2"/>
  <c r="CN28" i="2"/>
  <c r="CN27" i="2"/>
  <c r="CN26" i="2"/>
  <c r="CN25" i="2"/>
  <c r="CN24" i="2"/>
  <c r="CN23" i="2"/>
  <c r="CN22" i="2"/>
  <c r="CN21" i="2"/>
  <c r="CN20" i="2"/>
  <c r="CN19" i="2"/>
  <c r="CN18" i="2"/>
  <c r="CN17" i="2"/>
  <c r="CN16" i="2"/>
  <c r="CN15" i="2"/>
  <c r="CN13" i="2"/>
  <c r="CN11" i="2"/>
  <c r="CN10" i="2"/>
  <c r="CN9" i="2"/>
  <c r="CN7" i="2"/>
  <c r="CN6" i="2"/>
  <c r="CN5" i="2"/>
  <c r="CN4" i="2"/>
  <c r="CN14" i="2"/>
  <c r="AK31" i="17" l="1"/>
  <c r="AC31" i="17"/>
  <c r="U31" i="17"/>
  <c r="AK22" i="17"/>
  <c r="AC22" i="17"/>
  <c r="U22" i="17"/>
  <c r="AK13" i="17"/>
  <c r="AC13" i="17"/>
  <c r="U13" i="17"/>
  <c r="AK4" i="17"/>
  <c r="U4" i="17"/>
  <c r="AC4" i="17"/>
  <c r="H179" i="15" l="1"/>
  <c r="H180" i="15"/>
  <c r="H177" i="15"/>
  <c r="H178" i="15"/>
  <c r="H176" i="15"/>
  <c r="H174" i="15"/>
  <c r="H175" i="15"/>
  <c r="AX20" i="17" l="1"/>
  <c r="BA20" i="17"/>
  <c r="AZ20" i="17"/>
  <c r="R157" i="15"/>
  <c r="P157" i="15"/>
  <c r="BO20" i="17"/>
  <c r="BN20" i="17"/>
  <c r="BO19" i="17"/>
  <c r="BN19" i="17"/>
  <c r="BO18" i="17"/>
  <c r="BN18" i="17"/>
  <c r="BO17" i="17"/>
  <c r="BO16" i="17"/>
  <c r="BO15" i="17"/>
  <c r="BO14" i="17"/>
  <c r="BN17" i="17"/>
  <c r="BN16" i="17"/>
  <c r="BN15" i="17"/>
  <c r="BN14" i="17"/>
  <c r="BF19" i="17"/>
  <c r="BF18" i="17"/>
  <c r="BF17" i="17"/>
  <c r="BF16" i="17"/>
  <c r="BF15" i="17"/>
  <c r="BF14" i="17"/>
  <c r="BE19" i="17"/>
  <c r="BE18" i="17"/>
  <c r="BE17" i="17"/>
  <c r="BE16" i="17"/>
  <c r="BE15" i="17"/>
  <c r="BE14" i="17"/>
  <c r="BO13" i="17"/>
  <c r="BO12" i="17"/>
  <c r="BO11" i="17"/>
  <c r="BO10" i="17"/>
  <c r="BO9" i="17"/>
  <c r="BO8" i="17"/>
  <c r="BO7" i="17"/>
  <c r="BN13" i="17"/>
  <c r="BN12" i="17"/>
  <c r="BN11" i="17"/>
  <c r="BN10" i="17"/>
  <c r="BN9" i="17"/>
  <c r="BN8" i="17"/>
  <c r="BN7" i="17"/>
  <c r="BO6" i="17"/>
  <c r="BN6" i="17"/>
  <c r="BF13" i="17"/>
  <c r="BF12" i="17"/>
  <c r="BF11" i="17"/>
  <c r="BF10" i="17"/>
  <c r="BF9" i="17"/>
  <c r="BF8" i="17"/>
  <c r="BF7" i="17"/>
  <c r="BE13" i="17"/>
  <c r="BE12" i="17"/>
  <c r="BE11" i="17"/>
  <c r="BE10" i="17"/>
  <c r="BE9" i="17"/>
  <c r="BE8" i="17"/>
  <c r="BE7" i="17"/>
  <c r="BF6" i="17"/>
  <c r="BE6" i="17"/>
  <c r="P164" i="15" l="1"/>
  <c r="R152" i="15" l="1"/>
  <c r="P152" i="15"/>
  <c r="R143" i="15"/>
  <c r="P143" i="15"/>
  <c r="R132" i="15"/>
  <c r="P132" i="15"/>
  <c r="R123" i="15"/>
  <c r="P123" i="15"/>
  <c r="R114" i="15"/>
  <c r="P114" i="15"/>
  <c r="R105" i="15"/>
  <c r="P105" i="15"/>
  <c r="R76" i="15"/>
  <c r="P76" i="15"/>
  <c r="R67" i="15"/>
  <c r="P67" i="15"/>
  <c r="R58" i="15"/>
  <c r="P58" i="15"/>
  <c r="R49" i="15"/>
  <c r="P49" i="15"/>
  <c r="R40" i="15"/>
  <c r="P40" i="15"/>
  <c r="R31" i="15"/>
  <c r="P31" i="15"/>
  <c r="R22" i="15"/>
  <c r="P22" i="15"/>
  <c r="R13" i="15"/>
  <c r="P13" i="15"/>
  <c r="H89" i="15" l="1"/>
  <c r="H88" i="15"/>
  <c r="H87" i="15"/>
  <c r="H86" i="15"/>
  <c r="N157" i="15"/>
  <c r="P142" i="15"/>
  <c r="T157" i="15"/>
  <c r="P151" i="15"/>
  <c r="Z138" i="15" l="1"/>
  <c r="T143" i="15" s="1"/>
  <c r="Z147" i="15"/>
  <c r="T152" i="15" s="1"/>
  <c r="H147" i="15"/>
  <c r="N152" i="15" s="1"/>
  <c r="H138" i="15"/>
  <c r="N143" i="15" s="1"/>
  <c r="AH40" i="17" l="1"/>
  <c r="P10" i="17" l="1"/>
  <c r="P7" i="17" l="1"/>
  <c r="O4" i="17"/>
  <c r="I39" i="17" l="1"/>
  <c r="I38" i="17"/>
  <c r="I37" i="17"/>
  <c r="I36" i="17"/>
  <c r="I35" i="17"/>
  <c r="E39" i="17"/>
  <c r="E38" i="17"/>
  <c r="E37" i="17"/>
  <c r="E36" i="17"/>
  <c r="E35" i="17"/>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B19" i="17"/>
  <c r="B18" i="17"/>
  <c r="B17" i="17"/>
  <c r="B16" i="17"/>
  <c r="B15" i="17"/>
  <c r="B14" i="17"/>
  <c r="B7" i="17" l="1"/>
  <c r="BC19" i="17"/>
  <c r="BA19" i="17"/>
  <c r="AZ19" i="17"/>
  <c r="AX19" i="17"/>
  <c r="BC18" i="17"/>
  <c r="BA18" i="17"/>
  <c r="AZ18" i="17"/>
  <c r="AX18" i="17"/>
  <c r="BC17" i="17"/>
  <c r="BA17" i="17"/>
  <c r="AZ17" i="17"/>
  <c r="AX17" i="17"/>
  <c r="BC16" i="17"/>
  <c r="BA16" i="17"/>
  <c r="AZ16" i="17"/>
  <c r="AX16" i="17"/>
  <c r="BC15" i="17"/>
  <c r="BA15" i="17"/>
  <c r="AZ15" i="17"/>
  <c r="AX15" i="17"/>
  <c r="BC14" i="17"/>
  <c r="BA14" i="17"/>
  <c r="AZ14" i="17"/>
  <c r="AX14" i="17"/>
  <c r="BC13" i="17"/>
  <c r="BA13" i="17"/>
  <c r="AZ13" i="17"/>
  <c r="AX13" i="17"/>
  <c r="BC12" i="17"/>
  <c r="BA12" i="17"/>
  <c r="AZ12" i="17"/>
  <c r="AX12" i="17"/>
  <c r="BC11" i="17"/>
  <c r="BA11" i="17"/>
  <c r="AZ11" i="17"/>
  <c r="AX11" i="17"/>
  <c r="BC10" i="17"/>
  <c r="BA10" i="17"/>
  <c r="AZ10" i="17"/>
  <c r="AX10" i="17"/>
  <c r="BC9" i="17"/>
  <c r="BA9" i="17"/>
  <c r="AZ9" i="17"/>
  <c r="AX9" i="17"/>
  <c r="BC8" i="17"/>
  <c r="BA8" i="17"/>
  <c r="AZ8" i="17"/>
  <c r="AX8" i="17"/>
  <c r="BC7" i="17"/>
  <c r="BA7" i="17"/>
  <c r="AZ7" i="17"/>
  <c r="AX7" i="17"/>
  <c r="BC6" i="17"/>
  <c r="BA6" i="17"/>
  <c r="AZ6" i="17"/>
  <c r="AX6" i="17"/>
  <c r="AD25" i="1" l="1"/>
  <c r="AC25" i="1"/>
  <c r="AD24" i="1"/>
  <c r="AC24" i="1"/>
  <c r="AD23" i="1"/>
  <c r="AC23" i="1"/>
  <c r="AD22" i="1"/>
  <c r="AC22" i="1"/>
  <c r="AD21" i="1"/>
  <c r="AC21" i="1"/>
  <c r="AD20" i="1"/>
  <c r="AC20" i="1"/>
  <c r="AD19" i="1"/>
  <c r="AC19" i="1"/>
  <c r="AD18" i="1"/>
  <c r="AC18" i="1"/>
  <c r="AD17" i="1"/>
  <c r="AC17" i="1"/>
  <c r="AD16" i="1"/>
  <c r="AC16" i="1"/>
  <c r="AD15" i="1"/>
  <c r="AC15" i="1"/>
  <c r="AD14" i="1"/>
  <c r="AC14" i="1"/>
  <c r="AD13" i="1"/>
  <c r="AC13" i="1"/>
  <c r="AD12" i="1"/>
  <c r="AC12" i="1"/>
  <c r="AD11" i="1"/>
  <c r="AC11" i="1"/>
  <c r="AD10" i="1"/>
  <c r="AC10" i="1"/>
  <c r="B8" i="2" l="1"/>
  <c r="C8" i="2"/>
  <c r="J8" i="2"/>
  <c r="B9" i="2"/>
  <c r="C9" i="2" s="1"/>
  <c r="B10" i="2"/>
  <c r="C10" i="2" s="1"/>
  <c r="B11" i="2"/>
  <c r="F11" i="2" s="1"/>
  <c r="B20" i="2"/>
  <c r="J20" i="2" s="1"/>
  <c r="B21" i="2"/>
  <c r="C21" i="2" s="1"/>
  <c r="B22" i="2"/>
  <c r="C22" i="2" s="1"/>
  <c r="B23" i="2"/>
  <c r="G23" i="2" s="1"/>
  <c r="B16" i="2"/>
  <c r="C16" i="2" s="1"/>
  <c r="B17" i="2"/>
  <c r="G17" i="2" s="1"/>
  <c r="B18" i="2"/>
  <c r="D18" i="2" s="1"/>
  <c r="B19" i="2"/>
  <c r="D19" i="2" s="1"/>
  <c r="B4" i="2"/>
  <c r="F4" i="2" s="1"/>
  <c r="B5" i="2"/>
  <c r="J5" i="2" s="1"/>
  <c r="B6" i="2"/>
  <c r="N6" i="2" s="1"/>
  <c r="B7" i="2"/>
  <c r="C7" i="2" s="1"/>
  <c r="B24" i="2"/>
  <c r="C24" i="2" s="1"/>
  <c r="B25" i="2"/>
  <c r="J25" i="2" s="1"/>
  <c r="B26" i="2"/>
  <c r="N26" i="2" s="1"/>
  <c r="B27" i="2"/>
  <c r="C27" i="2" s="1"/>
  <c r="B32" i="2"/>
  <c r="D32" i="2" s="1"/>
  <c r="B33" i="2"/>
  <c r="E33" i="2" s="1"/>
  <c r="B34" i="2"/>
  <c r="J34" i="2" s="1"/>
  <c r="C34" i="2"/>
  <c r="B35" i="2"/>
  <c r="D35" i="2" s="1"/>
  <c r="B28" i="2"/>
  <c r="J28" i="2" s="1"/>
  <c r="B29" i="2"/>
  <c r="L29" i="2" s="1"/>
  <c r="B30" i="2"/>
  <c r="G30" i="2" s="1"/>
  <c r="B31" i="2"/>
  <c r="D31" i="2" s="1"/>
  <c r="B12" i="2"/>
  <c r="K12" i="2" s="1"/>
  <c r="B13" i="2"/>
  <c r="K13" i="2" s="1"/>
  <c r="B14" i="2"/>
  <c r="J14" i="2" s="1"/>
  <c r="B15" i="2"/>
  <c r="C15" i="2" s="1"/>
  <c r="Z127" i="15"/>
  <c r="T132" i="15" s="1"/>
  <c r="Z118" i="15"/>
  <c r="Z109" i="15"/>
  <c r="AE113" i="15" s="1"/>
  <c r="H109" i="15"/>
  <c r="H100" i="15"/>
  <c r="F104" i="15" s="1"/>
  <c r="Z100" i="15"/>
  <c r="AC147" i="15"/>
  <c r="AC138" i="15"/>
  <c r="H127" i="15"/>
  <c r="H118" i="15"/>
  <c r="AC127" i="15"/>
  <c r="AC118" i="15"/>
  <c r="AC109" i="15"/>
  <c r="AC100" i="15"/>
  <c r="AE71" i="15"/>
  <c r="AE62" i="15"/>
  <c r="AE53" i="15"/>
  <c r="AE44" i="15"/>
  <c r="AE35" i="15"/>
  <c r="AE26" i="15"/>
  <c r="AE17" i="15"/>
  <c r="AE8" i="15"/>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G20" i="2"/>
  <c r="G18" i="2"/>
  <c r="G8" i="2"/>
  <c r="L27" i="2"/>
  <c r="L26" i="2"/>
  <c r="L20" i="2"/>
  <c r="L18" i="2"/>
  <c r="L13" i="2"/>
  <c r="L8" i="2"/>
  <c r="E34" i="2"/>
  <c r="E25" i="2"/>
  <c r="E20" i="2"/>
  <c r="E18" i="2"/>
  <c r="E8" i="2"/>
  <c r="D41" i="1"/>
  <c r="D57" i="1" s="1"/>
  <c r="D73" i="1" s="1"/>
  <c r="D40" i="1"/>
  <c r="D56" i="1" s="1"/>
  <c r="D39" i="1"/>
  <c r="D38" i="1"/>
  <c r="D37" i="1"/>
  <c r="D53" i="1" s="1"/>
  <c r="D36" i="1"/>
  <c r="D52" i="1"/>
  <c r="D68" i="1" s="1"/>
  <c r="D35" i="1"/>
  <c r="D51" i="1" s="1"/>
  <c r="D34" i="1"/>
  <c r="D33" i="1"/>
  <c r="D49" i="1" s="1"/>
  <c r="D32" i="1"/>
  <c r="D48" i="1" s="1"/>
  <c r="D64" i="1" s="1"/>
  <c r="D31" i="1"/>
  <c r="D47" i="1" s="1"/>
  <c r="D30" i="1"/>
  <c r="D29" i="1"/>
  <c r="D45" i="1" s="1"/>
  <c r="D28" i="1"/>
  <c r="D44" i="1" s="1"/>
  <c r="D60" i="1" s="1"/>
  <c r="D27" i="1"/>
  <c r="D43" i="1" s="1"/>
  <c r="D26" i="1"/>
  <c r="BY32" i="2"/>
  <c r="CF32" i="2"/>
  <c r="CM32" i="2"/>
  <c r="BY33" i="2"/>
  <c r="CF33" i="2"/>
  <c r="CM33" i="2"/>
  <c r="DB33" i="2"/>
  <c r="DB32" i="2"/>
  <c r="CM28" i="2"/>
  <c r="CM29" i="2"/>
  <c r="DB29" i="2"/>
  <c r="DA29" i="2"/>
  <c r="CF29" i="2"/>
  <c r="BY29" i="2"/>
  <c r="DB28" i="2"/>
  <c r="DA28" i="2"/>
  <c r="CF28" i="2"/>
  <c r="BY28" i="2"/>
  <c r="CM24" i="2"/>
  <c r="CM25" i="2"/>
  <c r="DB25" i="2"/>
  <c r="DA25" i="2"/>
  <c r="CF25" i="2"/>
  <c r="BY25" i="2"/>
  <c r="DB24" i="2"/>
  <c r="DA24" i="2"/>
  <c r="CF24" i="2"/>
  <c r="BY24" i="2"/>
  <c r="CM20" i="2"/>
  <c r="CM21" i="2"/>
  <c r="DB21" i="2"/>
  <c r="DA21" i="2"/>
  <c r="CF21" i="2"/>
  <c r="BY21" i="2"/>
  <c r="DB20" i="2"/>
  <c r="DA20" i="2"/>
  <c r="CF20" i="2"/>
  <c r="BY20" i="2"/>
  <c r="CM16" i="2"/>
  <c r="BY17" i="2"/>
  <c r="CF17" i="2"/>
  <c r="CM17" i="2"/>
  <c r="DB17" i="2"/>
  <c r="DB16" i="2"/>
  <c r="DA16" i="2"/>
  <c r="CF16" i="2"/>
  <c r="BY16" i="2"/>
  <c r="CM12" i="2"/>
  <c r="CM13" i="2"/>
  <c r="DB13" i="2"/>
  <c r="DA13" i="2"/>
  <c r="CF13" i="2"/>
  <c r="BY13" i="2"/>
  <c r="DB12" i="2"/>
  <c r="DA12" i="2"/>
  <c r="CF12" i="2"/>
  <c r="BY12" i="2"/>
  <c r="CM8" i="2"/>
  <c r="CM9" i="2"/>
  <c r="DB9" i="2"/>
  <c r="DA9" i="2"/>
  <c r="CF9" i="2"/>
  <c r="BY9" i="2"/>
  <c r="DB8" i="2"/>
  <c r="DA8" i="2"/>
  <c r="CF8" i="2"/>
  <c r="BY8" i="2"/>
  <c r="CM4" i="2"/>
  <c r="CM5" i="2"/>
  <c r="BY4" i="2"/>
  <c r="CF4" i="2"/>
  <c r="BY5" i="2"/>
  <c r="CF5" i="2"/>
  <c r="DB5" i="2"/>
  <c r="DB4" i="2"/>
  <c r="M30" i="2"/>
  <c r="M26" i="2"/>
  <c r="F20" i="2"/>
  <c r="M20" i="2"/>
  <c r="N20" i="2"/>
  <c r="F18" i="2"/>
  <c r="N18" i="2"/>
  <c r="F16" i="2"/>
  <c r="F13" i="2"/>
  <c r="N13" i="2"/>
  <c r="F8" i="2"/>
  <c r="M8" i="2"/>
  <c r="N8" i="2"/>
  <c r="DA4" i="2"/>
  <c r="DA5" i="2"/>
  <c r="DA17" i="2"/>
  <c r="DA32" i="2"/>
  <c r="DA33" i="2"/>
  <c r="G26" i="2"/>
  <c r="L24" i="2"/>
  <c r="M17" i="2"/>
  <c r="E11" i="2"/>
  <c r="L4" i="2"/>
  <c r="M7" i="2"/>
  <c r="C4" i="2"/>
  <c r="J18" i="2"/>
  <c r="M18" i="2"/>
  <c r="L7" i="2"/>
  <c r="G19" i="2"/>
  <c r="K30" i="2"/>
  <c r="C30" i="2"/>
  <c r="C29" i="2"/>
  <c r="C28" i="2"/>
  <c r="K18" i="2"/>
  <c r="C18" i="2"/>
  <c r="K17" i="2"/>
  <c r="D23" i="2"/>
  <c r="D22" i="2"/>
  <c r="D20" i="2"/>
  <c r="D27" i="2"/>
  <c r="D26" i="2"/>
  <c r="K20" i="2"/>
  <c r="D8" i="2"/>
  <c r="K27" i="2"/>
  <c r="K26" i="2"/>
  <c r="K8" i="2"/>
  <c r="K6" i="2"/>
  <c r="L6" i="2"/>
  <c r="AE112" i="15" l="1"/>
  <c r="K24" i="2"/>
  <c r="G24" i="2"/>
  <c r="E12" i="2"/>
  <c r="E17" i="2"/>
  <c r="M13" i="2"/>
  <c r="T13" i="2" s="1"/>
  <c r="L21" i="2"/>
  <c r="J12" i="2"/>
  <c r="P12" i="2" s="1"/>
  <c r="K28" i="2"/>
  <c r="L12" i="2"/>
  <c r="M28" i="2"/>
  <c r="F28" i="2"/>
  <c r="E21" i="2"/>
  <c r="K21" i="2"/>
  <c r="D21" i="2"/>
  <c r="I21" i="2" s="1"/>
  <c r="G33" i="2"/>
  <c r="N33" i="2"/>
  <c r="F29" i="2"/>
  <c r="E13" i="2"/>
  <c r="S13" i="2" s="1"/>
  <c r="E28" i="2"/>
  <c r="L34" i="2"/>
  <c r="S34" i="2" s="1"/>
  <c r="G25" i="2"/>
  <c r="N109" i="15"/>
  <c r="BB15" i="17" s="1"/>
  <c r="T114" i="15"/>
  <c r="T118" i="15"/>
  <c r="BD16" i="17" s="1"/>
  <c r="N123" i="15"/>
  <c r="AE103" i="15"/>
  <c r="T105" i="15"/>
  <c r="AE122" i="15"/>
  <c r="T123" i="15"/>
  <c r="F131" i="15"/>
  <c r="N132" i="15"/>
  <c r="F103" i="15"/>
  <c r="N105" i="15"/>
  <c r="F112" i="15"/>
  <c r="N114" i="15"/>
  <c r="AE130" i="15"/>
  <c r="L28" i="2"/>
  <c r="N28" i="2"/>
  <c r="O28" i="2" s="1"/>
  <c r="G28" i="2"/>
  <c r="E23" i="2"/>
  <c r="N21" i="2"/>
  <c r="G21" i="2"/>
  <c r="M21" i="2"/>
  <c r="F21" i="2"/>
  <c r="E32" i="2"/>
  <c r="N15" i="2"/>
  <c r="K15" i="2"/>
  <c r="M32" i="2"/>
  <c r="N118" i="15"/>
  <c r="BB16" i="17" s="1"/>
  <c r="AE121" i="15"/>
  <c r="N100" i="15"/>
  <c r="BB14" i="17" s="1"/>
  <c r="G16" i="2"/>
  <c r="H16" i="2" s="1"/>
  <c r="D16" i="2"/>
  <c r="I16" i="2" s="1"/>
  <c r="J21" i="2"/>
  <c r="C20" i="2"/>
  <c r="Q20" i="2" s="1"/>
  <c r="D5" i="2"/>
  <c r="N127" i="15"/>
  <c r="BB17" i="17" s="1"/>
  <c r="F121" i="15"/>
  <c r="F122" i="15"/>
  <c r="F113" i="15"/>
  <c r="T109" i="15"/>
  <c r="BD15" i="17" s="1"/>
  <c r="AY15" i="17"/>
  <c r="BG15" i="17"/>
  <c r="AY16" i="17"/>
  <c r="AE104" i="15"/>
  <c r="BG14" i="17"/>
  <c r="BG16" i="17"/>
  <c r="F130" i="15"/>
  <c r="AY17" i="17"/>
  <c r="T100" i="15"/>
  <c r="BD14" i="17" s="1"/>
  <c r="AY14" i="17"/>
  <c r="AE131" i="15"/>
  <c r="BG17" i="17"/>
  <c r="AD49" i="1"/>
  <c r="AC49" i="1"/>
  <c r="D65" i="1"/>
  <c r="AC45" i="1"/>
  <c r="AD45" i="1"/>
  <c r="D61" i="1"/>
  <c r="AC53" i="1"/>
  <c r="AD53" i="1"/>
  <c r="D69" i="1"/>
  <c r="AD26" i="1"/>
  <c r="AC26" i="1"/>
  <c r="AD43" i="1"/>
  <c r="AC43" i="1"/>
  <c r="AD60" i="1"/>
  <c r="AC60" i="1"/>
  <c r="AD30" i="1"/>
  <c r="AC30" i="1"/>
  <c r="AC47" i="1"/>
  <c r="AD47" i="1"/>
  <c r="AD64" i="1"/>
  <c r="AC64" i="1"/>
  <c r="AD34" i="1"/>
  <c r="AC34" i="1"/>
  <c r="AC51" i="1"/>
  <c r="AD51" i="1"/>
  <c r="AD68" i="1"/>
  <c r="AC68" i="1"/>
  <c r="AD38" i="1"/>
  <c r="AC38" i="1"/>
  <c r="AD39" i="1"/>
  <c r="AC39" i="1"/>
  <c r="AD56" i="1"/>
  <c r="AC56" i="1"/>
  <c r="AC73" i="1"/>
  <c r="AD73" i="1"/>
  <c r="AD27" i="1"/>
  <c r="AC27" i="1"/>
  <c r="AD44" i="1"/>
  <c r="AC44" i="1"/>
  <c r="AD31" i="1"/>
  <c r="AC31" i="1"/>
  <c r="AD48" i="1"/>
  <c r="AC48" i="1"/>
  <c r="AD35" i="1"/>
  <c r="AC35" i="1"/>
  <c r="AD52" i="1"/>
  <c r="AC52" i="1"/>
  <c r="AD40" i="1"/>
  <c r="AC40" i="1"/>
  <c r="AD57" i="1"/>
  <c r="AC57" i="1"/>
  <c r="AD28" i="1"/>
  <c r="AC28" i="1"/>
  <c r="AD32" i="1"/>
  <c r="AC32" i="1"/>
  <c r="AD36" i="1"/>
  <c r="AC36" i="1"/>
  <c r="AD41" i="1"/>
  <c r="AC41" i="1"/>
  <c r="D42" i="1"/>
  <c r="D59" i="1"/>
  <c r="D76" i="1"/>
  <c r="AD29" i="1"/>
  <c r="AC29" i="1"/>
  <c r="D46" i="1"/>
  <c r="D63" i="1"/>
  <c r="D80" i="1"/>
  <c r="AD33" i="1"/>
  <c r="AC33" i="1"/>
  <c r="D50" i="1"/>
  <c r="D67" i="1"/>
  <c r="D84" i="1"/>
  <c r="AD37" i="1"/>
  <c r="AC37" i="1"/>
  <c r="D54" i="1"/>
  <c r="D55" i="1"/>
  <c r="D72" i="1"/>
  <c r="D89" i="1"/>
  <c r="J30" i="2"/>
  <c r="Q30" i="2" s="1"/>
  <c r="D28" i="2"/>
  <c r="J26" i="2"/>
  <c r="P26" i="2" s="1"/>
  <c r="C19" i="2"/>
  <c r="L19" i="2"/>
  <c r="N25" i="2"/>
  <c r="U25" i="2" s="1"/>
  <c r="N27" i="2"/>
  <c r="F33" i="2"/>
  <c r="H33" i="2" s="1"/>
  <c r="E27" i="2"/>
  <c r="S27" i="2" s="1"/>
  <c r="M6" i="2"/>
  <c r="O6" i="2" s="1"/>
  <c r="G27" i="2"/>
  <c r="G6" i="2"/>
  <c r="U6" i="2" s="1"/>
  <c r="K25" i="2"/>
  <c r="P25" i="2" s="1"/>
  <c r="D25" i="2"/>
  <c r="C6" i="2"/>
  <c r="J6" i="2"/>
  <c r="P6" i="2" s="1"/>
  <c r="M33" i="2"/>
  <c r="O33" i="2" s="1"/>
  <c r="M25" i="2"/>
  <c r="M27" i="2"/>
  <c r="O27" i="2" s="1"/>
  <c r="M31" i="2"/>
  <c r="N35" i="2"/>
  <c r="E6" i="2"/>
  <c r="S6" i="2" s="1"/>
  <c r="L25" i="2"/>
  <c r="S25" i="2" s="1"/>
  <c r="L31" i="2"/>
  <c r="D12" i="2"/>
  <c r="R12" i="2" s="1"/>
  <c r="J27" i="2"/>
  <c r="P27" i="2" s="1"/>
  <c r="K7" i="2"/>
  <c r="D6" i="2"/>
  <c r="R6" i="2" s="1"/>
  <c r="J19" i="2"/>
  <c r="F6" i="2"/>
  <c r="T6" i="2" s="1"/>
  <c r="F25" i="2"/>
  <c r="F27" i="2"/>
  <c r="N29" i="2"/>
  <c r="F35" i="2"/>
  <c r="E29" i="2"/>
  <c r="S29" i="2" s="1"/>
  <c r="L33" i="2"/>
  <c r="S33" i="2" s="1"/>
  <c r="G13" i="2"/>
  <c r="U13" i="2" s="1"/>
  <c r="G29" i="2"/>
  <c r="J29" i="2"/>
  <c r="Q29" i="2" s="1"/>
  <c r="J35" i="2"/>
  <c r="C33" i="2"/>
  <c r="C25" i="2"/>
  <c r="Q25" i="2" s="1"/>
  <c r="J13" i="2"/>
  <c r="P13" i="2" s="1"/>
  <c r="C13" i="2"/>
  <c r="D13" i="2"/>
  <c r="T127" i="15"/>
  <c r="BD17" i="17" s="1"/>
  <c r="R20" i="2"/>
  <c r="R27" i="2"/>
  <c r="P8" i="2"/>
  <c r="Q28" i="2"/>
  <c r="T18" i="2"/>
  <c r="H18" i="2"/>
  <c r="H8" i="2"/>
  <c r="H20" i="2"/>
  <c r="I27" i="2"/>
  <c r="S18" i="2"/>
  <c r="U18" i="2"/>
  <c r="R18" i="2"/>
  <c r="O20" i="2"/>
  <c r="I18" i="2"/>
  <c r="P28" i="2"/>
  <c r="U26" i="2"/>
  <c r="J24" i="2"/>
  <c r="N24" i="2"/>
  <c r="E24" i="2"/>
  <c r="S24" i="2" s="1"/>
  <c r="D24" i="2"/>
  <c r="F24" i="2"/>
  <c r="M24" i="2"/>
  <c r="M23" i="2"/>
  <c r="J23" i="2"/>
  <c r="T20" i="2"/>
  <c r="S20" i="2"/>
  <c r="U20" i="2"/>
  <c r="P20" i="2"/>
  <c r="P18" i="2"/>
  <c r="Q18" i="2"/>
  <c r="O18" i="2"/>
  <c r="J17" i="2"/>
  <c r="P17" i="2" s="1"/>
  <c r="L17" i="2"/>
  <c r="F17" i="2"/>
  <c r="H17" i="2" s="1"/>
  <c r="D17" i="2"/>
  <c r="R17" i="2" s="1"/>
  <c r="C17" i="2"/>
  <c r="N17" i="2"/>
  <c r="O17" i="2" s="1"/>
  <c r="N16" i="2"/>
  <c r="L16" i="2"/>
  <c r="J16" i="2"/>
  <c r="K16" i="2"/>
  <c r="M16" i="2"/>
  <c r="E16" i="2"/>
  <c r="M15" i="2"/>
  <c r="L15" i="2"/>
  <c r="J11" i="2"/>
  <c r="N11" i="2"/>
  <c r="G11" i="2"/>
  <c r="H11" i="2" s="1"/>
  <c r="N4" i="2"/>
  <c r="E4" i="2"/>
  <c r="S4" i="2" s="1"/>
  <c r="K11" i="2"/>
  <c r="D11" i="2"/>
  <c r="K4" i="2"/>
  <c r="M4" i="2"/>
  <c r="D4" i="2"/>
  <c r="M11" i="2"/>
  <c r="G12" i="2"/>
  <c r="E26" i="2"/>
  <c r="S26" i="2" s="1"/>
  <c r="J33" i="2"/>
  <c r="K33" i="2"/>
  <c r="T8" i="2"/>
  <c r="M12" i="2"/>
  <c r="M22" i="2"/>
  <c r="M29" i="2"/>
  <c r="F30" i="2"/>
  <c r="F32" i="2"/>
  <c r="E30" i="2"/>
  <c r="L11" i="2"/>
  <c r="S11" i="2" s="1"/>
  <c r="L30" i="2"/>
  <c r="G32" i="2"/>
  <c r="C12" i="2"/>
  <c r="D30" i="2"/>
  <c r="D29" i="2"/>
  <c r="D33" i="2"/>
  <c r="J32" i="2"/>
  <c r="C26" i="2"/>
  <c r="I26" i="2" s="1"/>
  <c r="C11" i="2"/>
  <c r="Q8" i="2"/>
  <c r="C32" i="2"/>
  <c r="J4" i="2"/>
  <c r="K29" i="2"/>
  <c r="G4" i="2"/>
  <c r="N12" i="2"/>
  <c r="F12" i="2"/>
  <c r="F26" i="2"/>
  <c r="T26" i="2" s="1"/>
  <c r="M9" i="2"/>
  <c r="N30" i="2"/>
  <c r="O30" i="2" s="1"/>
  <c r="N32" i="2"/>
  <c r="L32" i="2"/>
  <c r="K32" i="2"/>
  <c r="R32" i="2" s="1"/>
  <c r="K5" i="2"/>
  <c r="P5" i="2" s="1"/>
  <c r="G5" i="2"/>
  <c r="N5" i="2"/>
  <c r="M34" i="2"/>
  <c r="G34" i="2"/>
  <c r="I22" i="2"/>
  <c r="F22" i="2"/>
  <c r="E22" i="2"/>
  <c r="G22" i="2"/>
  <c r="J22" i="2"/>
  <c r="L22" i="2"/>
  <c r="K22" i="2"/>
  <c r="R22" i="2" s="1"/>
  <c r="N22" i="2"/>
  <c r="M14" i="2"/>
  <c r="F14" i="2"/>
  <c r="K14" i="2"/>
  <c r="P14" i="2" s="1"/>
  <c r="R8" i="2"/>
  <c r="E7" i="2"/>
  <c r="S7" i="2" s="1"/>
  <c r="J7" i="2"/>
  <c r="E9" i="2"/>
  <c r="G9" i="2"/>
  <c r="D9" i="2"/>
  <c r="I9" i="2" s="1"/>
  <c r="G7" i="2"/>
  <c r="N7" i="2"/>
  <c r="O7" i="2" s="1"/>
  <c r="G10" i="2"/>
  <c r="D7" i="2"/>
  <c r="J9" i="2"/>
  <c r="Q9" i="2" s="1"/>
  <c r="U8" i="2"/>
  <c r="K9" i="2"/>
  <c r="F9" i="2"/>
  <c r="O8" i="2"/>
  <c r="N9" i="2"/>
  <c r="S8" i="2"/>
  <c r="L9" i="2"/>
  <c r="F7" i="2"/>
  <c r="D14" i="2"/>
  <c r="J15" i="2"/>
  <c r="E14" i="2"/>
  <c r="G14" i="2"/>
  <c r="C14" i="2"/>
  <c r="D15" i="2"/>
  <c r="F15" i="2"/>
  <c r="G15" i="2"/>
  <c r="N14" i="2"/>
  <c r="E15" i="2"/>
  <c r="L14" i="2"/>
  <c r="K19" i="2"/>
  <c r="R19" i="2" s="1"/>
  <c r="N19" i="2"/>
  <c r="U19" i="2" s="1"/>
  <c r="E19" i="2"/>
  <c r="M19" i="2"/>
  <c r="F19" i="2"/>
  <c r="K23" i="2"/>
  <c r="R23" i="2" s="1"/>
  <c r="C23" i="2"/>
  <c r="N23" i="2"/>
  <c r="F23" i="2"/>
  <c r="L23" i="2"/>
  <c r="O26" i="2"/>
  <c r="R26" i="2"/>
  <c r="C31" i="2"/>
  <c r="F31" i="2"/>
  <c r="K31" i="2"/>
  <c r="R31" i="2" s="1"/>
  <c r="E31" i="2"/>
  <c r="J31" i="2"/>
  <c r="N31" i="2"/>
  <c r="G31" i="2"/>
  <c r="Q34" i="2"/>
  <c r="N34" i="2"/>
  <c r="M35" i="2"/>
  <c r="E35" i="2"/>
  <c r="L35" i="2"/>
  <c r="K34" i="2"/>
  <c r="P34" i="2" s="1"/>
  <c r="D34" i="2"/>
  <c r="C35" i="2"/>
  <c r="F34" i="2"/>
  <c r="G35" i="2"/>
  <c r="K35" i="2"/>
  <c r="L10" i="2"/>
  <c r="D10" i="2"/>
  <c r="M10" i="2"/>
  <c r="J10" i="2"/>
  <c r="N10" i="2"/>
  <c r="K10" i="2"/>
  <c r="F10" i="2"/>
  <c r="E10" i="2"/>
  <c r="I8" i="2"/>
  <c r="C5" i="2"/>
  <c r="L5" i="2"/>
  <c r="F5" i="2"/>
  <c r="E5" i="2"/>
  <c r="M5" i="2"/>
  <c r="R24" i="2" l="1"/>
  <c r="P24" i="2"/>
  <c r="S17" i="2"/>
  <c r="O13" i="2"/>
  <c r="S12" i="2"/>
  <c r="S21" i="2"/>
  <c r="U33" i="2"/>
  <c r="H29" i="2"/>
  <c r="R28" i="2"/>
  <c r="H25" i="2"/>
  <c r="R21" i="2"/>
  <c r="T28" i="2"/>
  <c r="P21" i="2"/>
  <c r="W21" i="2" s="1"/>
  <c r="S28" i="2"/>
  <c r="U27" i="2"/>
  <c r="O25" i="2"/>
  <c r="P104" i="15"/>
  <c r="W86" i="15"/>
  <c r="W88" i="15"/>
  <c r="P122" i="15"/>
  <c r="P113" i="15"/>
  <c r="W87" i="15"/>
  <c r="W89" i="15"/>
  <c r="P131" i="15"/>
  <c r="O31" i="2"/>
  <c r="H21" i="2"/>
  <c r="S32" i="2"/>
  <c r="U15" i="2"/>
  <c r="O15" i="2"/>
  <c r="U21" i="2"/>
  <c r="O32" i="2"/>
  <c r="U28" i="2"/>
  <c r="R15" i="2"/>
  <c r="P15" i="2"/>
  <c r="H28" i="2"/>
  <c r="V28" i="2" s="1"/>
  <c r="O21" i="2"/>
  <c r="T21" i="2"/>
  <c r="S23" i="2"/>
  <c r="U16" i="2"/>
  <c r="R16" i="2"/>
  <c r="S31" i="2"/>
  <c r="P35" i="2"/>
  <c r="I13" i="2"/>
  <c r="W13" i="2" s="1"/>
  <c r="Q13" i="2"/>
  <c r="Q19" i="2"/>
  <c r="T33" i="2"/>
  <c r="H13" i="2"/>
  <c r="P30" i="2"/>
  <c r="I28" i="2"/>
  <c r="W28" i="2" s="1"/>
  <c r="Q21" i="2"/>
  <c r="I20" i="2"/>
  <c r="W20" i="2" s="1"/>
  <c r="I19" i="2"/>
  <c r="T27" i="2"/>
  <c r="I6" i="2"/>
  <c r="W6" i="2" s="1"/>
  <c r="BB20" i="17"/>
  <c r="BG18" i="17"/>
  <c r="F24" i="17"/>
  <c r="B24" i="17" s="1"/>
  <c r="B25" i="17" s="1"/>
  <c r="F25" i="17"/>
  <c r="I25" i="2"/>
  <c r="W25" i="2" s="1"/>
  <c r="Q6" i="2"/>
  <c r="R7" i="2"/>
  <c r="H27" i="2"/>
  <c r="V27" i="2" s="1"/>
  <c r="S19" i="2"/>
  <c r="P7" i="2"/>
  <c r="Q33" i="2"/>
  <c r="P29" i="2"/>
  <c r="O29" i="2"/>
  <c r="AY19" i="17"/>
  <c r="R13" i="2"/>
  <c r="AD54" i="1"/>
  <c r="AC54" i="1"/>
  <c r="D70" i="1"/>
  <c r="AC67" i="1"/>
  <c r="AD67" i="1"/>
  <c r="D83" i="1"/>
  <c r="AD80" i="1"/>
  <c r="AC80" i="1"/>
  <c r="D96" i="1"/>
  <c r="AC89" i="1"/>
  <c r="AD89" i="1"/>
  <c r="D105" i="1"/>
  <c r="AD50" i="1"/>
  <c r="AC50" i="1"/>
  <c r="D66" i="1"/>
  <c r="AC63" i="1"/>
  <c r="AD63" i="1"/>
  <c r="D79" i="1"/>
  <c r="AD76" i="1"/>
  <c r="AC76" i="1"/>
  <c r="D92" i="1"/>
  <c r="AC65" i="1"/>
  <c r="AD65" i="1"/>
  <c r="D81" i="1"/>
  <c r="AD72" i="1"/>
  <c r="AC72" i="1"/>
  <c r="D88" i="1"/>
  <c r="AD46" i="1"/>
  <c r="AC46" i="1"/>
  <c r="D62" i="1"/>
  <c r="AC59" i="1"/>
  <c r="AD59" i="1"/>
  <c r="D75" i="1"/>
  <c r="AC61" i="1"/>
  <c r="AD61" i="1"/>
  <c r="D77" i="1"/>
  <c r="AC55" i="1"/>
  <c r="AD55" i="1"/>
  <c r="D71" i="1"/>
  <c r="AD84" i="1"/>
  <c r="AC84" i="1"/>
  <c r="D100" i="1"/>
  <c r="AD42" i="1"/>
  <c r="AC42" i="1"/>
  <c r="D58" i="1"/>
  <c r="AC69" i="1"/>
  <c r="AD69" i="1"/>
  <c r="D85" i="1"/>
  <c r="V20" i="2"/>
  <c r="R25" i="2"/>
  <c r="T25" i="2"/>
  <c r="Q27" i="2"/>
  <c r="H6" i="2"/>
  <c r="V6" i="2" s="1"/>
  <c r="U29" i="2"/>
  <c r="V33" i="2"/>
  <c r="W27" i="2"/>
  <c r="V8" i="2"/>
  <c r="W8" i="2"/>
  <c r="Q26" i="2"/>
  <c r="P31" i="2"/>
  <c r="S16" i="2"/>
  <c r="O34" i="2"/>
  <c r="H22" i="2"/>
  <c r="V18" i="2"/>
  <c r="O22" i="2"/>
  <c r="T17" i="2"/>
  <c r="U11" i="2"/>
  <c r="P11" i="2"/>
  <c r="O23" i="2"/>
  <c r="V17" i="2"/>
  <c r="W18" i="2"/>
  <c r="O14" i="2"/>
  <c r="T14" i="2"/>
  <c r="U17" i="2"/>
  <c r="U4" i="2"/>
  <c r="U31" i="2"/>
  <c r="S15" i="2"/>
  <c r="O4" i="2"/>
  <c r="S22" i="2"/>
  <c r="I11" i="2"/>
  <c r="P32" i="2"/>
  <c r="U30" i="2"/>
  <c r="S30" i="2"/>
  <c r="W26" i="2"/>
  <c r="O24" i="2"/>
  <c r="U24" i="2"/>
  <c r="H24" i="2"/>
  <c r="T24" i="2"/>
  <c r="I24" i="2"/>
  <c r="W24" i="2" s="1"/>
  <c r="Q24" i="2"/>
  <c r="P22" i="2"/>
  <c r="W22" i="2" s="1"/>
  <c r="P19" i="2"/>
  <c r="Q17" i="2"/>
  <c r="I17" i="2"/>
  <c r="W17" i="2" s="1"/>
  <c r="P16" i="2"/>
  <c r="W16" i="2" s="1"/>
  <c r="Q16" i="2"/>
  <c r="O16" i="2"/>
  <c r="V16" i="2" s="1"/>
  <c r="T16" i="2"/>
  <c r="U12" i="2"/>
  <c r="Q11" i="2"/>
  <c r="O11" i="2"/>
  <c r="V11" i="2" s="1"/>
  <c r="R11" i="2"/>
  <c r="T11" i="2"/>
  <c r="O9" i="2"/>
  <c r="U5" i="2"/>
  <c r="H26" i="2"/>
  <c r="V26" i="2" s="1"/>
  <c r="T12" i="2"/>
  <c r="H12" i="2"/>
  <c r="P4" i="2"/>
  <c r="R33" i="2"/>
  <c r="U32" i="2"/>
  <c r="T32" i="2"/>
  <c r="H32" i="2"/>
  <c r="P33" i="2"/>
  <c r="R4" i="2"/>
  <c r="I4" i="2"/>
  <c r="Q4" i="2"/>
  <c r="R30" i="2"/>
  <c r="I30" i="2"/>
  <c r="R14" i="2"/>
  <c r="I12" i="2"/>
  <c r="W12" i="2" s="1"/>
  <c r="Q12" i="2"/>
  <c r="H4" i="2"/>
  <c r="T29" i="2"/>
  <c r="O5" i="2"/>
  <c r="U7" i="2"/>
  <c r="R5" i="2"/>
  <c r="I32" i="2"/>
  <c r="Q32" i="2"/>
  <c r="R29" i="2"/>
  <c r="I29" i="2"/>
  <c r="H30" i="2"/>
  <c r="V30" i="2" s="1"/>
  <c r="T30" i="2"/>
  <c r="O12" i="2"/>
  <c r="I33" i="2"/>
  <c r="T4" i="2"/>
  <c r="S35" i="2"/>
  <c r="P23" i="2"/>
  <c r="T22" i="2"/>
  <c r="U22" i="2"/>
  <c r="Q22" i="2"/>
  <c r="O19" i="2"/>
  <c r="U14" i="2"/>
  <c r="I7" i="2"/>
  <c r="U9" i="2"/>
  <c r="S10" i="2"/>
  <c r="U10" i="2"/>
  <c r="H7" i="2"/>
  <c r="V7" i="2" s="1"/>
  <c r="T7" i="2"/>
  <c r="S9" i="2"/>
  <c r="P9" i="2"/>
  <c r="W9" i="2" s="1"/>
  <c r="T9" i="2"/>
  <c r="H9" i="2"/>
  <c r="R9" i="2"/>
  <c r="Q7" i="2"/>
  <c r="H15" i="2"/>
  <c r="T15" i="2"/>
  <c r="S14" i="2"/>
  <c r="H14" i="2"/>
  <c r="I15" i="2"/>
  <c r="Q14" i="2"/>
  <c r="I14" i="2"/>
  <c r="W14" i="2" s="1"/>
  <c r="Q15" i="2"/>
  <c r="T19" i="2"/>
  <c r="H19" i="2"/>
  <c r="H23" i="2"/>
  <c r="T23" i="2"/>
  <c r="I23" i="2"/>
  <c r="Q23" i="2"/>
  <c r="U23" i="2"/>
  <c r="I31" i="2"/>
  <c r="Q31" i="2"/>
  <c r="T31" i="2"/>
  <c r="H31" i="2"/>
  <c r="I35" i="2"/>
  <c r="Q35" i="2"/>
  <c r="U34" i="2"/>
  <c r="I34" i="2"/>
  <c r="W34" i="2" s="1"/>
  <c r="R34" i="2"/>
  <c r="T35" i="2"/>
  <c r="O35" i="2"/>
  <c r="U35" i="2"/>
  <c r="H35" i="2"/>
  <c r="H34" i="2"/>
  <c r="T34" i="2"/>
  <c r="R35" i="2"/>
  <c r="P10" i="2"/>
  <c r="Q10" i="2"/>
  <c r="R10" i="2"/>
  <c r="I10" i="2"/>
  <c r="T10" i="2"/>
  <c r="H10" i="2"/>
  <c r="O10" i="2"/>
  <c r="S5" i="2"/>
  <c r="H5" i="2"/>
  <c r="T5" i="2"/>
  <c r="I5" i="2"/>
  <c r="W5" i="2" s="1"/>
  <c r="Q5" i="2"/>
  <c r="V13" i="2" l="1"/>
  <c r="V29" i="2"/>
  <c r="V25" i="2"/>
  <c r="Q25" i="17"/>
  <c r="S25" i="17"/>
  <c r="V15" i="2"/>
  <c r="V31" i="2"/>
  <c r="V21" i="2"/>
  <c r="V32" i="2"/>
  <c r="W15" i="2"/>
  <c r="Y15" i="2" s="1"/>
  <c r="AY18" i="17"/>
  <c r="W35" i="2"/>
  <c r="W19" i="2"/>
  <c r="Y18" i="2" s="1"/>
  <c r="W29" i="2"/>
  <c r="V4" i="2"/>
  <c r="V14" i="2"/>
  <c r="N147" i="15"/>
  <c r="BB19" i="17" s="1"/>
  <c r="BG19" i="17"/>
  <c r="AE150" i="15"/>
  <c r="AE151" i="15"/>
  <c r="W30" i="2"/>
  <c r="W7" i="2"/>
  <c r="AE141" i="15"/>
  <c r="AY20" i="17"/>
  <c r="F30" i="17" s="1"/>
  <c r="AE142" i="15"/>
  <c r="N138" i="15"/>
  <c r="BB18" i="17" s="1"/>
  <c r="K24" i="17"/>
  <c r="K25" i="17" s="1"/>
  <c r="Q26" i="17"/>
  <c r="S26" i="17"/>
  <c r="Q24" i="17"/>
  <c r="S24" i="17"/>
  <c r="J24" i="17"/>
  <c r="J25" i="17" s="1"/>
  <c r="T147" i="15"/>
  <c r="BD19" i="17" s="1"/>
  <c r="F142" i="15"/>
  <c r="F151" i="15"/>
  <c r="F141" i="15"/>
  <c r="T138" i="15"/>
  <c r="BD18" i="17" s="1"/>
  <c r="F150" i="15"/>
  <c r="AC71" i="1"/>
  <c r="AD71" i="1"/>
  <c r="D87" i="1"/>
  <c r="AD88" i="1"/>
  <c r="AC88" i="1"/>
  <c r="D104" i="1"/>
  <c r="AC105" i="1"/>
  <c r="AD105" i="1"/>
  <c r="AD100" i="1"/>
  <c r="AC100" i="1"/>
  <c r="AD62" i="1"/>
  <c r="AC62" i="1"/>
  <c r="D78" i="1"/>
  <c r="AD66" i="1"/>
  <c r="AC66" i="1"/>
  <c r="D82" i="1"/>
  <c r="AD70" i="1"/>
  <c r="AC70" i="1"/>
  <c r="D86" i="1"/>
  <c r="AD58" i="1"/>
  <c r="AC58" i="1"/>
  <c r="D74" i="1"/>
  <c r="AC75" i="1"/>
  <c r="AD75" i="1"/>
  <c r="D91" i="1"/>
  <c r="AC79" i="1"/>
  <c r="AD79" i="1"/>
  <c r="D95" i="1"/>
  <c r="AC83" i="1"/>
  <c r="AD83" i="1"/>
  <c r="D99" i="1"/>
  <c r="AC85" i="1"/>
  <c r="AD85" i="1"/>
  <c r="D101" i="1"/>
  <c r="AC77" i="1"/>
  <c r="AD77" i="1"/>
  <c r="D93" i="1"/>
  <c r="AC81" i="1"/>
  <c r="AD81" i="1"/>
  <c r="D97" i="1"/>
  <c r="AD92" i="1"/>
  <c r="AC92" i="1"/>
  <c r="AD96" i="1"/>
  <c r="AC96" i="1"/>
  <c r="V34" i="2"/>
  <c r="W32" i="2"/>
  <c r="W31" i="2"/>
  <c r="V22" i="2"/>
  <c r="W11" i="2"/>
  <c r="V23" i="2"/>
  <c r="Y25" i="2"/>
  <c r="V5" i="2"/>
  <c r="V9" i="2"/>
  <c r="Y26" i="2"/>
  <c r="Y27" i="2"/>
  <c r="Y24" i="2"/>
  <c r="V24" i="2"/>
  <c r="Z27" i="2" s="1"/>
  <c r="W23" i="2"/>
  <c r="W4" i="2"/>
  <c r="V12" i="2"/>
  <c r="W33" i="2"/>
  <c r="V35" i="2"/>
  <c r="V19" i="2"/>
  <c r="V10" i="2"/>
  <c r="W10" i="2"/>
  <c r="R25" i="17" l="1"/>
  <c r="S30" i="17"/>
  <c r="Q30" i="17"/>
  <c r="Y12" i="2"/>
  <c r="B26" i="17"/>
  <c r="Y19" i="2"/>
  <c r="Y14" i="2"/>
  <c r="Y13" i="2"/>
  <c r="Y17" i="2"/>
  <c r="Z16" i="2"/>
  <c r="Z13" i="2"/>
  <c r="Y16" i="2"/>
  <c r="Z29" i="2"/>
  <c r="Y4" i="2"/>
  <c r="F27" i="17"/>
  <c r="K27" i="17" s="1"/>
  <c r="P24" i="17"/>
  <c r="R24" i="17"/>
  <c r="P25" i="17"/>
  <c r="F28" i="17"/>
  <c r="B30" i="17"/>
  <c r="S31" i="17"/>
  <c r="Q31" i="17"/>
  <c r="K30" i="17"/>
  <c r="AC93" i="1"/>
  <c r="AD93" i="1"/>
  <c r="AC97" i="1"/>
  <c r="AD97" i="1"/>
  <c r="AC95" i="1"/>
  <c r="AD95" i="1"/>
  <c r="AD86" i="1"/>
  <c r="AC86" i="1"/>
  <c r="D102" i="1"/>
  <c r="AD78" i="1"/>
  <c r="AC78" i="1"/>
  <c r="D94" i="1"/>
  <c r="AC87" i="1"/>
  <c r="AD87" i="1"/>
  <c r="D103" i="1"/>
  <c r="AC99" i="1"/>
  <c r="AD99" i="1"/>
  <c r="AD74" i="1"/>
  <c r="AC74" i="1"/>
  <c r="D90" i="1"/>
  <c r="AD104" i="1"/>
  <c r="AC104" i="1"/>
  <c r="AC101" i="1"/>
  <c r="AD101" i="1"/>
  <c r="AC91" i="1"/>
  <c r="AD91" i="1"/>
  <c r="AD82" i="1"/>
  <c r="AC82" i="1"/>
  <c r="D98" i="1"/>
  <c r="Z30" i="2"/>
  <c r="Y32" i="2"/>
  <c r="Y30" i="2"/>
  <c r="Y31" i="2"/>
  <c r="Y29" i="2"/>
  <c r="Z28" i="2"/>
  <c r="Z31" i="2"/>
  <c r="Z20" i="2"/>
  <c r="Y28" i="2"/>
  <c r="Z22" i="2"/>
  <c r="Z21" i="2"/>
  <c r="Z15" i="2"/>
  <c r="Z14" i="2"/>
  <c r="Z12" i="2"/>
  <c r="Z10" i="2"/>
  <c r="Y7" i="2"/>
  <c r="Z26" i="2"/>
  <c r="Y6" i="2"/>
  <c r="Z24" i="2"/>
  <c r="Z7" i="2"/>
  <c r="Z23" i="2"/>
  <c r="Z6" i="2"/>
  <c r="Y35" i="2"/>
  <c r="Z25" i="2"/>
  <c r="Y23" i="2"/>
  <c r="Y22" i="2"/>
  <c r="Z33" i="2"/>
  <c r="Z34" i="2"/>
  <c r="Y33" i="2"/>
  <c r="Y21" i="2"/>
  <c r="Y20" i="2"/>
  <c r="Y5" i="2"/>
  <c r="Z5" i="2"/>
  <c r="Z4" i="2"/>
  <c r="Z8" i="2"/>
  <c r="Z32" i="2"/>
  <c r="Z35" i="2"/>
  <c r="Y34" i="2"/>
  <c r="Z19" i="2"/>
  <c r="Z17" i="2"/>
  <c r="Z18" i="2"/>
  <c r="Y9" i="2"/>
  <c r="Z11" i="2"/>
  <c r="Y10" i="2"/>
  <c r="Y11" i="2"/>
  <c r="Z9" i="2"/>
  <c r="Y8" i="2"/>
  <c r="B31" i="17" l="1"/>
  <c r="S28" i="17"/>
  <c r="Q28" i="17"/>
  <c r="S27" i="17"/>
  <c r="B27" i="17"/>
  <c r="B28" i="17" s="1"/>
  <c r="J27" i="17"/>
  <c r="J28" i="17" s="1"/>
  <c r="Q27" i="17"/>
  <c r="Q29" i="17"/>
  <c r="S29" i="17"/>
  <c r="K28" i="17"/>
  <c r="P30" i="17"/>
  <c r="R30" i="17"/>
  <c r="AD90" i="1"/>
  <c r="AC90" i="1"/>
  <c r="AC103" i="1"/>
  <c r="AD103" i="1"/>
  <c r="AD98" i="1"/>
  <c r="AC98" i="1"/>
  <c r="AD94" i="1"/>
  <c r="AC94" i="1"/>
  <c r="AD102" i="1"/>
  <c r="AC102" i="1"/>
  <c r="AA30" i="2"/>
  <c r="AB31" i="2"/>
  <c r="AA31" i="2"/>
  <c r="AA28" i="2"/>
  <c r="AA29" i="2"/>
  <c r="AB28" i="2"/>
  <c r="AB29" i="2"/>
  <c r="AB30" i="2"/>
  <c r="AA13" i="2"/>
  <c r="AA15" i="2"/>
  <c r="AB13" i="2"/>
  <c r="AB14" i="2"/>
  <c r="AB15" i="2"/>
  <c r="AA20" i="2"/>
  <c r="AB12" i="2"/>
  <c r="AA14" i="2"/>
  <c r="AA12" i="2"/>
  <c r="AA24" i="2"/>
  <c r="AB25" i="2"/>
  <c r="AB27" i="2"/>
  <c r="AB21" i="2"/>
  <c r="AA6" i="2"/>
  <c r="AA23" i="2"/>
  <c r="AA26" i="2"/>
  <c r="AB20" i="2"/>
  <c r="AB24" i="2"/>
  <c r="AA27" i="2"/>
  <c r="AA25" i="2"/>
  <c r="AA21" i="2"/>
  <c r="AB26" i="2"/>
  <c r="AB22" i="2"/>
  <c r="AA22" i="2"/>
  <c r="AA7" i="2"/>
  <c r="AA33" i="2"/>
  <c r="AB35" i="2"/>
  <c r="AA34" i="2"/>
  <c r="AB23" i="2"/>
  <c r="AA17" i="2"/>
  <c r="AB7" i="2"/>
  <c r="AA4" i="2"/>
  <c r="AB5" i="2"/>
  <c r="AB6" i="2"/>
  <c r="AB4" i="2"/>
  <c r="AA5" i="2"/>
  <c r="AB33" i="2"/>
  <c r="AA32" i="2"/>
  <c r="AB34" i="2"/>
  <c r="AA35" i="2"/>
  <c r="AA18" i="2"/>
  <c r="AB18" i="2"/>
  <c r="AB32" i="2"/>
  <c r="AB19" i="2"/>
  <c r="AB17" i="2"/>
  <c r="AA16" i="2"/>
  <c r="AA19" i="2"/>
  <c r="AB16" i="2"/>
  <c r="AA10" i="2"/>
  <c r="AB8" i="2"/>
  <c r="AA11" i="2"/>
  <c r="AB11" i="2"/>
  <c r="AB9" i="2"/>
  <c r="AA8" i="2"/>
  <c r="AB10" i="2"/>
  <c r="AA9" i="2"/>
  <c r="P28" i="17" l="1"/>
  <c r="B29" i="17"/>
  <c r="A21" i="2"/>
  <c r="S16" i="17"/>
  <c r="K14" i="17"/>
  <c r="Q15" i="17"/>
  <c r="Q17" i="17"/>
  <c r="F14" i="17"/>
  <c r="F17" i="17"/>
  <c r="J14" i="17"/>
  <c r="J17" i="17"/>
  <c r="S14" i="17"/>
  <c r="K17" i="17"/>
  <c r="Q14" i="17"/>
  <c r="S17" i="17"/>
  <c r="P27" i="17"/>
  <c r="R27" i="17"/>
  <c r="A24" i="2"/>
  <c r="R28" i="17"/>
  <c r="K18" i="17"/>
  <c r="K15" i="17"/>
  <c r="J19" i="17"/>
  <c r="Q19" i="17"/>
  <c r="S19" i="17"/>
  <c r="Q16" i="17"/>
  <c r="F16" i="17"/>
  <c r="J18" i="17"/>
  <c r="Q18" i="17"/>
  <c r="F19" i="17"/>
  <c r="S15" i="17"/>
  <c r="F18" i="17"/>
  <c r="F15" i="17"/>
  <c r="K16" i="17"/>
  <c r="J15" i="17"/>
  <c r="J16" i="17"/>
  <c r="S18" i="17"/>
  <c r="K19" i="17"/>
  <c r="A30" i="2"/>
  <c r="A28" i="2"/>
  <c r="A31" i="2"/>
  <c r="A29" i="2"/>
  <c r="A13" i="2"/>
  <c r="A14" i="2"/>
  <c r="A15" i="2"/>
  <c r="A12" i="2"/>
  <c r="A17" i="2"/>
  <c r="A33" i="2"/>
  <c r="A20" i="2"/>
  <c r="A23" i="2"/>
  <c r="A25" i="2"/>
  <c r="A34" i="2"/>
  <c r="A26" i="2"/>
  <c r="A27" i="2"/>
  <c r="A6" i="2"/>
  <c r="A32" i="2"/>
  <c r="A5" i="2"/>
  <c r="A10" i="2"/>
  <c r="A22" i="2"/>
  <c r="A7" i="2"/>
  <c r="A35" i="2"/>
  <c r="A18" i="2"/>
  <c r="A9" i="2"/>
  <c r="A4" i="2"/>
  <c r="A19" i="2"/>
  <c r="A16" i="2"/>
  <c r="A11" i="2"/>
  <c r="A8" i="2"/>
  <c r="P15" i="17" l="1"/>
  <c r="AD32" i="2"/>
  <c r="AE32" i="2" s="1"/>
  <c r="AD28" i="2"/>
  <c r="BQ28" i="2" s="1"/>
  <c r="AD12" i="2"/>
  <c r="BQ12" i="2" s="1"/>
  <c r="P14" i="17"/>
  <c r="R14" i="17"/>
  <c r="P17" i="17"/>
  <c r="R17" i="17"/>
  <c r="R16" i="17"/>
  <c r="P16" i="17"/>
  <c r="P18" i="17"/>
  <c r="R18" i="17"/>
  <c r="P19" i="17"/>
  <c r="R19" i="17"/>
  <c r="R15" i="17"/>
  <c r="AD20" i="2"/>
  <c r="AE20" i="2" s="1"/>
  <c r="AD25" i="2"/>
  <c r="BQ25" i="2" s="1"/>
  <c r="AD24" i="2"/>
  <c r="AD8" i="2"/>
  <c r="AE8" i="2" s="1"/>
  <c r="AD4" i="2"/>
  <c r="AE4" i="2" s="1"/>
  <c r="AD31" i="2"/>
  <c r="AE31" i="2" s="1"/>
  <c r="AD29" i="2"/>
  <c r="AE29" i="2" s="1"/>
  <c r="AD30" i="2"/>
  <c r="AE30" i="2" s="1"/>
  <c r="AD14" i="2"/>
  <c r="BQ14" i="2" s="1"/>
  <c r="AD35" i="2"/>
  <c r="BQ35" i="2" s="1"/>
  <c r="AD26" i="2"/>
  <c r="AE26" i="2" s="1"/>
  <c r="AD33" i="2"/>
  <c r="AE33" i="2" s="1"/>
  <c r="AD5" i="2"/>
  <c r="BQ5" i="2" s="1"/>
  <c r="AD22" i="2"/>
  <c r="BQ22" i="2" s="1"/>
  <c r="AD13" i="2"/>
  <c r="BQ13" i="2" s="1"/>
  <c r="AD15" i="2"/>
  <c r="AE15" i="2" s="1"/>
  <c r="AD7" i="2"/>
  <c r="AE7" i="2" s="1"/>
  <c r="AD21" i="2"/>
  <c r="AE21" i="2" s="1"/>
  <c r="AD23" i="2"/>
  <c r="BQ23" i="2" s="1"/>
  <c r="AD27" i="2"/>
  <c r="BQ27" i="2" s="1"/>
  <c r="AD34" i="2"/>
  <c r="AE34" i="2" s="1"/>
  <c r="AD6" i="2"/>
  <c r="AE6" i="2" s="1"/>
  <c r="AD19" i="2"/>
  <c r="BQ19" i="2" s="1"/>
  <c r="AD16" i="2"/>
  <c r="AD17" i="2"/>
  <c r="AD18" i="2"/>
  <c r="AD11" i="2"/>
  <c r="BQ11" i="2" s="1"/>
  <c r="AD10" i="2"/>
  <c r="BQ10" i="2" s="1"/>
  <c r="AD9" i="2"/>
  <c r="AE9" i="2" s="1"/>
  <c r="AE28" i="2" l="1"/>
  <c r="AF28" i="2" s="1"/>
  <c r="BP28" i="2" s="1"/>
  <c r="AF32" i="2"/>
  <c r="BP32" i="2" s="1"/>
  <c r="BQ32" i="2"/>
  <c r="AE12" i="2"/>
  <c r="AE25" i="2"/>
  <c r="AF26" i="2" s="1"/>
  <c r="BP26" i="2" s="1"/>
  <c r="BQ8" i="2"/>
  <c r="BQ20" i="2"/>
  <c r="AF20" i="2"/>
  <c r="BP20" i="2" s="1"/>
  <c r="AE24" i="2"/>
  <c r="BQ24" i="2"/>
  <c r="BQ4" i="2"/>
  <c r="BQ29" i="2"/>
  <c r="BQ30" i="2"/>
  <c r="BQ31" i="2"/>
  <c r="AF31" i="2"/>
  <c r="BP31" i="2" s="1"/>
  <c r="AF30" i="2"/>
  <c r="BD30" i="2" s="1"/>
  <c r="AE35" i="2"/>
  <c r="AF35" i="2" s="1"/>
  <c r="BD35" i="2" s="1"/>
  <c r="BQ33" i="2"/>
  <c r="AE5" i="2"/>
  <c r="AF6" i="2" s="1"/>
  <c r="BC6" i="2" s="1"/>
  <c r="BQ26" i="2"/>
  <c r="BR26" i="2" s="1"/>
  <c r="AF34" i="2"/>
  <c r="BP34" i="2" s="1"/>
  <c r="AE14" i="2"/>
  <c r="AF33" i="2"/>
  <c r="DD33" i="2" s="1"/>
  <c r="BQ34" i="2"/>
  <c r="AE22" i="2"/>
  <c r="AF22" i="2" s="1"/>
  <c r="BP22" i="2" s="1"/>
  <c r="BQ21" i="2"/>
  <c r="BR22" i="2" s="1"/>
  <c r="AE13" i="2"/>
  <c r="BQ15" i="2"/>
  <c r="BR14" i="2" s="1"/>
  <c r="AE27" i="2"/>
  <c r="BQ7" i="2"/>
  <c r="AE23" i="2"/>
  <c r="BQ6" i="2"/>
  <c r="AE19" i="2"/>
  <c r="AE11" i="2"/>
  <c r="AE10" i="2"/>
  <c r="AF10" i="2" s="1"/>
  <c r="DD10" i="2" s="1"/>
  <c r="BQ17" i="2"/>
  <c r="AE17" i="2"/>
  <c r="AE16" i="2"/>
  <c r="BQ16" i="2"/>
  <c r="AE18" i="2"/>
  <c r="BQ18" i="2"/>
  <c r="BQ9" i="2"/>
  <c r="BR10" i="2" s="1"/>
  <c r="AF8" i="2"/>
  <c r="BR23" i="2" l="1"/>
  <c r="DB23" i="2" s="1"/>
  <c r="BC32" i="2"/>
  <c r="BD32" i="2"/>
  <c r="BB32" i="2"/>
  <c r="DD32" i="2"/>
  <c r="DE32" i="2" s="1"/>
  <c r="AF25" i="2"/>
  <c r="BC25" i="2" s="1"/>
  <c r="AF24" i="2"/>
  <c r="BC24" i="2" s="1"/>
  <c r="AF29" i="2"/>
  <c r="BC29" i="2" s="1"/>
  <c r="AF12" i="2"/>
  <c r="BC12" i="2" s="1"/>
  <c r="AF27" i="2"/>
  <c r="BB27" i="2" s="1"/>
  <c r="BR34" i="2"/>
  <c r="DD28" i="2"/>
  <c r="DE28" i="2" s="1"/>
  <c r="BD20" i="2"/>
  <c r="BB20" i="2"/>
  <c r="DD20" i="2"/>
  <c r="DE20" i="2" s="1"/>
  <c r="BC20" i="2"/>
  <c r="BB28" i="2"/>
  <c r="BC28" i="2"/>
  <c r="BD28" i="2"/>
  <c r="BD31" i="2"/>
  <c r="DD31" i="2"/>
  <c r="BB31" i="2"/>
  <c r="BR30" i="2"/>
  <c r="DD30" i="2"/>
  <c r="BC30" i="2"/>
  <c r="BC31" i="2"/>
  <c r="BP30" i="2"/>
  <c r="BB30" i="2"/>
  <c r="AF4" i="2"/>
  <c r="AF15" i="2"/>
  <c r="BD15" i="2" s="1"/>
  <c r="BB24" i="2"/>
  <c r="AF7" i="2"/>
  <c r="BC7" i="2" s="1"/>
  <c r="BB26" i="2"/>
  <c r="AF5" i="2"/>
  <c r="BC5" i="2" s="1"/>
  <c r="BD26" i="2"/>
  <c r="BB35" i="2"/>
  <c r="DD26" i="2"/>
  <c r="BD34" i="2"/>
  <c r="DD34" i="2"/>
  <c r="BC34" i="2"/>
  <c r="BB34" i="2"/>
  <c r="BC26" i="2"/>
  <c r="BC33" i="2"/>
  <c r="BP35" i="2"/>
  <c r="BD33" i="2"/>
  <c r="BP33" i="2"/>
  <c r="BB33" i="2"/>
  <c r="AF13" i="2"/>
  <c r="BP13" i="2" s="1"/>
  <c r="DD22" i="2"/>
  <c r="BR15" i="2"/>
  <c r="DB26" i="2"/>
  <c r="AF23" i="2"/>
  <c r="BB23" i="2" s="1"/>
  <c r="AF14" i="2"/>
  <c r="BP14" i="2" s="1"/>
  <c r="DB14" i="2"/>
  <c r="AF21" i="2"/>
  <c r="BP21" i="2" s="1"/>
  <c r="BD22" i="2"/>
  <c r="BC22" i="2"/>
  <c r="BB22" i="2"/>
  <c r="DB22" i="2"/>
  <c r="BR27" i="2"/>
  <c r="DD6" i="2"/>
  <c r="BR6" i="2"/>
  <c r="DD35" i="2"/>
  <c r="BC35" i="2"/>
  <c r="BB6" i="2"/>
  <c r="BP6" i="2"/>
  <c r="BD6" i="2"/>
  <c r="AF9" i="2"/>
  <c r="BD9" i="2" s="1"/>
  <c r="AF11" i="2"/>
  <c r="BB11" i="2" s="1"/>
  <c r="BD10" i="2"/>
  <c r="AF19" i="2"/>
  <c r="BC19" i="2" s="1"/>
  <c r="BR18" i="2"/>
  <c r="AF17" i="2"/>
  <c r="BB17" i="2" s="1"/>
  <c r="AF16" i="2"/>
  <c r="AF18" i="2"/>
  <c r="BB10" i="2"/>
  <c r="BP10" i="2"/>
  <c r="BC10" i="2"/>
  <c r="BP8" i="2"/>
  <c r="BB8" i="2"/>
  <c r="DD8" i="2"/>
  <c r="DE8" i="2" s="1"/>
  <c r="BC8" i="2"/>
  <c r="BD8" i="2"/>
  <c r="BR11" i="2"/>
  <c r="DB10" i="2"/>
  <c r="DD4" i="2" l="1"/>
  <c r="DE4" i="2" s="1"/>
  <c r="BB4" i="2"/>
  <c r="BD4" i="2"/>
  <c r="BC4" i="2"/>
  <c r="DB34" i="2"/>
  <c r="BD25" i="2"/>
  <c r="BB25" i="2"/>
  <c r="BC27" i="2"/>
  <c r="BP25" i="2"/>
  <c r="DD25" i="2"/>
  <c r="DE33" i="2"/>
  <c r="DE34" i="2"/>
  <c r="DD29" i="2"/>
  <c r="DE31" i="2" s="1"/>
  <c r="BD12" i="2"/>
  <c r="BP12" i="2"/>
  <c r="DD12" i="2"/>
  <c r="DE12" i="2" s="1"/>
  <c r="BP29" i="2"/>
  <c r="BB29" i="2"/>
  <c r="BD29" i="2"/>
  <c r="BP24" i="2"/>
  <c r="DD24" i="2"/>
  <c r="DE24" i="2" s="1"/>
  <c r="BD24" i="2"/>
  <c r="BB12" i="2"/>
  <c r="BP27" i="2"/>
  <c r="BD27" i="2"/>
  <c r="DD27" i="2"/>
  <c r="BR35" i="2"/>
  <c r="BD14" i="2"/>
  <c r="BR31" i="2"/>
  <c r="DB30" i="2"/>
  <c r="BP5" i="2"/>
  <c r="DD5" i="2"/>
  <c r="DD15" i="2"/>
  <c r="BB13" i="2"/>
  <c r="BD5" i="2"/>
  <c r="BP15" i="2"/>
  <c r="BP4" i="2"/>
  <c r="BB15" i="2"/>
  <c r="BC15" i="2"/>
  <c r="BB5" i="2"/>
  <c r="DD7" i="2"/>
  <c r="BD7" i="2"/>
  <c r="BP7" i="2"/>
  <c r="BB7" i="2"/>
  <c r="DB15" i="2"/>
  <c r="DE35" i="2"/>
  <c r="BB14" i="2"/>
  <c r="BC13" i="2"/>
  <c r="BD13" i="2"/>
  <c r="DD13" i="2"/>
  <c r="BC23" i="2"/>
  <c r="DD23" i="2"/>
  <c r="BD23" i="2"/>
  <c r="BP23" i="2"/>
  <c r="BD21" i="2"/>
  <c r="BC21" i="2"/>
  <c r="DD14" i="2"/>
  <c r="BC14" i="2"/>
  <c r="BB21" i="2"/>
  <c r="DD21" i="2"/>
  <c r="DE21" i="2" s="1"/>
  <c r="BR7" i="2"/>
  <c r="DB6" i="2"/>
  <c r="DB27" i="2"/>
  <c r="BD11" i="2"/>
  <c r="BC11" i="2"/>
  <c r="BP9" i="2"/>
  <c r="BB9" i="2"/>
  <c r="BP11" i="2"/>
  <c r="DD9" i="2"/>
  <c r="DE9" i="2" s="1"/>
  <c r="DD11" i="2"/>
  <c r="BC9" i="2"/>
  <c r="BK12" i="2"/>
  <c r="BK10" i="2"/>
  <c r="BN10" i="2" s="1"/>
  <c r="BK52" i="2"/>
  <c r="BM52" i="2" s="1"/>
  <c r="BK79" i="2"/>
  <c r="BD19" i="2"/>
  <c r="DD19" i="2"/>
  <c r="BB19" i="2"/>
  <c r="BK24" i="2"/>
  <c r="BL24" i="2" s="1"/>
  <c r="BK97" i="2"/>
  <c r="BK11" i="2"/>
  <c r="BN11" i="2" s="1"/>
  <c r="DB18" i="2"/>
  <c r="BK78" i="2"/>
  <c r="BL78" i="2" s="1"/>
  <c r="BK4" i="2"/>
  <c r="BK61" i="2"/>
  <c r="BN61" i="2" s="1"/>
  <c r="BC17" i="2"/>
  <c r="BP19" i="2"/>
  <c r="BK43" i="2"/>
  <c r="BK86" i="2"/>
  <c r="BK64" i="2"/>
  <c r="BM64" i="2" s="1"/>
  <c r="BK13" i="2"/>
  <c r="BK82" i="2"/>
  <c r="BL82" i="2" s="1"/>
  <c r="BK28" i="2"/>
  <c r="BN28" i="2" s="1"/>
  <c r="BK66" i="2"/>
  <c r="BK68" i="2"/>
  <c r="BL68" i="2" s="1"/>
  <c r="BK81" i="2"/>
  <c r="BM81" i="2" s="1"/>
  <c r="BD17" i="2"/>
  <c r="BK58" i="2"/>
  <c r="BK98" i="2"/>
  <c r="BL98" i="2" s="1"/>
  <c r="BK39" i="2"/>
  <c r="BM39" i="2" s="1"/>
  <c r="BK87" i="2"/>
  <c r="BK75" i="2"/>
  <c r="BK7" i="2"/>
  <c r="BK29" i="2"/>
  <c r="BM29" i="2" s="1"/>
  <c r="BK62" i="2"/>
  <c r="BM62" i="2" s="1"/>
  <c r="BK6" i="2"/>
  <c r="BK57" i="2"/>
  <c r="BL57" i="2" s="1"/>
  <c r="BK15" i="2"/>
  <c r="BL15" i="2" s="1"/>
  <c r="BK44" i="2"/>
  <c r="BL44" i="2" s="1"/>
  <c r="BK18" i="2"/>
  <c r="BN18" i="2" s="1"/>
  <c r="BP17" i="2"/>
  <c r="BR19" i="2"/>
  <c r="BK91" i="2"/>
  <c r="BK54" i="2"/>
  <c r="BL54" i="2" s="1"/>
  <c r="BK85" i="2"/>
  <c r="BM85" i="2" s="1"/>
  <c r="BK67" i="2"/>
  <c r="BN67" i="2" s="1"/>
  <c r="BK77" i="2"/>
  <c r="BK17" i="2"/>
  <c r="BK40" i="2"/>
  <c r="BK41" i="2"/>
  <c r="BN41" i="2" s="1"/>
  <c r="BK46" i="2"/>
  <c r="BN46" i="2" s="1"/>
  <c r="BK35" i="2"/>
  <c r="BK89" i="2"/>
  <c r="BK25" i="2"/>
  <c r="BK84" i="2"/>
  <c r="BL84" i="2" s="1"/>
  <c r="BK50" i="2"/>
  <c r="BN50" i="2" s="1"/>
  <c r="DD17" i="2"/>
  <c r="BK42" i="2"/>
  <c r="BK22" i="2"/>
  <c r="BK95" i="2"/>
  <c r="BM95" i="2" s="1"/>
  <c r="BK94" i="2"/>
  <c r="BK60" i="2"/>
  <c r="BN60" i="2" s="1"/>
  <c r="BK83" i="2"/>
  <c r="BK21" i="2"/>
  <c r="BM21" i="2" s="1"/>
  <c r="BK71" i="2"/>
  <c r="BK74" i="2"/>
  <c r="BK63" i="2"/>
  <c r="BK49" i="2"/>
  <c r="BL49" i="2" s="1"/>
  <c r="BK26" i="2"/>
  <c r="BL26" i="2" s="1"/>
  <c r="BK51" i="2"/>
  <c r="BK76" i="2"/>
  <c r="BK38" i="2"/>
  <c r="BK65" i="2"/>
  <c r="BK70" i="2"/>
  <c r="BN70" i="2" s="1"/>
  <c r="BK14" i="2"/>
  <c r="BM14" i="2" s="1"/>
  <c r="BK88" i="2"/>
  <c r="BM88" i="2" s="1"/>
  <c r="BK53" i="2"/>
  <c r="BN53" i="2" s="1"/>
  <c r="BK55" i="2"/>
  <c r="BN55" i="2" s="1"/>
  <c r="BK45" i="2"/>
  <c r="BK5" i="2"/>
  <c r="BK90" i="2"/>
  <c r="BL90" i="2" s="1"/>
  <c r="BK96" i="2"/>
  <c r="BL96" i="2" s="1"/>
  <c r="BK23" i="2"/>
  <c r="BM23" i="2" s="1"/>
  <c r="BC18" i="2"/>
  <c r="DD18" i="2"/>
  <c r="BD18" i="2"/>
  <c r="BB18" i="2"/>
  <c r="BP18" i="2"/>
  <c r="BD16" i="2"/>
  <c r="DD16" i="2"/>
  <c r="DE16" i="2" s="1"/>
  <c r="BC16" i="2"/>
  <c r="BP16" i="2"/>
  <c r="BB16" i="2"/>
  <c r="BK32" i="2"/>
  <c r="BN32" i="2" s="1"/>
  <c r="BK16" i="2"/>
  <c r="BM16" i="2" s="1"/>
  <c r="BK80" i="2"/>
  <c r="BK20" i="2"/>
  <c r="BK73" i="2"/>
  <c r="BL73" i="2" s="1"/>
  <c r="BK27" i="2"/>
  <c r="BL27" i="2" s="1"/>
  <c r="BK8" i="2"/>
  <c r="BN8" i="2" s="1"/>
  <c r="BK72" i="2"/>
  <c r="BK31" i="2"/>
  <c r="BM31" i="2" s="1"/>
  <c r="BK30" i="2"/>
  <c r="BK36" i="2"/>
  <c r="BN36" i="2" s="1"/>
  <c r="BK34" i="2"/>
  <c r="BN34" i="2" s="1"/>
  <c r="BK69" i="2"/>
  <c r="BM69" i="2" s="1"/>
  <c r="BK92" i="2"/>
  <c r="BK19" i="2"/>
  <c r="BK47" i="2"/>
  <c r="BK37" i="2"/>
  <c r="BL37" i="2" s="1"/>
  <c r="BK93" i="2"/>
  <c r="BN93" i="2" s="1"/>
  <c r="BK99" i="2"/>
  <c r="BM99" i="2" s="1"/>
  <c r="BK56" i="2"/>
  <c r="BN56" i="2" s="1"/>
  <c r="BK59" i="2"/>
  <c r="BK48" i="2"/>
  <c r="BK33" i="2"/>
  <c r="BM33" i="2" s="1"/>
  <c r="BK9" i="2"/>
  <c r="DB11" i="2"/>
  <c r="DE5" i="2" l="1"/>
  <c r="BL4" i="2"/>
  <c r="CW98" i="2"/>
  <c r="CZ98" i="2" s="1"/>
  <c r="CW4" i="2"/>
  <c r="CW19" i="2"/>
  <c r="CW35" i="2"/>
  <c r="CW51" i="2"/>
  <c r="CW67" i="2"/>
  <c r="CW83" i="2"/>
  <c r="CW99" i="2"/>
  <c r="CW20" i="2"/>
  <c r="CW36" i="2"/>
  <c r="CW52" i="2"/>
  <c r="CW68" i="2"/>
  <c r="CW84" i="2"/>
  <c r="CW5" i="2"/>
  <c r="CW21" i="2"/>
  <c r="CW37" i="2"/>
  <c r="CW53" i="2"/>
  <c r="CW69" i="2"/>
  <c r="CW85" i="2"/>
  <c r="CW6" i="2"/>
  <c r="CW22" i="2"/>
  <c r="CW38" i="2"/>
  <c r="CW54" i="2"/>
  <c r="CW70" i="2"/>
  <c r="CW86" i="2"/>
  <c r="CW7" i="2"/>
  <c r="CW23" i="2"/>
  <c r="CW39" i="2"/>
  <c r="CW55" i="2"/>
  <c r="CW71" i="2"/>
  <c r="CW87" i="2"/>
  <c r="CW8" i="2"/>
  <c r="CW24" i="2"/>
  <c r="CW40" i="2"/>
  <c r="CW56" i="2"/>
  <c r="CW72" i="2"/>
  <c r="CW88" i="2"/>
  <c r="CW9" i="2"/>
  <c r="CW25" i="2"/>
  <c r="CW41" i="2"/>
  <c r="CW57" i="2"/>
  <c r="CW73" i="2"/>
  <c r="CW89" i="2"/>
  <c r="CW10" i="2"/>
  <c r="CW26" i="2"/>
  <c r="CW42" i="2"/>
  <c r="CW58" i="2"/>
  <c r="CW74" i="2"/>
  <c r="CW90" i="2"/>
  <c r="CW11" i="2"/>
  <c r="CW27" i="2"/>
  <c r="CW43" i="2"/>
  <c r="CW59" i="2"/>
  <c r="CW75" i="2"/>
  <c r="CW91" i="2"/>
  <c r="CW12" i="2"/>
  <c r="CW28" i="2"/>
  <c r="CW44" i="2"/>
  <c r="CW60" i="2"/>
  <c r="CW76" i="2"/>
  <c r="CW92" i="2"/>
  <c r="CW13" i="2"/>
  <c r="CW29" i="2"/>
  <c r="CW45" i="2"/>
  <c r="CW61" i="2"/>
  <c r="CW77" i="2"/>
  <c r="CW93" i="2"/>
  <c r="CW14" i="2"/>
  <c r="CW30" i="2"/>
  <c r="CW46" i="2"/>
  <c r="CW62" i="2"/>
  <c r="CW78" i="2"/>
  <c r="CW94" i="2"/>
  <c r="CW15" i="2"/>
  <c r="CW31" i="2"/>
  <c r="CW47" i="2"/>
  <c r="CW63" i="2"/>
  <c r="CW79" i="2"/>
  <c r="CW95" i="2"/>
  <c r="CW16" i="2"/>
  <c r="CW32" i="2"/>
  <c r="CW48" i="2"/>
  <c r="CW64" i="2"/>
  <c r="CW80" i="2"/>
  <c r="CW96" i="2"/>
  <c r="CW17" i="2"/>
  <c r="CW33" i="2"/>
  <c r="CW49" i="2"/>
  <c r="CW65" i="2"/>
  <c r="CW81" i="2"/>
  <c r="CW97" i="2"/>
  <c r="CW18" i="2"/>
  <c r="CW34" i="2"/>
  <c r="CW50" i="2"/>
  <c r="CW66" i="2"/>
  <c r="CW82" i="2"/>
  <c r="DB35" i="2"/>
  <c r="DB31" i="2"/>
  <c r="DB19" i="2"/>
  <c r="DE30" i="2"/>
  <c r="DE13" i="2"/>
  <c r="DE29" i="2"/>
  <c r="DE27" i="2"/>
  <c r="DE25" i="2"/>
  <c r="DE26" i="2"/>
  <c r="DE6" i="2"/>
  <c r="DE7" i="2"/>
  <c r="DE10" i="2"/>
  <c r="DE23" i="2"/>
  <c r="DE14" i="2"/>
  <c r="DE15" i="2"/>
  <c r="DE22" i="2"/>
  <c r="DB7" i="2"/>
  <c r="BL10" i="2"/>
  <c r="BM12" i="2"/>
  <c r="DE11" i="2"/>
  <c r="BN87" i="2"/>
  <c r="BM24" i="2"/>
  <c r="BM10" i="2"/>
  <c r="BN64" i="2"/>
  <c r="BN85" i="2"/>
  <c r="BN24" i="2"/>
  <c r="BL12" i="2"/>
  <c r="BM97" i="2"/>
  <c r="BL97" i="2"/>
  <c r="BN79" i="2"/>
  <c r="BL11" i="2"/>
  <c r="BN52" i="2"/>
  <c r="BN12" i="2"/>
  <c r="BL52" i="2"/>
  <c r="BM79" i="2"/>
  <c r="BN97" i="2"/>
  <c r="DE18" i="2"/>
  <c r="BL79" i="2"/>
  <c r="BM11" i="2"/>
  <c r="BN78" i="2"/>
  <c r="BL46" i="2"/>
  <c r="DE17" i="2"/>
  <c r="BN82" i="2"/>
  <c r="BL62" i="2"/>
  <c r="BN81" i="2"/>
  <c r="BM86" i="2"/>
  <c r="BN43" i="2"/>
  <c r="BN4" i="2"/>
  <c r="BL75" i="2"/>
  <c r="BM84" i="2"/>
  <c r="BM28" i="2"/>
  <c r="BM82" i="2"/>
  <c r="BM43" i="2"/>
  <c r="BN86" i="2"/>
  <c r="BM4" i="2"/>
  <c r="BL43" i="2"/>
  <c r="BL63" i="2"/>
  <c r="BM75" i="2"/>
  <c r="BN89" i="2"/>
  <c r="BM44" i="2"/>
  <c r="BM13" i="2"/>
  <c r="BM98" i="2"/>
  <c r="BM80" i="2"/>
  <c r="BM61" i="2"/>
  <c r="BL18" i="2"/>
  <c r="BM57" i="2"/>
  <c r="BM58" i="2"/>
  <c r="BL67" i="2"/>
  <c r="BM78" i="2"/>
  <c r="BM7" i="2"/>
  <c r="BN39" i="2"/>
  <c r="BN35" i="2"/>
  <c r="BL64" i="2"/>
  <c r="BM54" i="2"/>
  <c r="BL66" i="2"/>
  <c r="BN54" i="2"/>
  <c r="BM6" i="2"/>
  <c r="BL77" i="2"/>
  <c r="BN98" i="2"/>
  <c r="BL29" i="2"/>
  <c r="BN77" i="2"/>
  <c r="BN25" i="2"/>
  <c r="BL35" i="2"/>
  <c r="BM35" i="2"/>
  <c r="BN44" i="2"/>
  <c r="BL87" i="2"/>
  <c r="BN63" i="2"/>
  <c r="BM77" i="2"/>
  <c r="BM66" i="2"/>
  <c r="BM68" i="2"/>
  <c r="BL6" i="2"/>
  <c r="BL25" i="2"/>
  <c r="BM96" i="2"/>
  <c r="BN13" i="2"/>
  <c r="BN66" i="2"/>
  <c r="BN23" i="2"/>
  <c r="BM87" i="2"/>
  <c r="BM67" i="2"/>
  <c r="BL58" i="2"/>
  <c r="BL86" i="2"/>
  <c r="BN58" i="2"/>
  <c r="BN29" i="2"/>
  <c r="BN6" i="2"/>
  <c r="BL28" i="2"/>
  <c r="BL13" i="2"/>
  <c r="BM70" i="2"/>
  <c r="BN57" i="2"/>
  <c r="BM25" i="2"/>
  <c r="BM41" i="2"/>
  <c r="BL41" i="2"/>
  <c r="BN68" i="2"/>
  <c r="BL61" i="2"/>
  <c r="BL76" i="2"/>
  <c r="BN40" i="2"/>
  <c r="BN62" i="2"/>
  <c r="BN17" i="2"/>
  <c r="BL40" i="2"/>
  <c r="BM89" i="2"/>
  <c r="BN91" i="2"/>
  <c r="BL85" i="2"/>
  <c r="BL7" i="2"/>
  <c r="BL55" i="2"/>
  <c r="BN15" i="2"/>
  <c r="BM83" i="2"/>
  <c r="BM46" i="2"/>
  <c r="BM50" i="2"/>
  <c r="BL89" i="2"/>
  <c r="BN74" i="2"/>
  <c r="BL21" i="2"/>
  <c r="BL91" i="2"/>
  <c r="BM40" i="2"/>
  <c r="BL17" i="2"/>
  <c r="BN75" i="2"/>
  <c r="BN7" i="2"/>
  <c r="BM15" i="2"/>
  <c r="BL42" i="2"/>
  <c r="BL81" i="2"/>
  <c r="BM18" i="2"/>
  <c r="BL50" i="2"/>
  <c r="BN84" i="2"/>
  <c r="BM63" i="2"/>
  <c r="BL70" i="2"/>
  <c r="BM17" i="2"/>
  <c r="BN21" i="2"/>
  <c r="BN96" i="2"/>
  <c r="BL39" i="2"/>
  <c r="BM91" i="2"/>
  <c r="BM71" i="2"/>
  <c r="BM49" i="2"/>
  <c r="BL32" i="2"/>
  <c r="BN59" i="2"/>
  <c r="BM19" i="2"/>
  <c r="BM26" i="2"/>
  <c r="BM38" i="2"/>
  <c r="BN16" i="2"/>
  <c r="BM42" i="2"/>
  <c r="BL88" i="2"/>
  <c r="BL23" i="2"/>
  <c r="BL47" i="2"/>
  <c r="BM9" i="2"/>
  <c r="BL31" i="2"/>
  <c r="BM32" i="2"/>
  <c r="BL16" i="2"/>
  <c r="BL45" i="2"/>
  <c r="BM73" i="2"/>
  <c r="BM8" i="2"/>
  <c r="BN92" i="2"/>
  <c r="BN51" i="2"/>
  <c r="BM47" i="2"/>
  <c r="BM5" i="2"/>
  <c r="BN9" i="2"/>
  <c r="BM51" i="2"/>
  <c r="BN47" i="2"/>
  <c r="BL8" i="2"/>
  <c r="BN31" i="2"/>
  <c r="BN26" i="2"/>
  <c r="BM65" i="2"/>
  <c r="BM74" i="2"/>
  <c r="BL74" i="2"/>
  <c r="BM59" i="2"/>
  <c r="BN42" i="2"/>
  <c r="BL36" i="2"/>
  <c r="BN48" i="2"/>
  <c r="BN73" i="2"/>
  <c r="BL69" i="2"/>
  <c r="BN90" i="2"/>
  <c r="BM90" i="2"/>
  <c r="BL19" i="2"/>
  <c r="BL22" i="2"/>
  <c r="BN38" i="2"/>
  <c r="BL38" i="2"/>
  <c r="BN88" i="2"/>
  <c r="BN19" i="2"/>
  <c r="BM36" i="2"/>
  <c r="BM45" i="2"/>
  <c r="BL94" i="2"/>
  <c r="BM93" i="2"/>
  <c r="BL59" i="2"/>
  <c r="BL9" i="2"/>
  <c r="BN33" i="2"/>
  <c r="BL65" i="2"/>
  <c r="BL14" i="2"/>
  <c r="BL80" i="2"/>
  <c r="BM76" i="2"/>
  <c r="BN71" i="2"/>
  <c r="BL20" i="2"/>
  <c r="BN69" i="2"/>
  <c r="BL33" i="2"/>
  <c r="BM30" i="2"/>
  <c r="BN27" i="2"/>
  <c r="BM22" i="2"/>
  <c r="BN22" i="2"/>
  <c r="BL51" i="2"/>
  <c r="BN49" i="2"/>
  <c r="BM53" i="2"/>
  <c r="BM55" i="2"/>
  <c r="BN14" i="2"/>
  <c r="BN80" i="2"/>
  <c r="BN20" i="2"/>
  <c r="BL48" i="2"/>
  <c r="BM20" i="2"/>
  <c r="BL34" i="2"/>
  <c r="BL72" i="2"/>
  <c r="BM60" i="2"/>
  <c r="BL60" i="2"/>
  <c r="BN72" i="2"/>
  <c r="BN37" i="2"/>
  <c r="DE19" i="2"/>
  <c r="BN94" i="2"/>
  <c r="BM94" i="2"/>
  <c r="BN95" i="2"/>
  <c r="BN76" i="2"/>
  <c r="BL71" i="2"/>
  <c r="BN65" i="2"/>
  <c r="BN5" i="2"/>
  <c r="BL5" i="2"/>
  <c r="BL53" i="2"/>
  <c r="BN45" i="2"/>
  <c r="BM34" i="2"/>
  <c r="BM72" i="2"/>
  <c r="BL99" i="2"/>
  <c r="BL93" i="2"/>
  <c r="BM37" i="2"/>
  <c r="BL30" i="2"/>
  <c r="BN99" i="2"/>
  <c r="BL95" i="2"/>
  <c r="BM27" i="2"/>
  <c r="BN30" i="2"/>
  <c r="BM48" i="2"/>
  <c r="BL56" i="2"/>
  <c r="BM56" i="2"/>
  <c r="BM92" i="2"/>
  <c r="BL92" i="2"/>
  <c r="BL83" i="2"/>
  <c r="BN83" i="2"/>
  <c r="AJ4" i="2" l="1"/>
  <c r="AK4" i="2"/>
  <c r="AG4" i="2"/>
  <c r="AI4" i="2"/>
  <c r="AP4" i="2"/>
  <c r="AN4" i="2"/>
  <c r="AO4" i="2"/>
  <c r="AR4" i="2"/>
  <c r="AQ4" i="2"/>
  <c r="AH4" i="2"/>
  <c r="BV21" i="2"/>
  <c r="BV13" i="2"/>
  <c r="BV24" i="2"/>
  <c r="BV29" i="2"/>
  <c r="BW5" i="2"/>
  <c r="BV5" i="2"/>
  <c r="BW29" i="2"/>
  <c r="BW8" i="2"/>
  <c r="BW16" i="2"/>
  <c r="BW24" i="2"/>
  <c r="BW32" i="2"/>
  <c r="BV8" i="2"/>
  <c r="BV9" i="2"/>
  <c r="BW13" i="2"/>
  <c r="BV17" i="2"/>
  <c r="BV25" i="2"/>
  <c r="BV33" i="2"/>
  <c r="BW12" i="2"/>
  <c r="BW20" i="2"/>
  <c r="BW28" i="2"/>
  <c r="CX98" i="2"/>
  <c r="BV20" i="2"/>
  <c r="CY98" i="2"/>
  <c r="BW21" i="2"/>
  <c r="BV4" i="2"/>
  <c r="BV16" i="2"/>
  <c r="BV32" i="2"/>
  <c r="CZ50" i="2"/>
  <c r="CX50" i="2"/>
  <c r="CY50" i="2"/>
  <c r="CY81" i="2"/>
  <c r="CX81" i="2"/>
  <c r="CZ81" i="2"/>
  <c r="CX17" i="2"/>
  <c r="CZ17" i="2"/>
  <c r="CY17" i="2"/>
  <c r="CX48" i="2"/>
  <c r="CZ48" i="2"/>
  <c r="CY48" i="2"/>
  <c r="CZ79" i="2"/>
  <c r="CX79" i="2"/>
  <c r="CY79" i="2"/>
  <c r="CZ15" i="2"/>
  <c r="CY15" i="2"/>
  <c r="CX15" i="2"/>
  <c r="CX46" i="2"/>
  <c r="CZ46" i="2"/>
  <c r="CY46" i="2"/>
  <c r="CX77" i="2"/>
  <c r="CZ77" i="2"/>
  <c r="CY77" i="2"/>
  <c r="CZ13" i="2"/>
  <c r="CY13" i="2"/>
  <c r="CX13" i="2"/>
  <c r="CX44" i="2"/>
  <c r="CZ44" i="2"/>
  <c r="CY44" i="2"/>
  <c r="CZ75" i="2"/>
  <c r="CY75" i="2"/>
  <c r="CX75" i="2"/>
  <c r="CZ11" i="2"/>
  <c r="CY11" i="2"/>
  <c r="CX11" i="2"/>
  <c r="CX42" i="2"/>
  <c r="CZ42" i="2"/>
  <c r="CY42" i="2"/>
  <c r="CZ73" i="2"/>
  <c r="CY73" i="2"/>
  <c r="CX73" i="2"/>
  <c r="CZ9" i="2"/>
  <c r="CX9" i="2"/>
  <c r="CY9" i="2"/>
  <c r="CX40" i="2"/>
  <c r="CZ40" i="2"/>
  <c r="CY40" i="2"/>
  <c r="CZ71" i="2"/>
  <c r="CY71" i="2"/>
  <c r="CX71" i="2"/>
  <c r="CZ7" i="2"/>
  <c r="CX7" i="2"/>
  <c r="CY7" i="2"/>
  <c r="CX38" i="2"/>
  <c r="CZ38" i="2"/>
  <c r="CY38" i="2"/>
  <c r="CY69" i="2"/>
  <c r="CZ69" i="2"/>
  <c r="CX69" i="2"/>
  <c r="CZ5" i="2"/>
  <c r="CY5" i="2"/>
  <c r="CX5" i="2"/>
  <c r="CX36" i="2"/>
  <c r="CZ36" i="2"/>
  <c r="CY36" i="2"/>
  <c r="CZ67" i="2"/>
  <c r="CY67" i="2"/>
  <c r="CX67" i="2"/>
  <c r="CY4" i="2"/>
  <c r="CZ4" i="2"/>
  <c r="CX4" i="2"/>
  <c r="BW9" i="2"/>
  <c r="BW25" i="2"/>
  <c r="BW4" i="2"/>
  <c r="CX34" i="2"/>
  <c r="CZ34" i="2"/>
  <c r="CY34" i="2"/>
  <c r="CY65" i="2"/>
  <c r="CX65" i="2"/>
  <c r="CZ65" i="2"/>
  <c r="CX96" i="2"/>
  <c r="CY96" i="2"/>
  <c r="CZ96" i="2"/>
  <c r="CX32" i="2"/>
  <c r="CZ32" i="2"/>
  <c r="CY32" i="2"/>
  <c r="CZ63" i="2"/>
  <c r="CY63" i="2"/>
  <c r="CX63" i="2"/>
  <c r="CZ94" i="2"/>
  <c r="CY94" i="2"/>
  <c r="CX94" i="2"/>
  <c r="CX30" i="2"/>
  <c r="CZ30" i="2"/>
  <c r="CY30" i="2"/>
  <c r="CZ61" i="2"/>
  <c r="CY61" i="2"/>
  <c r="CX61" i="2"/>
  <c r="CX92" i="2"/>
  <c r="CY92" i="2"/>
  <c r="CZ92" i="2"/>
  <c r="CX28" i="2"/>
  <c r="CZ28" i="2"/>
  <c r="CY28" i="2"/>
  <c r="CZ59" i="2"/>
  <c r="CY59" i="2"/>
  <c r="CX59" i="2"/>
  <c r="CY90" i="2"/>
  <c r="CZ90" i="2"/>
  <c r="CX90" i="2"/>
  <c r="CX26" i="2"/>
  <c r="CZ26" i="2"/>
  <c r="CY26" i="2"/>
  <c r="CZ57" i="2"/>
  <c r="CY57" i="2"/>
  <c r="CX57" i="2"/>
  <c r="CX88" i="2"/>
  <c r="CY88" i="2"/>
  <c r="CZ88" i="2"/>
  <c r="CX24" i="2"/>
  <c r="CZ24" i="2"/>
  <c r="CY24" i="2"/>
  <c r="CZ55" i="2"/>
  <c r="CY55" i="2"/>
  <c r="CX55" i="2"/>
  <c r="CX86" i="2"/>
  <c r="CZ86" i="2"/>
  <c r="CY86" i="2"/>
  <c r="CX22" i="2"/>
  <c r="CZ22" i="2"/>
  <c r="CY22" i="2"/>
  <c r="CY53" i="2"/>
  <c r="CZ53" i="2"/>
  <c r="CX53" i="2"/>
  <c r="CX84" i="2"/>
  <c r="CZ84" i="2"/>
  <c r="CY84" i="2"/>
  <c r="CX20" i="2"/>
  <c r="CZ20" i="2"/>
  <c r="CY20" i="2"/>
  <c r="CZ51" i="2"/>
  <c r="CX51" i="2"/>
  <c r="CY51" i="2"/>
  <c r="CZ82" i="2"/>
  <c r="CY82" i="2"/>
  <c r="CX82" i="2"/>
  <c r="CX18" i="2"/>
  <c r="CZ18" i="2"/>
  <c r="CY18" i="2"/>
  <c r="CX49" i="2"/>
  <c r="CZ49" i="2"/>
  <c r="CY49" i="2"/>
  <c r="CX80" i="2"/>
  <c r="CY80" i="2"/>
  <c r="CZ80" i="2"/>
  <c r="CX16" i="2"/>
  <c r="CZ16" i="2"/>
  <c r="CY16" i="2"/>
  <c r="CZ47" i="2"/>
  <c r="CY47" i="2"/>
  <c r="CX47" i="2"/>
  <c r="CZ78" i="2"/>
  <c r="CY78" i="2"/>
  <c r="CX78" i="2"/>
  <c r="CX14" i="2"/>
  <c r="CZ14" i="2"/>
  <c r="CY14" i="2"/>
  <c r="CZ45" i="2"/>
  <c r="CX45" i="2"/>
  <c r="CY45" i="2"/>
  <c r="CX76" i="2"/>
  <c r="CY76" i="2"/>
  <c r="CZ76" i="2"/>
  <c r="CX12" i="2"/>
  <c r="CZ12" i="2"/>
  <c r="CY12" i="2"/>
  <c r="CZ43" i="2"/>
  <c r="CY43" i="2"/>
  <c r="CX43" i="2"/>
  <c r="CY74" i="2"/>
  <c r="CZ74" i="2"/>
  <c r="CX74" i="2"/>
  <c r="CX10" i="2"/>
  <c r="CZ10" i="2"/>
  <c r="CY10" i="2"/>
  <c r="CX41" i="2"/>
  <c r="CZ41" i="2"/>
  <c r="CY41" i="2"/>
  <c r="CX72" i="2"/>
  <c r="CY72" i="2"/>
  <c r="CZ72" i="2"/>
  <c r="CX8" i="2"/>
  <c r="CZ8" i="2"/>
  <c r="CY8" i="2"/>
  <c r="CZ39" i="2"/>
  <c r="CY39" i="2"/>
  <c r="CX39" i="2"/>
  <c r="CX70" i="2"/>
  <c r="CZ70" i="2"/>
  <c r="CY70" i="2"/>
  <c r="CX6" i="2"/>
  <c r="CZ6" i="2"/>
  <c r="CY6" i="2"/>
  <c r="CZ37" i="2"/>
  <c r="CX37" i="2"/>
  <c r="CY37" i="2"/>
  <c r="CX68" i="2"/>
  <c r="CZ68" i="2"/>
  <c r="CY68" i="2"/>
  <c r="CZ99" i="2"/>
  <c r="CY99" i="2"/>
  <c r="CX99" i="2"/>
  <c r="CZ35" i="2"/>
  <c r="CY35" i="2"/>
  <c r="CX35" i="2"/>
  <c r="BW17" i="2"/>
  <c r="BW33" i="2"/>
  <c r="BV12" i="2"/>
  <c r="BV28" i="2"/>
  <c r="CZ66" i="2"/>
  <c r="CY66" i="2"/>
  <c r="CX66" i="2"/>
  <c r="CY97" i="2"/>
  <c r="CX97" i="2"/>
  <c r="CZ97" i="2"/>
  <c r="CX33" i="2"/>
  <c r="CZ33" i="2"/>
  <c r="CY33" i="2"/>
  <c r="CX64" i="2"/>
  <c r="CY64" i="2"/>
  <c r="CZ64" i="2"/>
  <c r="CZ95" i="2"/>
  <c r="CX95" i="2"/>
  <c r="CY95" i="2"/>
  <c r="CZ31" i="2"/>
  <c r="CY31" i="2"/>
  <c r="CX31" i="2"/>
  <c r="CZ62" i="2"/>
  <c r="CY62" i="2"/>
  <c r="CX62" i="2"/>
  <c r="CX93" i="2"/>
  <c r="CZ93" i="2"/>
  <c r="CY93" i="2"/>
  <c r="CZ29" i="2"/>
  <c r="CX29" i="2"/>
  <c r="CY29" i="2"/>
  <c r="CX60" i="2"/>
  <c r="CY60" i="2"/>
  <c r="CZ60" i="2"/>
  <c r="CZ91" i="2"/>
  <c r="CY91" i="2"/>
  <c r="CX91" i="2"/>
  <c r="CZ27" i="2"/>
  <c r="CY27" i="2"/>
  <c r="CX27" i="2"/>
  <c r="CZ58" i="2"/>
  <c r="CX58" i="2"/>
  <c r="CY58" i="2"/>
  <c r="CZ89" i="2"/>
  <c r="CY89" i="2"/>
  <c r="CX89" i="2"/>
  <c r="CX25" i="2"/>
  <c r="CZ25" i="2"/>
  <c r="CY25" i="2"/>
  <c r="CX56" i="2"/>
  <c r="CZ56" i="2"/>
  <c r="CY56" i="2"/>
  <c r="CZ87" i="2"/>
  <c r="CY87" i="2"/>
  <c r="CX87" i="2"/>
  <c r="CZ23" i="2"/>
  <c r="CX23" i="2"/>
  <c r="CY23" i="2"/>
  <c r="CZ54" i="2"/>
  <c r="CY54" i="2"/>
  <c r="CX54" i="2"/>
  <c r="CY85" i="2"/>
  <c r="CZ85" i="2"/>
  <c r="CX85" i="2"/>
  <c r="CZ21" i="2"/>
  <c r="CY21" i="2"/>
  <c r="CX21" i="2"/>
  <c r="CX52" i="2"/>
  <c r="CZ52" i="2"/>
  <c r="CY52" i="2"/>
  <c r="CZ83" i="2"/>
  <c r="CY83" i="2"/>
  <c r="CX83" i="2"/>
  <c r="CZ19" i="2"/>
  <c r="CY19" i="2"/>
  <c r="CX19" i="2"/>
  <c r="AJ29" i="2"/>
  <c r="AJ28" i="2"/>
  <c r="AK33" i="2"/>
  <c r="AK26" i="2"/>
  <c r="AJ24" i="2"/>
  <c r="AJ12" i="2"/>
  <c r="AK27" i="2"/>
  <c r="AJ26" i="2"/>
  <c r="AL26" i="2" s="1"/>
  <c r="AK31" i="2"/>
  <c r="AK28" i="2"/>
  <c r="AJ17" i="2"/>
  <c r="AJ9" i="2"/>
  <c r="AK32" i="2"/>
  <c r="AK25" i="2"/>
  <c r="AJ27" i="2"/>
  <c r="AK16" i="2"/>
  <c r="AJ30" i="2"/>
  <c r="AK12" i="2"/>
  <c r="AK24" i="2"/>
  <c r="AK21" i="2"/>
  <c r="AK30" i="2"/>
  <c r="AJ31" i="2"/>
  <c r="AJ8" i="2"/>
  <c r="AK8" i="2"/>
  <c r="AJ21" i="2"/>
  <c r="AK13" i="2"/>
  <c r="AJ25" i="2"/>
  <c r="AK20" i="2"/>
  <c r="AK29" i="2"/>
  <c r="AK9" i="2"/>
  <c r="AJ13" i="2"/>
  <c r="AJ16" i="2"/>
  <c r="AK5" i="2"/>
  <c r="AJ22" i="2"/>
  <c r="AJ32" i="2"/>
  <c r="AJ33" i="2"/>
  <c r="AJ20" i="2"/>
  <c r="AJ23" i="2"/>
  <c r="AK35" i="2"/>
  <c r="AK23" i="2"/>
  <c r="AK22" i="2"/>
  <c r="AJ35" i="2"/>
  <c r="AK34" i="2"/>
  <c r="AJ34" i="2"/>
  <c r="AJ11" i="2"/>
  <c r="AK11" i="2"/>
  <c r="AJ10" i="2"/>
  <c r="AK17" i="2"/>
  <c r="AK10" i="2"/>
  <c r="AK15" i="2"/>
  <c r="AK14" i="2"/>
  <c r="AJ14" i="2"/>
  <c r="AJ7" i="2"/>
  <c r="AJ6" i="2"/>
  <c r="AJ15" i="2"/>
  <c r="AK6" i="2"/>
  <c r="AJ18" i="2"/>
  <c r="AJ5" i="2"/>
  <c r="AK7" i="2"/>
  <c r="AK18" i="2"/>
  <c r="AJ19" i="2"/>
  <c r="AK19" i="2"/>
  <c r="AH12" i="2"/>
  <c r="AR31" i="2"/>
  <c r="AH6" i="2"/>
  <c r="AI22" i="2"/>
  <c r="AP30" i="2"/>
  <c r="AN10" i="2"/>
  <c r="AQ23" i="2"/>
  <c r="AG19" i="2"/>
  <c r="AN6" i="2"/>
  <c r="AI7" i="2"/>
  <c r="AP33" i="2"/>
  <c r="AI35" i="2"/>
  <c r="AP10" i="2"/>
  <c r="AG8" i="2"/>
  <c r="AI16" i="2"/>
  <c r="AP17" i="2"/>
  <c r="AH17" i="2"/>
  <c r="AH20" i="2"/>
  <c r="AH34" i="2"/>
  <c r="AQ13" i="2"/>
  <c r="AN28" i="2"/>
  <c r="AR26" i="2"/>
  <c r="AQ10" i="2"/>
  <c r="AH31" i="2"/>
  <c r="AG32" i="2"/>
  <c r="AH8" i="2"/>
  <c r="AN13" i="2"/>
  <c r="AP27" i="2"/>
  <c r="AP35" i="2"/>
  <c r="AH27" i="2"/>
  <c r="AN32" i="2"/>
  <c r="AN17" i="2"/>
  <c r="AQ19" i="2"/>
  <c r="AI6" i="2"/>
  <c r="AN9" i="2"/>
  <c r="AH30" i="2"/>
  <c r="AI10" i="2"/>
  <c r="AP7" i="2"/>
  <c r="AO25" i="2"/>
  <c r="AQ14" i="2"/>
  <c r="AR12" i="2"/>
  <c r="AG6" i="2"/>
  <c r="AO29" i="2"/>
  <c r="AN34" i="2"/>
  <c r="AN25" i="2"/>
  <c r="AR7" i="2"/>
  <c r="AI23" i="2"/>
  <c r="AH9" i="2"/>
  <c r="AR23" i="2"/>
  <c r="AP14" i="2"/>
  <c r="AR20" i="2"/>
  <c r="AQ27" i="2"/>
  <c r="AG29" i="2"/>
  <c r="AO13" i="2"/>
  <c r="AP19" i="2"/>
  <c r="AP9" i="2"/>
  <c r="AI32" i="2"/>
  <c r="AP28" i="2"/>
  <c r="AO20" i="2"/>
  <c r="AR18" i="2"/>
  <c r="AO30" i="2"/>
  <c r="AP34" i="2"/>
  <c r="AH26" i="2"/>
  <c r="AG10" i="2"/>
  <c r="AG21" i="2"/>
  <c r="AI18" i="2"/>
  <c r="AH35" i="2"/>
  <c r="AH16" i="2"/>
  <c r="AG35" i="2"/>
  <c r="AQ17" i="2"/>
  <c r="AN23" i="2"/>
  <c r="AO17" i="2"/>
  <c r="AP23" i="2"/>
  <c r="AN35" i="2"/>
  <c r="AO24" i="2"/>
  <c r="AP15" i="2"/>
  <c r="AQ34" i="2"/>
  <c r="AG16" i="2"/>
  <c r="AH15" i="2"/>
  <c r="AH28" i="2"/>
  <c r="AR29" i="2"/>
  <c r="AQ31" i="2"/>
  <c r="AR30" i="2"/>
  <c r="AR27" i="2"/>
  <c r="AR9" i="2"/>
  <c r="AR22" i="2"/>
  <c r="AR14" i="2"/>
  <c r="AQ8" i="2"/>
  <c r="AQ12" i="2"/>
  <c r="AQ18" i="2"/>
  <c r="AQ16" i="2"/>
  <c r="AR25" i="2"/>
  <c r="AQ29" i="2"/>
  <c r="AQ28" i="2"/>
  <c r="AQ22" i="2"/>
  <c r="AQ20" i="2"/>
  <c r="AG33" i="2"/>
  <c r="AN12" i="2"/>
  <c r="AP16" i="2"/>
  <c r="AG11" i="2"/>
  <c r="AO9" i="2"/>
  <c r="AG13" i="2"/>
  <c r="AO26" i="2"/>
  <c r="AP24" i="2"/>
  <c r="AN31" i="2"/>
  <c r="AN22" i="2"/>
  <c r="AP31" i="2"/>
  <c r="AP18" i="2"/>
  <c r="AP13" i="2"/>
  <c r="AN16" i="2"/>
  <c r="AO5" i="2"/>
  <c r="AO31" i="2"/>
  <c r="AO14" i="2"/>
  <c r="AN24" i="2"/>
  <c r="AO35" i="2"/>
  <c r="AO27" i="2"/>
  <c r="AN18" i="2"/>
  <c r="AG17" i="2"/>
  <c r="AG31" i="2"/>
  <c r="AH14" i="2"/>
  <c r="AI21" i="2"/>
  <c r="AI11" i="2"/>
  <c r="AH25" i="2"/>
  <c r="AG27" i="2"/>
  <c r="AG34" i="2"/>
  <c r="AH29" i="2"/>
  <c r="AG28" i="2"/>
  <c r="AG9" i="2"/>
  <c r="AI27" i="2"/>
  <c r="AG12" i="2"/>
  <c r="AI26" i="2"/>
  <c r="AI8" i="2"/>
  <c r="AI5" i="2"/>
  <c r="AH32" i="2"/>
  <c r="AO10" i="2"/>
  <c r="AN30" i="2"/>
  <c r="AO7" i="2"/>
  <c r="AN21" i="2"/>
  <c r="AP22" i="2"/>
  <c r="AN7" i="2"/>
  <c r="AG20" i="2"/>
  <c r="AH11" i="2"/>
  <c r="AH18" i="2"/>
  <c r="AI33" i="2"/>
  <c r="AG14" i="2"/>
  <c r="AG18" i="2"/>
  <c r="AG23" i="2"/>
  <c r="AG5" i="2"/>
  <c r="AI13" i="2"/>
  <c r="AG7" i="2"/>
  <c r="AI12" i="2"/>
  <c r="AH22" i="2"/>
  <c r="AH21" i="2"/>
  <c r="AN8" i="2"/>
  <c r="AN29" i="2"/>
  <c r="AN11" i="2"/>
  <c r="AP11" i="2"/>
  <c r="AP29" i="2"/>
  <c r="AQ25" i="2"/>
  <c r="AO12" i="2"/>
  <c r="AQ35" i="2"/>
  <c r="AP6" i="2"/>
  <c r="AQ26" i="2"/>
  <c r="AP26" i="2"/>
  <c r="AH5" i="2"/>
  <c r="AH10" i="2"/>
  <c r="AH7" i="2"/>
  <c r="AG25" i="2"/>
  <c r="AI19" i="2"/>
  <c r="AO34" i="2"/>
  <c r="AO15" i="2"/>
  <c r="AO21" i="2"/>
  <c r="AO18" i="2"/>
  <c r="AN5" i="2"/>
  <c r="AP12" i="2"/>
  <c r="AR28" i="2"/>
  <c r="AO8" i="2"/>
  <c r="AN15" i="2"/>
  <c r="AR21" i="2"/>
  <c r="AQ7" i="2"/>
  <c r="AO16" i="2"/>
  <c r="AR19" i="2"/>
  <c r="AG26" i="2"/>
  <c r="AG30" i="2"/>
  <c r="AG24" i="2"/>
  <c r="AI34" i="2"/>
  <c r="AI14" i="2"/>
  <c r="AG15" i="2"/>
  <c r="AH33" i="2"/>
  <c r="AH23" i="2"/>
  <c r="AI24" i="2"/>
  <c r="AH24" i="2"/>
  <c r="AI29" i="2"/>
  <c r="AI9" i="2"/>
  <c r="AI30" i="2"/>
  <c r="AG22" i="2"/>
  <c r="AI25" i="2"/>
  <c r="AH13" i="2"/>
  <c r="AI20" i="2"/>
  <c r="AI15" i="2"/>
  <c r="AI17" i="2"/>
  <c r="AI28" i="2"/>
  <c r="AH19" i="2"/>
  <c r="AI31" i="2"/>
  <c r="AN20" i="2"/>
  <c r="AN27" i="2"/>
  <c r="AO23" i="2"/>
  <c r="AQ15" i="2"/>
  <c r="AR24" i="2"/>
  <c r="AQ6" i="2"/>
  <c r="AR10" i="2"/>
  <c r="AP21" i="2"/>
  <c r="AP32" i="2"/>
  <c r="AR16" i="2"/>
  <c r="AQ32" i="2"/>
  <c r="AR34" i="2"/>
  <c r="AN14" i="2"/>
  <c r="AQ33" i="2"/>
  <c r="AR15" i="2"/>
  <c r="AP20" i="2"/>
  <c r="AQ5" i="2"/>
  <c r="AR11" i="2"/>
  <c r="AQ11" i="2"/>
  <c r="AP5" i="2"/>
  <c r="AO6" i="2"/>
  <c r="AO19" i="2"/>
  <c r="AR35" i="2"/>
  <c r="AO28" i="2"/>
  <c r="AR13" i="2"/>
  <c r="AR33" i="2"/>
  <c r="AQ9" i="2"/>
  <c r="AN26" i="2"/>
  <c r="AR8" i="2"/>
  <c r="AP8" i="2"/>
  <c r="AO33" i="2"/>
  <c r="AP25" i="2"/>
  <c r="AR32" i="2"/>
  <c r="AO22" i="2"/>
  <c r="AN19" i="2"/>
  <c r="AQ30" i="2"/>
  <c r="AN33" i="2"/>
  <c r="AR5" i="2"/>
  <c r="AQ21" i="2"/>
  <c r="AQ24" i="2"/>
  <c r="AR6" i="2"/>
  <c r="AR17" i="2"/>
  <c r="AO11" i="2"/>
  <c r="AO32" i="2"/>
  <c r="AY4" i="2" l="1"/>
  <c r="AL4" i="2"/>
  <c r="BX21" i="2"/>
  <c r="AM4" i="2"/>
  <c r="BS25" i="2"/>
  <c r="BS23" i="2"/>
  <c r="AL33" i="2"/>
  <c r="BT23" i="2"/>
  <c r="BW18" i="2"/>
  <c r="BT17" i="2"/>
  <c r="BV10" i="2"/>
  <c r="BT13" i="2"/>
  <c r="BV35" i="2"/>
  <c r="BT12" i="2"/>
  <c r="AU4" i="2"/>
  <c r="AT4" i="2"/>
  <c r="BA4" i="2" s="1"/>
  <c r="CO29" i="2"/>
  <c r="CO21" i="2"/>
  <c r="CO13" i="2"/>
  <c r="CO5" i="2"/>
  <c r="CO32" i="2"/>
  <c r="CO28" i="2"/>
  <c r="CO24" i="2"/>
  <c r="CO20" i="2"/>
  <c r="CO16" i="2"/>
  <c r="CO12" i="2"/>
  <c r="CO8" i="2"/>
  <c r="CO4" i="2"/>
  <c r="CO33" i="2"/>
  <c r="CO25" i="2"/>
  <c r="CO17" i="2"/>
  <c r="CO9" i="2"/>
  <c r="CO14" i="2"/>
  <c r="CO26" i="2"/>
  <c r="CO10" i="2"/>
  <c r="CO22" i="2"/>
  <c r="CO6" i="2"/>
  <c r="CO11" i="2"/>
  <c r="CO30" i="2"/>
  <c r="CO18" i="2"/>
  <c r="CO23" i="2"/>
  <c r="CO34" i="2"/>
  <c r="CO27" i="2"/>
  <c r="CO15" i="2"/>
  <c r="CO7" i="2"/>
  <c r="CO31" i="2"/>
  <c r="CO19" i="2"/>
  <c r="CO35" i="2"/>
  <c r="AS4" i="2"/>
  <c r="AW4" i="2"/>
  <c r="BS9" i="2"/>
  <c r="BS7" i="2"/>
  <c r="BZ21" i="2"/>
  <c r="BS26" i="2"/>
  <c r="BU19" i="2"/>
  <c r="AL32" i="2"/>
  <c r="BS34" i="2"/>
  <c r="BS24" i="2"/>
  <c r="AX4" i="2"/>
  <c r="AV4" i="2"/>
  <c r="BT18" i="2"/>
  <c r="CC21" i="2"/>
  <c r="CJ21" i="2" s="1"/>
  <c r="BU20" i="2"/>
  <c r="BV30" i="2"/>
  <c r="CD8" i="2"/>
  <c r="CK8" i="2" s="1"/>
  <c r="BW27" i="2"/>
  <c r="CD35" i="2"/>
  <c r="CB11" i="2"/>
  <c r="BT28" i="2"/>
  <c r="CD15" i="2"/>
  <c r="BW7" i="2"/>
  <c r="BV11" i="2"/>
  <c r="CD32" i="2"/>
  <c r="CK32" i="2" s="1"/>
  <c r="CB18" i="2"/>
  <c r="BT29" i="2"/>
  <c r="BU8" i="2"/>
  <c r="BS21" i="2"/>
  <c r="CG21" i="2" s="1"/>
  <c r="BS5" i="2"/>
  <c r="BT11" i="2"/>
  <c r="BS35" i="2"/>
  <c r="BS19" i="2"/>
  <c r="BT33" i="2"/>
  <c r="BU12" i="2"/>
  <c r="BT24" i="2"/>
  <c r="BT8" i="2"/>
  <c r="BS20" i="2"/>
  <c r="BW15" i="2"/>
  <c r="BT34" i="2"/>
  <c r="BT14" i="2"/>
  <c r="BT21" i="2"/>
  <c r="BT35" i="2"/>
  <c r="BV15" i="2"/>
  <c r="BU34" i="2"/>
  <c r="BV34" i="2"/>
  <c r="CC23" i="2"/>
  <c r="CC22" i="2"/>
  <c r="BZ12" i="2"/>
  <c r="CD24" i="2"/>
  <c r="CK24" i="2" s="1"/>
  <c r="CA16" i="2"/>
  <c r="BW11" i="2"/>
  <c r="BU24" i="2"/>
  <c r="BS33" i="2"/>
  <c r="BS17" i="2"/>
  <c r="BU30" i="2"/>
  <c r="BS8" i="2"/>
  <c r="BS31" i="2"/>
  <c r="BS15" i="2"/>
  <c r="BU28" i="2"/>
  <c r="BS6" i="2"/>
  <c r="BT20" i="2"/>
  <c r="BT4" i="2"/>
  <c r="BU10" i="2"/>
  <c r="BV23" i="2"/>
  <c r="BT30" i="2"/>
  <c r="BT10" i="2"/>
  <c r="BT5" i="2"/>
  <c r="BS16" i="2"/>
  <c r="BU25" i="2"/>
  <c r="BS12" i="2"/>
  <c r="CC7" i="2"/>
  <c r="CD23" i="2"/>
  <c r="CC10" i="2"/>
  <c r="CA15" i="2"/>
  <c r="CD28" i="2"/>
  <c r="CK28" i="2" s="1"/>
  <c r="AX28" i="2"/>
  <c r="BW35" i="2"/>
  <c r="BS18" i="2"/>
  <c r="BS29" i="2"/>
  <c r="BS13" i="2"/>
  <c r="BT27" i="2"/>
  <c r="BW23" i="2"/>
  <c r="BS27" i="2"/>
  <c r="BS11" i="2"/>
  <c r="BS22" i="2"/>
  <c r="BT32" i="2"/>
  <c r="BT16" i="2"/>
  <c r="BU26" i="2"/>
  <c r="BT7" i="2"/>
  <c r="BS4" i="2"/>
  <c r="BT26" i="2"/>
  <c r="BY26" i="2" s="1"/>
  <c r="BU32" i="2"/>
  <c r="BU35" i="2"/>
  <c r="BW31" i="2"/>
  <c r="BU9" i="2"/>
  <c r="BW14" i="2"/>
  <c r="CC15" i="2"/>
  <c r="CE15" i="2" s="1"/>
  <c r="CC4" i="2"/>
  <c r="CJ4" i="2" s="1"/>
  <c r="CA28" i="2"/>
  <c r="BZ5" i="2"/>
  <c r="BZ4" i="2"/>
  <c r="CB12" i="2"/>
  <c r="CI12" i="2" s="1"/>
  <c r="CD26" i="2"/>
  <c r="CD20" i="2"/>
  <c r="CK20" i="2" s="1"/>
  <c r="BV14" i="2"/>
  <c r="BW19" i="2"/>
  <c r="BV18" i="2"/>
  <c r="BT22" i="2"/>
  <c r="BY22" i="2" s="1"/>
  <c r="BT6" i="2"/>
  <c r="BU16" i="2"/>
  <c r="BU31" i="2"/>
  <c r="BU15" i="2"/>
  <c r="BS32" i="2"/>
  <c r="BU6" i="2"/>
  <c r="BW34" i="2"/>
  <c r="BU21" i="2"/>
  <c r="BU5" i="2"/>
  <c r="BS14" i="2"/>
  <c r="BT31" i="2"/>
  <c r="BV26" i="2"/>
  <c r="BW6" i="2"/>
  <c r="BV22" i="2"/>
  <c r="CD7" i="2"/>
  <c r="CC31" i="2"/>
  <c r="CD19" i="2"/>
  <c r="CC34" i="2"/>
  <c r="CD34" i="2"/>
  <c r="CC30" i="2"/>
  <c r="CD30" i="2"/>
  <c r="CC26" i="2"/>
  <c r="CC14" i="2"/>
  <c r="CB6" i="2"/>
  <c r="CC9" i="2"/>
  <c r="CJ9" i="2" s="1"/>
  <c r="CD12" i="2"/>
  <c r="CK12" i="2" s="1"/>
  <c r="BZ16" i="2"/>
  <c r="CA19" i="2"/>
  <c r="CB22" i="2"/>
  <c r="CC25" i="2"/>
  <c r="CJ25" i="2" s="1"/>
  <c r="CC29" i="2"/>
  <c r="CJ29" i="2" s="1"/>
  <c r="CC33" i="2"/>
  <c r="CJ33" i="2" s="1"/>
  <c r="CB7" i="2"/>
  <c r="CA12" i="2"/>
  <c r="BZ17" i="2"/>
  <c r="CB23" i="2"/>
  <c r="BZ29" i="2"/>
  <c r="CD4" i="2"/>
  <c r="CK4" i="2" s="1"/>
  <c r="CB32" i="2"/>
  <c r="BS10" i="2"/>
  <c r="BU27" i="2"/>
  <c r="BU11" i="2"/>
  <c r="BU22" i="2"/>
  <c r="BW10" i="2"/>
  <c r="BV19" i="2"/>
  <c r="BU33" i="2"/>
  <c r="BU17" i="2"/>
  <c r="BS30" i="2"/>
  <c r="BT9" i="2"/>
  <c r="BS28" i="2"/>
  <c r="BV31" i="2"/>
  <c r="BW30" i="2"/>
  <c r="BV6" i="2"/>
  <c r="BX6" i="2" s="1"/>
  <c r="CD31" i="2"/>
  <c r="CK31" i="2" s="1"/>
  <c r="BW22" i="2"/>
  <c r="CC35" i="2"/>
  <c r="CJ35" i="2" s="1"/>
  <c r="CC6" i="2"/>
  <c r="CD6" i="2"/>
  <c r="CC11" i="2"/>
  <c r="CJ11" i="2" s="1"/>
  <c r="CD11" i="2"/>
  <c r="CD22" i="2"/>
  <c r="CD10" i="2"/>
  <c r="CA7" i="2"/>
  <c r="CB10" i="2"/>
  <c r="CC13" i="2"/>
  <c r="CJ13" i="2" s="1"/>
  <c r="CD16" i="2"/>
  <c r="CK16" i="2" s="1"/>
  <c r="BZ20" i="2"/>
  <c r="CA23" i="2"/>
  <c r="CB26" i="2"/>
  <c r="CB30" i="2"/>
  <c r="CA35" i="2"/>
  <c r="CA8" i="2"/>
  <c r="BZ13" i="2"/>
  <c r="CB19" i="2"/>
  <c r="CI19" i="2" s="1"/>
  <c r="CA24" i="2"/>
  <c r="CH24" i="2" s="1"/>
  <c r="CA32" i="2"/>
  <c r="CA5" i="2"/>
  <c r="BZ19" i="2"/>
  <c r="BU23" i="2"/>
  <c r="BU7" i="2"/>
  <c r="BT19" i="2"/>
  <c r="BW26" i="2"/>
  <c r="BT15" i="2"/>
  <c r="BU29" i="2"/>
  <c r="BU13" i="2"/>
  <c r="BT25" i="2"/>
  <c r="BU4" i="2"/>
  <c r="BU18" i="2"/>
  <c r="BV27" i="2"/>
  <c r="BX27" i="2" s="1"/>
  <c r="BV7" i="2"/>
  <c r="BX7" i="2" s="1"/>
  <c r="BU14" i="2"/>
  <c r="CC19" i="2"/>
  <c r="CC27" i="2"/>
  <c r="CD27" i="2"/>
  <c r="CC18" i="2"/>
  <c r="CJ18" i="2" s="1"/>
  <c r="CD18" i="2"/>
  <c r="CK18" i="2" s="1"/>
  <c r="CD14" i="2"/>
  <c r="BZ8" i="2"/>
  <c r="CA11" i="2"/>
  <c r="CB14" i="2"/>
  <c r="CC17" i="2"/>
  <c r="BZ24" i="2"/>
  <c r="CA27" i="2"/>
  <c r="BZ32" i="2"/>
  <c r="CA4" i="2"/>
  <c r="BZ9" i="2"/>
  <c r="CB15" i="2"/>
  <c r="CA20" i="2"/>
  <c r="BZ25" i="2"/>
  <c r="BZ33" i="2"/>
  <c r="BZ6" i="2"/>
  <c r="CA14" i="2"/>
  <c r="CH14" i="2" s="1"/>
  <c r="CB16" i="2"/>
  <c r="CA6" i="2"/>
  <c r="CB25" i="2"/>
  <c r="CA21" i="2"/>
  <c r="CA10" i="2"/>
  <c r="CA30" i="2"/>
  <c r="BZ10" i="2"/>
  <c r="BZ26" i="2"/>
  <c r="CB27" i="2"/>
  <c r="CB31" i="2"/>
  <c r="CB29" i="2"/>
  <c r="CA17" i="2"/>
  <c r="BZ22" i="2"/>
  <c r="CB28" i="2"/>
  <c r="CA33" i="2"/>
  <c r="BZ7" i="2"/>
  <c r="CF7" i="2" s="1"/>
  <c r="BZ11" i="2"/>
  <c r="BZ15" i="2"/>
  <c r="CG15" i="2" s="1"/>
  <c r="CB21" i="2"/>
  <c r="CA26" i="2"/>
  <c r="CA34" i="2"/>
  <c r="BZ28" i="2"/>
  <c r="CA31" i="2"/>
  <c r="CH31" i="2" s="1"/>
  <c r="CB34" i="2"/>
  <c r="CI34" i="2" s="1"/>
  <c r="CD5" i="2"/>
  <c r="CK5" i="2" s="1"/>
  <c r="CD9" i="2"/>
  <c r="CD13" i="2"/>
  <c r="CK13" i="2" s="1"/>
  <c r="CD17" i="2"/>
  <c r="CK17" i="2" s="1"/>
  <c r="CD21" i="2"/>
  <c r="CE21" i="2" s="1"/>
  <c r="CD25" i="2"/>
  <c r="CK25" i="2" s="1"/>
  <c r="CD29" i="2"/>
  <c r="CD33" i="2"/>
  <c r="CK33" i="2" s="1"/>
  <c r="CC5" i="2"/>
  <c r="CB8" i="2"/>
  <c r="CA13" i="2"/>
  <c r="CH13" i="2" s="1"/>
  <c r="BZ18" i="2"/>
  <c r="CB24" i="2"/>
  <c r="CA29" i="2"/>
  <c r="CH29" i="2" s="1"/>
  <c r="BZ34" i="2"/>
  <c r="CC8" i="2"/>
  <c r="CE8" i="2" s="1"/>
  <c r="CC12" i="2"/>
  <c r="CB17" i="2"/>
  <c r="CA22" i="2"/>
  <c r="BZ27" i="2"/>
  <c r="BZ35" i="2"/>
  <c r="CB35" i="2"/>
  <c r="CB4" i="2"/>
  <c r="CI4" i="2" s="1"/>
  <c r="CA9" i="2"/>
  <c r="BZ14" i="2"/>
  <c r="CB20" i="2"/>
  <c r="CI20" i="2" s="1"/>
  <c r="CA25" i="2"/>
  <c r="BZ30" i="2"/>
  <c r="CG30" i="2" s="1"/>
  <c r="CB5" i="2"/>
  <c r="CI5" i="2" s="1"/>
  <c r="CB9" i="2"/>
  <c r="CB13" i="2"/>
  <c r="CA18" i="2"/>
  <c r="CH18" i="2" s="1"/>
  <c r="BZ23" i="2"/>
  <c r="CG23" i="2" s="1"/>
  <c r="BZ31" i="2"/>
  <c r="CC16" i="2"/>
  <c r="CB33" i="2"/>
  <c r="CC20" i="2"/>
  <c r="CJ20" i="2" s="1"/>
  <c r="CC24" i="2"/>
  <c r="CJ24" i="2" s="1"/>
  <c r="CC28" i="2"/>
  <c r="CJ28" i="2" s="1"/>
  <c r="CC32" i="2"/>
  <c r="CE32" i="2" s="1"/>
  <c r="AX29" i="2"/>
  <c r="AM14" i="2"/>
  <c r="AV5" i="2"/>
  <c r="AV7" i="2"/>
  <c r="AV14" i="2"/>
  <c r="AL27" i="2"/>
  <c r="AU12" i="2"/>
  <c r="BX17" i="2"/>
  <c r="AW13" i="2"/>
  <c r="AL19" i="2"/>
  <c r="BX9" i="2"/>
  <c r="AY8" i="2"/>
  <c r="AX9" i="2"/>
  <c r="AY27" i="2"/>
  <c r="AX27" i="2"/>
  <c r="BX33" i="2"/>
  <c r="BX16" i="2"/>
  <c r="AL29" i="2"/>
  <c r="AL28" i="2"/>
  <c r="AL12" i="2"/>
  <c r="BX4" i="2"/>
  <c r="BX24" i="2"/>
  <c r="AX25" i="2"/>
  <c r="AX22" i="2"/>
  <c r="AX12" i="2"/>
  <c r="AY30" i="2"/>
  <c r="AL9" i="2"/>
  <c r="BX13" i="2"/>
  <c r="AY9" i="2"/>
  <c r="AX6" i="2"/>
  <c r="AY31" i="2"/>
  <c r="BX20" i="2"/>
  <c r="AY33" i="2"/>
  <c r="AY24" i="2"/>
  <c r="AL31" i="2"/>
  <c r="BX8" i="2"/>
  <c r="BX32" i="2"/>
  <c r="AY26" i="2"/>
  <c r="AX13" i="2"/>
  <c r="AL30" i="2"/>
  <c r="BX29" i="2"/>
  <c r="AL24" i="2"/>
  <c r="BX25" i="2"/>
  <c r="BX28" i="2"/>
  <c r="AX24" i="2"/>
  <c r="AY21" i="2"/>
  <c r="AY25" i="2"/>
  <c r="AL17" i="2"/>
  <c r="AL21" i="2"/>
  <c r="AX8" i="2"/>
  <c r="AX17" i="2"/>
  <c r="AL25" i="2"/>
  <c r="AL16" i="2"/>
  <c r="AL8" i="2"/>
  <c r="AL13" i="2"/>
  <c r="AY32" i="2"/>
  <c r="AX31" i="2"/>
  <c r="AX16" i="2"/>
  <c r="AY16" i="2"/>
  <c r="AY28" i="2"/>
  <c r="AX26" i="2"/>
  <c r="AY12" i="2"/>
  <c r="AY5" i="2"/>
  <c r="AL5" i="2"/>
  <c r="AX21" i="2"/>
  <c r="AY29" i="2"/>
  <c r="AY13" i="2"/>
  <c r="AX15" i="2"/>
  <c r="AY22" i="2"/>
  <c r="AY20" i="2"/>
  <c r="AL20" i="2"/>
  <c r="AX35" i="2"/>
  <c r="AX20" i="2"/>
  <c r="AL34" i="2"/>
  <c r="AL22" i="2"/>
  <c r="AL23" i="2"/>
  <c r="AX32" i="2"/>
  <c r="BY23" i="2"/>
  <c r="AY18" i="2"/>
  <c r="AY23" i="2"/>
  <c r="AX23" i="2"/>
  <c r="AY34" i="2"/>
  <c r="AS30" i="2"/>
  <c r="AX33" i="2"/>
  <c r="AL35" i="2"/>
  <c r="AY6" i="2"/>
  <c r="AY35" i="2"/>
  <c r="AX34" i="2"/>
  <c r="AX14" i="2"/>
  <c r="AL11" i="2"/>
  <c r="AY11" i="2"/>
  <c r="AY17" i="2"/>
  <c r="AW29" i="2"/>
  <c r="AX11" i="2"/>
  <c r="AL10" i="2"/>
  <c r="BX12" i="2"/>
  <c r="AU24" i="2"/>
  <c r="AX10" i="2"/>
  <c r="AV28" i="2"/>
  <c r="AY10" i="2"/>
  <c r="AL14" i="2"/>
  <c r="AL15" i="2"/>
  <c r="AY15" i="2"/>
  <c r="AX7" i="2"/>
  <c r="AX18" i="2"/>
  <c r="BX5" i="2"/>
  <c r="AU6" i="2"/>
  <c r="AW15" i="2"/>
  <c r="AL7" i="2"/>
  <c r="AY14" i="2"/>
  <c r="AL18" i="2"/>
  <c r="AL6" i="2"/>
  <c r="AX5" i="2"/>
  <c r="AY7" i="2"/>
  <c r="AX19" i="2"/>
  <c r="BY7" i="2"/>
  <c r="BY6" i="2"/>
  <c r="AY19" i="2"/>
  <c r="AT19" i="2"/>
  <c r="AU22" i="2"/>
  <c r="AV12" i="2"/>
  <c r="AS8" i="2"/>
  <c r="AU33" i="2"/>
  <c r="AV24" i="2"/>
  <c r="AV16" i="2"/>
  <c r="AM23" i="2"/>
  <c r="AT25" i="2"/>
  <c r="AW35" i="2"/>
  <c r="AW5" i="2"/>
  <c r="AM33" i="2"/>
  <c r="AS34" i="2"/>
  <c r="AW17" i="2"/>
  <c r="AV34" i="2"/>
  <c r="AV31" i="2"/>
  <c r="AW31" i="2"/>
  <c r="AM26" i="2"/>
  <c r="AV15" i="2"/>
  <c r="AM7" i="2"/>
  <c r="AW26" i="2"/>
  <c r="AU18" i="2"/>
  <c r="AM20" i="2"/>
  <c r="AM17" i="2"/>
  <c r="AW30" i="2"/>
  <c r="AT18" i="2"/>
  <c r="AW14" i="2"/>
  <c r="AU10" i="2"/>
  <c r="AM32" i="2"/>
  <c r="AU15" i="2"/>
  <c r="AT14" i="2"/>
  <c r="AW19" i="2"/>
  <c r="AV6" i="2"/>
  <c r="AW9" i="2"/>
  <c r="AT8" i="2"/>
  <c r="AS23" i="2"/>
  <c r="AS13" i="2"/>
  <c r="AT6" i="2"/>
  <c r="AS16" i="2"/>
  <c r="AT29" i="2"/>
  <c r="AW22" i="2"/>
  <c r="AW27" i="2"/>
  <c r="AW16" i="2"/>
  <c r="AW7" i="2"/>
  <c r="AW33" i="2"/>
  <c r="AV11" i="2"/>
  <c r="AW20" i="2"/>
  <c r="AU17" i="2"/>
  <c r="AU31" i="2"/>
  <c r="AV20" i="2"/>
  <c r="AW10" i="2"/>
  <c r="AV19" i="2"/>
  <c r="AM24" i="2"/>
  <c r="AM10" i="2"/>
  <c r="AU7" i="2"/>
  <c r="AT7" i="2"/>
  <c r="AW8" i="2"/>
  <c r="AM34" i="2"/>
  <c r="AW11" i="2"/>
  <c r="AT5" i="2"/>
  <c r="AU11" i="2"/>
  <c r="AT17" i="2"/>
  <c r="AW18" i="2"/>
  <c r="AV29" i="2"/>
  <c r="AV27" i="2"/>
  <c r="AV8" i="2"/>
  <c r="AT28" i="2"/>
  <c r="AU14" i="2"/>
  <c r="AS31" i="2"/>
  <c r="AV33" i="2"/>
  <c r="AU26" i="2"/>
  <c r="AU20" i="2"/>
  <c r="AV23" i="2"/>
  <c r="AU30" i="2"/>
  <c r="AV21" i="2"/>
  <c r="AM25" i="2"/>
  <c r="AW6" i="2"/>
  <c r="AM5" i="2"/>
  <c r="AV10" i="2"/>
  <c r="AM29" i="2"/>
  <c r="AT24" i="2"/>
  <c r="AW24" i="2"/>
  <c r="AU13" i="2"/>
  <c r="AM16" i="2"/>
  <c r="AT35" i="2"/>
  <c r="AV35" i="2"/>
  <c r="AW34" i="2"/>
  <c r="AW28" i="2"/>
  <c r="AW32" i="2"/>
  <c r="AT13" i="2"/>
  <c r="AV9" i="2"/>
  <c r="AT34" i="2"/>
  <c r="AT9" i="2"/>
  <c r="AU32" i="2"/>
  <c r="AT11" i="2"/>
  <c r="AV22" i="2"/>
  <c r="AM18" i="2"/>
  <c r="AV32" i="2"/>
  <c r="AU21" i="2"/>
  <c r="AT30" i="2"/>
  <c r="AU29" i="2"/>
  <c r="AV25" i="2"/>
  <c r="AS11" i="2"/>
  <c r="AM21" i="2"/>
  <c r="AM27" i="2"/>
  <c r="AS10" i="2"/>
  <c r="AU8" i="2"/>
  <c r="AU23" i="2"/>
  <c r="AU35" i="2"/>
  <c r="AS27" i="2"/>
  <c r="AT26" i="2"/>
  <c r="AS25" i="2"/>
  <c r="AM19" i="2"/>
  <c r="AS32" i="2"/>
  <c r="AS9" i="2"/>
  <c r="AM8" i="2"/>
  <c r="AS26" i="2"/>
  <c r="AZ26" i="2" s="1"/>
  <c r="AT21" i="2"/>
  <c r="AV17" i="2"/>
  <c r="AM30" i="2"/>
  <c r="AS14" i="2"/>
  <c r="AS24" i="2"/>
  <c r="AT15" i="2"/>
  <c r="AM11" i="2"/>
  <c r="AM9" i="2"/>
  <c r="AM28" i="2"/>
  <c r="AU27" i="2"/>
  <c r="AW21" i="2"/>
  <c r="AM31" i="2"/>
  <c r="AT27" i="2"/>
  <c r="AT22" i="2"/>
  <c r="AT12" i="2"/>
  <c r="AS20" i="2"/>
  <c r="AS22" i="2"/>
  <c r="AU5" i="2"/>
  <c r="AU25" i="2"/>
  <c r="AV13" i="2"/>
  <c r="AT32" i="2"/>
  <c r="AV30" i="2"/>
  <c r="AS6" i="2"/>
  <c r="AS7" i="2"/>
  <c r="AM13" i="2"/>
  <c r="AS28" i="2"/>
  <c r="AU34" i="2"/>
  <c r="AM6" i="2"/>
  <c r="AM35" i="2"/>
  <c r="AS12" i="2"/>
  <c r="AM15" i="2"/>
  <c r="AW23" i="2"/>
  <c r="AT23" i="2"/>
  <c r="AV26" i="2"/>
  <c r="AS5" i="2"/>
  <c r="AT33" i="2"/>
  <c r="AT16" i="2"/>
  <c r="AS21" i="2"/>
  <c r="AT31" i="2"/>
  <c r="AM22" i="2"/>
  <c r="AU9" i="2"/>
  <c r="AT10" i="2"/>
  <c r="AW12" i="2"/>
  <c r="AS19" i="2"/>
  <c r="AT20" i="2"/>
  <c r="AS17" i="2"/>
  <c r="AS29" i="2"/>
  <c r="AU28" i="2"/>
  <c r="AS35" i="2"/>
  <c r="AS15" i="2"/>
  <c r="AS33" i="2"/>
  <c r="AU19" i="2"/>
  <c r="AS18" i="2"/>
  <c r="AX30" i="2"/>
  <c r="AM12" i="2"/>
  <c r="AU16" i="2"/>
  <c r="AW25" i="2"/>
  <c r="AV18" i="2"/>
  <c r="CG9" i="2" l="1"/>
  <c r="CF10" i="2"/>
  <c r="BY11" i="2"/>
  <c r="CF35" i="2"/>
  <c r="BY31" i="2"/>
  <c r="BY34" i="2"/>
  <c r="AZ33" i="2"/>
  <c r="CH8" i="2"/>
  <c r="BY19" i="2"/>
  <c r="BY18" i="2"/>
  <c r="CK7" i="2"/>
  <c r="BX11" i="2"/>
  <c r="CH23" i="2"/>
  <c r="BX30" i="2"/>
  <c r="CJ30" i="2"/>
  <c r="AZ32" i="2"/>
  <c r="CI8" i="2"/>
  <c r="CI11" i="2"/>
  <c r="CE29" i="2"/>
  <c r="CL29" i="2" s="1"/>
  <c r="CG35" i="2"/>
  <c r="CH34" i="2"/>
  <c r="CG17" i="2"/>
  <c r="CE7" i="2"/>
  <c r="CL7" i="2" s="1"/>
  <c r="CG27" i="2"/>
  <c r="CK11" i="2"/>
  <c r="CI28" i="2"/>
  <c r="CI30" i="2"/>
  <c r="CH5" i="2"/>
  <c r="CE22" i="2"/>
  <c r="BY27" i="2"/>
  <c r="CF34" i="2"/>
  <c r="BY30" i="2"/>
  <c r="CF22" i="2"/>
  <c r="CF26" i="2"/>
  <c r="CF30" i="2"/>
  <c r="CF19" i="2"/>
  <c r="BY10" i="2"/>
  <c r="BX15" i="2"/>
  <c r="CL15" i="2" s="1"/>
  <c r="CJ10" i="2"/>
  <c r="CF23" i="2"/>
  <c r="BX10" i="2"/>
  <c r="CF27" i="2"/>
  <c r="CH11" i="2"/>
  <c r="BY15" i="2"/>
  <c r="CF31" i="2"/>
  <c r="CM31" i="2" s="1"/>
  <c r="CL21" i="2"/>
  <c r="CH10" i="2"/>
  <c r="CH4" i="2"/>
  <c r="CF11" i="2"/>
  <c r="CF18" i="2"/>
  <c r="CM18" i="2" s="1"/>
  <c r="CI10" i="2"/>
  <c r="CJ22" i="2"/>
  <c r="CG29" i="2"/>
  <c r="BX34" i="2"/>
  <c r="CK15" i="2"/>
  <c r="CH21" i="2"/>
  <c r="CI18" i="2"/>
  <c r="AZ4" i="2"/>
  <c r="CH17" i="2"/>
  <c r="CH33" i="2"/>
  <c r="CG20" i="2"/>
  <c r="CG26" i="2"/>
  <c r="CG24" i="2"/>
  <c r="CK27" i="2"/>
  <c r="CH12" i="2"/>
  <c r="BY35" i="2"/>
  <c r="CM35" i="2" s="1"/>
  <c r="CG12" i="2"/>
  <c r="CH16" i="2"/>
  <c r="CH28" i="2"/>
  <c r="CJ34" i="2"/>
  <c r="CE5" i="2"/>
  <c r="CL5" i="2" s="1"/>
  <c r="CK34" i="2"/>
  <c r="CH15" i="2"/>
  <c r="CH26" i="2"/>
  <c r="CI9" i="2"/>
  <c r="CE26" i="2"/>
  <c r="CE34" i="2"/>
  <c r="CI23" i="2"/>
  <c r="CG5" i="2"/>
  <c r="CI32" i="2"/>
  <c r="CE23" i="2"/>
  <c r="CG16" i="2"/>
  <c r="CJ23" i="2"/>
  <c r="BX18" i="2"/>
  <c r="CH35" i="2"/>
  <c r="CE11" i="2"/>
  <c r="CH22" i="2"/>
  <c r="CG34" i="2"/>
  <c r="CG6" i="2"/>
  <c r="BY14" i="2"/>
  <c r="CE35" i="2"/>
  <c r="CI24" i="2"/>
  <c r="CG25" i="2"/>
  <c r="CI21" i="2"/>
  <c r="CJ14" i="2"/>
  <c r="CJ31" i="2"/>
  <c r="CJ15" i="2"/>
  <c r="CK6" i="2"/>
  <c r="CG8" i="2"/>
  <c r="CG19" i="2"/>
  <c r="CG11" i="2"/>
  <c r="CI17" i="2"/>
  <c r="CI31" i="2"/>
  <c r="CG13" i="2"/>
  <c r="CI26" i="2"/>
  <c r="BX23" i="2"/>
  <c r="CK35" i="2"/>
  <c r="CK14" i="2"/>
  <c r="CH19" i="2"/>
  <c r="CE30" i="2"/>
  <c r="CL30" i="2" s="1"/>
  <c r="BX14" i="2"/>
  <c r="CI6" i="2"/>
  <c r="BX31" i="2"/>
  <c r="CF14" i="2"/>
  <c r="CI22" i="2"/>
  <c r="CK23" i="2"/>
  <c r="BX22" i="2"/>
  <c r="CL22" i="2" s="1"/>
  <c r="CJ7" i="2"/>
  <c r="CK19" i="2"/>
  <c r="CH7" i="2"/>
  <c r="CH27" i="2"/>
  <c r="CG18" i="2"/>
  <c r="CH32" i="2"/>
  <c r="CJ6" i="2"/>
  <c r="CG10" i="2"/>
  <c r="CI15" i="2"/>
  <c r="CG7" i="2"/>
  <c r="CG33" i="2"/>
  <c r="BX26" i="2"/>
  <c r="CG22" i="2"/>
  <c r="CH20" i="2"/>
  <c r="CG32" i="2"/>
  <c r="CE19" i="2"/>
  <c r="CI7" i="2"/>
  <c r="CK21" i="2"/>
  <c r="CK30" i="2"/>
  <c r="BX35" i="2"/>
  <c r="CI25" i="2"/>
  <c r="CE20" i="2"/>
  <c r="CL20" i="2" s="1"/>
  <c r="CE14" i="2"/>
  <c r="CG31" i="2"/>
  <c r="CI35" i="2"/>
  <c r="CE9" i="2"/>
  <c r="CL9" i="2" s="1"/>
  <c r="CH30" i="2"/>
  <c r="CI14" i="2"/>
  <c r="CF6" i="2"/>
  <c r="CM6" i="2" s="1"/>
  <c r="CE33" i="2"/>
  <c r="CL33" i="2" s="1"/>
  <c r="CJ8" i="2"/>
  <c r="CL8" i="2"/>
  <c r="CI29" i="2"/>
  <c r="CE18" i="2"/>
  <c r="CK10" i="2"/>
  <c r="CJ26" i="2"/>
  <c r="CF15" i="2"/>
  <c r="CG28" i="2"/>
  <c r="CE25" i="2"/>
  <c r="CL25" i="2" s="1"/>
  <c r="BX19" i="2"/>
  <c r="CL19" i="2" s="1"/>
  <c r="CG4" i="2"/>
  <c r="CE4" i="2"/>
  <c r="CL4" i="2" s="1"/>
  <c r="CK9" i="2"/>
  <c r="CE12" i="2"/>
  <c r="CL12" i="2" s="1"/>
  <c r="CI16" i="2"/>
  <c r="CE17" i="2"/>
  <c r="CL17" i="2" s="1"/>
  <c r="CE27" i="2"/>
  <c r="CL27" i="2" s="1"/>
  <c r="CJ27" i="2"/>
  <c r="CE6" i="2"/>
  <c r="CL6" i="2" s="1"/>
  <c r="CJ19" i="2"/>
  <c r="CI27" i="2"/>
  <c r="CE31" i="2"/>
  <c r="CL31" i="2" s="1"/>
  <c r="AZ9" i="2"/>
  <c r="CH6" i="2"/>
  <c r="CK26" i="2"/>
  <c r="CI33" i="2"/>
  <c r="CE10" i="2"/>
  <c r="CE16" i="2"/>
  <c r="CL16" i="2" s="1"/>
  <c r="CH25" i="2"/>
  <c r="CG14" i="2"/>
  <c r="CK22" i="2"/>
  <c r="CJ17" i="2"/>
  <c r="CJ12" i="2"/>
  <c r="CJ5" i="2"/>
  <c r="CH9" i="2"/>
  <c r="AZ24" i="2"/>
  <c r="CI13" i="2"/>
  <c r="CE13" i="2"/>
  <c r="CL13" i="2" s="1"/>
  <c r="BA14" i="2"/>
  <c r="AZ12" i="2"/>
  <c r="AZ21" i="2"/>
  <c r="CE24" i="2"/>
  <c r="CL24" i="2" s="1"/>
  <c r="AZ8" i="2"/>
  <c r="CE28" i="2"/>
  <c r="CL28" i="2" s="1"/>
  <c r="CK29" i="2"/>
  <c r="AZ28" i="2"/>
  <c r="AZ27" i="2"/>
  <c r="CJ16" i="2"/>
  <c r="CJ32" i="2"/>
  <c r="AZ19" i="2"/>
  <c r="AZ29" i="2"/>
  <c r="CM22" i="2"/>
  <c r="CM26" i="2"/>
  <c r="AZ20" i="2"/>
  <c r="CL32" i="2"/>
  <c r="AZ31" i="2"/>
  <c r="AZ16" i="2"/>
  <c r="AZ23" i="2"/>
  <c r="AZ25" i="2"/>
  <c r="AZ17" i="2"/>
  <c r="AZ30" i="2"/>
  <c r="AZ35" i="2"/>
  <c r="AZ13" i="2"/>
  <c r="AZ22" i="2"/>
  <c r="CM23" i="2"/>
  <c r="CM27" i="2"/>
  <c r="AZ10" i="2"/>
  <c r="AZ6" i="2"/>
  <c r="AZ34" i="2"/>
  <c r="AZ5" i="2"/>
  <c r="AZ18" i="2"/>
  <c r="AZ15" i="2"/>
  <c r="AZ11" i="2"/>
  <c r="AZ14" i="2"/>
  <c r="AZ7" i="2"/>
  <c r="BA9" i="2"/>
  <c r="CM7" i="2"/>
  <c r="BA19" i="2"/>
  <c r="BA20" i="2"/>
  <c r="BA18" i="2"/>
  <c r="BA23" i="2"/>
  <c r="BA16" i="2"/>
  <c r="BA6" i="2"/>
  <c r="BA7" i="2"/>
  <c r="BA32" i="2"/>
  <c r="BA25" i="2"/>
  <c r="BA33" i="2"/>
  <c r="BA26" i="2"/>
  <c r="BA17" i="2"/>
  <c r="BA10" i="2"/>
  <c r="BA12" i="2"/>
  <c r="BA8" i="2"/>
  <c r="BA29" i="2"/>
  <c r="BA21" i="2"/>
  <c r="BA30" i="2"/>
  <c r="BA34" i="2"/>
  <c r="BA11" i="2"/>
  <c r="BA5" i="2"/>
  <c r="BA24" i="2"/>
  <c r="BA22" i="2"/>
  <c r="BA35" i="2"/>
  <c r="BA28" i="2"/>
  <c r="BA15" i="2"/>
  <c r="BA31" i="2"/>
  <c r="BA13" i="2"/>
  <c r="BA27" i="2"/>
  <c r="CM10" i="2" l="1"/>
  <c r="CM11" i="2"/>
  <c r="CM34" i="2"/>
  <c r="CP35" i="2" s="1"/>
  <c r="CM30" i="2"/>
  <c r="CR30" i="2" s="1"/>
  <c r="CM14" i="2"/>
  <c r="CM19" i="2"/>
  <c r="CP18" i="2" s="1"/>
  <c r="CL11" i="2"/>
  <c r="CL34" i="2"/>
  <c r="CL10" i="2"/>
  <c r="CM15" i="2"/>
  <c r="CL26" i="2"/>
  <c r="CR24" i="2" s="1"/>
  <c r="CL18" i="2"/>
  <c r="CL35" i="2"/>
  <c r="CL23" i="2"/>
  <c r="CR21" i="2" s="1"/>
  <c r="CL14" i="2"/>
  <c r="CP5" i="2"/>
  <c r="BE4" i="2"/>
  <c r="BE13" i="2"/>
  <c r="CP24" i="2"/>
  <c r="CP23" i="2"/>
  <c r="CP21" i="2"/>
  <c r="CP22" i="2"/>
  <c r="CP20" i="2"/>
  <c r="CP25" i="2"/>
  <c r="CP27" i="2"/>
  <c r="CP26" i="2"/>
  <c r="CP6" i="2"/>
  <c r="CP4" i="2"/>
  <c r="CP7" i="2"/>
  <c r="CR6" i="2"/>
  <c r="CR5" i="2"/>
  <c r="CR4" i="2"/>
  <c r="CR7" i="2"/>
  <c r="BE20" i="2"/>
  <c r="BE18" i="2"/>
  <c r="BE19" i="2"/>
  <c r="BF18" i="2"/>
  <c r="BE16" i="2"/>
  <c r="BE31" i="2"/>
  <c r="BE11" i="2"/>
  <c r="BF17" i="2"/>
  <c r="BE34" i="2"/>
  <c r="BE24" i="2"/>
  <c r="BF16" i="2"/>
  <c r="BF19" i="2"/>
  <c r="BE17" i="2"/>
  <c r="BE21" i="2"/>
  <c r="BE8" i="2"/>
  <c r="BF7" i="2"/>
  <c r="BF32" i="2"/>
  <c r="BE33" i="2"/>
  <c r="BF31" i="2"/>
  <c r="BF9" i="2"/>
  <c r="BE28" i="2"/>
  <c r="BF8" i="2"/>
  <c r="BE9" i="2"/>
  <c r="BF4" i="2"/>
  <c r="BF27" i="2"/>
  <c r="BF20" i="2"/>
  <c r="BE26" i="2"/>
  <c r="BF12" i="2"/>
  <c r="BF34" i="2"/>
  <c r="BF35" i="2"/>
  <c r="BE35" i="2"/>
  <c r="BF5" i="2"/>
  <c r="BF13" i="2"/>
  <c r="BE22" i="2"/>
  <c r="BF30" i="2"/>
  <c r="BE5" i="2"/>
  <c r="BF26" i="2"/>
  <c r="BE6" i="2"/>
  <c r="BE29" i="2"/>
  <c r="BF29" i="2"/>
  <c r="BF6" i="2"/>
  <c r="BE10" i="2"/>
  <c r="BE7" i="2"/>
  <c r="BF11" i="2"/>
  <c r="BF10" i="2"/>
  <c r="BE27" i="2"/>
  <c r="BF15" i="2"/>
  <c r="BE14" i="2"/>
  <c r="BE15" i="2"/>
  <c r="BF33" i="2"/>
  <c r="BF14" i="2"/>
  <c r="BF28" i="2"/>
  <c r="BE32" i="2"/>
  <c r="BE12" i="2"/>
  <c r="BF22" i="2"/>
  <c r="BF21" i="2"/>
  <c r="BF23" i="2"/>
  <c r="BE23" i="2"/>
  <c r="BE30" i="2"/>
  <c r="BF24" i="2"/>
  <c r="BF25" i="2"/>
  <c r="BE25" i="2"/>
  <c r="CP10" i="2" l="1"/>
  <c r="CP9" i="2"/>
  <c r="CP8" i="2"/>
  <c r="CP11" i="2"/>
  <c r="CP34" i="2"/>
  <c r="CP19" i="2"/>
  <c r="CP33" i="2"/>
  <c r="CP32" i="2"/>
  <c r="CR28" i="2"/>
  <c r="CP30" i="2"/>
  <c r="CP31" i="2"/>
  <c r="CP29" i="2"/>
  <c r="CR29" i="2"/>
  <c r="CR31" i="2"/>
  <c r="CP28" i="2"/>
  <c r="CP14" i="2"/>
  <c r="CP16" i="2"/>
  <c r="CP17" i="2"/>
  <c r="CR18" i="2"/>
  <c r="CR17" i="2"/>
  <c r="CR10" i="2"/>
  <c r="CR8" i="2"/>
  <c r="CR32" i="2"/>
  <c r="CR11" i="2"/>
  <c r="CR9" i="2"/>
  <c r="CP12" i="2"/>
  <c r="CR25" i="2"/>
  <c r="CR19" i="2"/>
  <c r="CR16" i="2"/>
  <c r="CP13" i="2"/>
  <c r="CP15" i="2"/>
  <c r="CR12" i="2"/>
  <c r="CR35" i="2"/>
  <c r="CR33" i="2"/>
  <c r="CR34" i="2"/>
  <c r="CR26" i="2"/>
  <c r="CR14" i="2"/>
  <c r="CR20" i="2"/>
  <c r="CR27" i="2"/>
  <c r="CR22" i="2"/>
  <c r="CR23" i="2"/>
  <c r="CR13" i="2"/>
  <c r="CR15" i="2"/>
  <c r="CS4" i="2"/>
  <c r="CS6" i="2"/>
  <c r="CS7" i="2"/>
  <c r="CS5" i="2"/>
  <c r="BJ10" i="2"/>
  <c r="BJ17" i="2"/>
  <c r="BJ35" i="2"/>
  <c r="BI16" i="2"/>
  <c r="BI20" i="2"/>
  <c r="BI18" i="2"/>
  <c r="BI35" i="2"/>
  <c r="BH17" i="2"/>
  <c r="BH11" i="2"/>
  <c r="BJ18" i="2"/>
  <c r="BJ19" i="2"/>
  <c r="BJ16" i="2"/>
  <c r="BG35" i="2"/>
  <c r="BG8" i="2"/>
  <c r="BH19" i="2"/>
  <c r="BG17" i="2"/>
  <c r="BG16" i="2"/>
  <c r="BG19" i="2"/>
  <c r="BI33" i="2"/>
  <c r="BH18" i="2"/>
  <c r="BH16" i="2"/>
  <c r="BI19" i="2"/>
  <c r="BI17" i="2"/>
  <c r="BG18" i="2"/>
  <c r="BH32" i="2"/>
  <c r="BG33" i="2"/>
  <c r="BH29" i="2"/>
  <c r="BJ34" i="2"/>
  <c r="BH35" i="2"/>
  <c r="BJ32" i="2"/>
  <c r="BG32" i="2"/>
  <c r="BH33" i="2"/>
  <c r="BH34" i="2"/>
  <c r="BG13" i="2"/>
  <c r="BJ8" i="2"/>
  <c r="BH10" i="2"/>
  <c r="BI32" i="2"/>
  <c r="BI8" i="2"/>
  <c r="BG10" i="2"/>
  <c r="BH8" i="2"/>
  <c r="BJ33" i="2"/>
  <c r="BH9" i="2"/>
  <c r="BG11" i="2"/>
  <c r="BG25" i="2"/>
  <c r="BG29" i="2"/>
  <c r="BG7" i="2"/>
  <c r="BJ20" i="2"/>
  <c r="BG31" i="2"/>
  <c r="BH20" i="2"/>
  <c r="BI10" i="2"/>
  <c r="BI11" i="2"/>
  <c r="BH24" i="2"/>
  <c r="BI9" i="2"/>
  <c r="BG20" i="2"/>
  <c r="BG14" i="2"/>
  <c r="BG6" i="2"/>
  <c r="BJ7" i="2"/>
  <c r="BH6" i="2"/>
  <c r="BI6" i="2"/>
  <c r="BI7" i="2"/>
  <c r="BH22" i="2"/>
  <c r="BJ9" i="2"/>
  <c r="BJ23" i="2"/>
  <c r="BG9" i="2"/>
  <c r="BJ11" i="2"/>
  <c r="BH13" i="2"/>
  <c r="BH27" i="2"/>
  <c r="BG4" i="2"/>
  <c r="BH31" i="2"/>
  <c r="BI4" i="2"/>
  <c r="BI25" i="2"/>
  <c r="BG23" i="2"/>
  <c r="BG27" i="2"/>
  <c r="BG22" i="2"/>
  <c r="BI5" i="2"/>
  <c r="BH26" i="2"/>
  <c r="BJ6" i="2"/>
  <c r="BJ27" i="2"/>
  <c r="BI29" i="2"/>
  <c r="BJ31" i="2"/>
  <c r="BJ28" i="2"/>
  <c r="BH7" i="2"/>
  <c r="BG5" i="2"/>
  <c r="BH5" i="2"/>
  <c r="BH4" i="2"/>
  <c r="BJ21" i="2"/>
  <c r="BI23" i="2"/>
  <c r="BH21" i="2"/>
  <c r="BG26" i="2"/>
  <c r="BH23" i="2"/>
  <c r="BJ5" i="2"/>
  <c r="BG12" i="2"/>
  <c r="BJ29" i="2"/>
  <c r="BH28" i="2"/>
  <c r="BJ4" i="2"/>
  <c r="BJ26" i="2"/>
  <c r="BI21" i="2"/>
  <c r="BJ22" i="2"/>
  <c r="BI22" i="2"/>
  <c r="BG21" i="2"/>
  <c r="BJ24" i="2"/>
  <c r="BI26" i="2"/>
  <c r="BI14" i="2"/>
  <c r="BH14" i="2"/>
  <c r="BI12" i="2"/>
  <c r="BJ12" i="2"/>
  <c r="BJ14" i="2"/>
  <c r="BJ13" i="2"/>
  <c r="BI13" i="2"/>
  <c r="BH12" i="2"/>
  <c r="BI15" i="2"/>
  <c r="BG34" i="2"/>
  <c r="BI34" i="2"/>
  <c r="BH15" i="2"/>
  <c r="BG15" i="2"/>
  <c r="BJ15" i="2"/>
  <c r="BG30" i="2"/>
  <c r="BI30" i="2"/>
  <c r="BI31" i="2"/>
  <c r="BJ25" i="2"/>
  <c r="BI27" i="2"/>
  <c r="BI28" i="2"/>
  <c r="BJ30" i="2"/>
  <c r="BH30" i="2"/>
  <c r="BG28" i="2"/>
  <c r="BI24" i="2"/>
  <c r="BG24" i="2"/>
  <c r="BH25" i="2"/>
  <c r="CS31" i="2" l="1"/>
  <c r="CS30" i="2"/>
  <c r="CS29" i="2"/>
  <c r="CS28" i="2"/>
  <c r="CS10" i="2"/>
  <c r="CS9" i="2"/>
  <c r="CS11" i="2"/>
  <c r="CS8" i="2"/>
  <c r="CS19" i="2"/>
  <c r="CS17" i="2"/>
  <c r="CS16" i="2"/>
  <c r="CS18" i="2"/>
  <c r="CS35" i="2"/>
  <c r="CS32" i="2"/>
  <c r="CS33" i="2"/>
  <c r="CS20" i="2"/>
  <c r="CS34" i="2"/>
  <c r="CS25" i="2"/>
  <c r="CS27" i="2"/>
  <c r="CS21" i="2"/>
  <c r="CS13" i="2"/>
  <c r="CS24" i="2"/>
  <c r="CS26" i="2"/>
  <c r="CS22" i="2"/>
  <c r="CS23" i="2"/>
  <c r="CS14" i="2"/>
  <c r="CS15" i="2"/>
  <c r="CS12" i="2"/>
  <c r="CT7" i="2"/>
  <c r="CT6" i="2"/>
  <c r="BO17" i="2"/>
  <c r="BO19" i="2"/>
  <c r="BO32" i="2"/>
  <c r="BO18" i="2"/>
  <c r="BO16" i="2"/>
  <c r="BO35" i="2"/>
  <c r="BO33" i="2"/>
  <c r="BO29" i="2"/>
  <c r="BO6" i="2"/>
  <c r="BO11" i="2"/>
  <c r="BO20" i="2"/>
  <c r="BO10" i="2"/>
  <c r="BO8" i="2"/>
  <c r="BO34" i="2"/>
  <c r="BO13" i="2"/>
  <c r="BO26" i="2"/>
  <c r="BO9" i="2"/>
  <c r="BO22" i="2"/>
  <c r="BO7" i="2"/>
  <c r="BO5" i="2"/>
  <c r="BO4" i="2"/>
  <c r="BO21" i="2"/>
  <c r="BO28" i="2"/>
  <c r="BO31" i="2"/>
  <c r="BO12" i="2"/>
  <c r="BO23" i="2"/>
  <c r="BO27" i="2"/>
  <c r="BO24" i="2"/>
  <c r="BO30" i="2"/>
  <c r="BO25" i="2"/>
  <c r="BO15" i="2"/>
  <c r="BO14" i="2"/>
  <c r="CT10" i="2" l="1"/>
  <c r="CT34" i="2"/>
  <c r="CT35" i="2"/>
  <c r="CT31" i="2"/>
  <c r="CT30" i="2"/>
  <c r="CT11" i="2"/>
  <c r="CT19" i="2"/>
  <c r="CT18" i="2"/>
  <c r="CT14" i="2"/>
  <c r="CT27" i="2"/>
  <c r="CT15" i="2"/>
  <c r="CT23" i="2"/>
  <c r="CT22" i="2"/>
  <c r="CT26" i="2"/>
  <c r="CU26" i="2" s="1"/>
  <c r="CU6" i="2"/>
  <c r="CU7" i="2"/>
  <c r="DF16" i="2"/>
  <c r="DH16" i="2" s="1"/>
  <c r="S30" i="1" s="1"/>
  <c r="X30" i="1" s="1"/>
  <c r="DF4" i="2"/>
  <c r="DH4" i="2" s="1"/>
  <c r="S9" i="1" s="1"/>
  <c r="S83" i="1" s="1"/>
  <c r="X83" i="1" s="1"/>
  <c r="DF28" i="2"/>
  <c r="DH28" i="2" s="1"/>
  <c r="S51" i="1" s="1"/>
  <c r="W51" i="1" s="1"/>
  <c r="DF8" i="2"/>
  <c r="DH8" i="2" s="1"/>
  <c r="S16" i="1" s="1"/>
  <c r="V16" i="1" s="1"/>
  <c r="DF20" i="2"/>
  <c r="DH20" i="2" s="1"/>
  <c r="S37" i="1" s="1"/>
  <c r="S87" i="1" s="1"/>
  <c r="X87" i="1" s="1"/>
  <c r="DF32" i="2"/>
  <c r="DH32" i="2" s="1"/>
  <c r="S58" i="1" s="1"/>
  <c r="V58" i="1" s="1"/>
  <c r="DF12" i="2"/>
  <c r="DH12" i="2" s="1"/>
  <c r="S23" i="1" s="1"/>
  <c r="S85" i="1" s="1"/>
  <c r="X85" i="1" s="1"/>
  <c r="Z26" i="15" s="1"/>
  <c r="T31" i="15" s="1"/>
  <c r="DF17" i="2"/>
  <c r="DH17" i="2" s="1"/>
  <c r="S31" i="1" s="1"/>
  <c r="W31" i="1" s="1"/>
  <c r="S86" i="1"/>
  <c r="X86" i="1" s="1"/>
  <c r="DF19" i="2"/>
  <c r="DF18" i="2"/>
  <c r="DF35" i="2"/>
  <c r="DF33" i="2"/>
  <c r="DH33" i="2" s="1"/>
  <c r="S59" i="1" s="1"/>
  <c r="S100" i="1" s="1"/>
  <c r="X100" i="1" s="1"/>
  <c r="DF27" i="2"/>
  <c r="DF34" i="2"/>
  <c r="DF23" i="2"/>
  <c r="DF11" i="2"/>
  <c r="DF22" i="2"/>
  <c r="DF21" i="2"/>
  <c r="DH21" i="2" s="1"/>
  <c r="S38" i="1" s="1"/>
  <c r="V38" i="1" s="1"/>
  <c r="DF5" i="2"/>
  <c r="DH5" i="2" s="1"/>
  <c r="S10" i="1" s="1"/>
  <c r="DF10" i="2"/>
  <c r="DF9" i="2"/>
  <c r="DH9" i="2" s="1"/>
  <c r="S17" i="1" s="1"/>
  <c r="W17" i="1" s="1"/>
  <c r="DF29" i="2"/>
  <c r="DH29" i="2" s="1"/>
  <c r="S52" i="1" s="1"/>
  <c r="V52" i="1" s="1"/>
  <c r="DF30" i="2"/>
  <c r="DF6" i="2"/>
  <c r="DF13" i="2"/>
  <c r="DH13" i="2" s="1"/>
  <c r="S24" i="1" s="1"/>
  <c r="W24" i="1" s="1"/>
  <c r="DF7" i="2"/>
  <c r="DF14" i="2"/>
  <c r="DF31" i="2"/>
  <c r="DF15" i="2"/>
  <c r="DF26" i="2"/>
  <c r="DF24" i="2"/>
  <c r="DH24" i="2" s="1"/>
  <c r="S44" i="1" s="1"/>
  <c r="X44" i="1" s="1"/>
  <c r="DF25" i="2"/>
  <c r="DH25" i="2" s="1"/>
  <c r="S45" i="1" s="1"/>
  <c r="X45" i="1" s="1"/>
  <c r="Z8" i="15" l="1"/>
  <c r="BG6" i="17" s="1"/>
  <c r="CU11" i="2"/>
  <c r="CU35" i="2"/>
  <c r="CU10" i="2"/>
  <c r="CU34" i="2"/>
  <c r="CU31" i="2"/>
  <c r="CU14" i="2"/>
  <c r="CU30" i="2"/>
  <c r="CU18" i="2"/>
  <c r="CU19" i="2"/>
  <c r="CU15" i="2"/>
  <c r="CU23" i="2"/>
  <c r="CU27" i="2"/>
  <c r="CV24" i="2" s="1"/>
  <c r="CU22" i="2"/>
  <c r="CV4" i="2"/>
  <c r="CV7" i="2"/>
  <c r="DA7" i="2" s="1"/>
  <c r="CV6" i="2"/>
  <c r="DA6" i="2" s="1"/>
  <c r="CV5" i="2"/>
  <c r="V30" i="1"/>
  <c r="U30" i="1"/>
  <c r="W30" i="1"/>
  <c r="W9" i="1"/>
  <c r="U9" i="1"/>
  <c r="V9" i="1"/>
  <c r="X9" i="1"/>
  <c r="S89" i="1"/>
  <c r="T89" i="1" s="1"/>
  <c r="X51" i="1"/>
  <c r="U51" i="1"/>
  <c r="V51" i="1"/>
  <c r="T83" i="1"/>
  <c r="X16" i="1"/>
  <c r="V24" i="1"/>
  <c r="W37" i="1"/>
  <c r="U16" i="1"/>
  <c r="Y16" i="1" s="1"/>
  <c r="S84" i="1"/>
  <c r="X84" i="1" s="1"/>
  <c r="Z17" i="15" s="1"/>
  <c r="W16" i="1"/>
  <c r="C8" i="17"/>
  <c r="T13" i="15"/>
  <c r="AE12" i="15"/>
  <c r="AE11" i="15"/>
  <c r="BG8" i="17"/>
  <c r="AE29" i="15"/>
  <c r="N26" i="15"/>
  <c r="BB8" i="17" s="1"/>
  <c r="AE30" i="15"/>
  <c r="N8" i="15"/>
  <c r="BB6" i="17" s="1"/>
  <c r="W10" i="1"/>
  <c r="C9" i="17"/>
  <c r="X58" i="1"/>
  <c r="X37" i="1"/>
  <c r="V37" i="1"/>
  <c r="T87" i="1"/>
  <c r="U37" i="1"/>
  <c r="S90" i="1"/>
  <c r="W23" i="1"/>
  <c r="U23" i="1"/>
  <c r="V23" i="1"/>
  <c r="U58" i="1"/>
  <c r="Y58" i="1" s="1"/>
  <c r="W58" i="1"/>
  <c r="X23" i="1"/>
  <c r="U59" i="1"/>
  <c r="S93" i="1"/>
  <c r="T93" i="1" s="1"/>
  <c r="X31" i="1"/>
  <c r="S95" i="1"/>
  <c r="X95" i="1" s="1"/>
  <c r="T100" i="1"/>
  <c r="S96" i="1"/>
  <c r="T96" i="1" s="1"/>
  <c r="U31" i="1"/>
  <c r="V31" i="1"/>
  <c r="T86" i="1"/>
  <c r="X38" i="1"/>
  <c r="S97" i="1"/>
  <c r="T97" i="1" s="1"/>
  <c r="U10" i="1"/>
  <c r="X10" i="1"/>
  <c r="U17" i="1"/>
  <c r="V10" i="1"/>
  <c r="V59" i="1"/>
  <c r="W59" i="1"/>
  <c r="X59" i="1"/>
  <c r="S99" i="1"/>
  <c r="X99" i="1" s="1"/>
  <c r="U52" i="1"/>
  <c r="Y52" i="1" s="1"/>
  <c r="W38" i="1"/>
  <c r="U38" i="1"/>
  <c r="Y38" i="1" s="1"/>
  <c r="X52" i="1"/>
  <c r="U24" i="1"/>
  <c r="X24" i="1"/>
  <c r="W52" i="1"/>
  <c r="X17" i="1"/>
  <c r="S94" i="1"/>
  <c r="V17" i="1"/>
  <c r="W44" i="1"/>
  <c r="V44" i="1"/>
  <c r="W45" i="1"/>
  <c r="S88" i="1"/>
  <c r="T88" i="1" s="1"/>
  <c r="U44" i="1"/>
  <c r="S98" i="1"/>
  <c r="V45" i="1"/>
  <c r="U45" i="1"/>
  <c r="T85" i="1"/>
  <c r="CV8" i="2" l="1"/>
  <c r="CV34" i="2"/>
  <c r="DA34" i="2" s="1"/>
  <c r="CV11" i="2"/>
  <c r="DA11" i="2" s="1"/>
  <c r="CV10" i="2"/>
  <c r="DA10" i="2" s="1"/>
  <c r="DH10" i="2" s="1"/>
  <c r="S18" i="1" s="1"/>
  <c r="CV9" i="2"/>
  <c r="CV32" i="2"/>
  <c r="CV33" i="2"/>
  <c r="CV35" i="2"/>
  <c r="DA35" i="2" s="1"/>
  <c r="DH34" i="2" s="1"/>
  <c r="S60" i="1" s="1"/>
  <c r="CV30" i="2"/>
  <c r="DA30" i="2" s="1"/>
  <c r="CV15" i="2"/>
  <c r="DA15" i="2" s="1"/>
  <c r="CV29" i="2"/>
  <c r="CV31" i="2"/>
  <c r="DA31" i="2" s="1"/>
  <c r="CV28" i="2"/>
  <c r="CV14" i="2"/>
  <c r="DA14" i="2" s="1"/>
  <c r="DH14" i="2" s="1"/>
  <c r="S25" i="1" s="1"/>
  <c r="CV12" i="2"/>
  <c r="CV13" i="2"/>
  <c r="CV18" i="2"/>
  <c r="DA18" i="2" s="1"/>
  <c r="CV16" i="2"/>
  <c r="CV17" i="2"/>
  <c r="CV19" i="2"/>
  <c r="DA19" i="2" s="1"/>
  <c r="CV26" i="2"/>
  <c r="DA26" i="2" s="1"/>
  <c r="CV25" i="2"/>
  <c r="CV27" i="2"/>
  <c r="DA27" i="2" s="1"/>
  <c r="CV22" i="2"/>
  <c r="DA22" i="2" s="1"/>
  <c r="CV21" i="2"/>
  <c r="CV20" i="2"/>
  <c r="CV23" i="2"/>
  <c r="DA23" i="2" s="1"/>
  <c r="DH35" i="2"/>
  <c r="S61" i="1" s="1"/>
  <c r="DH6" i="2"/>
  <c r="S11" i="1" s="1"/>
  <c r="DH7" i="2"/>
  <c r="S12" i="1" s="1"/>
  <c r="T30" i="1"/>
  <c r="Y30" i="1"/>
  <c r="BG7" i="17"/>
  <c r="T22" i="15"/>
  <c r="T9" i="1"/>
  <c r="Y9" i="1"/>
  <c r="X89" i="1"/>
  <c r="Y51" i="1"/>
  <c r="T51" i="1"/>
  <c r="Y24" i="1"/>
  <c r="T84" i="1"/>
  <c r="AE21" i="15"/>
  <c r="N17" i="15"/>
  <c r="BB7" i="17" s="1"/>
  <c r="AE20" i="15"/>
  <c r="T16" i="1"/>
  <c r="T37" i="1"/>
  <c r="Y37" i="1"/>
  <c r="T23" i="1"/>
  <c r="Y23" i="1"/>
  <c r="T58" i="1"/>
  <c r="T90" i="1"/>
  <c r="X90" i="1"/>
  <c r="Z71" i="15" s="1"/>
  <c r="T76" i="15" s="1"/>
  <c r="Y59" i="1"/>
  <c r="T95" i="1"/>
  <c r="T31" i="1"/>
  <c r="X97" i="1"/>
  <c r="X96" i="1"/>
  <c r="H8" i="15" s="1"/>
  <c r="AY6" i="17" s="1"/>
  <c r="X93" i="1"/>
  <c r="T10" i="1"/>
  <c r="X88" i="1"/>
  <c r="Y31" i="1"/>
  <c r="T59" i="1"/>
  <c r="Y10" i="1"/>
  <c r="T99" i="1"/>
  <c r="T38" i="1"/>
  <c r="T52" i="1"/>
  <c r="T24" i="1"/>
  <c r="T44" i="1"/>
  <c r="T17" i="1"/>
  <c r="Y17" i="1"/>
  <c r="Y44" i="1"/>
  <c r="T94" i="1"/>
  <c r="X94" i="1"/>
  <c r="T45" i="1"/>
  <c r="T98" i="1"/>
  <c r="X98" i="1"/>
  <c r="H53" i="15" s="1"/>
  <c r="N58" i="15" s="1"/>
  <c r="Y45" i="1"/>
  <c r="DH31" i="2" l="1"/>
  <c r="S54" i="1" s="1"/>
  <c r="W54" i="1" s="1"/>
  <c r="DH15" i="2"/>
  <c r="S26" i="1" s="1"/>
  <c r="U26" i="1" s="1"/>
  <c r="DH11" i="2"/>
  <c r="S19" i="1" s="1"/>
  <c r="W19" i="1" s="1"/>
  <c r="DH30" i="2"/>
  <c r="S53" i="1" s="1"/>
  <c r="V53" i="1" s="1"/>
  <c r="DH18" i="2"/>
  <c r="S32" i="1" s="1"/>
  <c r="V32" i="1" s="1"/>
  <c r="DH19" i="2"/>
  <c r="S33" i="1" s="1"/>
  <c r="U33" i="1" s="1"/>
  <c r="U18" i="1"/>
  <c r="X18" i="1"/>
  <c r="V18" i="1"/>
  <c r="W18" i="1"/>
  <c r="DH27" i="2"/>
  <c r="S47" i="1" s="1"/>
  <c r="DH26" i="2"/>
  <c r="S46" i="1" s="1"/>
  <c r="DH23" i="2"/>
  <c r="S40" i="1" s="1"/>
  <c r="DH22" i="2"/>
  <c r="S39" i="1" s="1"/>
  <c r="X60" i="1"/>
  <c r="W60" i="1"/>
  <c r="V60" i="1"/>
  <c r="U60" i="1"/>
  <c r="V61" i="1"/>
  <c r="U61" i="1"/>
  <c r="X61" i="1"/>
  <c r="W61" i="1"/>
  <c r="X25" i="1"/>
  <c r="V25" i="1"/>
  <c r="U25" i="1"/>
  <c r="W25" i="1"/>
  <c r="U12" i="1"/>
  <c r="V12" i="1"/>
  <c r="X12" i="1"/>
  <c r="W12" i="1"/>
  <c r="V11" i="1"/>
  <c r="X11" i="1"/>
  <c r="U11" i="1"/>
  <c r="W11" i="1"/>
  <c r="H62" i="15"/>
  <c r="AY12" i="17" s="1"/>
  <c r="Z62" i="15"/>
  <c r="T67" i="15" s="1"/>
  <c r="Z44" i="15"/>
  <c r="Z53" i="15"/>
  <c r="T58" i="15" s="1"/>
  <c r="Z35" i="15"/>
  <c r="H26" i="15"/>
  <c r="N31" i="15" s="1"/>
  <c r="H71" i="15"/>
  <c r="H91" i="15"/>
  <c r="P57" i="15"/>
  <c r="H35" i="15"/>
  <c r="H17" i="15"/>
  <c r="H44" i="15"/>
  <c r="N49" i="15" s="1"/>
  <c r="AE74" i="15"/>
  <c r="AE75" i="15"/>
  <c r="N71" i="15"/>
  <c r="BB13" i="17" s="1"/>
  <c r="BG13" i="17"/>
  <c r="T53" i="15"/>
  <c r="BD11" i="17" s="1"/>
  <c r="AY11" i="17"/>
  <c r="F56" i="15"/>
  <c r="F57" i="15"/>
  <c r="F12" i="15"/>
  <c r="N13" i="15"/>
  <c r="T8" i="15"/>
  <c r="BD6" i="17" s="1"/>
  <c r="F11" i="15"/>
  <c r="X54" i="1" l="1"/>
  <c r="V54" i="1"/>
  <c r="C11" i="17"/>
  <c r="K11" i="17" s="1"/>
  <c r="U54" i="1"/>
  <c r="Y54" i="1" s="1"/>
  <c r="V19" i="1"/>
  <c r="W26" i="1"/>
  <c r="X26" i="1"/>
  <c r="V26" i="1"/>
  <c r="Y26" i="1" s="1"/>
  <c r="U19" i="1"/>
  <c r="T19" i="1" s="1"/>
  <c r="X53" i="1"/>
  <c r="X19" i="1"/>
  <c r="W53" i="1"/>
  <c r="U53" i="1"/>
  <c r="Y53" i="1" s="1"/>
  <c r="C10" i="17"/>
  <c r="W32" i="1"/>
  <c r="U32" i="1"/>
  <c r="Y32" i="1" s="1"/>
  <c r="X32" i="1"/>
  <c r="W33" i="1"/>
  <c r="X33" i="1"/>
  <c r="V33" i="1"/>
  <c r="Y33" i="1" s="1"/>
  <c r="J9" i="17"/>
  <c r="H9" i="17"/>
  <c r="K8" i="17"/>
  <c r="J8" i="17"/>
  <c r="N9" i="17"/>
  <c r="I8" i="17"/>
  <c r="I9" i="17"/>
  <c r="H8" i="17"/>
  <c r="N8" i="17"/>
  <c r="L8" i="17"/>
  <c r="K9" i="17"/>
  <c r="L9" i="17"/>
  <c r="Y18" i="1"/>
  <c r="L11" i="17"/>
  <c r="T18" i="1"/>
  <c r="Y19" i="1"/>
  <c r="U40" i="1"/>
  <c r="X40" i="1"/>
  <c r="V40" i="1"/>
  <c r="W40" i="1"/>
  <c r="W39" i="1"/>
  <c r="V39" i="1"/>
  <c r="U39" i="1"/>
  <c r="X39" i="1"/>
  <c r="V46" i="1"/>
  <c r="X46" i="1"/>
  <c r="W46" i="1"/>
  <c r="U46" i="1"/>
  <c r="V47" i="1"/>
  <c r="X47" i="1"/>
  <c r="U47" i="1"/>
  <c r="W47" i="1"/>
  <c r="Y60" i="1"/>
  <c r="T60" i="1"/>
  <c r="Y61" i="1"/>
  <c r="T61" i="1"/>
  <c r="Y25" i="1"/>
  <c r="T25" i="1"/>
  <c r="Y11" i="1"/>
  <c r="T11" i="1"/>
  <c r="T12" i="1"/>
  <c r="Y12" i="1"/>
  <c r="N62" i="15"/>
  <c r="BB12" i="17" s="1"/>
  <c r="AE65" i="15"/>
  <c r="BG12" i="17"/>
  <c r="AE66" i="15"/>
  <c r="BG11" i="17"/>
  <c r="F65" i="15"/>
  <c r="T62" i="15"/>
  <c r="BD12" i="17" s="1"/>
  <c r="N67" i="15"/>
  <c r="AE56" i="15"/>
  <c r="AE57" i="15"/>
  <c r="N53" i="15"/>
  <c r="BB11" i="17" s="1"/>
  <c r="F66" i="15"/>
  <c r="T49" i="15"/>
  <c r="AE48" i="15"/>
  <c r="BG10" i="17"/>
  <c r="N44" i="15"/>
  <c r="BB10" i="17" s="1"/>
  <c r="AE47" i="15"/>
  <c r="T40" i="15"/>
  <c r="BG9" i="17"/>
  <c r="AE39" i="15"/>
  <c r="N35" i="15"/>
  <c r="BB9" i="17" s="1"/>
  <c r="AE38" i="15"/>
  <c r="P12" i="15"/>
  <c r="H181" i="15" s="1"/>
  <c r="H90" i="15"/>
  <c r="P48" i="15"/>
  <c r="P30" i="15"/>
  <c r="P66" i="15"/>
  <c r="H92" i="15"/>
  <c r="F29" i="15"/>
  <c r="AY8" i="17"/>
  <c r="T26" i="15"/>
  <c r="BD8" i="17" s="1"/>
  <c r="F30" i="15"/>
  <c r="N76" i="15"/>
  <c r="AY13" i="17"/>
  <c r="F74" i="15"/>
  <c r="F75" i="15"/>
  <c r="T71" i="15"/>
  <c r="BD13" i="17" s="1"/>
  <c r="AY7" i="17"/>
  <c r="N22" i="15"/>
  <c r="F39" i="15"/>
  <c r="N40" i="15"/>
  <c r="F21" i="15"/>
  <c r="T17" i="15"/>
  <c r="BD7" i="17" s="1"/>
  <c r="F20" i="15"/>
  <c r="AY9" i="17"/>
  <c r="T35" i="15"/>
  <c r="BD9" i="17" s="1"/>
  <c r="F38" i="15"/>
  <c r="T44" i="15"/>
  <c r="BD10" i="17" s="1"/>
  <c r="F47" i="15"/>
  <c r="AY10" i="17"/>
  <c r="F48" i="15"/>
  <c r="J11" i="17" l="1"/>
  <c r="T54" i="1"/>
  <c r="I11" i="17"/>
  <c r="T26" i="1"/>
  <c r="K10" i="17"/>
  <c r="L10" i="17"/>
  <c r="J10" i="17"/>
  <c r="I10" i="17"/>
  <c r="T53" i="1"/>
  <c r="H10" i="17" s="1"/>
  <c r="T32" i="1"/>
  <c r="T33" i="1"/>
  <c r="H11" i="17"/>
  <c r="N11" i="17"/>
  <c r="N10" i="17"/>
  <c r="Y40" i="1"/>
  <c r="Y47" i="1"/>
  <c r="T47" i="1"/>
  <c r="Y46" i="1"/>
  <c r="T46" i="1"/>
  <c r="Y39" i="1"/>
  <c r="T39" i="1"/>
  <c r="T40" i="1"/>
  <c r="P75" i="15"/>
  <c r="H93" i="15"/>
  <c r="P39" i="15"/>
  <c r="P21" i="15"/>
  <c r="F22" i="17"/>
  <c r="F21" i="17"/>
  <c r="S21" i="17" s="1"/>
  <c r="B20" i="17" l="1"/>
  <c r="Q22" i="17"/>
  <c r="S22" i="17"/>
  <c r="S23" i="17"/>
  <c r="Q23" i="17"/>
  <c r="J21" i="17"/>
  <c r="J22" i="17" s="1"/>
  <c r="B21" i="17"/>
  <c r="B22" i="17" s="1"/>
  <c r="Q21" i="17"/>
  <c r="P21" i="17" s="1"/>
  <c r="K21" i="17"/>
  <c r="K22" i="17" s="1"/>
  <c r="P22" i="17" l="1"/>
  <c r="R22" i="17"/>
  <c r="B23" i="17"/>
  <c r="R21" i="17"/>
</calcChain>
</file>

<file path=xl/sharedStrings.xml><?xml version="1.0" encoding="utf-8"?>
<sst xmlns="http://schemas.openxmlformats.org/spreadsheetml/2006/main" count="1667" uniqueCount="451">
  <si>
    <t>FIRST ROUND</t>
  </si>
  <si>
    <t>Date</t>
  </si>
  <si>
    <t>Time</t>
  </si>
  <si>
    <t xml:space="preserve">Score </t>
  </si>
  <si>
    <t>-</t>
  </si>
  <si>
    <t>France</t>
  </si>
  <si>
    <t>Group A</t>
  </si>
  <si>
    <t>W</t>
  </si>
  <si>
    <t>D</t>
  </si>
  <si>
    <t>L</t>
  </si>
  <si>
    <t>F - A</t>
  </si>
  <si>
    <t>Group B</t>
  </si>
  <si>
    <t>Group C</t>
  </si>
  <si>
    <t>Group D</t>
  </si>
  <si>
    <t>F</t>
  </si>
  <si>
    <t>A</t>
  </si>
  <si>
    <t>Match</t>
  </si>
  <si>
    <t>Country</t>
  </si>
  <si>
    <t>Language</t>
  </si>
  <si>
    <t>English</t>
  </si>
  <si>
    <t>SCHEDULES AND RESULTS</t>
  </si>
  <si>
    <t>STANDINGS</t>
  </si>
  <si>
    <t>SEMIFINAL</t>
  </si>
  <si>
    <t>FINAL</t>
  </si>
  <si>
    <t>:</t>
  </si>
  <si>
    <t>Spanish</t>
  </si>
  <si>
    <t>German</t>
  </si>
  <si>
    <t>Italian</t>
  </si>
  <si>
    <t>Portuguese</t>
  </si>
  <si>
    <t>Polish</t>
  </si>
  <si>
    <t>Lithuanian</t>
  </si>
  <si>
    <t>Hungarian</t>
  </si>
  <si>
    <t>Romanian</t>
  </si>
  <si>
    <t>Dutch</t>
  </si>
  <si>
    <t>Danish</t>
  </si>
  <si>
    <t>Maltese</t>
  </si>
  <si>
    <t>Slovenian</t>
  </si>
  <si>
    <t>Finnish</t>
  </si>
  <si>
    <t>Serbian</t>
  </si>
  <si>
    <t>Albanian</t>
  </si>
  <si>
    <t>Bulgarian</t>
  </si>
  <si>
    <t>Greek</t>
  </si>
  <si>
    <t>Russian</t>
  </si>
  <si>
    <t>Turkish</t>
  </si>
  <si>
    <t>Croatian</t>
  </si>
  <si>
    <t>Vietnamese</t>
  </si>
  <si>
    <t>Bahasa</t>
  </si>
  <si>
    <t>Malay</t>
  </si>
  <si>
    <t>Arabic</t>
  </si>
  <si>
    <t>Chinese</t>
  </si>
  <si>
    <t>Normal Time</t>
  </si>
  <si>
    <t>Extra Time</t>
  </si>
  <si>
    <t>Penalty Shoot Out</t>
  </si>
  <si>
    <t>P</t>
  </si>
  <si>
    <t>Pt</t>
  </si>
  <si>
    <t>Addis Ababa</t>
  </si>
  <si>
    <t>Adelaide</t>
  </si>
  <si>
    <t>Aden</t>
  </si>
  <si>
    <t>Algiers</t>
  </si>
  <si>
    <t>Almaty</t>
  </si>
  <si>
    <t xml:space="preserve">Amman </t>
  </si>
  <si>
    <t xml:space="preserve">Amsterdam </t>
  </si>
  <si>
    <t xml:space="preserve">Anadyr </t>
  </si>
  <si>
    <t xml:space="preserve">Anchorage </t>
  </si>
  <si>
    <t xml:space="preserve">Ankara </t>
  </si>
  <si>
    <t>Antananarivo</t>
  </si>
  <si>
    <t>Asuncion</t>
  </si>
  <si>
    <t xml:space="preserve">Athens </t>
  </si>
  <si>
    <t xml:space="preserve">Atlanta </t>
  </si>
  <si>
    <t>Auckland</t>
  </si>
  <si>
    <t>Baghdad</t>
  </si>
  <si>
    <t>Bangkok</t>
  </si>
  <si>
    <t xml:space="preserve">Barcelona </t>
  </si>
  <si>
    <t>Beijing</t>
  </si>
  <si>
    <t xml:space="preserve">Beirut </t>
  </si>
  <si>
    <t xml:space="preserve">Belgrade </t>
  </si>
  <si>
    <t xml:space="preserve">Berlin </t>
  </si>
  <si>
    <t>Bogota</t>
  </si>
  <si>
    <t xml:space="preserve">Boston </t>
  </si>
  <si>
    <t>Brasilia</t>
  </si>
  <si>
    <t>Brisbane</t>
  </si>
  <si>
    <t xml:space="preserve">Brussels </t>
  </si>
  <si>
    <t xml:space="preserve">Bucharest </t>
  </si>
  <si>
    <t xml:space="preserve">Budapest </t>
  </si>
  <si>
    <t>Buenos Aires</t>
  </si>
  <si>
    <t>Cairo</t>
  </si>
  <si>
    <t>Canberra</t>
  </si>
  <si>
    <t>Cape Town</t>
  </si>
  <si>
    <t>Caracas</t>
  </si>
  <si>
    <t>Casablanca</t>
  </si>
  <si>
    <t xml:space="preserve">Chicago </t>
  </si>
  <si>
    <t xml:space="preserve">Copenhagen </t>
  </si>
  <si>
    <t>Darwin</t>
  </si>
  <si>
    <t xml:space="preserve">Denver </t>
  </si>
  <si>
    <t xml:space="preserve">Detroit </t>
  </si>
  <si>
    <t>Dhaka</t>
  </si>
  <si>
    <t>Dubai</t>
  </si>
  <si>
    <t xml:space="preserve">Dublin </t>
  </si>
  <si>
    <t xml:space="preserve">Edmonton </t>
  </si>
  <si>
    <t xml:space="preserve">Frankfurt </t>
  </si>
  <si>
    <t xml:space="preserve">Geneva </t>
  </si>
  <si>
    <t>Guatemala</t>
  </si>
  <si>
    <t xml:space="preserve">Halifax </t>
  </si>
  <si>
    <t>Hanoi</t>
  </si>
  <si>
    <t>Harare</t>
  </si>
  <si>
    <t xml:space="preserve">Havana </t>
  </si>
  <si>
    <t xml:space="preserve">Helsinki </t>
  </si>
  <si>
    <t>Hong Kong</t>
  </si>
  <si>
    <t>Honolulu</t>
  </si>
  <si>
    <t xml:space="preserve">Houston </t>
  </si>
  <si>
    <t xml:space="preserve">Indianapolis </t>
  </si>
  <si>
    <t>Lima</t>
  </si>
  <si>
    <t xml:space="preserve">Montreal </t>
  </si>
  <si>
    <t xml:space="preserve">Moscow </t>
  </si>
  <si>
    <t>Mumbai</t>
  </si>
  <si>
    <t>Nairobi</t>
  </si>
  <si>
    <t xml:space="preserve">Nassau </t>
  </si>
  <si>
    <t>New Delhi</t>
  </si>
  <si>
    <t xml:space="preserve">New Orleans </t>
  </si>
  <si>
    <t xml:space="preserve">New York </t>
  </si>
  <si>
    <t xml:space="preserve">Oslo </t>
  </si>
  <si>
    <t xml:space="preserve">Ottawa </t>
  </si>
  <si>
    <t xml:space="preserve">Paris </t>
  </si>
  <si>
    <t>Perth</t>
  </si>
  <si>
    <t xml:space="preserve">Philadelphia </t>
  </si>
  <si>
    <t>Phoenix</t>
  </si>
  <si>
    <t xml:space="preserve">Prague </t>
  </si>
  <si>
    <t>Reykjavik</t>
  </si>
  <si>
    <t>Rio de Janeiro</t>
  </si>
  <si>
    <t>Riyadh</t>
  </si>
  <si>
    <t xml:space="preserve">Rome </t>
  </si>
  <si>
    <t xml:space="preserve">San Francisco </t>
  </si>
  <si>
    <t>San Juan</t>
  </si>
  <si>
    <t>San Salvador</t>
  </si>
  <si>
    <t>Santiago</t>
  </si>
  <si>
    <t>Santo Domingo</t>
  </si>
  <si>
    <t>Sao Paulo</t>
  </si>
  <si>
    <t xml:space="preserve">Seattle </t>
  </si>
  <si>
    <t>Seoul</t>
  </si>
  <si>
    <t>Shanghai</t>
  </si>
  <si>
    <t>Singapore</t>
  </si>
  <si>
    <t xml:space="preserve">Sofia </t>
  </si>
  <si>
    <t xml:space="preserve">St. John's </t>
  </si>
  <si>
    <t xml:space="preserve">St. Paul </t>
  </si>
  <si>
    <t xml:space="preserve">Stockholm </t>
  </si>
  <si>
    <t>Suva</t>
  </si>
  <si>
    <t>Sydney</t>
  </si>
  <si>
    <t>Taipei</t>
  </si>
  <si>
    <t xml:space="preserve">Tallinn </t>
  </si>
  <si>
    <t>Tashkent</t>
  </si>
  <si>
    <t>Tegucigalpa</t>
  </si>
  <si>
    <t xml:space="preserve">Tehran </t>
  </si>
  <si>
    <t>Tokyo</t>
  </si>
  <si>
    <t xml:space="preserve">Toronto </t>
  </si>
  <si>
    <t xml:space="preserve">Vancouver </t>
  </si>
  <si>
    <t xml:space="preserve">Vienna </t>
  </si>
  <si>
    <t xml:space="preserve">Vladivostok </t>
  </si>
  <si>
    <t xml:space="preserve">Warsaw </t>
  </si>
  <si>
    <t xml:space="preserve">Washington DC </t>
  </si>
  <si>
    <t xml:space="preserve">Winnipeg </t>
  </si>
  <si>
    <t>Yangon</t>
  </si>
  <si>
    <t xml:space="preserve">Zagreb </t>
  </si>
  <si>
    <t xml:space="preserve">Zürich </t>
  </si>
  <si>
    <t>City</t>
  </si>
  <si>
    <t>Group E</t>
  </si>
  <si>
    <t>Group F</t>
  </si>
  <si>
    <t>Group G</t>
  </si>
  <si>
    <t>Group H</t>
  </si>
  <si>
    <t>Chelsea</t>
  </si>
  <si>
    <t>Barcelona</t>
  </si>
  <si>
    <t>Arsenal</t>
  </si>
  <si>
    <t>Real Madrid</t>
  </si>
  <si>
    <t>Team Name</t>
  </si>
  <si>
    <t>Home Stadium</t>
  </si>
  <si>
    <t>Home</t>
  </si>
  <si>
    <t>Away</t>
  </si>
  <si>
    <t>If two or more teams are equal on points on completion of the group</t>
  </si>
  <si>
    <t>matches, the following criteria are applied to determine the rankings:</t>
  </si>
  <si>
    <t>a) higher number of points obtained in the group matches played among the</t>
  </si>
  <si>
    <t>teams in question;</t>
  </si>
  <si>
    <t>b) superior goal difference from the group matches played among the teams</t>
  </si>
  <si>
    <t>in question;</t>
  </si>
  <si>
    <t>c) higher number of goals scored away from home in the group matches</t>
  </si>
  <si>
    <t>played among the teams in question;</t>
  </si>
  <si>
    <t>d) superior goal difference from all group matches played;</t>
  </si>
  <si>
    <t>e) higher number of goals scored;</t>
  </si>
  <si>
    <t>f) higher number of coefficient points accumulated by the club in question,</t>
  </si>
  <si>
    <t>as well as its association, over the previous five seasons</t>
  </si>
  <si>
    <t>SECOND LEG</t>
  </si>
  <si>
    <t>FIRST LEG</t>
  </si>
  <si>
    <t>AGGREGATE</t>
  </si>
  <si>
    <t>Venue</t>
  </si>
  <si>
    <t>KNOCK OUT PHASE</t>
  </si>
  <si>
    <t>Group Winner</t>
  </si>
  <si>
    <t>Group Runner Up</t>
  </si>
  <si>
    <t>B</t>
  </si>
  <si>
    <t>C</t>
  </si>
  <si>
    <t>E</t>
  </si>
  <si>
    <t>G</t>
  </si>
  <si>
    <t>H</t>
  </si>
  <si>
    <t>Drawing Match</t>
  </si>
  <si>
    <t>QUARTER FINAL</t>
  </si>
  <si>
    <t>Third rank in each group will qualify to join Europe League phase</t>
  </si>
  <si>
    <t>Group</t>
  </si>
  <si>
    <t>Quarter Final 1</t>
  </si>
  <si>
    <t>Quarter Final 2</t>
  </si>
  <si>
    <t>Quarter Final 3</t>
  </si>
  <si>
    <t>Quarter Final 4</t>
  </si>
  <si>
    <t>vs</t>
  </si>
  <si>
    <t>Winner of Quarter Final 2</t>
  </si>
  <si>
    <t>Winner of Quarter Final 1</t>
  </si>
  <si>
    <t>Winner of Quarter Final 3</t>
  </si>
  <si>
    <t>Winner of Quarter Final 4</t>
  </si>
  <si>
    <t>day</t>
  </si>
  <si>
    <t>Home at first leg</t>
  </si>
  <si>
    <t>Away at first leg</t>
  </si>
  <si>
    <t>Winner of First round 1</t>
  </si>
  <si>
    <t>Winner of First round 2</t>
  </si>
  <si>
    <t>Winner of First round 3</t>
  </si>
  <si>
    <t>Winner of First round 5</t>
  </si>
  <si>
    <t>Winner of First round 4</t>
  </si>
  <si>
    <t>Winner of First round 6</t>
  </si>
  <si>
    <t>Winner of First round 7</t>
  </si>
  <si>
    <t>Winner of First round 8</t>
  </si>
  <si>
    <t>Semi Final 1</t>
  </si>
  <si>
    <t>Semi Final 2</t>
  </si>
  <si>
    <t>Bayern Munich</t>
  </si>
  <si>
    <t>Germany</t>
  </si>
  <si>
    <t>Italy</t>
  </si>
  <si>
    <t>Manchester United</t>
  </si>
  <si>
    <t>England</t>
  </si>
  <si>
    <t>Russia</t>
  </si>
  <si>
    <t>AC Milan</t>
  </si>
  <si>
    <t>Spain</t>
  </si>
  <si>
    <t>Portugal</t>
  </si>
  <si>
    <t>Ukraine</t>
  </si>
  <si>
    <t>Nou Camp</t>
  </si>
  <si>
    <t>Santiago Bernabeu</t>
  </si>
  <si>
    <t>Allianz Arena</t>
  </si>
  <si>
    <t>Group winners and runner ups will qualify for knock out phase</t>
  </si>
  <si>
    <t>Tie Regulation :</t>
  </si>
  <si>
    <t>Date/Time</t>
  </si>
  <si>
    <t>Benfica</t>
  </si>
  <si>
    <t>Ajax</t>
  </si>
  <si>
    <t>Shakhtar Donetsk</t>
  </si>
  <si>
    <t>Manchester City</t>
  </si>
  <si>
    <t>Olympiacos</t>
  </si>
  <si>
    <t>Borussia Dortmund</t>
  </si>
  <si>
    <t>Porto</t>
  </si>
  <si>
    <t>Zenit St. Petersburg</t>
  </si>
  <si>
    <t>City of Manchester</t>
  </si>
  <si>
    <t>Estádio do Dragão</t>
  </si>
  <si>
    <t>2007/2008</t>
  </si>
  <si>
    <t>Home Team</t>
  </si>
  <si>
    <t>Away Team</t>
  </si>
  <si>
    <t>S</t>
  </si>
  <si>
    <t>M</t>
  </si>
  <si>
    <t>T</t>
  </si>
  <si>
    <t/>
  </si>
  <si>
    <t>Draw date</t>
  </si>
  <si>
    <t>Group Matches</t>
  </si>
  <si>
    <t>Round of 16</t>
  </si>
  <si>
    <t>Quarter-finals</t>
  </si>
  <si>
    <t>Semi-finals</t>
  </si>
  <si>
    <t>Final</t>
  </si>
  <si>
    <t>Description</t>
  </si>
  <si>
    <t>Anderlecht</t>
  </si>
  <si>
    <t>Juventus</t>
  </si>
  <si>
    <t>Paris Saint-Germain</t>
  </si>
  <si>
    <t>Galatasaray</t>
  </si>
  <si>
    <t>Schalke 04</t>
  </si>
  <si>
    <t>Turkey</t>
  </si>
  <si>
    <t>Parc des Princes</t>
  </si>
  <si>
    <t>Juventus Stadium</t>
  </si>
  <si>
    <t>Celtic</t>
  </si>
  <si>
    <t>GROUP STAGES</t>
  </si>
  <si>
    <t>H/A</t>
  </si>
  <si>
    <t>VS</t>
  </si>
  <si>
    <t>R</t>
  </si>
  <si>
    <t>Score</t>
  </si>
  <si>
    <t>Stage</t>
  </si>
  <si>
    <t>Quarterfinals</t>
  </si>
  <si>
    <t>Semifinals</t>
  </si>
  <si>
    <t>First Leg</t>
  </si>
  <si>
    <t>Second Leg</t>
  </si>
  <si>
    <t>TEAM INFORMATION</t>
  </si>
  <si>
    <t>NT+ET</t>
  </si>
  <si>
    <t>PK</t>
  </si>
  <si>
    <t>ET</t>
  </si>
  <si>
    <t>NT</t>
  </si>
  <si>
    <t>GROUP STANDING TABLE</t>
  </si>
  <si>
    <t>Select Team &gt;&gt;</t>
  </si>
  <si>
    <t>M#</t>
  </si>
  <si>
    <t>2011/2012</t>
  </si>
  <si>
    <t>2010/2011</t>
  </si>
  <si>
    <t>2008/2009</t>
  </si>
  <si>
    <t>Season</t>
  </si>
  <si>
    <t>Phase</t>
  </si>
  <si>
    <t>Not Participated</t>
  </si>
  <si>
    <t>Last Opponent on Knockout Phases</t>
  </si>
  <si>
    <t>Highlight Group Matches &gt;&gt;</t>
  </si>
  <si>
    <t>Based on &gt;&gt;</t>
  </si>
  <si>
    <t>&gt;</t>
  </si>
  <si>
    <t>Group Stage</t>
  </si>
  <si>
    <t>Second Qualifying Round</t>
  </si>
  <si>
    <t>2009/2010</t>
  </si>
  <si>
    <t>Champion</t>
  </si>
  <si>
    <t>Lost to Bayern Munich PK 1-3, Agg: 3-3 Aw (1-2) Ho (2-1)</t>
  </si>
  <si>
    <t>Lost to Manchester United, Agg: 1-6 Ho (0-2) Aw (1-4)</t>
  </si>
  <si>
    <t>Lost to Barcelona, Agg: 1-6 Aw (1-5) Ho (0-1)</t>
  </si>
  <si>
    <t>Lost to Barcelona, Agg: 1-3 Ho (0-2) Aw (1-1)</t>
  </si>
  <si>
    <t>Lost to Liverpool, Agg: 0-5 Ho (0-1) Aw (0-4)</t>
  </si>
  <si>
    <t>Lost to Lyon, Agg: 1-2 Aw (0-1) Ho (1-1)</t>
  </si>
  <si>
    <t>3rd Qualifying Round</t>
  </si>
  <si>
    <t>SETUP</t>
  </si>
  <si>
    <t>Best Achievement</t>
  </si>
  <si>
    <t>Home Ground</t>
  </si>
  <si>
    <t>Best Ach</t>
  </si>
  <si>
    <t>Year</t>
  </si>
  <si>
    <t>Champion (9)</t>
  </si>
  <si>
    <t>Champion (2)</t>
  </si>
  <si>
    <t>1987, 2004</t>
  </si>
  <si>
    <t>Champion (7)</t>
  </si>
  <si>
    <t>1963, 1969, 1989, 1990, 1994, 2003, 2007</t>
  </si>
  <si>
    <t>1956, 1957, 1958, 1959, 1960, 1966, 1998, 2000, 2002</t>
  </si>
  <si>
    <t>Champion (4)</t>
  </si>
  <si>
    <t>1971, 1972, 1973, 1995</t>
  </si>
  <si>
    <t>Champion (1)</t>
  </si>
  <si>
    <t>1985, 1996</t>
  </si>
  <si>
    <t>1992, 2006, 2009, 2011</t>
  </si>
  <si>
    <t>1961, 1962</t>
  </si>
  <si>
    <t>Champion (3)</t>
  </si>
  <si>
    <t>1968, 1999, 2008</t>
  </si>
  <si>
    <t>Runner Up (1)</t>
  </si>
  <si>
    <t>Quarterfinal (1)</t>
  </si>
  <si>
    <t xml:space="preserve">All Teams Match Dates </t>
  </si>
  <si>
    <t>(White background with color border)</t>
  </si>
  <si>
    <t>(Color background with white font)</t>
  </si>
  <si>
    <t>Team History</t>
  </si>
  <si>
    <t>Bayer Leverkusen</t>
  </si>
  <si>
    <t>Real Sociedad</t>
  </si>
  <si>
    <t>Copenhagen</t>
  </si>
  <si>
    <t>CSKA Moscow</t>
  </si>
  <si>
    <t>Basel</t>
  </si>
  <si>
    <t>Marseille</t>
  </si>
  <si>
    <t>Napoli</t>
  </si>
  <si>
    <t>Atletico Madrid</t>
  </si>
  <si>
    <t>Austria Wien</t>
  </si>
  <si>
    <t>Luzhniki</t>
  </si>
  <si>
    <t>Viktoria Plzeň</t>
  </si>
  <si>
    <t>Semifinal 1</t>
  </si>
  <si>
    <t>Semifinal 2</t>
  </si>
  <si>
    <t>Vicente Calderon</t>
  </si>
  <si>
    <t>Steaua București</t>
  </si>
  <si>
    <t>2012/2013</t>
  </si>
  <si>
    <t>Champion (5)</t>
  </si>
  <si>
    <t>1974, 1975, 1976, 2001,2013</t>
  </si>
  <si>
    <t>Not participated</t>
  </si>
  <si>
    <t>Play-off Round</t>
  </si>
  <si>
    <t>Play-Off Round</t>
  </si>
  <si>
    <t>SOCCER LEAGUE CREATOR</t>
  </si>
  <si>
    <t>This is the template to emulate Italian Serie A,Spanish La Liga, Bundesliga etc. It will allow you to create your own soccer competition or emulate any soccer competition in the world based on common tie-breaker regulation. Download and try the lite version to understand the template.</t>
  </si>
  <si>
    <t>Price</t>
  </si>
  <si>
    <t>Payment Method</t>
  </si>
  <si>
    <t>Excelindo Soccer League Creator Lite (with Fixtures Generator)</t>
  </si>
  <si>
    <t>Free</t>
  </si>
  <si>
    <t>Download</t>
  </si>
  <si>
    <t>Excelindo Soccer League Creator Lite (without Fixtures Generator)</t>
  </si>
  <si>
    <t>Excelindo Soccer League Creator Pro</t>
  </si>
  <si>
    <t>USD 15.99</t>
  </si>
  <si>
    <t>Excelindo Soccer League Creator Pro Password (For layout customization on shown worksheets)</t>
  </si>
  <si>
    <t>USD 5.99</t>
  </si>
  <si>
    <t>SOCCER TOURNAMENT CREATOR</t>
  </si>
  <si>
    <t>This is the template to emulate European Champions League competition. It will allow you to create your own soccer tournament or emulate any soccer tournament in the world based on common tie-breaker regulation. Download and try the lite version to understand the template.</t>
  </si>
  <si>
    <t>Excelindo Soccer Tournament Creator Lite (with Fixtures Generator)</t>
  </si>
  <si>
    <t>Excelindo Soccer Tournament Creator Lite (without Fixtures Generator)</t>
  </si>
  <si>
    <t>Excelindo Soccer Tournament Creator Pro (all shown worksheets are unlocked)</t>
  </si>
  <si>
    <t>USD 20.99</t>
  </si>
  <si>
    <t>EUROPEAN FOOTBALL LEAGUE FIXTURES AND SCORESHEET</t>
  </si>
  <si>
    <t>If you just want to emulate top 4 Europe Football League, or just want to copy it to other leagues with related league tie-breaker regulation, you can purchase the unlocked one. You can use it for future competition as long as the regulation is not changed.</t>
  </si>
  <si>
    <t>USD 9.99</t>
  </si>
  <si>
    <t>USD 10</t>
  </si>
  <si>
    <t>Estádio da Luz</t>
  </si>
  <si>
    <t>Netherlands</t>
  </si>
  <si>
    <t>Serie A - La Liga - Bundesliga - Ligue 1 - shown worksheets unlocked</t>
  </si>
  <si>
    <t>Tottenham Hotspur</t>
  </si>
  <si>
    <t>Monaco</t>
  </si>
  <si>
    <t>Switzerland</t>
  </si>
  <si>
    <t>Stade Louis II</t>
  </si>
  <si>
    <t>Signal Iduna Park</t>
  </si>
  <si>
    <t>San Paolo</t>
  </si>
  <si>
    <t>White Hart Lane</t>
  </si>
  <si>
    <t>Team</t>
  </si>
  <si>
    <t>Liverpool</t>
  </si>
  <si>
    <t>© 2017 - Exceltemplate.net</t>
  </si>
  <si>
    <t>Donbass Arena</t>
  </si>
  <si>
    <t>AS Roma</t>
  </si>
  <si>
    <t>Olimpico</t>
  </si>
  <si>
    <t>Greece</t>
  </si>
  <si>
    <t>Anfield</t>
  </si>
  <si>
    <t>Old Trafford</t>
  </si>
  <si>
    <t>Italian Serie A 2017/2018</t>
  </si>
  <si>
    <t>Spanish La Liga 2017/2018</t>
  </si>
  <si>
    <t>Bundesliga 2017/2018</t>
  </si>
  <si>
    <t>French Ligue 1 2017/2018</t>
  </si>
  <si>
    <t>Visit website</t>
  </si>
  <si>
    <t>HOW TO PURCHASE UNPROTECTED VERSION</t>
  </si>
  <si>
    <t>Click on paypal button above. You will be brought to Paypal homepage. You can pay with or without Paypal account using Paypal Balance or Credit Card.</t>
  </si>
  <si>
    <t>After the transaction is completed, you will receive an email with a download link to download the file to your paypal email address automatically</t>
  </si>
  <si>
    <t>You may check your SPAM folder to find the email. Sometimes, email security system will treat email with link as spam email.</t>
  </si>
  <si>
    <t>Coef</t>
  </si>
  <si>
    <t>https://www.uefa.com/memberassociations/uefarankings/club/index.html</t>
  </si>
  <si>
    <t>UEFA coefficient source :</t>
  </si>
  <si>
    <t>Young Boys</t>
  </si>
  <si>
    <t>Stade de Suisse</t>
  </si>
  <si>
    <t>Hoffenheim</t>
  </si>
  <si>
    <t>Rhein-Neckar-Arena</t>
  </si>
  <si>
    <t>AEK Athens</t>
  </si>
  <si>
    <t>Athens Olympic Stadium</t>
  </si>
  <si>
    <t>Lyon</t>
  </si>
  <si>
    <t>Groupama Stadium</t>
  </si>
  <si>
    <t>Lokomotiv Moscow</t>
  </si>
  <si>
    <t>RZD Arena</t>
  </si>
  <si>
    <t>Plzen</t>
  </si>
  <si>
    <t>Doosan Arena</t>
  </si>
  <si>
    <t>Czech</t>
  </si>
  <si>
    <t>Red Star Belgrade</t>
  </si>
  <si>
    <t>Rajko Mitić Stadium</t>
  </si>
  <si>
    <t>Serbia</t>
  </si>
  <si>
    <t>Club Brugge</t>
  </si>
  <si>
    <t>Jan Breydel</t>
  </si>
  <si>
    <t>Belgium</t>
  </si>
  <si>
    <t>PSV Eindhoven</t>
  </si>
  <si>
    <t>PSV Stadion</t>
  </si>
  <si>
    <t>Türk Telekom Arena</t>
  </si>
  <si>
    <t>Valencia</t>
  </si>
  <si>
    <t>Mestalla</t>
  </si>
  <si>
    <t>Amsterdam Arena</t>
  </si>
  <si>
    <t>Netherland</t>
  </si>
  <si>
    <t>Veltins-Arena</t>
  </si>
  <si>
    <t>Internazionale</t>
  </si>
  <si>
    <t>San Siro Stadium</t>
  </si>
  <si>
    <t>First Round Knock Out Qualification (Draw on 17 Dec 2018)</t>
  </si>
  <si>
    <t>DRAWING : 15 MARCH 2019</t>
  </si>
  <si>
    <t>DRAWING : 19 APRIL 2019</t>
  </si>
  <si>
    <t>UEFA CHAMPIONS LEAGUE 2018/2019 CHAMPION</t>
  </si>
  <si>
    <t>1 June 2019 at Wanda Metropolitano, Madrid, Spain</t>
  </si>
  <si>
    <t>© 2018 - Exceltemplate.net</t>
  </si>
  <si>
    <t>GrP</t>
  </si>
  <si>
    <t>LAST 5 SEASON PERFORMANCES</t>
  </si>
  <si>
    <t>If you still didn't receive it, you can email me at info@exceltemplate.net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</si>
</sst>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_(* \(#,##0.00\);_(* &quot;-&quot;??_);_(@_)"/>
    <numFmt numFmtId="165" formatCode="[$-409]d\-mmm;@"/>
    <numFmt numFmtId="166" formatCode="h:mm;@"/>
    <numFmt numFmtId="167" formatCode="ddd\,\ dd\-mmm\-yy"/>
    <numFmt numFmtId="168" formatCode="d"/>
    <numFmt numFmtId="169" formatCode="[$-F800]dddd\,\ mmmm\ dd\,\ yyyy"/>
    <numFmt numFmtId="170" formatCode="mmmm\ yyyy"/>
  </numFmts>
  <fonts count="39" x14ac:knownFonts="1">
    <font>
      <sz val="10"/>
      <name val="Arial"/>
    </font>
    <font>
      <sz val="8"/>
      <name val="Arial"/>
      <family val="2"/>
    </font>
    <font>
      <sz val="10"/>
      <name val="Calibri"/>
      <family val="2"/>
      <scheme val="minor"/>
    </font>
    <font>
      <sz val="12"/>
      <name val="Calibri"/>
      <family val="2"/>
      <scheme val="minor"/>
    </font>
    <font>
      <sz val="11"/>
      <name val="Calibri"/>
      <family val="2"/>
      <scheme val="minor"/>
    </font>
    <font>
      <sz val="11"/>
      <color indexed="10"/>
      <name val="Calibri"/>
      <family val="2"/>
      <scheme val="minor"/>
    </font>
    <font>
      <sz val="11"/>
      <color indexed="9"/>
      <name val="Calibri"/>
      <family val="2"/>
      <scheme val="minor"/>
    </font>
    <font>
      <b/>
      <sz val="11"/>
      <color indexed="9"/>
      <name val="Calibri"/>
      <family val="2"/>
      <scheme val="minor"/>
    </font>
    <font>
      <b/>
      <sz val="11"/>
      <name val="Calibri"/>
      <family val="2"/>
      <scheme val="minor"/>
    </font>
    <font>
      <b/>
      <sz val="11"/>
      <color indexed="12"/>
      <name val="Calibri"/>
      <family val="2"/>
      <scheme val="minor"/>
    </font>
    <font>
      <sz val="12"/>
      <color indexed="9"/>
      <name val="Calibri"/>
      <family val="2"/>
      <scheme val="minor"/>
    </font>
    <font>
      <b/>
      <sz val="12"/>
      <name val="Calibri"/>
      <family val="2"/>
      <scheme val="minor"/>
    </font>
    <font>
      <b/>
      <sz val="10"/>
      <name val="Calibri"/>
      <family val="2"/>
      <scheme val="minor"/>
    </font>
    <font>
      <sz val="11"/>
      <color theme="0"/>
      <name val="Calibri"/>
      <family val="2"/>
      <scheme val="minor"/>
    </font>
    <font>
      <b/>
      <sz val="36"/>
      <color indexed="12"/>
      <name val="Calibri"/>
      <family val="2"/>
      <scheme val="minor"/>
    </font>
    <font>
      <b/>
      <sz val="12"/>
      <color theme="0"/>
      <name val="Calibri"/>
      <family val="2"/>
      <scheme val="minor"/>
    </font>
    <font>
      <sz val="10"/>
      <color theme="0"/>
      <name val="Calibri"/>
      <family val="2"/>
      <scheme val="minor"/>
    </font>
    <font>
      <sz val="14"/>
      <name val="Calibri"/>
      <family val="2"/>
      <scheme val="minor"/>
    </font>
    <font>
      <b/>
      <sz val="16"/>
      <color theme="0"/>
      <name val="Calibri"/>
      <family val="2"/>
      <scheme val="minor"/>
    </font>
    <font>
      <b/>
      <sz val="11"/>
      <color indexed="61"/>
      <name val="Calibri"/>
      <family val="2"/>
      <scheme val="minor"/>
    </font>
    <font>
      <b/>
      <sz val="14"/>
      <color theme="0"/>
      <name val="Calibri"/>
      <family val="2"/>
      <scheme val="minor"/>
    </font>
    <font>
      <b/>
      <sz val="14"/>
      <color indexed="9"/>
      <name val="Calibri"/>
      <family val="2"/>
      <scheme val="minor"/>
    </font>
    <font>
      <sz val="14"/>
      <color theme="0"/>
      <name val="Calibri"/>
      <family val="2"/>
      <scheme val="minor"/>
    </font>
    <font>
      <sz val="14"/>
      <color indexed="9"/>
      <name val="Calibri"/>
      <family val="2"/>
      <scheme val="minor"/>
    </font>
    <font>
      <b/>
      <sz val="10"/>
      <color rgb="FF0070C0"/>
      <name val="Calibri"/>
      <family val="2"/>
      <scheme val="minor"/>
    </font>
    <font>
      <b/>
      <sz val="10"/>
      <color theme="0"/>
      <name val="Calibri"/>
      <family val="2"/>
      <scheme val="minor"/>
    </font>
    <font>
      <b/>
      <sz val="10"/>
      <color rgb="FF00B050"/>
      <name val="Calibri"/>
      <family val="2"/>
      <scheme val="minor"/>
    </font>
    <font>
      <b/>
      <u/>
      <sz val="10"/>
      <name val="Calibri"/>
      <family val="2"/>
      <scheme val="minor"/>
    </font>
    <font>
      <sz val="10"/>
      <name val="Arial"/>
      <family val="2"/>
    </font>
    <font>
      <u/>
      <sz val="10"/>
      <color indexed="12"/>
      <name val="Arial"/>
      <family val="2"/>
    </font>
    <font>
      <u/>
      <sz val="10"/>
      <color indexed="12"/>
      <name val="Calibri"/>
      <family val="2"/>
      <scheme val="minor"/>
    </font>
    <font>
      <sz val="11"/>
      <color theme="6" tint="0.59999389629810485"/>
      <name val="Calibri"/>
      <family val="2"/>
      <scheme val="minor"/>
    </font>
    <font>
      <b/>
      <sz val="24"/>
      <name val="Calibri"/>
      <family val="2"/>
      <scheme val="minor"/>
    </font>
    <font>
      <u/>
      <sz val="11"/>
      <color indexed="12"/>
      <name val="Calibri"/>
      <family val="2"/>
      <scheme val="minor"/>
    </font>
    <font>
      <sz val="12"/>
      <color rgb="FFFF0000"/>
      <name val="Calibri"/>
      <family val="2"/>
      <scheme val="minor"/>
    </font>
    <font>
      <b/>
      <sz val="12"/>
      <color rgb="FFFF0000"/>
      <name val="Calibri"/>
      <family val="2"/>
      <scheme val="minor"/>
    </font>
    <font>
      <sz val="12"/>
      <color theme="0"/>
      <name val="Calibri"/>
      <family val="2"/>
      <scheme val="minor"/>
    </font>
    <font>
      <b/>
      <sz val="10"/>
      <color theme="0"/>
      <name val="Verdana"/>
      <family val="2"/>
    </font>
    <font>
      <sz val="10"/>
      <color theme="0"/>
      <name val="Verdana"/>
      <family val="2"/>
    </font>
  </fonts>
  <fills count="19">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6" tint="-0.249977111117893"/>
        <bgColor indexed="64"/>
      </patternFill>
    </fill>
    <fill>
      <patternFill patternType="solid">
        <fgColor theme="5" tint="-0.499984740745262"/>
        <bgColor indexed="64"/>
      </patternFill>
    </fill>
    <fill>
      <patternFill patternType="solid">
        <fgColor theme="7" tint="-0.249977111117893"/>
        <bgColor indexed="64"/>
      </patternFill>
    </fill>
    <fill>
      <patternFill patternType="solid">
        <fgColor theme="2" tint="-0.749992370372631"/>
        <bgColor indexed="64"/>
      </patternFill>
    </fill>
    <fill>
      <patternFill patternType="solid">
        <fgColor theme="3" tint="-0.49998474074526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0070C0"/>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8" tint="0.79998168889431442"/>
        <bgColor indexed="64"/>
      </patternFill>
    </fill>
  </fills>
  <borders count="32">
    <border>
      <left/>
      <right/>
      <top/>
      <bottom/>
      <diagonal/>
    </border>
    <border>
      <left style="thin">
        <color indexed="64"/>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top/>
      <bottom/>
      <diagonal/>
    </border>
    <border>
      <left style="hair">
        <color indexed="64"/>
      </left>
      <right/>
      <top/>
      <bottom style="thin">
        <color indexed="64"/>
      </bottom>
      <diagonal/>
    </border>
    <border>
      <left/>
      <right/>
      <top style="thin">
        <color indexed="64"/>
      </top>
      <bottom style="double">
        <color indexed="64"/>
      </bottom>
      <diagonal/>
    </border>
    <border>
      <left/>
      <right/>
      <top style="double">
        <color theme="3" tint="-0.24994659260841701"/>
      </top>
      <bottom style="double">
        <color theme="3" tint="-0.24994659260841701"/>
      </bottom>
      <diagonal/>
    </border>
    <border>
      <left style="thin">
        <color indexed="64"/>
      </left>
      <right/>
      <top style="double">
        <color theme="3" tint="-0.24994659260841701"/>
      </top>
      <bottom style="double">
        <color theme="3" tint="-0.24994659260841701"/>
      </bottom>
      <diagonal/>
    </border>
    <border>
      <left/>
      <right style="thin">
        <color indexed="64"/>
      </right>
      <top style="double">
        <color theme="3" tint="-0.24994659260841701"/>
      </top>
      <bottom style="double">
        <color theme="3" tint="-0.24994659260841701"/>
      </bottom>
      <diagonal/>
    </border>
    <border>
      <left/>
      <right/>
      <top style="double">
        <color auto="1"/>
      </top>
      <bottom style="double">
        <color auto="1"/>
      </bottom>
      <diagonal/>
    </border>
    <border>
      <left/>
      <right/>
      <top style="double">
        <color indexed="64"/>
      </top>
      <bottom/>
      <diagonal/>
    </border>
    <border>
      <left style="thin">
        <color rgb="FF0070C0"/>
      </left>
      <right style="thin">
        <color rgb="FF0070C0"/>
      </right>
      <top style="thin">
        <color rgb="FF0070C0"/>
      </top>
      <bottom style="thin">
        <color rgb="FF0070C0"/>
      </bottom>
      <diagonal/>
    </border>
    <border>
      <left style="thin">
        <color indexed="64"/>
      </left>
      <right style="thin">
        <color indexed="64"/>
      </right>
      <top style="thin">
        <color indexed="64"/>
      </top>
      <bottom/>
      <diagonal/>
    </border>
    <border>
      <left style="thin">
        <color theme="6" tint="-0.499984740745262"/>
      </left>
      <right/>
      <top style="thin">
        <color theme="6" tint="-0.499984740745262"/>
      </top>
      <bottom/>
      <diagonal/>
    </border>
    <border>
      <left/>
      <right/>
      <top style="thin">
        <color theme="6" tint="-0.499984740745262"/>
      </top>
      <bottom/>
      <diagonal/>
    </border>
    <border>
      <left/>
      <right style="thin">
        <color theme="6" tint="-0.499984740745262"/>
      </right>
      <top style="thin">
        <color theme="6" tint="-0.499984740745262"/>
      </top>
      <bottom/>
      <diagonal/>
    </border>
    <border>
      <left style="thin">
        <color theme="6" tint="-0.499984740745262"/>
      </left>
      <right/>
      <top/>
      <bottom/>
      <diagonal/>
    </border>
    <border>
      <left/>
      <right style="thin">
        <color theme="6" tint="-0.499984740745262"/>
      </right>
      <top/>
      <bottom/>
      <diagonal/>
    </border>
    <border>
      <left style="thin">
        <color theme="6" tint="-0.499984740745262"/>
      </left>
      <right/>
      <top/>
      <bottom style="thin">
        <color theme="6" tint="-0.499984740745262"/>
      </bottom>
      <diagonal/>
    </border>
    <border>
      <left/>
      <right/>
      <top/>
      <bottom style="thin">
        <color theme="6" tint="-0.499984740745262"/>
      </bottom>
      <diagonal/>
    </border>
    <border>
      <left/>
      <right style="thin">
        <color theme="6" tint="-0.499984740745262"/>
      </right>
      <top/>
      <bottom style="thin">
        <color theme="6" tint="-0.499984740745262"/>
      </bottom>
      <diagonal/>
    </border>
    <border>
      <left/>
      <right/>
      <top/>
      <bottom style="double">
        <color indexed="64"/>
      </bottom>
      <diagonal/>
    </border>
  </borders>
  <cellStyleXfs count="3">
    <xf numFmtId="0" fontId="0" fillId="0" borderId="0"/>
    <xf numFmtId="164" fontId="28" fillId="0" borderId="0" applyFont="0" applyFill="0" applyBorder="0" applyAlignment="0" applyProtection="0"/>
    <xf numFmtId="0" fontId="29" fillId="0" borderId="0" applyNumberFormat="0" applyFill="0" applyBorder="0" applyAlignment="0" applyProtection="0">
      <alignment vertical="top"/>
      <protection locked="0"/>
    </xf>
  </cellStyleXfs>
  <cellXfs count="344">
    <xf numFmtId="0" fontId="0" fillId="0" borderId="0" xfId="0"/>
    <xf numFmtId="0" fontId="4" fillId="0" borderId="0" xfId="0" applyFont="1" applyAlignment="1" applyProtection="1">
      <alignment vertical="center"/>
      <protection locked="0"/>
    </xf>
    <xf numFmtId="0" fontId="4" fillId="0" borderId="0" xfId="0" applyFont="1" applyAlignment="1" applyProtection="1">
      <alignment horizontal="center" vertical="center"/>
      <protection locked="0"/>
    </xf>
    <xf numFmtId="0" fontId="6" fillId="0" borderId="0" xfId="0" applyFont="1" applyAlignment="1" applyProtection="1">
      <alignment vertical="center"/>
      <protection locked="0"/>
    </xf>
    <xf numFmtId="0" fontId="4" fillId="0" borderId="0" xfId="0" applyFont="1" applyFill="1" applyBorder="1" applyAlignment="1" applyProtection="1">
      <alignment vertical="center"/>
      <protection locked="0"/>
    </xf>
    <xf numFmtId="0" fontId="7" fillId="0" borderId="0" xfId="0" applyFont="1" applyFill="1" applyBorder="1" applyAlignment="1" applyProtection="1">
      <alignment vertical="center"/>
      <protection locked="0"/>
    </xf>
    <xf numFmtId="0" fontId="4" fillId="0" borderId="0" xfId="0" applyFont="1" applyBorder="1" applyAlignment="1" applyProtection="1">
      <alignment vertical="center"/>
      <protection locked="0"/>
    </xf>
    <xf numFmtId="0" fontId="4" fillId="0" borderId="1" xfId="0" applyFont="1" applyBorder="1" applyAlignment="1" applyProtection="1">
      <alignment vertical="center"/>
      <protection locked="0"/>
    </xf>
    <xf numFmtId="0" fontId="4" fillId="0" borderId="0" xfId="0" applyFont="1" applyBorder="1" applyAlignment="1" applyProtection="1">
      <alignment horizontal="center" vertical="center"/>
      <protection locked="0"/>
    </xf>
    <xf numFmtId="0" fontId="4" fillId="0" borderId="2" xfId="0" applyFont="1" applyBorder="1" applyAlignment="1" applyProtection="1">
      <alignment vertical="center"/>
      <protection locked="0"/>
    </xf>
    <xf numFmtId="0" fontId="4" fillId="0" borderId="1" xfId="0" applyFont="1" applyFill="1" applyBorder="1" applyAlignment="1" applyProtection="1">
      <alignment vertical="center"/>
      <protection locked="0"/>
    </xf>
    <xf numFmtId="0" fontId="4" fillId="0" borderId="2"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6" fillId="0" borderId="0" xfId="0" applyFont="1" applyFill="1" applyAlignment="1" applyProtection="1">
      <alignment vertical="center"/>
      <protection locked="0"/>
    </xf>
    <xf numFmtId="0" fontId="4" fillId="0" borderId="0" xfId="0" applyFont="1" applyFill="1" applyBorder="1" applyAlignment="1" applyProtection="1">
      <alignment horizontal="center" vertical="center"/>
      <protection locked="0"/>
    </xf>
    <xf numFmtId="0" fontId="4" fillId="0" borderId="0" xfId="0" applyFont="1" applyFill="1" applyBorder="1" applyAlignment="1" applyProtection="1">
      <alignment horizontal="right" vertical="center"/>
      <protection hidden="1"/>
    </xf>
    <xf numFmtId="0" fontId="4" fillId="3" borderId="0" xfId="0" applyFont="1" applyFill="1" applyBorder="1" applyAlignment="1" applyProtection="1">
      <alignment vertical="center"/>
      <protection locked="0"/>
    </xf>
    <xf numFmtId="0" fontId="7" fillId="2" borderId="0" xfId="0" applyFont="1" applyFill="1" applyBorder="1" applyAlignment="1" applyProtection="1">
      <alignment vertical="center"/>
      <protection locked="0"/>
    </xf>
    <xf numFmtId="0" fontId="7" fillId="2" borderId="0" xfId="0" applyFont="1" applyFill="1" applyBorder="1" applyAlignment="1" applyProtection="1">
      <alignment horizontal="center" vertical="center"/>
      <protection locked="0"/>
    </xf>
    <xf numFmtId="0" fontId="7" fillId="2" borderId="0" xfId="0" applyFont="1" applyFill="1" applyBorder="1" applyAlignment="1" applyProtection="1">
      <alignment vertical="center"/>
      <protection hidden="1"/>
    </xf>
    <xf numFmtId="165" fontId="4" fillId="0" borderId="0" xfId="0" applyNumberFormat="1" applyFont="1" applyBorder="1" applyAlignment="1" applyProtection="1">
      <alignment horizontal="right" vertical="center" shrinkToFit="1"/>
      <protection locked="0"/>
    </xf>
    <xf numFmtId="166" fontId="4" fillId="0" borderId="0" xfId="0" applyNumberFormat="1" applyFont="1" applyBorder="1" applyAlignment="1" applyProtection="1">
      <alignment horizontal="right" vertical="center" shrinkToFit="1"/>
      <protection locked="0"/>
    </xf>
    <xf numFmtId="0" fontId="4" fillId="0" borderId="0" xfId="0" applyFont="1" applyFill="1" applyBorder="1" applyAlignment="1" applyProtection="1">
      <alignment horizontal="right" vertical="center"/>
      <protection locked="0"/>
    </xf>
    <xf numFmtId="0" fontId="4" fillId="0" borderId="0" xfId="0" applyFont="1" applyBorder="1" applyAlignment="1" applyProtection="1">
      <alignment horizontal="center" vertical="center"/>
      <protection hidden="1"/>
    </xf>
    <xf numFmtId="0" fontId="4" fillId="0" borderId="0" xfId="0" applyFont="1" applyFill="1" applyBorder="1" applyAlignment="1" applyProtection="1">
      <alignment horizontal="center" vertical="center"/>
      <protection hidden="1"/>
    </xf>
    <xf numFmtId="0" fontId="4" fillId="0" borderId="0" xfId="0" applyFont="1" applyBorder="1" applyAlignment="1" applyProtection="1">
      <alignment horizontal="right" vertical="center" shrinkToFit="1"/>
      <protection locked="0"/>
    </xf>
    <xf numFmtId="0" fontId="4" fillId="0" borderId="0" xfId="0" applyFont="1" applyBorder="1" applyAlignment="1" applyProtection="1">
      <alignment horizontal="right" vertical="center"/>
      <protection locked="0"/>
    </xf>
    <xf numFmtId="0" fontId="4" fillId="0" borderId="0" xfId="0" applyFont="1" applyFill="1" applyBorder="1" applyAlignment="1" applyProtection="1">
      <alignment vertical="center"/>
      <protection hidden="1"/>
    </xf>
    <xf numFmtId="0" fontId="7" fillId="0" borderId="0" xfId="0" applyFont="1" applyFill="1" applyBorder="1" applyAlignment="1" applyProtection="1">
      <alignment horizontal="center" vertical="center"/>
      <protection locked="0"/>
    </xf>
    <xf numFmtId="0" fontId="7" fillId="0" borderId="0" xfId="0" applyFont="1" applyFill="1" applyAlignment="1" applyProtection="1">
      <alignment vertical="center"/>
      <protection locked="0"/>
    </xf>
    <xf numFmtId="0" fontId="7" fillId="3" borderId="0" xfId="0" applyFont="1" applyFill="1" applyBorder="1" applyAlignment="1" applyProtection="1">
      <alignment vertical="center"/>
      <protection locked="0"/>
    </xf>
    <xf numFmtId="0" fontId="8" fillId="0" borderId="10" xfId="0" applyFont="1" applyFill="1" applyBorder="1" applyAlignment="1" applyProtection="1">
      <alignment vertical="center"/>
      <protection locked="0"/>
    </xf>
    <xf numFmtId="0" fontId="8" fillId="0" borderId="0" xfId="0" applyFont="1" applyFill="1" applyBorder="1" applyAlignment="1" applyProtection="1">
      <alignment vertical="center"/>
      <protection locked="0"/>
    </xf>
    <xf numFmtId="0" fontId="8" fillId="0" borderId="0" xfId="0" applyFont="1" applyFill="1" applyBorder="1" applyAlignment="1" applyProtection="1">
      <alignment horizontal="center" vertical="center"/>
      <protection locked="0"/>
    </xf>
    <xf numFmtId="0" fontId="4" fillId="0" borderId="0" xfId="0" applyFont="1" applyBorder="1" applyAlignment="1" applyProtection="1">
      <alignment horizontal="left" vertical="center"/>
      <protection locked="0"/>
    </xf>
    <xf numFmtId="0" fontId="8" fillId="0" borderId="0" xfId="0" applyFont="1" applyBorder="1" applyAlignment="1" applyProtection="1">
      <alignment vertical="center"/>
      <protection hidden="1"/>
    </xf>
    <xf numFmtId="0" fontId="8" fillId="0" borderId="0" xfId="0" applyFont="1" applyFill="1" applyBorder="1" applyAlignment="1" applyProtection="1">
      <alignment vertical="center"/>
      <protection hidden="1"/>
    </xf>
    <xf numFmtId="0" fontId="6" fillId="0" borderId="0" xfId="0" applyFont="1" applyBorder="1" applyAlignment="1" applyProtection="1">
      <alignment vertical="center"/>
      <protection locked="0"/>
    </xf>
    <xf numFmtId="15" fontId="4" fillId="0" borderId="0" xfId="0" applyNumberFormat="1" applyFont="1" applyFill="1" applyBorder="1" applyAlignment="1" applyProtection="1">
      <alignment vertical="center"/>
      <protection locked="0"/>
    </xf>
    <xf numFmtId="0" fontId="5" fillId="0" borderId="0" xfId="0" applyFont="1" applyBorder="1" applyAlignment="1" applyProtection="1">
      <alignment vertical="center"/>
      <protection locked="0"/>
    </xf>
    <xf numFmtId="0" fontId="7" fillId="2" borderId="8" xfId="0" applyFont="1" applyFill="1" applyBorder="1" applyAlignment="1" applyProtection="1">
      <alignment vertical="center"/>
      <protection locked="0"/>
    </xf>
    <xf numFmtId="0" fontId="7" fillId="2" borderId="3" xfId="0" applyFont="1" applyFill="1" applyBorder="1" applyAlignment="1" applyProtection="1">
      <alignment vertical="center"/>
      <protection locked="0"/>
    </xf>
    <xf numFmtId="0" fontId="7" fillId="2" borderId="3" xfId="0" applyFont="1" applyFill="1" applyBorder="1" applyAlignment="1" applyProtection="1">
      <alignment horizontal="center" vertical="center"/>
      <protection locked="0"/>
    </xf>
    <xf numFmtId="0" fontId="7" fillId="2" borderId="4" xfId="0" applyFont="1" applyFill="1" applyBorder="1" applyAlignment="1" applyProtection="1">
      <alignment vertical="center"/>
      <protection locked="0"/>
    </xf>
    <xf numFmtId="0" fontId="4" fillId="0" borderId="0" xfId="0" applyFont="1" applyBorder="1" applyAlignment="1" applyProtection="1">
      <alignment horizontal="right" vertical="center"/>
      <protection hidden="1"/>
    </xf>
    <xf numFmtId="0" fontId="4" fillId="0" borderId="0" xfId="0" applyFont="1" applyBorder="1" applyAlignment="1" applyProtection="1">
      <alignment horizontal="left" vertical="center"/>
      <protection hidden="1"/>
    </xf>
    <xf numFmtId="0" fontId="4" fillId="0" borderId="9" xfId="0" applyFont="1" applyBorder="1" applyAlignment="1" applyProtection="1">
      <alignment vertical="center"/>
      <protection locked="0"/>
    </xf>
    <xf numFmtId="0" fontId="4" fillId="0" borderId="10" xfId="0" applyFont="1" applyBorder="1" applyAlignment="1" applyProtection="1">
      <alignment vertical="center"/>
      <protection locked="0"/>
    </xf>
    <xf numFmtId="0" fontId="4" fillId="0" borderId="10" xfId="0" applyFont="1" applyBorder="1" applyAlignment="1" applyProtection="1">
      <alignment horizontal="center" vertical="center"/>
      <protection locked="0"/>
    </xf>
    <xf numFmtId="0" fontId="4" fillId="0" borderId="11" xfId="0" applyFont="1" applyBorder="1" applyAlignment="1" applyProtection="1">
      <alignment vertical="center"/>
      <protection locked="0"/>
    </xf>
    <xf numFmtId="0" fontId="8" fillId="0" borderId="0" xfId="0" applyFont="1" applyBorder="1" applyAlignment="1" applyProtection="1">
      <alignment vertical="center"/>
      <protection locked="0"/>
    </xf>
    <xf numFmtId="0" fontId="6" fillId="6" borderId="0" xfId="0" applyFont="1" applyFill="1" applyBorder="1" applyAlignment="1" applyProtection="1">
      <alignment horizontal="center" vertical="center"/>
      <protection locked="0"/>
    </xf>
    <xf numFmtId="0" fontId="4" fillId="6" borderId="0" xfId="0" applyFont="1" applyFill="1" applyBorder="1" applyAlignment="1" applyProtection="1">
      <alignment horizontal="center" vertical="center"/>
      <protection locked="0"/>
    </xf>
    <xf numFmtId="0" fontId="4" fillId="6" borderId="0" xfId="0" applyFont="1" applyFill="1" applyBorder="1" applyAlignment="1" applyProtection="1">
      <alignment vertical="center"/>
      <protection locked="0"/>
    </xf>
    <xf numFmtId="0" fontId="4" fillId="6" borderId="0" xfId="0" applyNumberFormat="1" applyFont="1" applyFill="1" applyBorder="1" applyAlignment="1" applyProtection="1">
      <alignment horizontal="center" vertical="center" shrinkToFit="1"/>
      <protection locked="0"/>
    </xf>
    <xf numFmtId="166" fontId="4" fillId="6" borderId="0" xfId="0" applyNumberFormat="1" applyFont="1" applyFill="1" applyBorder="1" applyAlignment="1" applyProtection="1">
      <alignment horizontal="right" vertical="center" shrinkToFit="1"/>
      <protection locked="0"/>
    </xf>
    <xf numFmtId="15" fontId="4" fillId="6" borderId="0" xfId="0" applyNumberFormat="1" applyFont="1" applyFill="1" applyBorder="1" applyAlignment="1" applyProtection="1">
      <alignment horizontal="center" vertical="center"/>
      <protection locked="0"/>
    </xf>
    <xf numFmtId="0" fontId="4" fillId="7" borderId="0" xfId="0" applyFont="1" applyFill="1" applyBorder="1" applyAlignment="1" applyProtection="1">
      <alignment vertical="center"/>
      <protection locked="0"/>
    </xf>
    <xf numFmtId="0" fontId="4" fillId="7" borderId="0" xfId="0" applyFont="1" applyFill="1" applyBorder="1" applyAlignment="1" applyProtection="1">
      <alignment horizontal="center" vertical="center"/>
      <protection locked="0"/>
    </xf>
    <xf numFmtId="0" fontId="4" fillId="7" borderId="0" xfId="0" applyNumberFormat="1" applyFont="1" applyFill="1" applyBorder="1" applyAlignment="1" applyProtection="1">
      <alignment horizontal="center" vertical="center" shrinkToFit="1"/>
      <protection locked="0"/>
    </xf>
    <xf numFmtId="15" fontId="4" fillId="7" borderId="0" xfId="0" applyNumberFormat="1" applyFont="1" applyFill="1" applyBorder="1" applyAlignment="1" applyProtection="1">
      <alignment horizontal="center" vertical="center"/>
      <protection locked="0"/>
    </xf>
    <xf numFmtId="0" fontId="10" fillId="0" borderId="0" xfId="0" applyFont="1"/>
    <xf numFmtId="0" fontId="3" fillId="0" borderId="0" xfId="0" applyFont="1"/>
    <xf numFmtId="0" fontId="11" fillId="0" borderId="0" xfId="0" applyFont="1" applyBorder="1" applyAlignment="1">
      <alignment horizontal="left" vertical="center" indent="1"/>
    </xf>
    <xf numFmtId="0" fontId="11" fillId="0" borderId="0" xfId="0" applyFont="1" applyBorder="1" applyAlignment="1" applyProtection="1">
      <alignment horizontal="left" vertical="center" indent="1"/>
      <protection hidden="1"/>
    </xf>
    <xf numFmtId="0" fontId="11" fillId="0" borderId="0" xfId="0" applyFont="1" applyBorder="1"/>
    <xf numFmtId="0" fontId="4" fillId="0" borderId="0" xfId="0" applyFont="1" applyBorder="1" applyAlignment="1" applyProtection="1">
      <alignment horizontal="center" vertical="center"/>
      <protection locked="0"/>
    </xf>
    <xf numFmtId="0" fontId="4" fillId="7" borderId="0" xfId="0" applyFont="1" applyFill="1" applyBorder="1" applyAlignment="1" applyProtection="1">
      <alignment horizontal="right" vertical="center"/>
      <protection hidden="1"/>
    </xf>
    <xf numFmtId="0" fontId="4" fillId="7" borderId="0" xfId="0" applyFont="1" applyFill="1" applyBorder="1" applyAlignment="1" applyProtection="1">
      <alignment vertical="center"/>
      <protection hidden="1"/>
    </xf>
    <xf numFmtId="0" fontId="4" fillId="6" borderId="0" xfId="0" applyFont="1" applyFill="1" applyBorder="1" applyAlignment="1" applyProtection="1">
      <alignment horizontal="right" vertical="center"/>
      <protection hidden="1"/>
    </xf>
    <xf numFmtId="0" fontId="4" fillId="6" borderId="0" xfId="0" applyFont="1" applyFill="1" applyBorder="1" applyAlignment="1" applyProtection="1">
      <alignment vertical="center"/>
      <protection hidden="1"/>
    </xf>
    <xf numFmtId="0" fontId="6" fillId="6" borderId="0" xfId="0" applyFont="1" applyFill="1" applyBorder="1" applyAlignment="1" applyProtection="1">
      <alignment horizontal="center" vertical="center"/>
      <protection hidden="1"/>
    </xf>
    <xf numFmtId="0" fontId="4" fillId="6" borderId="0" xfId="0" applyFont="1" applyFill="1" applyBorder="1" applyAlignment="1" applyProtection="1">
      <alignment horizontal="center" vertical="center"/>
      <protection hidden="1"/>
    </xf>
    <xf numFmtId="0" fontId="4" fillId="7" borderId="0" xfId="0" applyFont="1" applyFill="1" applyBorder="1" applyAlignment="1" applyProtection="1">
      <alignment horizontal="center" vertical="center"/>
      <protection hidden="1"/>
    </xf>
    <xf numFmtId="0" fontId="4" fillId="0" borderId="12" xfId="0" applyFont="1" applyBorder="1" applyAlignment="1">
      <alignment horizontal="left" vertical="center" indent="1"/>
    </xf>
    <xf numFmtId="0" fontId="14" fillId="0" borderId="0" xfId="0" applyFont="1" applyBorder="1" applyAlignment="1" applyProtection="1">
      <alignment horizontal="center" vertical="center"/>
      <protection hidden="1"/>
    </xf>
    <xf numFmtId="0" fontId="11" fillId="0" borderId="0" xfId="0" applyFont="1" applyBorder="1" applyAlignment="1" applyProtection="1">
      <alignment vertical="center"/>
      <protection locked="0"/>
    </xf>
    <xf numFmtId="0" fontId="2" fillId="0" borderId="12" xfId="0" applyFont="1" applyBorder="1" applyAlignment="1">
      <alignment vertical="center"/>
    </xf>
    <xf numFmtId="0" fontId="4" fillId="0" borderId="0" xfId="0" applyFont="1" applyProtection="1">
      <protection hidden="1"/>
    </xf>
    <xf numFmtId="0" fontId="4" fillId="0" borderId="0" xfId="0" applyFont="1" applyAlignment="1" applyProtection="1">
      <alignment horizontal="center"/>
      <protection hidden="1"/>
    </xf>
    <xf numFmtId="0" fontId="4" fillId="0" borderId="0" xfId="0" applyFont="1" applyAlignment="1" applyProtection="1">
      <alignment horizontal="right"/>
      <protection hidden="1"/>
    </xf>
    <xf numFmtId="0" fontId="13" fillId="0" borderId="0" xfId="0" applyFont="1" applyProtection="1">
      <protection hidden="1"/>
    </xf>
    <xf numFmtId="0" fontId="6" fillId="0" borderId="0" xfId="0" applyFont="1" applyProtection="1">
      <protection hidden="1"/>
    </xf>
    <xf numFmtId="0" fontId="4" fillId="0" borderId="0" xfId="0" applyFont="1" applyAlignment="1" applyProtection="1">
      <alignment vertical="center"/>
      <protection hidden="1"/>
    </xf>
    <xf numFmtId="0" fontId="13" fillId="0" borderId="0" xfId="0" applyFont="1" applyAlignment="1" applyProtection="1">
      <alignment vertical="center"/>
      <protection hidden="1"/>
    </xf>
    <xf numFmtId="0" fontId="6" fillId="0" borderId="0" xfId="0" applyFont="1" applyAlignment="1" applyProtection="1">
      <alignment vertical="center"/>
      <protection hidden="1"/>
    </xf>
    <xf numFmtId="0" fontId="4" fillId="0" borderId="1" xfId="0" applyFont="1" applyBorder="1" applyAlignment="1" applyProtection="1">
      <alignment vertical="center"/>
      <protection hidden="1"/>
    </xf>
    <xf numFmtId="0" fontId="4" fillId="0" borderId="0" xfId="0" applyFont="1" applyBorder="1" applyAlignment="1" applyProtection="1">
      <alignment vertical="center"/>
      <protection hidden="1"/>
    </xf>
    <xf numFmtId="0" fontId="4" fillId="0" borderId="13" xfId="0" applyFont="1" applyBorder="1" applyAlignment="1" applyProtection="1">
      <alignment vertical="center"/>
      <protection hidden="1"/>
    </xf>
    <xf numFmtId="0" fontId="4" fillId="0" borderId="2" xfId="0" applyFont="1" applyBorder="1" applyAlignment="1" applyProtection="1">
      <alignment vertical="center"/>
      <protection hidden="1"/>
    </xf>
    <xf numFmtId="0" fontId="7" fillId="0" borderId="0" xfId="0" applyFont="1" applyFill="1" applyBorder="1" applyAlignment="1" applyProtection="1">
      <alignment horizontal="center" vertical="center"/>
      <protection hidden="1"/>
    </xf>
    <xf numFmtId="0" fontId="4" fillId="0" borderId="8" xfId="0" applyFont="1" applyBorder="1" applyAlignment="1" applyProtection="1">
      <alignment horizontal="right" vertical="center"/>
      <protection hidden="1"/>
    </xf>
    <xf numFmtId="0" fontId="4" fillId="0" borderId="3" xfId="0" applyFont="1" applyBorder="1" applyAlignment="1" applyProtection="1">
      <alignment vertical="center"/>
      <protection hidden="1"/>
    </xf>
    <xf numFmtId="0" fontId="4" fillId="0" borderId="4" xfId="0" applyFont="1" applyBorder="1" applyAlignment="1" applyProtection="1">
      <alignment vertical="center"/>
      <protection hidden="1"/>
    </xf>
    <xf numFmtId="0" fontId="8" fillId="0" borderId="0" xfId="0" applyFont="1" applyBorder="1" applyAlignment="1" applyProtection="1">
      <alignment horizontal="center" vertical="center"/>
      <protection locked="0"/>
    </xf>
    <xf numFmtId="0" fontId="8" fillId="0" borderId="0" xfId="0" applyFont="1" applyBorder="1" applyAlignment="1" applyProtection="1">
      <alignment horizontal="right" vertical="center"/>
      <protection locked="0"/>
    </xf>
    <xf numFmtId="0" fontId="8" fillId="0" borderId="0" xfId="0" applyFont="1" applyBorder="1" applyAlignment="1" applyProtection="1">
      <alignment horizontal="left" vertical="center"/>
      <protection locked="0"/>
    </xf>
    <xf numFmtId="0" fontId="4" fillId="0" borderId="1" xfId="0" applyFont="1" applyBorder="1" applyAlignment="1" applyProtection="1">
      <alignment horizontal="right" vertical="center"/>
      <protection hidden="1"/>
    </xf>
    <xf numFmtId="0" fontId="8" fillId="0" borderId="5" xfId="0" applyFont="1" applyBorder="1" applyAlignment="1" applyProtection="1">
      <alignment horizontal="center" vertical="center"/>
      <protection hidden="1"/>
    </xf>
    <xf numFmtId="0" fontId="8" fillId="0" borderId="6" xfId="0" applyFont="1" applyBorder="1" applyAlignment="1" applyProtection="1">
      <alignment horizontal="center" vertical="center"/>
      <protection hidden="1"/>
    </xf>
    <xf numFmtId="0" fontId="8" fillId="0" borderId="7" xfId="0" applyFont="1" applyBorder="1" applyAlignment="1" applyProtection="1">
      <alignment horizontal="center" vertical="center"/>
      <protection hidden="1"/>
    </xf>
    <xf numFmtId="0" fontId="6" fillId="0" borderId="0" xfId="0" applyFont="1" applyBorder="1" applyAlignment="1" applyProtection="1">
      <alignment vertical="center"/>
      <protection hidden="1"/>
    </xf>
    <xf numFmtId="0" fontId="6" fillId="0" borderId="0" xfId="0" applyFont="1" applyBorder="1" applyProtection="1">
      <protection hidden="1"/>
    </xf>
    <xf numFmtId="0" fontId="4" fillId="0" borderId="8" xfId="0" applyFont="1" applyBorder="1" applyAlignment="1" applyProtection="1">
      <alignment horizontal="left" vertical="center" indent="1"/>
      <protection hidden="1"/>
    </xf>
    <xf numFmtId="0" fontId="4" fillId="0" borderId="3" xfId="0" applyFont="1" applyBorder="1" applyAlignment="1" applyProtection="1">
      <alignment horizontal="center" vertical="center"/>
      <protection hidden="1"/>
    </xf>
    <xf numFmtId="0" fontId="4" fillId="0" borderId="4" xfId="0" applyFont="1" applyBorder="1" applyAlignment="1" applyProtection="1">
      <alignment horizontal="center" vertical="center"/>
      <protection hidden="1"/>
    </xf>
    <xf numFmtId="167" fontId="4" fillId="0" borderId="0" xfId="0" applyNumberFormat="1" applyFont="1" applyBorder="1" applyAlignment="1" applyProtection="1">
      <alignment horizontal="right" vertical="center" indent="1"/>
      <protection locked="0"/>
    </xf>
    <xf numFmtId="0" fontId="4" fillId="0" borderId="1" xfId="0" applyFont="1" applyBorder="1" applyAlignment="1" applyProtection="1">
      <alignment horizontal="left" vertical="center" indent="1"/>
      <protection hidden="1"/>
    </xf>
    <xf numFmtId="0" fontId="4" fillId="0" borderId="2" xfId="0" applyFont="1" applyBorder="1" applyAlignment="1" applyProtection="1">
      <alignment horizontal="center" vertical="center"/>
      <protection hidden="1"/>
    </xf>
    <xf numFmtId="166" fontId="4" fillId="0" borderId="0" xfId="0" applyNumberFormat="1" applyFont="1" applyBorder="1" applyAlignment="1" applyProtection="1">
      <alignment horizontal="center" vertical="center" shrinkToFit="1"/>
      <protection hidden="1"/>
    </xf>
    <xf numFmtId="0" fontId="4" fillId="0" borderId="9" xfId="0" applyFont="1" applyBorder="1" applyAlignment="1" applyProtection="1">
      <alignment horizontal="left" vertical="center" indent="1"/>
      <protection hidden="1"/>
    </xf>
    <xf numFmtId="0" fontId="4" fillId="0" borderId="10" xfId="0" applyFont="1" applyBorder="1" applyAlignment="1" applyProtection="1">
      <alignment horizontal="center" vertical="center"/>
      <protection hidden="1"/>
    </xf>
    <xf numFmtId="0" fontId="4" fillId="0" borderId="11" xfId="0" applyFont="1" applyBorder="1" applyAlignment="1" applyProtection="1">
      <alignment horizontal="center" vertical="center"/>
      <protection hidden="1"/>
    </xf>
    <xf numFmtId="0" fontId="6" fillId="0" borderId="0" xfId="0" applyFont="1" applyFill="1" applyBorder="1" applyAlignment="1" applyProtection="1">
      <alignment vertical="center"/>
      <protection hidden="1"/>
    </xf>
    <xf numFmtId="0" fontId="7" fillId="0" borderId="13" xfId="0" applyFont="1" applyFill="1" applyBorder="1" applyAlignment="1" applyProtection="1">
      <alignment vertical="center"/>
      <protection hidden="1"/>
    </xf>
    <xf numFmtId="0" fontId="4" fillId="0" borderId="1" xfId="0" applyFont="1" applyFill="1" applyBorder="1" applyAlignment="1" applyProtection="1">
      <alignment horizontal="right" vertical="center"/>
      <protection hidden="1"/>
    </xf>
    <xf numFmtId="0" fontId="7" fillId="0" borderId="2" xfId="0" applyFont="1" applyFill="1" applyBorder="1" applyAlignment="1" applyProtection="1">
      <alignment vertical="center"/>
      <protection hidden="1"/>
    </xf>
    <xf numFmtId="0" fontId="4" fillId="0" borderId="13" xfId="0" applyFont="1" applyFill="1" applyBorder="1" applyAlignment="1" applyProtection="1">
      <alignment vertical="center"/>
      <protection hidden="1"/>
    </xf>
    <xf numFmtId="0" fontId="4" fillId="0" borderId="2" xfId="0" applyFont="1" applyFill="1" applyBorder="1" applyAlignment="1" applyProtection="1">
      <alignment vertical="center"/>
      <protection hidden="1"/>
    </xf>
    <xf numFmtId="0" fontId="4" fillId="0" borderId="9" xfId="0" applyFont="1" applyFill="1" applyBorder="1" applyAlignment="1" applyProtection="1">
      <alignment horizontal="right" vertical="center"/>
      <protection hidden="1"/>
    </xf>
    <xf numFmtId="0" fontId="4" fillId="0" borderId="10" xfId="0" applyFont="1" applyFill="1" applyBorder="1" applyAlignment="1" applyProtection="1">
      <alignment vertical="center"/>
      <protection hidden="1"/>
    </xf>
    <xf numFmtId="0" fontId="4" fillId="0" borderId="11" xfId="0" applyFont="1" applyFill="1" applyBorder="1" applyAlignment="1" applyProtection="1">
      <alignment vertical="center"/>
      <protection hidden="1"/>
    </xf>
    <xf numFmtId="0" fontId="4" fillId="0" borderId="1" xfId="0" applyFont="1" applyBorder="1" applyProtection="1">
      <protection hidden="1"/>
    </xf>
    <xf numFmtId="0" fontId="4" fillId="0" borderId="2" xfId="0" applyFont="1" applyBorder="1" applyProtection="1">
      <protection locked="0"/>
    </xf>
    <xf numFmtId="0" fontId="4" fillId="0" borderId="0" xfId="0" applyFont="1" applyBorder="1" applyProtection="1">
      <protection hidden="1"/>
    </xf>
    <xf numFmtId="0" fontId="4" fillId="0" borderId="13" xfId="0" applyFont="1" applyBorder="1" applyProtection="1">
      <protection hidden="1"/>
    </xf>
    <xf numFmtId="0" fontId="9" fillId="0" borderId="0" xfId="0" applyFont="1" applyBorder="1" applyProtection="1">
      <protection hidden="1"/>
    </xf>
    <xf numFmtId="0" fontId="4" fillId="0" borderId="2" xfId="0" applyFont="1" applyBorder="1" applyProtection="1">
      <protection hidden="1"/>
    </xf>
    <xf numFmtId="0" fontId="19" fillId="0" borderId="0" xfId="0" applyFont="1" applyBorder="1" applyProtection="1">
      <protection hidden="1"/>
    </xf>
    <xf numFmtId="0" fontId="8" fillId="0" borderId="0" xfId="0" applyFont="1" applyProtection="1">
      <protection hidden="1"/>
    </xf>
    <xf numFmtId="0" fontId="8" fillId="0" borderId="0" xfId="0" applyFont="1" applyBorder="1" applyProtection="1">
      <protection hidden="1"/>
    </xf>
    <xf numFmtId="0" fontId="8" fillId="0" borderId="0" xfId="0" applyFont="1" applyBorder="1" applyAlignment="1" applyProtection="1">
      <alignment horizontal="center"/>
      <protection hidden="1"/>
    </xf>
    <xf numFmtId="0" fontId="4" fillId="0" borderId="0" xfId="0" applyFont="1" applyBorder="1" applyAlignment="1" applyProtection="1">
      <alignment horizontal="center"/>
      <protection hidden="1"/>
    </xf>
    <xf numFmtId="0" fontId="4" fillId="0" borderId="0" xfId="0" applyFont="1" applyBorder="1" applyAlignment="1" applyProtection="1">
      <alignment horizontal="left"/>
      <protection hidden="1"/>
    </xf>
    <xf numFmtId="0" fontId="4" fillId="0" borderId="0" xfId="0" applyFont="1" applyBorder="1" applyAlignment="1" applyProtection="1">
      <alignment horizontal="right"/>
      <protection hidden="1"/>
    </xf>
    <xf numFmtId="0" fontId="8" fillId="0" borderId="0" xfId="0" applyFont="1" applyBorder="1" applyAlignment="1" applyProtection="1">
      <alignment horizontal="left"/>
      <protection hidden="1"/>
    </xf>
    <xf numFmtId="0" fontId="4" fillId="0" borderId="9" xfId="0" applyFont="1" applyBorder="1" applyProtection="1">
      <protection locked="0"/>
    </xf>
    <xf numFmtId="0" fontId="4" fillId="0" borderId="10" xfId="0" applyFont="1" applyBorder="1" applyProtection="1">
      <protection locked="0"/>
    </xf>
    <xf numFmtId="0" fontId="4" fillId="0" borderId="10" xfId="0" applyFont="1" applyBorder="1" applyAlignment="1" applyProtection="1">
      <alignment horizontal="center"/>
      <protection locked="0"/>
    </xf>
    <xf numFmtId="0" fontId="4" fillId="0" borderId="11" xfId="0" applyFont="1" applyBorder="1" applyProtection="1">
      <protection locked="0"/>
    </xf>
    <xf numFmtId="0" fontId="4" fillId="0" borderId="10" xfId="0" applyFont="1" applyBorder="1" applyProtection="1">
      <protection hidden="1"/>
    </xf>
    <xf numFmtId="0" fontId="4" fillId="0" borderId="10" xfId="0" applyFont="1" applyBorder="1" applyAlignment="1" applyProtection="1">
      <alignment horizontal="center"/>
      <protection hidden="1"/>
    </xf>
    <xf numFmtId="0" fontId="4" fillId="0" borderId="14" xfId="0" applyFont="1" applyBorder="1" applyProtection="1">
      <protection hidden="1"/>
    </xf>
    <xf numFmtId="0" fontId="4" fillId="0" borderId="10" xfId="0" applyFont="1" applyBorder="1" applyAlignment="1" applyProtection="1">
      <alignment horizontal="right"/>
      <protection hidden="1"/>
    </xf>
    <xf numFmtId="0" fontId="4" fillId="0" borderId="11" xfId="0" applyFont="1" applyBorder="1" applyProtection="1">
      <protection hidden="1"/>
    </xf>
    <xf numFmtId="0" fontId="4" fillId="0" borderId="19" xfId="0" applyFont="1" applyBorder="1" applyAlignment="1" applyProtection="1">
      <alignment vertical="center"/>
      <protection hidden="1"/>
    </xf>
    <xf numFmtId="0" fontId="4" fillId="0" borderId="19" xfId="0" applyFont="1" applyBorder="1" applyAlignment="1" applyProtection="1">
      <alignment horizontal="right" vertical="center"/>
      <protection hidden="1"/>
    </xf>
    <xf numFmtId="0" fontId="2" fillId="0" borderId="0" xfId="0" applyFont="1"/>
    <xf numFmtId="0" fontId="11" fillId="12" borderId="0" xfId="0" applyFont="1" applyFill="1" applyBorder="1"/>
    <xf numFmtId="0" fontId="11" fillId="12" borderId="0" xfId="0" applyFont="1" applyFill="1" applyBorder="1" applyAlignment="1">
      <alignment horizontal="left" vertical="center" indent="1"/>
    </xf>
    <xf numFmtId="0" fontId="11" fillId="12" borderId="0" xfId="0" applyFont="1" applyFill="1" applyBorder="1" applyAlignment="1" applyProtection="1">
      <alignment horizontal="left" vertical="center" indent="1"/>
      <protection hidden="1"/>
    </xf>
    <xf numFmtId="0" fontId="3" fillId="12" borderId="0" xfId="0" applyFont="1" applyFill="1"/>
    <xf numFmtId="0" fontId="17" fillId="0" borderId="0" xfId="0" applyFont="1" applyFill="1" applyAlignment="1" applyProtection="1">
      <alignment vertical="center"/>
      <protection hidden="1"/>
    </xf>
    <xf numFmtId="0" fontId="22" fillId="0" borderId="0" xfId="0" applyFont="1" applyFill="1" applyAlignment="1" applyProtection="1">
      <alignment vertical="center"/>
      <protection hidden="1"/>
    </xf>
    <xf numFmtId="0" fontId="23" fillId="0" borderId="0" xfId="0" applyFont="1" applyFill="1" applyAlignment="1" applyProtection="1">
      <alignment vertical="center"/>
      <protection hidden="1"/>
    </xf>
    <xf numFmtId="0" fontId="4" fillId="12" borderId="0" xfId="0" applyFont="1" applyFill="1" applyProtection="1">
      <protection hidden="1"/>
    </xf>
    <xf numFmtId="0" fontId="4" fillId="12" borderId="0" xfId="0" applyFont="1" applyFill="1" applyAlignment="1" applyProtection="1">
      <alignment horizontal="center"/>
      <protection hidden="1"/>
    </xf>
    <xf numFmtId="0" fontId="4" fillId="12" borderId="0" xfId="0" applyFont="1" applyFill="1" applyAlignment="1" applyProtection="1">
      <alignment horizontal="right"/>
      <protection hidden="1"/>
    </xf>
    <xf numFmtId="0" fontId="21" fillId="0" borderId="0" xfId="0" applyFont="1" applyFill="1" applyBorder="1" applyAlignment="1" applyProtection="1">
      <alignment vertical="center"/>
      <protection locked="0"/>
    </xf>
    <xf numFmtId="0" fontId="17" fillId="0" borderId="0" xfId="0" applyFont="1" applyAlignment="1" applyProtection="1">
      <alignment vertical="center"/>
      <protection locked="0"/>
    </xf>
    <xf numFmtId="0" fontId="23" fillId="0" borderId="0" xfId="0" applyFont="1" applyAlignment="1" applyProtection="1">
      <alignment vertical="center"/>
      <protection locked="0"/>
    </xf>
    <xf numFmtId="0" fontId="4" fillId="12" borderId="0" xfId="0" applyFont="1" applyFill="1" applyBorder="1" applyAlignment="1" applyProtection="1">
      <alignment vertical="center"/>
      <protection locked="0"/>
    </xf>
    <xf numFmtId="0" fontId="5" fillId="12" borderId="0" xfId="0" applyFont="1" applyFill="1" applyBorder="1" applyAlignment="1" applyProtection="1">
      <alignment vertical="center"/>
      <protection locked="0"/>
    </xf>
    <xf numFmtId="0" fontId="2" fillId="0" borderId="12" xfId="0" applyFont="1" applyBorder="1"/>
    <xf numFmtId="0" fontId="2" fillId="0" borderId="0" xfId="0" applyFont="1" applyAlignment="1" applyProtection="1">
      <alignment vertical="center"/>
      <protection hidden="1"/>
    </xf>
    <xf numFmtId="0" fontId="2" fillId="0" borderId="0" xfId="0" applyFont="1" applyAlignment="1" applyProtection="1">
      <alignment horizontal="center" vertical="center"/>
      <protection hidden="1"/>
    </xf>
    <xf numFmtId="0" fontId="16" fillId="0" borderId="0" xfId="0" applyFont="1" applyAlignment="1" applyProtection="1">
      <alignment vertical="center"/>
      <protection hidden="1"/>
    </xf>
    <xf numFmtId="0" fontId="2" fillId="0" borderId="0" xfId="0" applyFont="1" applyAlignment="1" applyProtection="1">
      <alignment horizontal="left" vertical="center"/>
      <protection hidden="1"/>
    </xf>
    <xf numFmtId="0" fontId="12" fillId="0" borderId="0" xfId="0" applyFont="1" applyBorder="1" applyAlignment="1" applyProtection="1">
      <alignment vertical="center"/>
      <protection hidden="1"/>
    </xf>
    <xf numFmtId="0" fontId="2" fillId="0" borderId="16" xfId="0" applyFont="1" applyBorder="1" applyAlignment="1" applyProtection="1">
      <alignment horizontal="left" vertical="center"/>
      <protection hidden="1"/>
    </xf>
    <xf numFmtId="0" fontId="2" fillId="0" borderId="16" xfId="0" applyFont="1" applyBorder="1" applyAlignment="1" applyProtection="1">
      <alignment horizontal="center" vertical="center"/>
      <protection hidden="1"/>
    </xf>
    <xf numFmtId="0" fontId="12" fillId="0" borderId="16" xfId="0" applyFont="1" applyBorder="1" applyAlignment="1" applyProtection="1">
      <alignment horizontal="left" vertical="center"/>
      <protection hidden="1"/>
    </xf>
    <xf numFmtId="168" fontId="2" fillId="0" borderId="0" xfId="0" applyNumberFormat="1" applyFont="1" applyAlignment="1" applyProtection="1">
      <alignment horizontal="center" vertical="center"/>
      <protection hidden="1"/>
    </xf>
    <xf numFmtId="15" fontId="16" fillId="0" borderId="0" xfId="0" applyNumberFormat="1" applyFont="1" applyAlignment="1" applyProtection="1">
      <alignment vertical="center"/>
      <protection hidden="1"/>
    </xf>
    <xf numFmtId="0" fontId="12" fillId="0" borderId="15" xfId="0" applyFont="1" applyBorder="1" applyAlignment="1" applyProtection="1">
      <alignment horizontal="left" vertical="center"/>
      <protection hidden="1"/>
    </xf>
    <xf numFmtId="0" fontId="2" fillId="0" borderId="15" xfId="0" applyFont="1" applyBorder="1" applyAlignment="1" applyProtection="1">
      <alignment vertical="center"/>
      <protection hidden="1"/>
    </xf>
    <xf numFmtId="0" fontId="2" fillId="0" borderId="15" xfId="0" applyFont="1" applyBorder="1" applyAlignment="1" applyProtection="1">
      <alignment horizontal="center" vertical="center"/>
      <protection hidden="1"/>
    </xf>
    <xf numFmtId="15" fontId="16" fillId="0" borderId="0" xfId="0" applyNumberFormat="1" applyFont="1" applyBorder="1" applyAlignment="1" applyProtection="1">
      <alignment vertical="center"/>
      <protection hidden="1"/>
    </xf>
    <xf numFmtId="0" fontId="16" fillId="0" borderId="0" xfId="0" applyFont="1" applyBorder="1" applyAlignment="1" applyProtection="1">
      <alignment vertical="center"/>
      <protection hidden="1"/>
    </xf>
    <xf numFmtId="0" fontId="2" fillId="0" borderId="0" xfId="0" applyFont="1" applyBorder="1" applyAlignment="1" applyProtection="1">
      <alignment vertical="center"/>
      <protection hidden="1"/>
    </xf>
    <xf numFmtId="0" fontId="2" fillId="0" borderId="0" xfId="0" applyFont="1" applyBorder="1" applyAlignment="1" applyProtection="1">
      <alignment horizontal="center" vertical="center"/>
      <protection hidden="1"/>
    </xf>
    <xf numFmtId="0" fontId="2" fillId="0" borderId="0" xfId="0" applyFont="1" applyBorder="1" applyAlignment="1" applyProtection="1">
      <alignment horizontal="left" vertical="center"/>
      <protection hidden="1"/>
    </xf>
    <xf numFmtId="0" fontId="2" fillId="0" borderId="0" xfId="0" applyFont="1" applyFill="1" applyAlignment="1" applyProtection="1">
      <alignment vertical="center"/>
      <protection hidden="1"/>
    </xf>
    <xf numFmtId="0" fontId="2" fillId="0" borderId="0" xfId="0" applyFont="1" applyFill="1" applyBorder="1" applyAlignment="1" applyProtection="1">
      <alignment vertical="center"/>
      <protection hidden="1"/>
    </xf>
    <xf numFmtId="0" fontId="12" fillId="0" borderId="16" xfId="0" applyFont="1" applyBorder="1" applyAlignment="1" applyProtection="1">
      <alignment horizontal="center" vertical="center"/>
      <protection hidden="1"/>
    </xf>
    <xf numFmtId="0" fontId="2" fillId="0" borderId="0" xfId="0" applyFont="1" applyAlignment="1" applyProtection="1">
      <alignment horizontal="right" vertical="center"/>
      <protection hidden="1"/>
    </xf>
    <xf numFmtId="169" fontId="2" fillId="0" borderId="0" xfId="0" applyNumberFormat="1" applyFont="1" applyAlignment="1" applyProtection="1">
      <alignment vertical="center"/>
      <protection hidden="1"/>
    </xf>
    <xf numFmtId="0" fontId="26" fillId="0" borderId="0" xfId="0" applyFont="1" applyAlignment="1" applyProtection="1">
      <alignment horizontal="center" vertical="center"/>
      <protection hidden="1"/>
    </xf>
    <xf numFmtId="0" fontId="12" fillId="0" borderId="0" xfId="0" applyFont="1" applyAlignment="1" applyProtection="1">
      <alignment vertical="center"/>
      <protection hidden="1"/>
    </xf>
    <xf numFmtId="0" fontId="16" fillId="0" borderId="0" xfId="0" applyFont="1" applyAlignment="1" applyProtection="1">
      <alignment horizontal="center" vertical="center"/>
      <protection hidden="1"/>
    </xf>
    <xf numFmtId="0" fontId="12" fillId="0" borderId="16" xfId="0" applyFont="1" applyBorder="1" applyAlignment="1" applyProtection="1">
      <alignment vertical="center"/>
      <protection hidden="1"/>
    </xf>
    <xf numFmtId="0" fontId="24" fillId="0" borderId="21" xfId="0" applyFont="1" applyBorder="1" applyAlignment="1" applyProtection="1">
      <alignment horizontal="center" vertical="center"/>
      <protection hidden="1"/>
    </xf>
    <xf numFmtId="0" fontId="25" fillId="15" borderId="21" xfId="0" applyFont="1" applyFill="1" applyBorder="1" applyAlignment="1" applyProtection="1">
      <alignment horizontal="center" vertical="center"/>
      <protection hidden="1"/>
    </xf>
    <xf numFmtId="0" fontId="2" fillId="12" borderId="0" xfId="0" applyFont="1" applyFill="1" applyAlignment="1" applyProtection="1">
      <alignment vertical="center"/>
      <protection hidden="1"/>
    </xf>
    <xf numFmtId="0" fontId="2" fillId="12" borderId="0" xfId="0" applyFont="1" applyFill="1" applyAlignment="1" applyProtection="1">
      <alignment horizontal="center" vertical="center"/>
      <protection hidden="1"/>
    </xf>
    <xf numFmtId="0" fontId="8" fillId="0" borderId="19" xfId="0" applyFont="1" applyBorder="1" applyAlignment="1" applyProtection="1">
      <alignment vertical="center"/>
      <protection hidden="1"/>
    </xf>
    <xf numFmtId="0" fontId="8" fillId="14" borderId="19" xfId="0" applyFont="1" applyFill="1" applyBorder="1" applyAlignment="1" applyProtection="1">
      <alignment horizontal="center" vertical="center"/>
      <protection hidden="1"/>
    </xf>
    <xf numFmtId="0" fontId="13" fillId="0" borderId="19" xfId="0" applyFont="1" applyBorder="1" applyAlignment="1" applyProtection="1">
      <alignment horizontal="center" vertical="center"/>
      <protection locked="0"/>
    </xf>
    <xf numFmtId="0" fontId="13" fillId="0" borderId="19" xfId="0" applyFont="1" applyBorder="1" applyAlignment="1" applyProtection="1">
      <alignment vertical="center"/>
      <protection locked="0"/>
    </xf>
    <xf numFmtId="0" fontId="27" fillId="0" borderId="0" xfId="0" applyFont="1"/>
    <xf numFmtId="0" fontId="8" fillId="0" borderId="6" xfId="0" applyFont="1" applyFill="1" applyBorder="1" applyAlignment="1" applyProtection="1">
      <alignment vertical="center"/>
      <protection locked="0"/>
    </xf>
    <xf numFmtId="0" fontId="4" fillId="0" borderId="0" xfId="0" applyFont="1" applyBorder="1" applyAlignment="1">
      <alignment horizontal="left" vertical="center" indent="1"/>
    </xf>
    <xf numFmtId="0" fontId="4" fillId="0" borderId="0" xfId="0" applyFont="1" applyBorder="1" applyAlignment="1" applyProtection="1">
      <alignment horizontal="left" vertical="center" indent="1"/>
      <protection hidden="1"/>
    </xf>
    <xf numFmtId="0" fontId="2" fillId="0" borderId="0" xfId="0" applyFont="1" applyBorder="1"/>
    <xf numFmtId="0" fontId="12" fillId="0" borderId="10" xfId="0" applyFont="1" applyBorder="1"/>
    <xf numFmtId="0" fontId="2" fillId="0" borderId="10" xfId="0" applyFont="1" applyBorder="1"/>
    <xf numFmtId="0" fontId="12" fillId="0" borderId="0" xfId="0" applyFont="1"/>
    <xf numFmtId="0" fontId="2" fillId="0" borderId="0" xfId="0" applyFont="1" applyBorder="1" applyAlignment="1">
      <alignment horizontal="center" vertical="center"/>
    </xf>
    <xf numFmtId="0" fontId="2" fillId="0" borderId="0" xfId="0" applyFont="1" applyBorder="1" applyAlignment="1">
      <alignment horizontal="left" vertical="center"/>
    </xf>
    <xf numFmtId="164" fontId="4" fillId="0" borderId="0" xfId="1" applyFont="1" applyBorder="1" applyAlignment="1">
      <alignment horizontal="center" vertical="center"/>
    </xf>
    <xf numFmtId="0" fontId="4" fillId="0" borderId="0" xfId="0" applyFont="1" applyBorder="1" applyAlignment="1">
      <alignment horizontal="center" vertical="center"/>
    </xf>
    <xf numFmtId="0" fontId="12" fillId="0" borderId="10" xfId="0" applyFont="1" applyBorder="1" applyAlignment="1">
      <alignment horizontal="left" vertical="center"/>
    </xf>
    <xf numFmtId="0" fontId="2" fillId="0" borderId="10" xfId="0" applyFont="1" applyBorder="1" applyAlignment="1">
      <alignment horizontal="center" vertical="center"/>
    </xf>
    <xf numFmtId="164" fontId="4" fillId="0" borderId="10" xfId="1" applyFont="1" applyBorder="1" applyAlignment="1">
      <alignment horizontal="center" vertical="center"/>
    </xf>
    <xf numFmtId="0" fontId="4" fillId="0" borderId="10" xfId="0" applyFont="1" applyBorder="1" applyAlignment="1">
      <alignment horizontal="center" vertical="center"/>
    </xf>
    <xf numFmtId="0" fontId="12" fillId="0" borderId="0" xfId="0" applyFont="1" applyBorder="1" applyAlignment="1">
      <alignment horizontal="left" vertical="center"/>
    </xf>
    <xf numFmtId="0" fontId="2" fillId="0" borderId="0" xfId="0" applyFont="1" applyAlignment="1">
      <alignment vertical="center"/>
    </xf>
    <xf numFmtId="0" fontId="7" fillId="2" borderId="0" xfId="0" applyFont="1" applyFill="1" applyBorder="1" applyAlignment="1" applyProtection="1">
      <alignment horizontal="center" vertical="center"/>
      <protection locked="0"/>
    </xf>
    <xf numFmtId="0" fontId="4" fillId="0" borderId="0" xfId="0" applyFont="1" applyBorder="1" applyAlignment="1" applyProtection="1">
      <alignment horizontal="center" vertical="center"/>
      <protection locked="0"/>
    </xf>
    <xf numFmtId="0" fontId="4" fillId="7" borderId="0" xfId="0" applyFont="1" applyFill="1" applyAlignment="1" applyProtection="1">
      <alignment vertical="center"/>
      <protection locked="0"/>
    </xf>
    <xf numFmtId="0" fontId="4" fillId="7" borderId="0" xfId="0" applyFont="1" applyFill="1" applyAlignment="1" applyProtection="1">
      <alignment horizontal="center" vertical="center"/>
      <protection locked="0"/>
    </xf>
    <xf numFmtId="0" fontId="4" fillId="6" borderId="0" xfId="0" applyFont="1" applyFill="1" applyAlignment="1" applyProtection="1">
      <alignment vertical="center"/>
      <protection locked="0"/>
    </xf>
    <xf numFmtId="0" fontId="4" fillId="6" borderId="0" xfId="0" applyFont="1" applyFill="1" applyAlignment="1" applyProtection="1">
      <alignment horizontal="center" vertical="center"/>
      <protection locked="0"/>
    </xf>
    <xf numFmtId="0" fontId="31" fillId="7" borderId="0" xfId="0" applyFont="1" applyFill="1" applyBorder="1" applyAlignment="1" applyProtection="1">
      <alignment horizontal="center" vertical="center"/>
      <protection locked="0"/>
    </xf>
    <xf numFmtId="0" fontId="31" fillId="7" borderId="0" xfId="0" applyFont="1" applyFill="1" applyAlignment="1" applyProtection="1">
      <alignment horizontal="center" vertical="center"/>
      <protection locked="0"/>
    </xf>
    <xf numFmtId="0" fontId="8" fillId="0" borderId="0" xfId="0" applyFont="1" applyBorder="1" applyAlignment="1" applyProtection="1">
      <alignment horizontal="center" vertical="center"/>
      <protection hidden="1"/>
    </xf>
    <xf numFmtId="0" fontId="4" fillId="0" borderId="0" xfId="0" applyFont="1"/>
    <xf numFmtId="0" fontId="15" fillId="16" borderId="22" xfId="0" applyFont="1" applyFill="1" applyBorder="1" applyAlignment="1">
      <alignment horizontal="center"/>
    </xf>
    <xf numFmtId="0" fontId="4" fillId="0" borderId="0" xfId="0" applyFont="1" applyBorder="1"/>
    <xf numFmtId="0" fontId="15" fillId="16" borderId="12" xfId="0" applyFont="1" applyFill="1" applyBorder="1" applyAlignment="1">
      <alignment horizontal="center"/>
    </xf>
    <xf numFmtId="0" fontId="0" fillId="0" borderId="23" xfId="0" applyBorder="1"/>
    <xf numFmtId="0" fontId="0" fillId="0" borderId="24" xfId="0" applyBorder="1"/>
    <xf numFmtId="0" fontId="0" fillId="0" borderId="25" xfId="0" applyBorder="1"/>
    <xf numFmtId="0" fontId="0" fillId="0" borderId="26" xfId="0" applyBorder="1"/>
    <xf numFmtId="0" fontId="0" fillId="0" borderId="0" xfId="0" applyBorder="1"/>
    <xf numFmtId="0" fontId="0" fillId="0" borderId="27" xfId="0" applyBorder="1"/>
    <xf numFmtId="0" fontId="0" fillId="0" borderId="28" xfId="0" applyBorder="1"/>
    <xf numFmtId="0" fontId="0" fillId="0" borderId="29" xfId="0" applyBorder="1"/>
    <xf numFmtId="0" fontId="0" fillId="0" borderId="30" xfId="0" applyBorder="1"/>
    <xf numFmtId="0" fontId="33" fillId="0" borderId="0" xfId="2" applyFont="1" applyAlignment="1" applyProtection="1"/>
    <xf numFmtId="0" fontId="34" fillId="0" borderId="0" xfId="0" applyFont="1"/>
    <xf numFmtId="0" fontId="35" fillId="12" borderId="0" xfId="0" applyFont="1" applyFill="1" applyBorder="1"/>
    <xf numFmtId="0" fontId="35" fillId="0" borderId="0" xfId="0" applyFont="1" applyBorder="1"/>
    <xf numFmtId="0" fontId="16" fillId="4" borderId="0" xfId="0" applyFont="1" applyFill="1" applyAlignment="1" applyProtection="1">
      <alignment vertical="center"/>
      <protection hidden="1"/>
    </xf>
    <xf numFmtId="0" fontId="2" fillId="0" borderId="31" xfId="0" applyFont="1" applyBorder="1" applyAlignment="1" applyProtection="1">
      <alignment vertical="center"/>
      <protection hidden="1"/>
    </xf>
    <xf numFmtId="0" fontId="2" fillId="0" borderId="31" xfId="0" applyFont="1" applyBorder="1" applyAlignment="1" applyProtection="1">
      <alignment horizontal="center" vertical="center"/>
      <protection hidden="1"/>
    </xf>
    <xf numFmtId="0" fontId="4" fillId="18" borderId="12" xfId="0" applyFont="1" applyFill="1" applyBorder="1" applyAlignment="1" applyProtection="1">
      <alignment horizontal="left" vertical="center" indent="1"/>
      <protection locked="0"/>
    </xf>
    <xf numFmtId="0" fontId="3" fillId="18" borderId="0" xfId="0" applyFont="1" applyFill="1" applyProtection="1">
      <protection locked="0"/>
    </xf>
    <xf numFmtId="3" fontId="4" fillId="18" borderId="12" xfId="0" applyNumberFormat="1" applyFont="1" applyFill="1" applyBorder="1" applyAlignment="1" applyProtection="1">
      <alignment horizontal="center" vertical="center"/>
      <protection locked="0"/>
    </xf>
    <xf numFmtId="0" fontId="15" fillId="4" borderId="12" xfId="0" applyFont="1" applyFill="1" applyBorder="1" applyAlignment="1">
      <alignment horizontal="center"/>
    </xf>
    <xf numFmtId="0" fontId="36" fillId="0" borderId="0" xfId="0" applyFont="1"/>
    <xf numFmtId="0" fontId="15" fillId="4" borderId="12" xfId="0" applyFont="1" applyFill="1" applyBorder="1" applyAlignment="1" applyProtection="1">
      <alignment horizontal="center"/>
      <protection locked="0"/>
    </xf>
    <xf numFmtId="0" fontId="37" fillId="0" borderId="0" xfId="0" applyFont="1" applyFill="1" applyBorder="1" applyProtection="1">
      <protection hidden="1"/>
    </xf>
    <xf numFmtId="0" fontId="37" fillId="0" borderId="0" xfId="0" applyFont="1" applyFill="1" applyBorder="1" applyAlignment="1" applyProtection="1">
      <alignment horizontal="center" vertical="center"/>
      <protection hidden="1"/>
    </xf>
    <xf numFmtId="0" fontId="38" fillId="0" borderId="0" xfId="0" applyFont="1" applyFill="1" applyBorder="1" applyProtection="1">
      <protection hidden="1"/>
    </xf>
    <xf numFmtId="0" fontId="38" fillId="0" borderId="0" xfId="0" applyFont="1" applyFill="1" applyBorder="1" applyAlignment="1" applyProtection="1">
      <alignment vertical="center" wrapText="1"/>
      <protection hidden="1"/>
    </xf>
    <xf numFmtId="0" fontId="38" fillId="0" borderId="0" xfId="0" applyFont="1" applyFill="1" applyBorder="1" applyAlignment="1" applyProtection="1">
      <alignment horizontal="center" vertical="center" wrapText="1"/>
      <protection hidden="1"/>
    </xf>
    <xf numFmtId="0" fontId="37" fillId="0" borderId="0" xfId="0" applyFont="1" applyFill="1" applyBorder="1" applyAlignment="1" applyProtection="1">
      <alignment horizontal="center" vertical="center" wrapText="1"/>
      <protection hidden="1"/>
    </xf>
    <xf numFmtId="0" fontId="37" fillId="0" borderId="0" xfId="0" applyFont="1" applyFill="1" applyBorder="1" applyAlignment="1" applyProtection="1">
      <alignment vertical="center" wrapText="1"/>
      <protection hidden="1"/>
    </xf>
    <xf numFmtId="0" fontId="38" fillId="0" borderId="0" xfId="0" applyFont="1" applyFill="1" applyBorder="1" applyAlignment="1" applyProtection="1">
      <alignment horizontal="center" vertical="center"/>
      <protection hidden="1"/>
    </xf>
    <xf numFmtId="0" fontId="37" fillId="0" borderId="0" xfId="0" quotePrefix="1" applyFont="1" applyFill="1" applyBorder="1" applyProtection="1">
      <protection hidden="1"/>
    </xf>
    <xf numFmtId="0" fontId="38" fillId="0" borderId="0" xfId="0" applyFont="1" applyFill="1" applyBorder="1" applyAlignment="1" applyProtection="1">
      <alignment horizontal="center"/>
      <protection hidden="1"/>
    </xf>
    <xf numFmtId="20" fontId="4" fillId="6" borderId="0" xfId="0" applyNumberFormat="1" applyFont="1" applyFill="1" applyBorder="1" applyAlignment="1" applyProtection="1">
      <alignment vertical="center"/>
      <protection locked="0"/>
    </xf>
    <xf numFmtId="14" fontId="4" fillId="7" borderId="0" xfId="0" applyNumberFormat="1" applyFont="1" applyFill="1" applyBorder="1" applyAlignment="1" applyProtection="1">
      <alignment vertical="center"/>
      <protection locked="0"/>
    </xf>
    <xf numFmtId="20" fontId="4" fillId="7" borderId="0" xfId="0" applyNumberFormat="1" applyFont="1" applyFill="1" applyAlignment="1" applyProtection="1">
      <alignment vertical="center"/>
      <protection locked="0"/>
    </xf>
    <xf numFmtId="0" fontId="20" fillId="5" borderId="0" xfId="0" applyFont="1" applyFill="1" applyAlignment="1">
      <alignment horizontal="center" vertical="center"/>
    </xf>
    <xf numFmtId="0" fontId="11" fillId="0" borderId="12" xfId="0" applyFont="1" applyBorder="1" applyAlignment="1">
      <alignment horizontal="center" vertical="center" textRotation="255"/>
    </xf>
    <xf numFmtId="0" fontId="8" fillId="0" borderId="0" xfId="0" applyFont="1" applyBorder="1" applyAlignment="1" applyProtection="1">
      <alignment horizontal="center" vertical="center"/>
      <protection locked="0"/>
    </xf>
    <xf numFmtId="0" fontId="21" fillId="12" borderId="5" xfId="0" applyFont="1" applyFill="1" applyBorder="1" applyAlignment="1" applyProtection="1">
      <alignment horizontal="center" vertical="center"/>
      <protection hidden="1"/>
    </xf>
    <xf numFmtId="0" fontId="21" fillId="12" borderId="6" xfId="0" applyFont="1" applyFill="1" applyBorder="1" applyAlignment="1" applyProtection="1">
      <alignment horizontal="center" vertical="center"/>
      <protection hidden="1"/>
    </xf>
    <xf numFmtId="0" fontId="21" fillId="12" borderId="7" xfId="0" applyFont="1" applyFill="1" applyBorder="1" applyAlignment="1" applyProtection="1">
      <alignment horizontal="center" vertical="center"/>
      <protection hidden="1"/>
    </xf>
    <xf numFmtId="0" fontId="7" fillId="2" borderId="8" xfId="0" applyFont="1" applyFill="1" applyBorder="1" applyAlignment="1" applyProtection="1">
      <alignment horizontal="center" vertical="center"/>
      <protection hidden="1"/>
    </xf>
    <xf numFmtId="0" fontId="7" fillId="2" borderId="3" xfId="0" applyFont="1" applyFill="1" applyBorder="1" applyAlignment="1" applyProtection="1">
      <alignment horizontal="center" vertical="center"/>
      <protection hidden="1"/>
    </xf>
    <xf numFmtId="0" fontId="7" fillId="2" borderId="4" xfId="0" applyFont="1" applyFill="1" applyBorder="1" applyAlignment="1" applyProtection="1">
      <alignment horizontal="center" vertical="center"/>
      <protection hidden="1"/>
    </xf>
    <xf numFmtId="0" fontId="7" fillId="2" borderId="5" xfId="0" applyFont="1" applyFill="1" applyBorder="1" applyAlignment="1" applyProtection="1">
      <alignment horizontal="center" vertical="center"/>
      <protection locked="0"/>
    </xf>
    <xf numFmtId="0" fontId="7" fillId="2" borderId="6" xfId="0" applyFont="1" applyFill="1" applyBorder="1" applyAlignment="1" applyProtection="1">
      <alignment horizontal="center" vertical="center"/>
      <protection locked="0"/>
    </xf>
    <xf numFmtId="0" fontId="7" fillId="2" borderId="7" xfId="0" applyFont="1" applyFill="1" applyBorder="1" applyAlignment="1" applyProtection="1">
      <alignment horizontal="center" vertical="center"/>
      <protection locked="0"/>
    </xf>
    <xf numFmtId="0" fontId="8" fillId="14" borderId="19" xfId="0" applyFont="1" applyFill="1" applyBorder="1" applyAlignment="1" applyProtection="1">
      <alignment horizontal="center" vertical="center"/>
      <protection locked="0"/>
    </xf>
    <xf numFmtId="0" fontId="8" fillId="0" borderId="0" xfId="0" applyFont="1" applyBorder="1" applyAlignment="1" applyProtection="1">
      <alignment horizontal="left" vertical="center"/>
      <protection hidden="1"/>
    </xf>
    <xf numFmtId="0" fontId="6" fillId="2" borderId="0" xfId="0" applyFont="1" applyFill="1" applyBorder="1" applyAlignment="1" applyProtection="1">
      <alignment horizontal="center" vertical="center"/>
      <protection locked="0"/>
    </xf>
    <xf numFmtId="0" fontId="6" fillId="8" borderId="0" xfId="0" applyFont="1" applyFill="1" applyBorder="1" applyAlignment="1" applyProtection="1">
      <alignment horizontal="center" vertical="center"/>
      <protection locked="0"/>
    </xf>
    <xf numFmtId="0" fontId="6" fillId="10" borderId="0" xfId="0" applyFont="1" applyFill="1" applyBorder="1" applyAlignment="1" applyProtection="1">
      <alignment horizontal="center" vertical="center"/>
      <protection locked="0"/>
    </xf>
    <xf numFmtId="0" fontId="7" fillId="9" borderId="1" xfId="0" applyFont="1" applyFill="1" applyBorder="1" applyAlignment="1" applyProtection="1">
      <alignment horizontal="center" vertical="center"/>
      <protection locked="0"/>
    </xf>
    <xf numFmtId="0" fontId="7" fillId="9" borderId="0" xfId="0" applyFont="1" applyFill="1" applyBorder="1" applyAlignment="1" applyProtection="1">
      <alignment horizontal="center" vertical="center"/>
      <protection locked="0"/>
    </xf>
    <xf numFmtId="0" fontId="7" fillId="9" borderId="2" xfId="0" applyFont="1" applyFill="1" applyBorder="1" applyAlignment="1" applyProtection="1">
      <alignment horizontal="center" vertical="center"/>
      <protection locked="0"/>
    </xf>
    <xf numFmtId="0" fontId="4" fillId="0" borderId="0" xfId="0" applyFont="1" applyBorder="1" applyAlignment="1" applyProtection="1">
      <alignment horizontal="center" vertical="center"/>
      <protection locked="0"/>
    </xf>
    <xf numFmtId="0" fontId="7" fillId="2" borderId="1" xfId="0" applyFont="1" applyFill="1" applyBorder="1" applyAlignment="1" applyProtection="1">
      <alignment horizontal="center" vertical="center"/>
      <protection locked="0"/>
    </xf>
    <xf numFmtId="0" fontId="7" fillId="2" borderId="0" xfId="0" applyFont="1" applyFill="1" applyBorder="1" applyAlignment="1" applyProtection="1">
      <alignment horizontal="center" vertical="center"/>
      <protection locked="0"/>
    </xf>
    <xf numFmtId="0" fontId="7" fillId="2" borderId="2" xfId="0" applyFont="1" applyFill="1" applyBorder="1" applyAlignment="1" applyProtection="1">
      <alignment horizontal="center" vertical="center"/>
      <protection locked="0"/>
    </xf>
    <xf numFmtId="0" fontId="7" fillId="11" borderId="1" xfId="0" applyFont="1" applyFill="1" applyBorder="1" applyAlignment="1" applyProtection="1">
      <alignment horizontal="center" vertical="center"/>
      <protection locked="0"/>
    </xf>
    <xf numFmtId="0" fontId="7" fillId="11" borderId="0" xfId="0" applyFont="1" applyFill="1" applyBorder="1" applyAlignment="1" applyProtection="1">
      <alignment horizontal="center" vertical="center"/>
      <protection locked="0"/>
    </xf>
    <xf numFmtId="0" fontId="7" fillId="11" borderId="2" xfId="0" applyFont="1" applyFill="1" applyBorder="1" applyAlignment="1" applyProtection="1">
      <alignment horizontal="center" vertical="center"/>
      <protection locked="0"/>
    </xf>
    <xf numFmtId="0" fontId="7" fillId="5" borderId="1" xfId="0" applyFont="1" applyFill="1" applyBorder="1" applyAlignment="1" applyProtection="1">
      <alignment horizontal="center" vertical="center"/>
      <protection locked="0"/>
    </xf>
    <xf numFmtId="0" fontId="7" fillId="5" borderId="0" xfId="0" applyFont="1" applyFill="1" applyBorder="1" applyAlignment="1" applyProtection="1">
      <alignment horizontal="center" vertical="center"/>
      <protection locked="0"/>
    </xf>
    <xf numFmtId="0" fontId="7" fillId="5" borderId="2" xfId="0" applyFont="1" applyFill="1" applyBorder="1" applyAlignment="1" applyProtection="1">
      <alignment horizontal="center" vertical="center"/>
      <protection locked="0"/>
    </xf>
    <xf numFmtId="0" fontId="21" fillId="5" borderId="1" xfId="0" applyFont="1" applyFill="1" applyBorder="1" applyAlignment="1" applyProtection="1">
      <alignment horizontal="center" vertical="center"/>
      <protection locked="0"/>
    </xf>
    <xf numFmtId="0" fontId="21" fillId="5" borderId="0" xfId="0" applyFont="1" applyFill="1" applyBorder="1" applyAlignment="1" applyProtection="1">
      <alignment horizontal="center" vertical="center"/>
      <protection locked="0"/>
    </xf>
    <xf numFmtId="0" fontId="7" fillId="4" borderId="0" xfId="0" applyFont="1" applyFill="1" applyBorder="1" applyAlignment="1" applyProtection="1">
      <alignment horizontal="center" vertical="center"/>
      <protection locked="0"/>
    </xf>
    <xf numFmtId="0" fontId="7" fillId="8" borderId="0" xfId="0" applyFont="1" applyFill="1" applyBorder="1" applyAlignment="1" applyProtection="1">
      <alignment horizontal="center" vertical="center"/>
      <protection locked="0"/>
    </xf>
    <xf numFmtId="170" fontId="25" fillId="4" borderId="0" xfId="0" quotePrefix="1" applyNumberFormat="1" applyFont="1" applyFill="1" applyAlignment="1" applyProtection="1">
      <alignment horizontal="center" vertical="center"/>
      <protection hidden="1"/>
    </xf>
    <xf numFmtId="0" fontId="18" fillId="5" borderId="0" xfId="0" applyFont="1" applyFill="1" applyAlignment="1" applyProtection="1">
      <alignment horizontal="center" vertical="center"/>
      <protection hidden="1"/>
    </xf>
    <xf numFmtId="0" fontId="12" fillId="0" borderId="0" xfId="0" applyFont="1" applyAlignment="1" applyProtection="1">
      <alignment horizontal="center" vertical="center"/>
      <protection hidden="1"/>
    </xf>
    <xf numFmtId="0" fontId="12" fillId="0" borderId="16" xfId="0" applyFont="1" applyBorder="1" applyAlignment="1" applyProtection="1">
      <alignment horizontal="center" vertical="center"/>
      <protection hidden="1"/>
    </xf>
    <xf numFmtId="0" fontId="12" fillId="13" borderId="17" xfId="0" applyFont="1" applyFill="1" applyBorder="1" applyAlignment="1" applyProtection="1">
      <alignment horizontal="center" vertical="center"/>
      <protection locked="0"/>
    </xf>
    <xf numFmtId="0" fontId="12" fillId="13" borderId="16" xfId="0" applyFont="1" applyFill="1" applyBorder="1" applyAlignment="1" applyProtection="1">
      <alignment horizontal="center" vertical="center"/>
      <protection locked="0"/>
    </xf>
    <xf numFmtId="0" fontId="12" fillId="13" borderId="18" xfId="0" applyFont="1" applyFill="1" applyBorder="1" applyAlignment="1" applyProtection="1">
      <alignment horizontal="center" vertical="center"/>
      <protection locked="0"/>
    </xf>
    <xf numFmtId="0" fontId="2" fillId="0" borderId="16" xfId="0" applyFont="1" applyBorder="1" applyAlignment="1" applyProtection="1">
      <alignment horizontal="center" vertical="center"/>
      <protection hidden="1"/>
    </xf>
    <xf numFmtId="0" fontId="2" fillId="0" borderId="18" xfId="0" applyFont="1" applyBorder="1" applyAlignment="1" applyProtection="1">
      <alignment horizontal="center" vertical="center"/>
      <protection hidden="1"/>
    </xf>
    <xf numFmtId="14" fontId="2" fillId="0" borderId="0" xfId="0" applyNumberFormat="1" applyFont="1" applyAlignment="1" applyProtection="1">
      <alignment horizontal="center" vertical="center"/>
      <protection hidden="1"/>
    </xf>
    <xf numFmtId="0" fontId="12" fillId="18" borderId="31" xfId="0" applyFont="1" applyFill="1" applyBorder="1" applyAlignment="1" applyProtection="1">
      <alignment horizontal="center" vertical="center"/>
      <protection hidden="1"/>
    </xf>
    <xf numFmtId="0" fontId="16" fillId="4" borderId="0" xfId="0" applyFont="1" applyFill="1" applyAlignment="1" applyProtection="1">
      <alignment horizontal="center" vertical="center"/>
      <protection hidden="1"/>
    </xf>
    <xf numFmtId="0" fontId="2" fillId="0" borderId="0" xfId="0" applyFont="1" applyBorder="1" applyAlignment="1" applyProtection="1">
      <alignment horizontal="center" vertical="center"/>
      <protection hidden="1"/>
    </xf>
    <xf numFmtId="0" fontId="2" fillId="0" borderId="0" xfId="0" applyFont="1" applyFill="1" applyAlignment="1" applyProtection="1">
      <alignment horizontal="center" vertical="center"/>
      <protection hidden="1"/>
    </xf>
    <xf numFmtId="0" fontId="2" fillId="0" borderId="20" xfId="0" applyFont="1" applyBorder="1" applyAlignment="1" applyProtection="1">
      <alignment horizontal="center" vertical="center"/>
      <protection hidden="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5" fillId="5" borderId="12" xfId="0" applyFont="1" applyFill="1" applyBorder="1" applyAlignment="1">
      <alignment horizontal="center" vertical="center"/>
    </xf>
    <xf numFmtId="0" fontId="2" fillId="0" borderId="12" xfId="0" applyFont="1" applyBorder="1" applyAlignment="1">
      <alignment horizontal="center" vertical="center"/>
    </xf>
    <xf numFmtId="0" fontId="30" fillId="0" borderId="12" xfId="2" applyFont="1" applyBorder="1" applyAlignment="1" applyProtection="1">
      <alignment horizontal="center" vertical="center"/>
    </xf>
    <xf numFmtId="164" fontId="4" fillId="0" borderId="12" xfId="1" applyFont="1" applyBorder="1" applyAlignment="1">
      <alignment horizontal="center" vertical="center"/>
    </xf>
    <xf numFmtId="0" fontId="4" fillId="0" borderId="12" xfId="0" applyFont="1" applyBorder="1" applyAlignment="1">
      <alignment horizontal="center" vertical="center"/>
    </xf>
    <xf numFmtId="0" fontId="2" fillId="0" borderId="8"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4" fillId="17" borderId="8" xfId="0" applyFont="1" applyFill="1" applyBorder="1" applyAlignment="1">
      <alignment horizontal="left" vertical="center" wrapText="1"/>
    </xf>
    <xf numFmtId="0" fontId="4" fillId="17" borderId="3" xfId="0" applyFont="1" applyFill="1" applyBorder="1" applyAlignment="1">
      <alignment horizontal="left" vertical="center" wrapText="1"/>
    </xf>
    <xf numFmtId="0" fontId="4" fillId="17" borderId="4" xfId="0" applyFont="1" applyFill="1" applyBorder="1" applyAlignment="1">
      <alignment horizontal="left" vertical="center" wrapText="1"/>
    </xf>
    <xf numFmtId="0" fontId="4" fillId="17" borderId="1" xfId="0" applyFont="1" applyFill="1" applyBorder="1" applyAlignment="1">
      <alignment horizontal="left" vertical="center" wrapText="1"/>
    </xf>
    <xf numFmtId="0" fontId="4" fillId="17" borderId="0" xfId="0" applyFont="1" applyFill="1" applyBorder="1" applyAlignment="1">
      <alignment horizontal="left" vertical="center" wrapText="1"/>
    </xf>
    <xf numFmtId="0" fontId="4" fillId="17" borderId="2" xfId="0" applyFont="1" applyFill="1" applyBorder="1" applyAlignment="1">
      <alignment horizontal="left" vertical="center" wrapText="1"/>
    </xf>
    <xf numFmtId="0" fontId="4" fillId="17" borderId="9" xfId="0" applyFont="1" applyFill="1" applyBorder="1" applyAlignment="1">
      <alignment horizontal="left" vertical="center" wrapText="1"/>
    </xf>
    <xf numFmtId="0" fontId="4" fillId="17" borderId="10" xfId="0" applyFont="1" applyFill="1" applyBorder="1" applyAlignment="1">
      <alignment horizontal="left" vertical="center" wrapText="1"/>
    </xf>
    <xf numFmtId="0" fontId="4" fillId="17" borderId="11" xfId="0" applyFont="1" applyFill="1" applyBorder="1" applyAlignment="1">
      <alignment horizontal="left" vertical="center" wrapText="1"/>
    </xf>
    <xf numFmtId="0" fontId="32" fillId="0" borderId="0" xfId="0" applyFont="1" applyBorder="1" applyAlignment="1">
      <alignment horizontal="center"/>
    </xf>
    <xf numFmtId="0" fontId="15" fillId="16" borderId="1" xfId="0" applyFont="1" applyFill="1" applyBorder="1" applyAlignment="1">
      <alignment horizontal="center" vertical="center"/>
    </xf>
    <xf numFmtId="0" fontId="15" fillId="16" borderId="0" xfId="0" applyFont="1" applyFill="1" applyBorder="1" applyAlignment="1">
      <alignment horizontal="center" vertical="center"/>
    </xf>
    <xf numFmtId="0" fontId="15" fillId="16" borderId="2" xfId="0" applyFont="1" applyFill="1" applyBorder="1" applyAlignment="1">
      <alignment horizontal="center" vertical="center"/>
    </xf>
    <xf numFmtId="0" fontId="15" fillId="16" borderId="9" xfId="0" applyFont="1" applyFill="1" applyBorder="1" applyAlignment="1">
      <alignment horizontal="center" vertical="center"/>
    </xf>
    <xf numFmtId="0" fontId="15" fillId="16" borderId="10" xfId="0" applyFont="1" applyFill="1" applyBorder="1" applyAlignment="1">
      <alignment horizontal="center" vertical="center"/>
    </xf>
    <xf numFmtId="0" fontId="15" fillId="16" borderId="11" xfId="0" applyFont="1" applyFill="1" applyBorder="1" applyAlignment="1">
      <alignment horizontal="center" vertical="center"/>
    </xf>
  </cellXfs>
  <cellStyles count="3">
    <cellStyle name="Comma" xfId="1" builtinId="3"/>
    <cellStyle name="Hyperlink" xfId="2" builtinId="8"/>
    <cellStyle name="Normal" xfId="0" builtinId="0"/>
  </cellStyles>
  <dxfs count="273">
    <dxf>
      <font>
        <b/>
        <i val="0"/>
        <color theme="0"/>
      </font>
      <fill>
        <patternFill>
          <bgColor theme="7" tint="-0.24994659260841701"/>
        </patternFill>
      </fill>
      <border>
        <left style="thin">
          <color theme="7" tint="-0.24994659260841701"/>
        </left>
        <right style="thin">
          <color theme="7" tint="-0.24994659260841701"/>
        </right>
        <top style="thin">
          <color theme="7" tint="-0.24994659260841701"/>
        </top>
        <bottom style="thin">
          <color theme="7" tint="-0.24994659260841701"/>
        </bottom>
        <vertical/>
        <horizontal/>
      </border>
    </dxf>
    <dxf>
      <font>
        <b/>
        <i val="0"/>
        <color theme="0"/>
      </font>
      <fill>
        <patternFill>
          <bgColor theme="3" tint="-0.499984740745262"/>
        </patternFill>
      </fill>
      <border>
        <left style="thin">
          <color theme="3" tint="-0.499984740745262"/>
        </left>
        <right style="thin">
          <color theme="3" tint="-0.499984740745262"/>
        </right>
        <top style="thin">
          <color theme="3" tint="-0.499984740745262"/>
        </top>
        <bottom style="thin">
          <color theme="3" tint="-0.499984740745262"/>
        </bottom>
        <vertical/>
        <horizontal/>
      </border>
    </dxf>
    <dxf>
      <font>
        <b/>
        <i val="0"/>
      </font>
      <fill>
        <patternFill>
          <bgColor theme="4" tint="0.39994506668294322"/>
        </patternFill>
      </fill>
      <border>
        <top style="thin">
          <color theme="3" tint="-0.24994659260841701"/>
        </top>
        <bottom style="thin">
          <color theme="3" tint="-0.24994659260841701"/>
        </bottom>
        <vertical/>
        <horizontal/>
      </border>
    </dxf>
    <dxf>
      <font>
        <b/>
        <i val="0"/>
      </font>
    </dxf>
    <dxf>
      <font>
        <b/>
        <i val="0"/>
        <color rgb="FF0070C0"/>
      </font>
    </dxf>
    <dxf>
      <font>
        <b/>
        <i val="0"/>
        <color rgb="FFFF0000"/>
      </font>
    </dxf>
    <dxf>
      <font>
        <b/>
        <i val="0"/>
        <color rgb="FF0070C0"/>
      </font>
      <border>
        <left style="thin">
          <color rgb="FF0070C0"/>
        </left>
        <right style="thin">
          <color rgb="FF0070C0"/>
        </right>
        <top style="thin">
          <color rgb="FF0070C0"/>
        </top>
        <bottom style="thin">
          <color rgb="FF0070C0"/>
        </bottom>
        <vertical/>
        <horizontal/>
      </border>
    </dxf>
    <dxf>
      <font>
        <b/>
        <i val="0"/>
        <color rgb="FF00B050"/>
      </font>
      <border>
        <left style="thin">
          <color rgb="FF00B050"/>
        </left>
        <right style="thin">
          <color rgb="FF00B050"/>
        </right>
        <top style="thin">
          <color rgb="FF00B050"/>
        </top>
        <bottom style="thin">
          <color rgb="FF00B050"/>
        </bottom>
        <vertical/>
        <horizontal/>
      </border>
    </dxf>
    <dxf>
      <font>
        <b/>
        <i val="0"/>
        <color theme="9" tint="-0.24994659260841701"/>
      </font>
      <border>
        <left style="thin">
          <color theme="9" tint="-0.24994659260841701"/>
        </left>
        <right style="thin">
          <color theme="9" tint="-0.24994659260841701"/>
        </right>
        <top style="thin">
          <color theme="9" tint="-0.24994659260841701"/>
        </top>
        <bottom style="thin">
          <color theme="9" tint="-0.24994659260841701"/>
        </bottom>
        <vertical/>
        <horizontal/>
      </border>
    </dxf>
    <dxf>
      <font>
        <b/>
        <i val="0"/>
        <color rgb="FF7030A0"/>
      </font>
      <border>
        <left style="thin">
          <color theme="7" tint="-0.24994659260841701"/>
        </left>
        <right style="thin">
          <color theme="7" tint="-0.24994659260841701"/>
        </right>
        <top style="thin">
          <color theme="7" tint="-0.24994659260841701"/>
        </top>
        <bottom style="thin">
          <color theme="7" tint="-0.24994659260841701"/>
        </bottom>
        <vertical/>
        <horizontal/>
      </border>
    </dxf>
    <dxf>
      <font>
        <b/>
        <i val="0"/>
        <color theme="3" tint="-0.499984740745262"/>
      </font>
      <border>
        <left style="thin">
          <color theme="3" tint="-0.499984740745262"/>
        </left>
        <right style="thin">
          <color theme="3" tint="-0.499984740745262"/>
        </right>
        <top style="thin">
          <color theme="3" tint="-0.499984740745262"/>
        </top>
        <bottom style="thin">
          <color theme="3" tint="-0.499984740745262"/>
        </bottom>
        <vertical/>
        <horizontal/>
      </border>
    </dxf>
    <dxf>
      <font>
        <b/>
        <i val="0"/>
        <color theme="0"/>
      </font>
      <fill>
        <patternFill>
          <bgColor rgb="FF0070C0"/>
        </patternFill>
      </fill>
      <border>
        <left style="thin">
          <color rgb="FF0070C0"/>
        </left>
        <right style="thin">
          <color rgb="FF0070C0"/>
        </right>
        <top style="thin">
          <color rgb="FF0070C0"/>
        </top>
        <bottom style="thin">
          <color rgb="FF0070C0"/>
        </bottom>
        <vertical/>
        <horizontal/>
      </border>
    </dxf>
    <dxf>
      <font>
        <b/>
        <i val="0"/>
        <color theme="0"/>
      </font>
      <fill>
        <patternFill>
          <bgColor rgb="FF00B050"/>
        </patternFill>
      </fill>
      <border>
        <left style="thin">
          <color rgb="FF00B050"/>
        </left>
        <right style="thin">
          <color rgb="FF00B050"/>
        </right>
        <top style="thin">
          <color rgb="FF00B050"/>
        </top>
        <bottom style="thin">
          <color rgb="FF00B050"/>
        </bottom>
        <vertical/>
        <horizontal/>
      </border>
    </dxf>
    <dxf>
      <font>
        <b/>
        <i val="0"/>
        <color theme="0"/>
      </font>
      <fill>
        <patternFill>
          <bgColor theme="9" tint="-0.24994659260841701"/>
        </patternFill>
      </fill>
      <border>
        <left style="thin">
          <color theme="9" tint="-0.24994659260841701"/>
        </left>
        <right style="thin">
          <color theme="9" tint="-0.24994659260841701"/>
        </right>
        <top style="thin">
          <color theme="9" tint="-0.24994659260841701"/>
        </top>
        <bottom style="thin">
          <color theme="9" tint="-0.24994659260841701"/>
        </bottom>
        <vertical/>
        <horizontal/>
      </border>
    </dxf>
    <dxf>
      <font>
        <color theme="1"/>
      </font>
    </dxf>
    <dxf>
      <font>
        <color theme="1"/>
      </font>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ont>
        <color theme="1"/>
      </font>
    </dxf>
    <dxf>
      <font>
        <color theme="1"/>
      </font>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ont>
        <color theme="1"/>
      </font>
    </dxf>
    <dxf>
      <font>
        <color theme="1"/>
      </font>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ont>
        <color theme="1"/>
      </font>
    </dxf>
    <dxf>
      <font>
        <color theme="1"/>
      </font>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ont>
        <color theme="1"/>
      </font>
    </dxf>
    <dxf>
      <font>
        <color theme="1"/>
      </font>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ont>
        <color theme="1"/>
      </font>
    </dxf>
    <dxf>
      <font>
        <color theme="1"/>
      </font>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ont>
        <color theme="1"/>
      </font>
    </dxf>
    <dxf>
      <font>
        <color theme="1"/>
      </font>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ont>
        <color theme="1"/>
      </font>
    </dxf>
    <dxf>
      <font>
        <color theme="1"/>
      </font>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ont>
        <color theme="1"/>
      </font>
    </dxf>
    <dxf>
      <font>
        <color theme="1"/>
      </font>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ont>
        <color theme="1"/>
      </font>
    </dxf>
    <dxf>
      <font>
        <color theme="1"/>
      </font>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ont>
        <color theme="1"/>
      </font>
    </dxf>
    <dxf>
      <font>
        <color theme="1"/>
      </font>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ont>
        <color theme="1"/>
      </font>
    </dxf>
    <dxf>
      <font>
        <color theme="1"/>
      </font>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ont>
        <color theme="1"/>
      </font>
    </dxf>
    <dxf>
      <font>
        <color theme="1"/>
      </font>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ont>
        <color theme="1"/>
      </font>
    </dxf>
    <dxf>
      <font>
        <color theme="1"/>
      </font>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ont>
        <color theme="1"/>
      </font>
    </dxf>
    <dxf>
      <font>
        <color theme="1"/>
      </font>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ont>
        <color theme="1"/>
      </font>
    </dxf>
    <dxf>
      <font>
        <color theme="1"/>
      </font>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ont>
        <color theme="1"/>
      </font>
    </dxf>
    <dxf>
      <font>
        <color theme="1"/>
      </font>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ont>
        <color theme="1"/>
      </font>
    </dxf>
    <dxf>
      <font>
        <color theme="1"/>
      </font>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ont>
        <color theme="1"/>
      </font>
    </dxf>
    <dxf>
      <font>
        <color theme="1"/>
      </font>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ont>
        <color theme="1"/>
      </font>
    </dxf>
    <dxf>
      <font>
        <color theme="1"/>
      </font>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ont>
        <color theme="1"/>
      </font>
    </dxf>
    <dxf>
      <font>
        <color theme="1"/>
      </font>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ont>
        <color theme="1"/>
      </font>
    </dxf>
    <dxf>
      <font>
        <color theme="1"/>
      </font>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ont>
        <color theme="1"/>
      </font>
    </dxf>
    <dxf>
      <font>
        <color theme="1"/>
      </font>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ont>
        <color theme="1"/>
      </font>
    </dxf>
    <dxf>
      <font>
        <color theme="1"/>
      </font>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ont>
        <color theme="1"/>
      </font>
    </dxf>
    <dxf>
      <font>
        <color theme="1"/>
      </font>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ont>
        <color theme="1"/>
      </font>
    </dxf>
    <dxf>
      <font>
        <color theme="1"/>
      </font>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ont>
        <b/>
        <i val="0"/>
        <condense val="0"/>
        <extend val="0"/>
        <color indexed="12"/>
      </font>
    </dxf>
    <dxf>
      <font>
        <condense val="0"/>
        <extend val="0"/>
        <color indexed="23"/>
      </font>
    </dxf>
    <dxf>
      <font>
        <condense val="0"/>
        <extend val="0"/>
        <color indexed="23"/>
      </font>
    </dxf>
    <dxf>
      <font>
        <b/>
        <i val="0"/>
        <condense val="0"/>
        <extend val="0"/>
        <color indexed="12"/>
      </font>
    </dxf>
    <dxf>
      <font>
        <b/>
        <i val="0"/>
        <condense val="0"/>
        <extend val="0"/>
        <color indexed="12"/>
      </font>
    </dxf>
    <dxf>
      <font>
        <b/>
        <i val="0"/>
        <condense val="0"/>
        <extend val="0"/>
        <color indexed="12"/>
      </font>
    </dxf>
    <dxf>
      <font>
        <condense val="0"/>
        <extend val="0"/>
        <color indexed="23"/>
      </font>
    </dxf>
    <dxf>
      <font>
        <condense val="0"/>
        <extend val="0"/>
        <color indexed="23"/>
      </font>
    </dxf>
    <dxf>
      <font>
        <b/>
        <i val="0"/>
        <condense val="0"/>
        <extend val="0"/>
        <color indexed="12"/>
      </font>
    </dxf>
    <dxf>
      <font>
        <b/>
        <i val="0"/>
        <condense val="0"/>
        <extend val="0"/>
        <color indexed="12"/>
      </font>
    </dxf>
    <dxf>
      <font>
        <b/>
        <i val="0"/>
        <condense val="0"/>
        <extend val="0"/>
        <color indexed="12"/>
      </font>
    </dxf>
    <dxf>
      <font>
        <condense val="0"/>
        <extend val="0"/>
        <color indexed="23"/>
      </font>
    </dxf>
    <dxf>
      <font>
        <condense val="0"/>
        <extend val="0"/>
        <color indexed="23"/>
      </font>
    </dxf>
    <dxf>
      <font>
        <b/>
        <i val="0"/>
        <condense val="0"/>
        <extend val="0"/>
        <color indexed="12"/>
      </font>
    </dxf>
    <dxf>
      <font>
        <b/>
        <i val="0"/>
        <condense val="0"/>
        <extend val="0"/>
        <color indexed="12"/>
      </font>
    </dxf>
    <dxf>
      <font>
        <b/>
        <i val="0"/>
        <condense val="0"/>
        <extend val="0"/>
        <color indexed="12"/>
      </font>
    </dxf>
    <dxf>
      <font>
        <condense val="0"/>
        <extend val="0"/>
        <color indexed="23"/>
      </font>
    </dxf>
    <dxf>
      <font>
        <condense val="0"/>
        <extend val="0"/>
        <color indexed="23"/>
      </font>
    </dxf>
    <dxf>
      <font>
        <b/>
        <i val="0"/>
        <condense val="0"/>
        <extend val="0"/>
        <color indexed="12"/>
      </font>
    </dxf>
    <dxf>
      <font>
        <b/>
        <i val="0"/>
        <condense val="0"/>
        <extend val="0"/>
        <color indexed="12"/>
      </font>
    </dxf>
    <dxf>
      <font>
        <b/>
        <i val="0"/>
        <condense val="0"/>
        <extend val="0"/>
        <color indexed="12"/>
      </font>
    </dxf>
    <dxf>
      <font>
        <condense val="0"/>
        <extend val="0"/>
        <color indexed="23"/>
      </font>
    </dxf>
    <dxf>
      <font>
        <condense val="0"/>
        <extend val="0"/>
        <color indexed="23"/>
      </font>
    </dxf>
    <dxf>
      <font>
        <b/>
        <i val="0"/>
        <condense val="0"/>
        <extend val="0"/>
        <color indexed="12"/>
      </font>
    </dxf>
    <dxf>
      <font>
        <b/>
        <i val="0"/>
        <condense val="0"/>
        <extend val="0"/>
        <color indexed="12"/>
      </font>
    </dxf>
    <dxf>
      <font>
        <b/>
        <i val="0"/>
        <condense val="0"/>
        <extend val="0"/>
        <color indexed="12"/>
      </font>
    </dxf>
    <dxf>
      <font>
        <condense val="0"/>
        <extend val="0"/>
        <color indexed="23"/>
      </font>
    </dxf>
    <dxf>
      <font>
        <condense val="0"/>
        <extend val="0"/>
        <color indexed="23"/>
      </font>
    </dxf>
    <dxf>
      <font>
        <b/>
        <i val="0"/>
        <condense val="0"/>
        <extend val="0"/>
        <color indexed="12"/>
      </font>
    </dxf>
    <dxf>
      <font>
        <b/>
        <i val="0"/>
        <condense val="0"/>
        <extend val="0"/>
        <color indexed="12"/>
      </font>
    </dxf>
    <dxf>
      <font>
        <b/>
        <i val="0"/>
        <condense val="0"/>
        <extend val="0"/>
        <color indexed="12"/>
      </font>
    </dxf>
    <dxf>
      <font>
        <condense val="0"/>
        <extend val="0"/>
        <color indexed="23"/>
      </font>
    </dxf>
    <dxf>
      <font>
        <condense val="0"/>
        <extend val="0"/>
        <color indexed="23"/>
      </font>
    </dxf>
    <dxf>
      <font>
        <b/>
        <i val="0"/>
        <condense val="0"/>
        <extend val="0"/>
        <color indexed="12"/>
      </font>
    </dxf>
    <dxf>
      <font>
        <b/>
        <i val="0"/>
        <condense val="0"/>
        <extend val="0"/>
        <color indexed="12"/>
      </font>
    </dxf>
    <dxf>
      <font>
        <b/>
        <i val="0"/>
        <condense val="0"/>
        <extend val="0"/>
        <color indexed="12"/>
      </font>
    </dxf>
    <dxf>
      <font>
        <condense val="0"/>
        <extend val="0"/>
        <color indexed="23"/>
      </font>
    </dxf>
    <dxf>
      <font>
        <condense val="0"/>
        <extend val="0"/>
        <color indexed="23"/>
      </font>
    </dxf>
    <dxf>
      <font>
        <b/>
        <i val="0"/>
        <condense val="0"/>
        <extend val="0"/>
        <color indexed="12"/>
      </font>
    </dxf>
    <dxf>
      <font>
        <b/>
        <i val="0"/>
        <condense val="0"/>
        <extend val="0"/>
        <color indexed="12"/>
      </font>
    </dxf>
    <dxf>
      <font>
        <b/>
        <i val="0"/>
        <condense val="0"/>
        <extend val="0"/>
        <color indexed="12"/>
      </font>
    </dxf>
    <dxf>
      <font>
        <condense val="0"/>
        <extend val="0"/>
        <color indexed="23"/>
      </font>
    </dxf>
    <dxf>
      <font>
        <condense val="0"/>
        <extend val="0"/>
        <color indexed="23"/>
      </font>
    </dxf>
    <dxf>
      <font>
        <b/>
        <i val="0"/>
        <condense val="0"/>
        <extend val="0"/>
        <color indexed="12"/>
      </font>
    </dxf>
    <dxf>
      <font>
        <b/>
        <i val="0"/>
        <condense val="0"/>
        <extend val="0"/>
        <color indexed="12"/>
      </font>
    </dxf>
    <dxf>
      <font>
        <b/>
        <i val="0"/>
        <condense val="0"/>
        <extend val="0"/>
        <color indexed="12"/>
      </font>
    </dxf>
    <dxf>
      <font>
        <condense val="0"/>
        <extend val="0"/>
        <color indexed="23"/>
      </font>
    </dxf>
    <dxf>
      <font>
        <condense val="0"/>
        <extend val="0"/>
        <color indexed="23"/>
      </font>
    </dxf>
    <dxf>
      <font>
        <b/>
        <i val="0"/>
        <condense val="0"/>
        <extend val="0"/>
        <color indexed="12"/>
      </font>
    </dxf>
    <dxf>
      <font>
        <b/>
        <i val="0"/>
        <condense val="0"/>
        <extend val="0"/>
        <color indexed="12"/>
      </font>
    </dxf>
    <dxf>
      <font>
        <b/>
        <i val="0"/>
        <condense val="0"/>
        <extend val="0"/>
        <color indexed="12"/>
      </font>
    </dxf>
    <dxf>
      <font>
        <condense val="0"/>
        <extend val="0"/>
        <color indexed="23"/>
      </font>
    </dxf>
    <dxf>
      <font>
        <condense val="0"/>
        <extend val="0"/>
        <color indexed="23"/>
      </font>
    </dxf>
    <dxf>
      <font>
        <b/>
        <i val="0"/>
        <condense val="0"/>
        <extend val="0"/>
        <color indexed="12"/>
      </font>
    </dxf>
    <dxf>
      <font>
        <b/>
        <i val="0"/>
        <condense val="0"/>
        <extend val="0"/>
        <color indexed="12"/>
      </font>
    </dxf>
    <dxf>
      <font>
        <b/>
        <i val="0"/>
        <condense val="0"/>
        <extend val="0"/>
        <color indexed="12"/>
      </font>
    </dxf>
    <dxf>
      <font>
        <condense val="0"/>
        <extend val="0"/>
        <color indexed="23"/>
      </font>
    </dxf>
    <dxf>
      <font>
        <condense val="0"/>
        <extend val="0"/>
        <color indexed="23"/>
      </font>
    </dxf>
    <dxf>
      <font>
        <b/>
        <i val="0"/>
        <condense val="0"/>
        <extend val="0"/>
        <color indexed="12"/>
      </font>
    </dxf>
    <dxf>
      <font>
        <b/>
        <i val="0"/>
        <condense val="0"/>
        <extend val="0"/>
        <color indexed="12"/>
      </font>
    </dxf>
    <dxf>
      <font>
        <b/>
        <i val="0"/>
        <condense val="0"/>
        <extend val="0"/>
        <color indexed="12"/>
      </font>
    </dxf>
    <dxf>
      <font>
        <condense val="0"/>
        <extend val="0"/>
        <color indexed="23"/>
      </font>
    </dxf>
    <dxf>
      <font>
        <condense val="0"/>
        <extend val="0"/>
        <color indexed="23"/>
      </font>
    </dxf>
    <dxf>
      <font>
        <b/>
        <i val="0"/>
        <condense val="0"/>
        <extend val="0"/>
        <color indexed="12"/>
      </font>
    </dxf>
    <dxf>
      <font>
        <b/>
        <i val="0"/>
        <condense val="0"/>
        <extend val="0"/>
        <color indexed="12"/>
      </font>
    </dxf>
    <dxf>
      <font>
        <color theme="1"/>
      </font>
    </dxf>
    <dxf>
      <font>
        <color theme="1"/>
      </font>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ill>
        <patternFill>
          <bgColor rgb="FFCCFFFF"/>
        </patternFill>
      </fill>
      <border>
        <left style="thin">
          <color auto="1"/>
        </left>
        <right style="thin">
          <color auto="1"/>
        </right>
        <top style="thin">
          <color auto="1"/>
        </top>
        <bottom style="thin">
          <color auto="1"/>
        </bottom>
        <vertical/>
        <horizontal/>
      </border>
    </dxf>
    <dxf>
      <fill>
        <patternFill>
          <bgColor theme="6" tint="0.59996337778862885"/>
        </patternFill>
      </fill>
      <border>
        <left/>
        <right/>
        <top/>
        <bottom/>
        <vertical/>
        <horizontal/>
      </border>
    </dxf>
    <dxf>
      <font>
        <b val="0"/>
        <i val="0"/>
        <condense val="0"/>
        <extend val="0"/>
        <color indexed="23"/>
      </font>
    </dxf>
    <dxf>
      <font>
        <b/>
        <i val="0"/>
        <condense val="0"/>
        <extend val="0"/>
        <color indexed="12"/>
      </font>
    </dxf>
    <dxf>
      <font>
        <condense val="0"/>
        <extend val="0"/>
        <color indexed="23"/>
      </font>
    </dxf>
    <dxf>
      <font>
        <b/>
        <i val="0"/>
        <condense val="0"/>
        <extend val="0"/>
        <color indexed="12"/>
      </font>
    </dxf>
    <dxf>
      <border>
        <left/>
        <right/>
        <top/>
        <bottom/>
      </border>
    </dxf>
    <dxf>
      <fill>
        <patternFill>
          <bgColor indexed="41"/>
        </patternFill>
      </fill>
      <border>
        <left style="thin">
          <color indexed="64"/>
        </left>
        <right style="thin">
          <color indexed="64"/>
        </right>
        <top style="thin">
          <color indexed="64"/>
        </top>
        <bottom style="thin">
          <color indexed="64"/>
        </bottom>
      </border>
    </dxf>
    <dxf>
      <font>
        <b/>
        <i val="0"/>
        <condense val="0"/>
        <extend val="0"/>
        <color indexed="12"/>
      </font>
    </dxf>
    <dxf>
      <font>
        <condense val="0"/>
        <extend val="0"/>
        <color indexed="23"/>
      </font>
    </dxf>
    <dxf>
      <font>
        <condense val="0"/>
        <extend val="0"/>
        <color indexed="23"/>
      </font>
    </dxf>
    <dxf>
      <font>
        <b/>
        <i val="0"/>
        <condense val="0"/>
        <extend val="0"/>
        <color indexed="12"/>
      </font>
    </dxf>
    <dxf>
      <font>
        <condense val="0"/>
        <extend val="0"/>
        <color indexed="23"/>
      </font>
    </dxf>
    <dxf>
      <font>
        <b/>
        <i val="0"/>
        <condense val="0"/>
        <extend val="0"/>
        <color indexed="12"/>
      </font>
    </dxf>
    <dxf>
      <font>
        <b/>
        <i val="0"/>
        <condense val="0"/>
        <extend val="0"/>
        <color indexed="12"/>
      </font>
    </dxf>
    <dxf>
      <font>
        <condense val="0"/>
        <extend val="0"/>
        <color indexed="23"/>
      </font>
    </dxf>
    <dxf>
      <font>
        <b/>
        <i val="0"/>
        <condense val="0"/>
        <extend val="0"/>
        <color indexed="12"/>
      </font>
    </dxf>
    <dxf>
      <font>
        <color theme="7" tint="0.79998168889431442"/>
      </font>
      <fill>
        <patternFill>
          <bgColor theme="7" tint="0.79998168889431442"/>
        </patternFill>
      </fill>
    </dxf>
    <dxf>
      <fill>
        <patternFill>
          <bgColor theme="7" tint="0.79998168889431442"/>
        </patternFill>
      </fill>
    </dxf>
    <dxf>
      <font>
        <color theme="0"/>
      </font>
      <fill>
        <patternFill>
          <bgColor theme="0"/>
        </patternFill>
      </fill>
    </dxf>
    <dxf>
      <fill>
        <patternFill>
          <bgColor theme="7" tint="0.79998168889431442"/>
        </patternFill>
      </fill>
    </dxf>
    <dxf>
      <fill>
        <patternFill>
          <bgColor theme="4" tint="0.59996337778862885"/>
        </patternFill>
      </fill>
    </dxf>
    <dxf>
      <fill>
        <patternFill>
          <bgColor theme="7" tint="0.79998168889431442"/>
        </patternFill>
      </fill>
    </dxf>
    <dxf>
      <font>
        <b/>
        <i val="0"/>
        <color theme="3" tint="-0.499984740745262"/>
      </font>
      <fill>
        <patternFill>
          <bgColor theme="4" tint="0.79998168889431442"/>
        </patternFill>
      </fill>
    </dxf>
    <dxf>
      <font>
        <b/>
        <i val="0"/>
        <color theme="3" tint="-0.499984740745262"/>
      </font>
      <fill>
        <patternFill>
          <bgColor theme="7" tint="0.79998168889431442"/>
        </patternFill>
      </fill>
    </dxf>
    <dxf>
      <font>
        <b/>
        <i val="0"/>
        <condense val="0"/>
        <extend val="0"/>
        <color indexed="61"/>
      </font>
    </dxf>
    <dxf>
      <font>
        <b/>
        <i val="0"/>
        <condense val="0"/>
        <extend val="0"/>
        <color indexed="12"/>
      </font>
    </dxf>
    <dxf>
      <fill>
        <patternFill>
          <bgColor indexed="41"/>
        </patternFill>
      </fill>
      <border>
        <left style="thin">
          <color indexed="64"/>
        </left>
        <right style="thin">
          <color indexed="64"/>
        </right>
        <top style="thin">
          <color indexed="64"/>
        </top>
        <bottom style="thin">
          <color indexed="64"/>
        </bottom>
      </border>
    </dxf>
    <dxf>
      <font>
        <b/>
        <i val="0"/>
        <condense val="0"/>
        <extend val="0"/>
        <color indexed="62"/>
      </font>
    </dxf>
    <dxf>
      <font>
        <b/>
        <i val="0"/>
        <condense val="0"/>
        <extend val="0"/>
        <color indexed="62"/>
      </font>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image" Target="../media/image2.jpg"/><Relationship Id="rId7" Type="http://schemas.openxmlformats.org/officeDocument/2006/relationships/hyperlink" Target="https://www.e-junkie.com/ecom/gb.php?i=1152672&amp;c=single&amp;cl=192175" TargetMode="External"/><Relationship Id="rId2" Type="http://schemas.openxmlformats.org/officeDocument/2006/relationships/hyperlink" Target="https://www.e-junkie.com/ecom/gb.php?i=1139576&amp;c=single&amp;cl=192175" TargetMode="External"/><Relationship Id="rId1" Type="http://schemas.openxmlformats.org/officeDocument/2006/relationships/hyperlink" Target="http://exceltemplate.net" TargetMode="External"/><Relationship Id="rId6" Type="http://schemas.openxmlformats.org/officeDocument/2006/relationships/hyperlink" Target="https://www.e-junkie.com/ecom/gb.php?i=1282999&amp;c=single&amp;cl=192175" TargetMode="External"/><Relationship Id="rId5" Type="http://schemas.openxmlformats.org/officeDocument/2006/relationships/hyperlink" Target="https://www.e-junkie.com/ecom/gb.php?i=1201300&amp;c=single&amp;cl=192175" TargetMode="External"/><Relationship Id="rId4" Type="http://schemas.openxmlformats.org/officeDocument/2006/relationships/hyperlink" Target="https://www.e-junkie.com/ecom/gb.php?i=1140675&amp;c=single&amp;cl=192175" TargetMode="External"/></Relationships>
</file>

<file path=xl/drawings/drawing1.xml><?xml version="1.0" encoding="utf-8"?>
<xdr:wsDr xmlns:xdr="http://schemas.openxmlformats.org/drawingml/2006/spreadsheetDrawing" xmlns:a="http://schemas.openxmlformats.org/drawingml/2006/main">
  <xdr:twoCellAnchor editAs="oneCell">
    <xdr:from>
      <xdr:col>7</xdr:col>
      <xdr:colOff>146535</xdr:colOff>
      <xdr:row>3</xdr:row>
      <xdr:rowOff>8685</xdr:rowOff>
    </xdr:from>
    <xdr:to>
      <xdr:col>11</xdr:col>
      <xdr:colOff>1057923</xdr:colOff>
      <xdr:row>21</xdr:row>
      <xdr:rowOff>165100</xdr:rowOff>
    </xdr:to>
    <xdr:pic>
      <xdr:nvPicPr>
        <xdr:cNvPr id="3091" name="Picture 1" descr="uefa">
          <a:extLst>
            <a:ext uri="{FF2B5EF4-FFF2-40B4-BE49-F238E27FC236}">
              <a16:creationId xmlns="" xmlns:a16="http://schemas.microsoft.com/office/drawing/2014/main" id="{00000000-0008-0000-0000-000013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53935" y="637335"/>
          <a:ext cx="4010188" cy="3699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249554</xdr:colOff>
      <xdr:row>1</xdr:row>
      <xdr:rowOff>15240</xdr:rowOff>
    </xdr:from>
    <xdr:to>
      <xdr:col>25</xdr:col>
      <xdr:colOff>198119</xdr:colOff>
      <xdr:row>9</xdr:row>
      <xdr:rowOff>83820</xdr:rowOff>
    </xdr:to>
    <xdr:sp macro="" textlink="">
      <xdr:nvSpPr>
        <xdr:cNvPr id="2" name="TextBox 1">
          <a:hlinkClick xmlns:r="http://schemas.openxmlformats.org/officeDocument/2006/relationships" r:id="rId1"/>
          <a:extLst>
            <a:ext uri="{FF2B5EF4-FFF2-40B4-BE49-F238E27FC236}">
              <a16:creationId xmlns="" xmlns:a16="http://schemas.microsoft.com/office/drawing/2014/main" id="{00000000-0008-0000-0500-000002000000}"/>
            </a:ext>
          </a:extLst>
        </xdr:cNvPr>
        <xdr:cNvSpPr txBox="1"/>
      </xdr:nvSpPr>
      <xdr:spPr>
        <a:xfrm>
          <a:off x="249554" y="205740"/>
          <a:ext cx="6235065" cy="1645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UEFA</a:t>
          </a:r>
          <a:r>
            <a:rPr lang="en-US" sz="1100" b="1" baseline="0"/>
            <a:t> Champions League 2018/2019 Fixtures and Scoresheet</a:t>
          </a:r>
        </a:p>
        <a:p>
          <a:pPr algn="ctr"/>
          <a:r>
            <a:rPr lang="en-US" sz="1100" baseline="0"/>
            <a:t>Version 1.65</a:t>
          </a:r>
        </a:p>
        <a:p>
          <a:pPr algn="ctr"/>
          <a:endParaRPr lang="en-US" sz="1100" baseline="0"/>
        </a:p>
        <a:p>
          <a:pPr algn="ctr"/>
          <a:r>
            <a:rPr lang="en-US" sz="1100" baseline="0"/>
            <a:t>Copyright (c) 2018 - Exceltemplate.net</a:t>
          </a:r>
        </a:p>
        <a:p>
          <a:pPr algn="ctr"/>
          <a:r>
            <a:rPr lang="en-US" sz="1100" baseline="0"/>
            <a:t>License : Personal Usage </a:t>
          </a:r>
        </a:p>
        <a:p>
          <a:pPr algn="ctr"/>
          <a:endParaRPr lang="en-US" sz="1100" baseline="0"/>
        </a:p>
        <a:p>
          <a:pPr algn="ctr"/>
          <a:r>
            <a:rPr lang="en-US" sz="1100" baseline="0"/>
            <a:t>More information :</a:t>
          </a:r>
        </a:p>
        <a:p>
          <a:pPr algn="ctr"/>
          <a:r>
            <a:rPr lang="en-US" sz="1100" baseline="0"/>
            <a:t>http://exceltemplate.net</a:t>
          </a:r>
          <a:endParaRPr lang="en-US" sz="1100"/>
        </a:p>
      </xdr:txBody>
    </xdr:sp>
    <xdr:clientData/>
  </xdr:twoCellAnchor>
  <xdr:twoCellAnchor>
    <xdr:from>
      <xdr:col>0</xdr:col>
      <xdr:colOff>249554</xdr:colOff>
      <xdr:row>10</xdr:row>
      <xdr:rowOff>53340</xdr:rowOff>
    </xdr:from>
    <xdr:to>
      <xdr:col>25</xdr:col>
      <xdr:colOff>243839</xdr:colOff>
      <xdr:row>17</xdr:row>
      <xdr:rowOff>53340</xdr:rowOff>
    </xdr:to>
    <xdr:sp macro="" textlink="">
      <xdr:nvSpPr>
        <xdr:cNvPr id="3" name="TextBox 2">
          <a:extLst>
            <a:ext uri="{FF2B5EF4-FFF2-40B4-BE49-F238E27FC236}">
              <a16:creationId xmlns="" xmlns:a16="http://schemas.microsoft.com/office/drawing/2014/main" id="{00000000-0008-0000-0500-000003000000}"/>
            </a:ext>
          </a:extLst>
        </xdr:cNvPr>
        <xdr:cNvSpPr txBox="1"/>
      </xdr:nvSpPr>
      <xdr:spPr>
        <a:xfrm>
          <a:off x="249554" y="1958340"/>
          <a:ext cx="6280785"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dk1"/>
              </a:solidFill>
              <a:effectLst/>
              <a:latin typeface="+mn-lt"/>
              <a:ea typeface="+mn-ea"/>
              <a:cs typeface="+mn-cs"/>
            </a:rPr>
            <a:t>If you are interested to have a full access to this spreadsheet and use all available features and also customize them to meet your own needs, you may purchase the Unprotected version. The unprotected version will allow you to add more tables, charts, learn and tweak all formulas. You will this spreadsheet fully unprotected. There are other soccer related</a:t>
          </a:r>
          <a:r>
            <a:rPr lang="en-US" sz="1100" b="0" baseline="0">
              <a:solidFill>
                <a:schemeClr val="dk1"/>
              </a:solidFill>
              <a:effectLst/>
              <a:latin typeface="+mn-lt"/>
              <a:ea typeface="+mn-ea"/>
              <a:cs typeface="+mn-cs"/>
            </a:rPr>
            <a:t> </a:t>
          </a:r>
          <a:r>
            <a:rPr lang="en-US" sz="1100" b="0">
              <a:solidFill>
                <a:schemeClr val="dk1"/>
              </a:solidFill>
              <a:effectLst/>
              <a:latin typeface="+mn-lt"/>
              <a:ea typeface="+mn-ea"/>
              <a:cs typeface="+mn-cs"/>
            </a:rPr>
            <a:t>templates you can review for more advanced needs. You can</a:t>
          </a:r>
          <a:r>
            <a:rPr lang="en-US" sz="1100" b="0" baseline="0">
              <a:solidFill>
                <a:schemeClr val="dk1"/>
              </a:solidFill>
              <a:effectLst/>
              <a:latin typeface="+mn-lt"/>
              <a:ea typeface="+mn-ea"/>
              <a:cs typeface="+mn-cs"/>
            </a:rPr>
            <a:t> visit my website for more information.</a:t>
          </a:r>
          <a:endParaRPr lang="en-US" sz="1100" b="0">
            <a:solidFill>
              <a:schemeClr val="dk1"/>
            </a:solidFill>
            <a:effectLst/>
            <a:latin typeface="+mn-lt"/>
            <a:ea typeface="+mn-ea"/>
            <a:cs typeface="+mn-cs"/>
          </a:endParaRPr>
        </a:p>
        <a:p>
          <a:pPr algn="ctr"/>
          <a:endParaRPr lang="en-US" sz="1100" b="0">
            <a:solidFill>
              <a:schemeClr val="dk1"/>
            </a:solidFill>
            <a:effectLst/>
            <a:latin typeface="+mn-lt"/>
            <a:ea typeface="+mn-ea"/>
            <a:cs typeface="+mn-cs"/>
          </a:endParaRPr>
        </a:p>
        <a:p>
          <a:pPr algn="ctr"/>
          <a:r>
            <a:rPr lang="en-US" sz="1100" b="0">
              <a:solidFill>
                <a:schemeClr val="dk1"/>
              </a:solidFill>
              <a:effectLst/>
              <a:latin typeface="+mn-lt"/>
              <a:ea typeface="+mn-ea"/>
              <a:cs typeface="+mn-cs"/>
            </a:rPr>
            <a:t>You can process the payment through Paypal button at the right.</a:t>
          </a:r>
          <a:endParaRPr lang="en-US">
            <a:effectLst/>
          </a:endParaRPr>
        </a:p>
      </xdr:txBody>
    </xdr:sp>
    <xdr:clientData/>
  </xdr:twoCellAnchor>
  <xdr:twoCellAnchor editAs="oneCell">
    <xdr:from>
      <xdr:col>20</xdr:col>
      <xdr:colOff>161926</xdr:colOff>
      <xdr:row>24</xdr:row>
      <xdr:rowOff>35337</xdr:rowOff>
    </xdr:from>
    <xdr:to>
      <xdr:col>24</xdr:col>
      <xdr:colOff>61342</xdr:colOff>
      <xdr:row>25</xdr:row>
      <xdr:rowOff>129540</xdr:rowOff>
    </xdr:to>
    <xdr:pic>
      <xdr:nvPicPr>
        <xdr:cNvPr id="5" name="Picture 4">
          <a:hlinkClick xmlns:r="http://schemas.openxmlformats.org/officeDocument/2006/relationships" r:id="rId2"/>
          <a:extLst>
            <a:ext uri="{FF2B5EF4-FFF2-40B4-BE49-F238E27FC236}">
              <a16:creationId xmlns="" xmlns:a16="http://schemas.microsoft.com/office/drawing/2014/main" id="{00000000-0008-0000-0500-000005000000}"/>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191126" y="4607337"/>
          <a:ext cx="905256" cy="284703"/>
        </a:xfrm>
        <a:prstGeom prst="rect">
          <a:avLst/>
        </a:prstGeom>
      </xdr:spPr>
    </xdr:pic>
    <xdr:clientData/>
  </xdr:twoCellAnchor>
  <xdr:twoCellAnchor editAs="oneCell">
    <xdr:from>
      <xdr:col>20</xdr:col>
      <xdr:colOff>167640</xdr:colOff>
      <xdr:row>26</xdr:row>
      <xdr:rowOff>22860</xdr:rowOff>
    </xdr:from>
    <xdr:to>
      <xdr:col>24</xdr:col>
      <xdr:colOff>67056</xdr:colOff>
      <xdr:row>27</xdr:row>
      <xdr:rowOff>117063</xdr:rowOff>
    </xdr:to>
    <xdr:pic>
      <xdr:nvPicPr>
        <xdr:cNvPr id="6" name="Picture 5">
          <a:hlinkClick xmlns:r="http://schemas.openxmlformats.org/officeDocument/2006/relationships" r:id="rId4"/>
          <a:extLst>
            <a:ext uri="{FF2B5EF4-FFF2-40B4-BE49-F238E27FC236}">
              <a16:creationId xmlns="" xmlns:a16="http://schemas.microsoft.com/office/drawing/2014/main" id="{00000000-0008-0000-0500-000006000000}"/>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196840" y="4975860"/>
          <a:ext cx="905256" cy="284703"/>
        </a:xfrm>
        <a:prstGeom prst="rect">
          <a:avLst/>
        </a:prstGeom>
      </xdr:spPr>
    </xdr:pic>
    <xdr:clientData/>
  </xdr:twoCellAnchor>
  <xdr:twoCellAnchor editAs="oneCell">
    <xdr:from>
      <xdr:col>20</xdr:col>
      <xdr:colOff>198120</xdr:colOff>
      <xdr:row>35</xdr:row>
      <xdr:rowOff>45720</xdr:rowOff>
    </xdr:from>
    <xdr:to>
      <xdr:col>24</xdr:col>
      <xdr:colOff>97536</xdr:colOff>
      <xdr:row>36</xdr:row>
      <xdr:rowOff>138684</xdr:rowOff>
    </xdr:to>
    <xdr:pic>
      <xdr:nvPicPr>
        <xdr:cNvPr id="7" name="Picture 6">
          <a:hlinkClick xmlns:r="http://schemas.openxmlformats.org/officeDocument/2006/relationships" r:id="rId5"/>
          <a:extLst>
            <a:ext uri="{FF2B5EF4-FFF2-40B4-BE49-F238E27FC236}">
              <a16:creationId xmlns="" xmlns:a16="http://schemas.microsoft.com/office/drawing/2014/main" id="{00000000-0008-0000-0500-000007000000}"/>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27320" y="7856220"/>
          <a:ext cx="905256" cy="283464"/>
        </a:xfrm>
        <a:prstGeom prst="rect">
          <a:avLst/>
        </a:prstGeom>
      </xdr:spPr>
    </xdr:pic>
    <xdr:clientData/>
  </xdr:twoCellAnchor>
  <xdr:twoCellAnchor editAs="oneCell">
    <xdr:from>
      <xdr:col>20</xdr:col>
      <xdr:colOff>175260</xdr:colOff>
      <xdr:row>46</xdr:row>
      <xdr:rowOff>45719</xdr:rowOff>
    </xdr:from>
    <xdr:to>
      <xdr:col>24</xdr:col>
      <xdr:colOff>74676</xdr:colOff>
      <xdr:row>46</xdr:row>
      <xdr:rowOff>329183</xdr:rowOff>
    </xdr:to>
    <xdr:pic>
      <xdr:nvPicPr>
        <xdr:cNvPr id="8" name="Picture 7">
          <a:hlinkClick xmlns:r="http://schemas.openxmlformats.org/officeDocument/2006/relationships" r:id="rId6"/>
          <a:extLst>
            <a:ext uri="{FF2B5EF4-FFF2-40B4-BE49-F238E27FC236}">
              <a16:creationId xmlns="" xmlns:a16="http://schemas.microsoft.com/office/drawing/2014/main" id="{00000000-0008-0000-0500-000008000000}"/>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04460" y="10332719"/>
          <a:ext cx="905256" cy="283464"/>
        </a:xfrm>
        <a:prstGeom prst="rect">
          <a:avLst/>
        </a:prstGeom>
      </xdr:spPr>
    </xdr:pic>
    <xdr:clientData/>
  </xdr:twoCellAnchor>
  <xdr:twoCellAnchor editAs="oneCell">
    <xdr:from>
      <xdr:col>27</xdr:col>
      <xdr:colOff>731520</xdr:colOff>
      <xdr:row>1</xdr:row>
      <xdr:rowOff>121920</xdr:rowOff>
    </xdr:from>
    <xdr:to>
      <xdr:col>29</xdr:col>
      <xdr:colOff>472440</xdr:colOff>
      <xdr:row>7</xdr:row>
      <xdr:rowOff>15240</xdr:rowOff>
    </xdr:to>
    <xdr:pic>
      <xdr:nvPicPr>
        <xdr:cNvPr id="4" name="Picture 3">
          <a:hlinkClick xmlns:r="http://schemas.openxmlformats.org/officeDocument/2006/relationships" r:id="rId7"/>
          <a:extLst>
            <a:ext uri="{FF2B5EF4-FFF2-40B4-BE49-F238E27FC236}">
              <a16:creationId xmlns="" xmlns:a16="http://schemas.microsoft.com/office/drawing/2014/main" id="{00000000-0008-0000-0500-000004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520940" y="312420"/>
          <a:ext cx="1905000" cy="10363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3%20-%202014%20Academic%20Calendar%2088%20V2.11%20-%20unlock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Holiday-Event"/>
      <sheetName val="Calendar"/>
      <sheetName val="About"/>
    </sheetNames>
    <sheetDataSet>
      <sheetData sheetId="0">
        <row r="3">
          <cell r="B3">
            <v>41488</v>
          </cell>
          <cell r="D3">
            <v>41519</v>
          </cell>
        </row>
        <row r="4">
          <cell r="D4">
            <v>41561</v>
          </cell>
        </row>
        <row r="5">
          <cell r="D5">
            <v>41589</v>
          </cell>
        </row>
        <row r="6">
          <cell r="D6">
            <v>41606</v>
          </cell>
        </row>
        <row r="7">
          <cell r="D7">
            <v>41633</v>
          </cell>
        </row>
        <row r="8">
          <cell r="D8">
            <v>41640</v>
          </cell>
        </row>
        <row r="9">
          <cell r="D9">
            <v>41659</v>
          </cell>
        </row>
        <row r="10">
          <cell r="D10">
            <v>41687</v>
          </cell>
        </row>
        <row r="11">
          <cell r="D11">
            <v>41785</v>
          </cell>
        </row>
        <row r="12">
          <cell r="D12">
            <v>41824</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uefa.com/memberassociations/uefarankings/club/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exceltemplate.net/download/100/" TargetMode="External"/><Relationship Id="rId7" Type="http://schemas.openxmlformats.org/officeDocument/2006/relationships/drawing" Target="../drawings/drawing2.xml"/><Relationship Id="rId2" Type="http://schemas.openxmlformats.org/officeDocument/2006/relationships/hyperlink" Target="http://exceltemplate.net/download/75/" TargetMode="External"/><Relationship Id="rId1" Type="http://schemas.openxmlformats.org/officeDocument/2006/relationships/hyperlink" Target="http://exceltemplate.net/download/74/" TargetMode="External"/><Relationship Id="rId6" Type="http://schemas.openxmlformats.org/officeDocument/2006/relationships/printerSettings" Target="../printerSettings/printerSettings6.bin"/><Relationship Id="rId5" Type="http://schemas.openxmlformats.org/officeDocument/2006/relationships/hyperlink" Target="http://exceltemplate.net/" TargetMode="External"/><Relationship Id="rId4" Type="http://schemas.openxmlformats.org/officeDocument/2006/relationships/hyperlink" Target="http://exceltemplate.net/download/101/"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87"/>
  <sheetViews>
    <sheetView showGridLines="0" topLeftCell="A19" workbookViewId="0">
      <selection activeCell="G23" sqref="G23"/>
    </sheetView>
  </sheetViews>
  <sheetFormatPr defaultColWidth="0" defaultRowHeight="15.75" zeroHeight="1" x14ac:dyDescent="0.25"/>
  <cols>
    <col min="1" max="1" width="9.140625" style="62" customWidth="1"/>
    <col min="2" max="2" width="25.5703125" style="62" customWidth="1"/>
    <col min="3" max="3" width="42.42578125" style="62" customWidth="1"/>
    <col min="4" max="4" width="25.140625" style="62" customWidth="1"/>
    <col min="5" max="5" width="9.140625" style="240" hidden="1" customWidth="1"/>
    <col min="6" max="10" width="9.140625" style="62" customWidth="1"/>
    <col min="11" max="11" width="17.140625" style="62" customWidth="1"/>
    <col min="12" max="12" width="19" style="62" customWidth="1"/>
    <col min="13" max="16384" width="9.140625" style="62" hidden="1"/>
  </cols>
  <sheetData>
    <row r="1" spans="1:12" x14ac:dyDescent="0.25"/>
    <row r="2" spans="1:12" ht="18.75" x14ac:dyDescent="0.25">
      <c r="A2" s="265" t="s">
        <v>314</v>
      </c>
      <c r="B2" s="265"/>
      <c r="C2" s="265"/>
      <c r="D2" s="265"/>
      <c r="E2" s="265"/>
      <c r="F2" s="265"/>
      <c r="G2" s="265"/>
      <c r="H2" s="265"/>
      <c r="I2" s="265"/>
      <c r="J2" s="265"/>
      <c r="K2" s="265"/>
      <c r="L2" s="265"/>
    </row>
    <row r="3" spans="1:12" x14ac:dyDescent="0.25"/>
    <row r="4" spans="1:12" s="61" customFormat="1" x14ac:dyDescent="0.25">
      <c r="A4" s="249" t="s">
        <v>203</v>
      </c>
      <c r="B4" s="249" t="s">
        <v>172</v>
      </c>
      <c r="C4" s="249" t="s">
        <v>173</v>
      </c>
      <c r="D4" s="249" t="s">
        <v>17</v>
      </c>
      <c r="E4" s="250"/>
      <c r="F4" s="251" t="s">
        <v>410</v>
      </c>
      <c r="G4" s="251" t="s">
        <v>448</v>
      </c>
    </row>
    <row r="5" spans="1:12" x14ac:dyDescent="0.25">
      <c r="A5" s="266" t="s">
        <v>15</v>
      </c>
      <c r="B5" s="74" t="s">
        <v>346</v>
      </c>
      <c r="C5" s="246" t="s">
        <v>352</v>
      </c>
      <c r="D5" s="246" t="s">
        <v>233</v>
      </c>
      <c r="E5" s="247" t="s">
        <v>15</v>
      </c>
      <c r="F5" s="248">
        <v>140000</v>
      </c>
      <c r="G5" s="248">
        <f>COUNTIF('Group Stages'!$G$10:$M$105,'Team Setup'!B5)</f>
        <v>6</v>
      </c>
    </row>
    <row r="6" spans="1:12" x14ac:dyDescent="0.25">
      <c r="A6" s="266"/>
      <c r="B6" s="74" t="s">
        <v>247</v>
      </c>
      <c r="C6" s="246" t="s">
        <v>389</v>
      </c>
      <c r="D6" s="246" t="s">
        <v>227</v>
      </c>
      <c r="E6" s="247" t="s">
        <v>15</v>
      </c>
      <c r="F6" s="248">
        <v>89000</v>
      </c>
      <c r="G6" s="248">
        <f>COUNTIF('Group Stages'!$G$10:$M$105,'Team Setup'!B6)</f>
        <v>6</v>
      </c>
    </row>
    <row r="7" spans="1:12" x14ac:dyDescent="0.25">
      <c r="A7" s="266"/>
      <c r="B7" s="74" t="s">
        <v>386</v>
      </c>
      <c r="C7" s="246" t="s">
        <v>388</v>
      </c>
      <c r="D7" s="246" t="s">
        <v>5</v>
      </c>
      <c r="E7" s="247" t="s">
        <v>15</v>
      </c>
      <c r="F7" s="248">
        <v>57000</v>
      </c>
      <c r="G7" s="248">
        <f>COUNTIF('Group Stages'!$G$10:$M$105,'Team Setup'!B7)</f>
        <v>6</v>
      </c>
    </row>
    <row r="8" spans="1:12" x14ac:dyDescent="0.25">
      <c r="A8" s="266"/>
      <c r="B8" s="74" t="s">
        <v>429</v>
      </c>
      <c r="C8" s="246" t="s">
        <v>430</v>
      </c>
      <c r="D8" s="246" t="s">
        <v>431</v>
      </c>
      <c r="E8" s="247" t="s">
        <v>15</v>
      </c>
      <c r="F8" s="248">
        <v>29500</v>
      </c>
      <c r="G8" s="248">
        <f>COUNTIF('Group Stages'!$G$10:$M$105,'Team Setup'!B8)</f>
        <v>6</v>
      </c>
    </row>
    <row r="9" spans="1:12" x14ac:dyDescent="0.25">
      <c r="A9" s="266" t="s">
        <v>195</v>
      </c>
      <c r="B9" s="74" t="s">
        <v>169</v>
      </c>
      <c r="C9" s="246" t="s">
        <v>236</v>
      </c>
      <c r="D9" s="246" t="s">
        <v>233</v>
      </c>
      <c r="E9" s="247" t="s">
        <v>195</v>
      </c>
      <c r="F9" s="248">
        <v>132000</v>
      </c>
      <c r="G9" s="248">
        <f>COUNTIF('Group Stages'!$G$10:$M$105,'Team Setup'!B9)</f>
        <v>6</v>
      </c>
    </row>
    <row r="10" spans="1:12" x14ac:dyDescent="0.25">
      <c r="A10" s="266"/>
      <c r="B10" s="74" t="s">
        <v>385</v>
      </c>
      <c r="C10" s="246" t="s">
        <v>391</v>
      </c>
      <c r="D10" s="246" t="s">
        <v>230</v>
      </c>
      <c r="E10" s="247" t="s">
        <v>195</v>
      </c>
      <c r="F10" s="248">
        <v>67000</v>
      </c>
      <c r="G10" s="248">
        <f>COUNTIF('Group Stages'!$G$10:$M$105,'Team Setup'!B10)</f>
        <v>6</v>
      </c>
    </row>
    <row r="11" spans="1:12" x14ac:dyDescent="0.25">
      <c r="A11" s="266"/>
      <c r="B11" s="74" t="s">
        <v>432</v>
      </c>
      <c r="C11" s="246" t="s">
        <v>433</v>
      </c>
      <c r="D11" s="246" t="s">
        <v>383</v>
      </c>
      <c r="E11" s="247" t="s">
        <v>195</v>
      </c>
      <c r="F11" s="248">
        <v>36000</v>
      </c>
      <c r="G11" s="248">
        <f>COUNTIF('Group Stages'!$G$10:$M$105,'Team Setup'!B11)</f>
        <v>6</v>
      </c>
    </row>
    <row r="12" spans="1:12" x14ac:dyDescent="0.25">
      <c r="A12" s="266"/>
      <c r="B12" s="74" t="s">
        <v>440</v>
      </c>
      <c r="C12" s="246" t="s">
        <v>441</v>
      </c>
      <c r="D12" s="246" t="s">
        <v>228</v>
      </c>
      <c r="E12" s="247" t="s">
        <v>195</v>
      </c>
      <c r="F12" s="248">
        <v>16000</v>
      </c>
      <c r="G12" s="248">
        <f>COUNTIF('Group Stages'!$G$10:$M$105,'Team Setup'!B12)</f>
        <v>6</v>
      </c>
    </row>
    <row r="13" spans="1:12" x14ac:dyDescent="0.25">
      <c r="A13" s="266" t="s">
        <v>196</v>
      </c>
      <c r="B13" s="74" t="s">
        <v>268</v>
      </c>
      <c r="C13" s="246" t="s">
        <v>272</v>
      </c>
      <c r="D13" s="246" t="s">
        <v>5</v>
      </c>
      <c r="E13" s="247" t="s">
        <v>196</v>
      </c>
      <c r="F13" s="248">
        <v>109000</v>
      </c>
      <c r="G13" s="248">
        <f>COUNTIF('Group Stages'!$G$10:$M$105,'Team Setup'!B13)</f>
        <v>6</v>
      </c>
    </row>
    <row r="14" spans="1:12" x14ac:dyDescent="0.25">
      <c r="A14" s="266"/>
      <c r="B14" s="74" t="s">
        <v>345</v>
      </c>
      <c r="C14" s="246" t="s">
        <v>390</v>
      </c>
      <c r="D14" s="246" t="s">
        <v>228</v>
      </c>
      <c r="E14" s="247" t="s">
        <v>196</v>
      </c>
      <c r="F14" s="248">
        <v>78000</v>
      </c>
      <c r="G14" s="248">
        <f>COUNTIF('Group Stages'!$G$10:$M$105,'Team Setup'!B14)</f>
        <v>6</v>
      </c>
    </row>
    <row r="15" spans="1:12" x14ac:dyDescent="0.25">
      <c r="A15" s="266"/>
      <c r="B15" s="74" t="s">
        <v>393</v>
      </c>
      <c r="C15" s="246" t="s">
        <v>399</v>
      </c>
      <c r="D15" s="246" t="s">
        <v>230</v>
      </c>
      <c r="E15" s="247" t="s">
        <v>196</v>
      </c>
      <c r="F15" s="248">
        <v>62000</v>
      </c>
      <c r="G15" s="248">
        <f>COUNTIF('Group Stages'!$G$10:$M$105,'Team Setup'!B15)</f>
        <v>6</v>
      </c>
    </row>
    <row r="16" spans="1:12" x14ac:dyDescent="0.25">
      <c r="A16" s="266"/>
      <c r="B16" s="74" t="s">
        <v>426</v>
      </c>
      <c r="C16" s="246" t="s">
        <v>427</v>
      </c>
      <c r="D16" s="246" t="s">
        <v>428</v>
      </c>
      <c r="E16" s="247" t="s">
        <v>196</v>
      </c>
      <c r="F16" s="248">
        <v>10750</v>
      </c>
      <c r="G16" s="248">
        <f>COUNTIF('Group Stages'!$G$10:$M$105,'Team Setup'!B16)</f>
        <v>6</v>
      </c>
    </row>
    <row r="17" spans="1:7" x14ac:dyDescent="0.25">
      <c r="A17" s="266" t="s">
        <v>8</v>
      </c>
      <c r="B17" s="74" t="s">
        <v>248</v>
      </c>
      <c r="C17" s="246" t="s">
        <v>251</v>
      </c>
      <c r="D17" s="246" t="s">
        <v>234</v>
      </c>
      <c r="E17" s="247" t="s">
        <v>8</v>
      </c>
      <c r="F17" s="248">
        <v>86000</v>
      </c>
      <c r="G17" s="248">
        <f>COUNTIF('Group Stages'!$G$10:$M$105,'Team Setup'!B17)</f>
        <v>6</v>
      </c>
    </row>
    <row r="18" spans="1:7" x14ac:dyDescent="0.25">
      <c r="A18" s="266"/>
      <c r="B18" s="74" t="s">
        <v>270</v>
      </c>
      <c r="C18" s="246" t="s">
        <v>439</v>
      </c>
      <c r="D18" s="246" t="s">
        <v>227</v>
      </c>
      <c r="E18" s="247" t="s">
        <v>8</v>
      </c>
      <c r="F18" s="248">
        <v>62000</v>
      </c>
      <c r="G18" s="248">
        <f>COUNTIF('Group Stages'!$G$10:$M$105,'Team Setup'!B18)</f>
        <v>6</v>
      </c>
    </row>
    <row r="19" spans="1:7" x14ac:dyDescent="0.25">
      <c r="A19" s="266"/>
      <c r="B19" s="74" t="s">
        <v>269</v>
      </c>
      <c r="C19" s="246" t="s">
        <v>434</v>
      </c>
      <c r="D19" s="246" t="s">
        <v>271</v>
      </c>
      <c r="E19" s="247" t="s">
        <v>8</v>
      </c>
      <c r="F19" s="248">
        <v>29500</v>
      </c>
      <c r="G19" s="248">
        <f>COUNTIF('Group Stages'!$G$10:$M$105,'Team Setup'!B19)</f>
        <v>6</v>
      </c>
    </row>
    <row r="20" spans="1:7" x14ac:dyDescent="0.25">
      <c r="A20" s="266"/>
      <c r="B20" s="74" t="s">
        <v>421</v>
      </c>
      <c r="C20" s="246" t="s">
        <v>422</v>
      </c>
      <c r="D20" s="246" t="s">
        <v>231</v>
      </c>
      <c r="E20" s="247" t="s">
        <v>8</v>
      </c>
      <c r="F20" s="248">
        <v>22500</v>
      </c>
      <c r="G20" s="248">
        <f>COUNTIF('Group Stages'!$G$10:$M$105,'Team Setup'!B20)</f>
        <v>6</v>
      </c>
    </row>
    <row r="21" spans="1:7" x14ac:dyDescent="0.25">
      <c r="A21" s="266" t="s">
        <v>197</v>
      </c>
      <c r="B21" s="74" t="s">
        <v>226</v>
      </c>
      <c r="C21" s="246" t="s">
        <v>238</v>
      </c>
      <c r="D21" s="246" t="s">
        <v>227</v>
      </c>
      <c r="E21" s="247" t="s">
        <v>197</v>
      </c>
      <c r="F21" s="248">
        <v>135000</v>
      </c>
      <c r="G21" s="248">
        <f>COUNTIF('Group Stages'!$G$10:$M$105,'Team Setup'!B21)</f>
        <v>6</v>
      </c>
    </row>
    <row r="22" spans="1:7" x14ac:dyDescent="0.25">
      <c r="A22" s="266"/>
      <c r="B22" s="74" t="s">
        <v>242</v>
      </c>
      <c r="C22" s="246" t="s">
        <v>382</v>
      </c>
      <c r="D22" s="246" t="s">
        <v>234</v>
      </c>
      <c r="E22" s="247" t="s">
        <v>197</v>
      </c>
      <c r="F22" s="248">
        <v>80000</v>
      </c>
      <c r="G22" s="248">
        <f>COUNTIF('Group Stages'!$G$10:$M$105,'Team Setup'!B22)</f>
        <v>6</v>
      </c>
    </row>
    <row r="23" spans="1:7" x14ac:dyDescent="0.25">
      <c r="A23" s="266"/>
      <c r="B23" s="74" t="s">
        <v>243</v>
      </c>
      <c r="C23" s="246" t="s">
        <v>437</v>
      </c>
      <c r="D23" s="246" t="s">
        <v>438</v>
      </c>
      <c r="E23" s="247" t="s">
        <v>197</v>
      </c>
      <c r="F23" s="248">
        <v>53500</v>
      </c>
      <c r="G23" s="248">
        <f>COUNTIF('Group Stages'!$G$10:$M$105,'Team Setup'!B23)</f>
        <v>6</v>
      </c>
    </row>
    <row r="24" spans="1:7" x14ac:dyDescent="0.25">
      <c r="A24" s="266"/>
      <c r="B24" s="74" t="s">
        <v>417</v>
      </c>
      <c r="C24" s="246" t="s">
        <v>418</v>
      </c>
      <c r="D24" s="246" t="s">
        <v>398</v>
      </c>
      <c r="E24" s="247" t="s">
        <v>197</v>
      </c>
      <c r="F24" s="248">
        <v>10000</v>
      </c>
      <c r="G24" s="248">
        <f>COUNTIF('Group Stages'!$G$10:$M$105,'Team Setup'!B24)</f>
        <v>6</v>
      </c>
    </row>
    <row r="25" spans="1:7" x14ac:dyDescent="0.25">
      <c r="A25" s="266" t="s">
        <v>14</v>
      </c>
      <c r="B25" s="74" t="s">
        <v>245</v>
      </c>
      <c r="C25" s="246" t="s">
        <v>250</v>
      </c>
      <c r="D25" s="246" t="s">
        <v>230</v>
      </c>
      <c r="E25" s="247" t="s">
        <v>14</v>
      </c>
      <c r="F25" s="248">
        <v>100000</v>
      </c>
      <c r="G25" s="248">
        <f>COUNTIF('Group Stages'!$G$10:$M$105,'Team Setup'!B25)</f>
        <v>6</v>
      </c>
    </row>
    <row r="26" spans="1:7" x14ac:dyDescent="0.25">
      <c r="A26" s="266"/>
      <c r="B26" s="74" t="s">
        <v>244</v>
      </c>
      <c r="C26" s="246" t="s">
        <v>395</v>
      </c>
      <c r="D26" s="246" t="s">
        <v>235</v>
      </c>
      <c r="E26" s="247" t="s">
        <v>14</v>
      </c>
      <c r="F26" s="248">
        <v>81000</v>
      </c>
      <c r="G26" s="248">
        <f>COUNTIF('Group Stages'!$G$10:$M$105,'Team Setup'!B26)</f>
        <v>6</v>
      </c>
    </row>
    <row r="27" spans="1:7" x14ac:dyDescent="0.25">
      <c r="A27" s="266"/>
      <c r="B27" s="74" t="s">
        <v>419</v>
      </c>
      <c r="C27" s="246" t="s">
        <v>420</v>
      </c>
      <c r="D27" s="246" t="s">
        <v>5</v>
      </c>
      <c r="E27" s="247" t="s">
        <v>14</v>
      </c>
      <c r="F27" s="248">
        <v>59500</v>
      </c>
      <c r="G27" s="248">
        <f>COUNTIF('Group Stages'!$G$10:$M$105,'Team Setup'!B27)</f>
        <v>6</v>
      </c>
    </row>
    <row r="28" spans="1:7" x14ac:dyDescent="0.25">
      <c r="A28" s="266"/>
      <c r="B28" s="74" t="s">
        <v>415</v>
      </c>
      <c r="C28" s="246" t="s">
        <v>416</v>
      </c>
      <c r="D28" s="246" t="s">
        <v>227</v>
      </c>
      <c r="E28" s="247" t="s">
        <v>14</v>
      </c>
      <c r="F28" s="248">
        <v>4000</v>
      </c>
      <c r="G28" s="248">
        <f>COUNTIF('Group Stages'!$G$10:$M$105,'Team Setup'!B28)</f>
        <v>6</v>
      </c>
    </row>
    <row r="29" spans="1:7" x14ac:dyDescent="0.25">
      <c r="A29" s="266" t="s">
        <v>198</v>
      </c>
      <c r="B29" s="74" t="s">
        <v>171</v>
      </c>
      <c r="C29" s="246" t="s">
        <v>237</v>
      </c>
      <c r="D29" s="246" t="s">
        <v>233</v>
      </c>
      <c r="E29" s="247" t="s">
        <v>198</v>
      </c>
      <c r="F29" s="248">
        <v>162000</v>
      </c>
      <c r="G29" s="248">
        <f>COUNTIF('Group Stages'!$G$10:$M$105,'Team Setup'!B29)</f>
        <v>6</v>
      </c>
    </row>
    <row r="30" spans="1:7" x14ac:dyDescent="0.25">
      <c r="A30" s="266"/>
      <c r="B30" s="74" t="s">
        <v>396</v>
      </c>
      <c r="C30" s="246" t="s">
        <v>397</v>
      </c>
      <c r="D30" s="246" t="s">
        <v>228</v>
      </c>
      <c r="E30" s="247" t="s">
        <v>198</v>
      </c>
      <c r="F30" s="248">
        <v>64000</v>
      </c>
      <c r="G30" s="248">
        <f>COUNTIF('Group Stages'!$G$10:$M$105,'Team Setup'!B30)</f>
        <v>6</v>
      </c>
    </row>
    <row r="31" spans="1:7" x14ac:dyDescent="0.25">
      <c r="A31" s="266"/>
      <c r="B31" s="74" t="s">
        <v>342</v>
      </c>
      <c r="C31" s="246" t="s">
        <v>348</v>
      </c>
      <c r="D31" s="246" t="s">
        <v>231</v>
      </c>
      <c r="E31" s="247" t="s">
        <v>198</v>
      </c>
      <c r="F31" s="248">
        <v>45000</v>
      </c>
      <c r="G31" s="248">
        <f>COUNTIF('Group Stages'!$G$10:$M$105,'Team Setup'!B31)</f>
        <v>6</v>
      </c>
    </row>
    <row r="32" spans="1:7" x14ac:dyDescent="0.25">
      <c r="A32" s="266"/>
      <c r="B32" s="74" t="s">
        <v>423</v>
      </c>
      <c r="C32" s="246" t="s">
        <v>424</v>
      </c>
      <c r="D32" s="246" t="s">
        <v>425</v>
      </c>
      <c r="E32" s="247" t="s">
        <v>198</v>
      </c>
      <c r="F32" s="248">
        <v>33000</v>
      </c>
      <c r="G32" s="248">
        <f>COUNTIF('Group Stages'!$G$10:$M$105,'Team Setup'!B32)</f>
        <v>6</v>
      </c>
    </row>
    <row r="33" spans="1:12" x14ac:dyDescent="0.25">
      <c r="A33" s="266" t="s">
        <v>199</v>
      </c>
      <c r="B33" s="74" t="s">
        <v>267</v>
      </c>
      <c r="C33" s="246" t="s">
        <v>273</v>
      </c>
      <c r="D33" s="246" t="s">
        <v>228</v>
      </c>
      <c r="E33" s="247" t="s">
        <v>199</v>
      </c>
      <c r="F33" s="248">
        <v>126000</v>
      </c>
      <c r="G33" s="248">
        <f>COUNTIF('Group Stages'!$G$10:$M$105,'Team Setup'!B33)</f>
        <v>6</v>
      </c>
    </row>
    <row r="34" spans="1:12" x14ac:dyDescent="0.25">
      <c r="A34" s="266"/>
      <c r="B34" s="74" t="s">
        <v>229</v>
      </c>
      <c r="C34" s="246" t="s">
        <v>400</v>
      </c>
      <c r="D34" s="246" t="s">
        <v>230</v>
      </c>
      <c r="E34" s="247" t="s">
        <v>199</v>
      </c>
      <c r="F34" s="248">
        <v>82000</v>
      </c>
      <c r="G34" s="248">
        <f>COUNTIF('Group Stages'!$G$10:$M$105,'Team Setup'!B34)</f>
        <v>6</v>
      </c>
    </row>
    <row r="35" spans="1:12" x14ac:dyDescent="0.25">
      <c r="A35" s="266"/>
      <c r="B35" s="74" t="s">
        <v>435</v>
      </c>
      <c r="C35" s="246" t="s">
        <v>436</v>
      </c>
      <c r="D35" s="246" t="s">
        <v>233</v>
      </c>
      <c r="E35" s="247" t="s">
        <v>199</v>
      </c>
      <c r="F35" s="248">
        <v>36000</v>
      </c>
      <c r="G35" s="248">
        <f>COUNTIF('Group Stages'!$G$10:$M$105,'Team Setup'!B35)</f>
        <v>6</v>
      </c>
      <c r="H35" s="226" t="s">
        <v>412</v>
      </c>
    </row>
    <row r="36" spans="1:12" x14ac:dyDescent="0.25">
      <c r="A36" s="266"/>
      <c r="B36" s="74" t="s">
        <v>413</v>
      </c>
      <c r="C36" s="246" t="s">
        <v>414</v>
      </c>
      <c r="D36" s="246" t="s">
        <v>387</v>
      </c>
      <c r="E36" s="247" t="s">
        <v>199</v>
      </c>
      <c r="F36" s="248">
        <v>20500</v>
      </c>
      <c r="G36" s="248">
        <f>COUNTIF('Group Stages'!$G$10:$M$105,'Team Setup'!B36)</f>
        <v>6</v>
      </c>
      <c r="H36" s="239" t="s">
        <v>411</v>
      </c>
    </row>
    <row r="37" spans="1:12" x14ac:dyDescent="0.25">
      <c r="A37" s="164" t="s">
        <v>447</v>
      </c>
    </row>
    <row r="38" spans="1:12" x14ac:dyDescent="0.25">
      <c r="A38" s="148"/>
      <c r="B38" s="149"/>
      <c r="C38" s="150"/>
      <c r="D38" s="149"/>
      <c r="E38" s="241"/>
      <c r="F38" s="151"/>
      <c r="G38" s="151"/>
      <c r="H38" s="151"/>
      <c r="I38" s="151"/>
      <c r="J38" s="151"/>
      <c r="K38" s="151"/>
      <c r="L38" s="151"/>
    </row>
    <row r="39" spans="1:12" hidden="1" x14ac:dyDescent="0.25">
      <c r="A39" s="65"/>
      <c r="B39" s="63"/>
      <c r="C39" s="64"/>
      <c r="D39" s="63"/>
      <c r="E39" s="242"/>
    </row>
    <row r="40" spans="1:12" hidden="1" x14ac:dyDescent="0.25">
      <c r="A40" s="65"/>
      <c r="B40" s="201"/>
      <c r="C40" s="201"/>
      <c r="D40" s="201"/>
      <c r="E40" s="242"/>
    </row>
    <row r="41" spans="1:12" hidden="1" x14ac:dyDescent="0.25">
      <c r="A41" s="65"/>
      <c r="B41" s="201"/>
      <c r="C41" s="202"/>
      <c r="D41" s="201"/>
      <c r="E41" s="242"/>
    </row>
    <row r="42" spans="1:12" hidden="1" x14ac:dyDescent="0.25">
      <c r="A42" s="65"/>
      <c r="B42" s="201"/>
      <c r="C42" s="202"/>
      <c r="D42" s="201"/>
      <c r="E42" s="242"/>
    </row>
    <row r="43" spans="1:12" hidden="1" x14ac:dyDescent="0.25">
      <c r="A43" s="65"/>
      <c r="B43" s="201"/>
      <c r="C43" s="202"/>
      <c r="D43" s="201"/>
      <c r="E43" s="242"/>
    </row>
    <row r="44" spans="1:12" hidden="1" x14ac:dyDescent="0.25">
      <c r="A44" s="65"/>
      <c r="B44" s="201"/>
      <c r="C44" s="202"/>
      <c r="D44" s="201"/>
      <c r="E44" s="242"/>
    </row>
    <row r="45" spans="1:12" hidden="1" x14ac:dyDescent="0.25">
      <c r="A45" s="65"/>
      <c r="B45" s="201"/>
      <c r="C45" s="201"/>
      <c r="D45" s="201"/>
      <c r="E45" s="242"/>
    </row>
    <row r="46" spans="1:12" hidden="1" x14ac:dyDescent="0.25">
      <c r="A46" s="65"/>
      <c r="B46" s="201"/>
      <c r="C46" s="202"/>
      <c r="D46" s="201"/>
      <c r="E46" s="242"/>
    </row>
    <row r="47" spans="1:12" hidden="1" x14ac:dyDescent="0.25">
      <c r="A47" s="65"/>
      <c r="B47" s="201"/>
      <c r="C47" s="202"/>
      <c r="D47" s="201"/>
      <c r="E47" s="242"/>
    </row>
    <row r="48" spans="1:12" hidden="1" x14ac:dyDescent="0.25">
      <c r="A48" s="65"/>
      <c r="B48" s="201"/>
      <c r="C48" s="201"/>
      <c r="D48" s="201"/>
      <c r="E48" s="242"/>
    </row>
    <row r="49" spans="1:5" hidden="1" x14ac:dyDescent="0.25">
      <c r="A49" s="65"/>
      <c r="B49" s="201"/>
      <c r="C49" s="202"/>
      <c r="D49" s="201"/>
      <c r="E49" s="242"/>
    </row>
    <row r="50" spans="1:5" hidden="1" x14ac:dyDescent="0.25">
      <c r="A50" s="65"/>
      <c r="B50" s="201"/>
      <c r="C50" s="201"/>
      <c r="D50" s="201"/>
      <c r="E50" s="242"/>
    </row>
    <row r="51" spans="1:5" hidden="1" x14ac:dyDescent="0.25">
      <c r="A51" s="65"/>
      <c r="B51" s="201"/>
      <c r="C51" s="201"/>
      <c r="D51" s="201"/>
      <c r="E51" s="242"/>
    </row>
    <row r="52" spans="1:5" hidden="1" x14ac:dyDescent="0.25">
      <c r="A52" s="65"/>
      <c r="B52" s="201"/>
      <c r="C52" s="202"/>
      <c r="D52" s="201"/>
      <c r="E52" s="242"/>
    </row>
    <row r="53" spans="1:5" hidden="1" x14ac:dyDescent="0.25">
      <c r="A53" s="65"/>
      <c r="B53" s="201"/>
      <c r="C53" s="202"/>
      <c r="D53" s="201"/>
      <c r="E53" s="242"/>
    </row>
    <row r="54" spans="1:5" hidden="1" x14ac:dyDescent="0.25">
      <c r="A54" s="65"/>
      <c r="B54" s="201"/>
      <c r="C54" s="202"/>
      <c r="D54" s="201"/>
      <c r="E54" s="242"/>
    </row>
    <row r="55" spans="1:5" hidden="1" x14ac:dyDescent="0.25">
      <c r="A55" s="65"/>
      <c r="B55" s="201"/>
      <c r="C55" s="201"/>
      <c r="D55" s="201"/>
      <c r="E55" s="242"/>
    </row>
    <row r="56" spans="1:5" hidden="1" x14ac:dyDescent="0.25">
      <c r="A56" s="65"/>
      <c r="B56" s="201"/>
      <c r="C56" s="201"/>
      <c r="D56" s="201"/>
      <c r="E56" s="242"/>
    </row>
    <row r="57" spans="1:5" hidden="1" x14ac:dyDescent="0.25">
      <c r="A57" s="65"/>
      <c r="B57" s="201"/>
      <c r="C57" s="201"/>
      <c r="D57" s="201"/>
      <c r="E57" s="242"/>
    </row>
    <row r="58" spans="1:5" hidden="1" x14ac:dyDescent="0.25">
      <c r="A58" s="65"/>
      <c r="B58" s="201"/>
      <c r="C58" s="201"/>
      <c r="D58" s="201"/>
      <c r="E58" s="242"/>
    </row>
    <row r="59" spans="1:5" hidden="1" x14ac:dyDescent="0.25">
      <c r="A59" s="65"/>
      <c r="B59" s="201"/>
      <c r="C59" s="202"/>
      <c r="D59" s="201"/>
      <c r="E59" s="242"/>
    </row>
    <row r="60" spans="1:5" hidden="1" x14ac:dyDescent="0.25">
      <c r="A60" s="65"/>
      <c r="B60" s="201"/>
      <c r="C60" s="201"/>
      <c r="D60" s="201"/>
      <c r="E60" s="242"/>
    </row>
    <row r="61" spans="1:5" hidden="1" x14ac:dyDescent="0.25">
      <c r="A61" s="65"/>
      <c r="B61" s="201"/>
      <c r="C61" s="202"/>
      <c r="D61" s="201"/>
      <c r="E61" s="242"/>
    </row>
    <row r="62" spans="1:5" hidden="1" x14ac:dyDescent="0.25">
      <c r="A62" s="65"/>
      <c r="B62" s="201"/>
      <c r="C62" s="201"/>
      <c r="D62" s="201"/>
      <c r="E62" s="242"/>
    </row>
    <row r="63" spans="1:5" hidden="1" x14ac:dyDescent="0.25">
      <c r="A63" s="65"/>
      <c r="B63" s="201"/>
      <c r="C63" s="201"/>
      <c r="D63" s="201"/>
      <c r="E63" s="242"/>
    </row>
    <row r="64" spans="1:5" hidden="1" x14ac:dyDescent="0.25">
      <c r="A64" s="65"/>
      <c r="B64" s="201"/>
      <c r="C64" s="202"/>
      <c r="D64" s="201"/>
      <c r="E64" s="242"/>
    </row>
    <row r="65" spans="1:5" hidden="1" x14ac:dyDescent="0.25">
      <c r="A65" s="65"/>
      <c r="B65" s="201"/>
      <c r="C65" s="201"/>
      <c r="D65" s="201"/>
      <c r="E65" s="242"/>
    </row>
    <row r="66" spans="1:5" hidden="1" x14ac:dyDescent="0.25">
      <c r="A66" s="65"/>
      <c r="B66" s="201"/>
      <c r="C66" s="202"/>
      <c r="D66" s="201"/>
      <c r="E66" s="242"/>
    </row>
    <row r="67" spans="1:5" hidden="1" x14ac:dyDescent="0.25">
      <c r="A67" s="65"/>
      <c r="B67" s="201"/>
      <c r="C67" s="202"/>
      <c r="D67" s="201"/>
      <c r="E67" s="242"/>
    </row>
    <row r="68" spans="1:5" hidden="1" x14ac:dyDescent="0.25">
      <c r="A68" s="65"/>
      <c r="B68" s="201"/>
      <c r="C68" s="202"/>
      <c r="D68" s="201"/>
      <c r="E68" s="242"/>
    </row>
    <row r="69" spans="1:5" hidden="1" x14ac:dyDescent="0.25">
      <c r="A69" s="65"/>
      <c r="B69" s="201"/>
      <c r="C69" s="202"/>
      <c r="D69" s="201"/>
      <c r="E69" s="242"/>
    </row>
    <row r="70" spans="1:5" hidden="1" x14ac:dyDescent="0.25">
      <c r="A70" s="65"/>
      <c r="B70" s="201"/>
      <c r="C70" s="202"/>
      <c r="D70" s="201"/>
      <c r="E70" s="242"/>
    </row>
    <row r="71" spans="1:5" hidden="1" x14ac:dyDescent="0.25">
      <c r="A71" s="65"/>
      <c r="B71" s="201"/>
      <c r="C71" s="202"/>
      <c r="D71" s="201"/>
      <c r="E71" s="242"/>
    </row>
    <row r="72" spans="1:5" hidden="1" x14ac:dyDescent="0.25">
      <c r="A72" s="65"/>
      <c r="B72" s="65"/>
      <c r="C72" s="65"/>
      <c r="D72" s="65"/>
      <c r="E72" s="242"/>
    </row>
    <row r="73" spans="1:5" hidden="1" x14ac:dyDescent="0.25">
      <c r="A73" s="65"/>
      <c r="B73" s="65"/>
      <c r="C73" s="65"/>
      <c r="D73" s="65"/>
      <c r="E73" s="242"/>
    </row>
    <row r="74" spans="1:5" hidden="1" x14ac:dyDescent="0.25">
      <c r="A74" s="65"/>
      <c r="B74" s="65"/>
      <c r="C74" s="65"/>
      <c r="D74" s="65"/>
      <c r="E74" s="242"/>
    </row>
    <row r="75" spans="1:5" hidden="1" x14ac:dyDescent="0.25">
      <c r="A75" s="65"/>
      <c r="B75" s="65"/>
      <c r="C75" s="65"/>
      <c r="D75" s="65"/>
      <c r="E75" s="242"/>
    </row>
    <row r="76" spans="1:5" hidden="1" x14ac:dyDescent="0.25">
      <c r="A76" s="65"/>
      <c r="B76" s="65"/>
      <c r="C76" s="65"/>
      <c r="D76" s="65"/>
      <c r="E76" s="242"/>
    </row>
    <row r="77" spans="1:5" hidden="1" x14ac:dyDescent="0.25">
      <c r="A77" s="65"/>
      <c r="B77" s="65"/>
      <c r="C77" s="65"/>
      <c r="D77" s="65"/>
      <c r="E77" s="242"/>
    </row>
    <row r="78" spans="1:5" hidden="1" x14ac:dyDescent="0.25">
      <c r="A78" s="65"/>
      <c r="B78" s="65"/>
      <c r="C78" s="65"/>
      <c r="D78" s="65"/>
      <c r="E78" s="242"/>
    </row>
    <row r="79" spans="1:5" hidden="1" x14ac:dyDescent="0.25">
      <c r="A79" s="65"/>
      <c r="B79" s="65"/>
      <c r="C79" s="65"/>
      <c r="D79" s="65"/>
      <c r="E79" s="242"/>
    </row>
    <row r="80" spans="1:5" hidden="1" x14ac:dyDescent="0.25">
      <c r="A80" s="65"/>
      <c r="B80" s="65"/>
      <c r="C80" s="65"/>
      <c r="D80" s="65"/>
      <c r="E80" s="242"/>
    </row>
    <row r="81" spans="1:5" hidden="1" x14ac:dyDescent="0.25">
      <c r="A81" s="65"/>
      <c r="B81" s="65"/>
      <c r="C81" s="65"/>
      <c r="D81" s="65"/>
      <c r="E81" s="242"/>
    </row>
    <row r="82" spans="1:5" hidden="1" x14ac:dyDescent="0.25">
      <c r="A82" s="65"/>
      <c r="B82" s="65"/>
      <c r="C82" s="65"/>
      <c r="D82" s="65"/>
      <c r="E82" s="242"/>
    </row>
    <row r="83" spans="1:5" hidden="1" x14ac:dyDescent="0.25">
      <c r="A83" s="65"/>
      <c r="B83" s="65"/>
      <c r="C83" s="65"/>
      <c r="D83" s="65"/>
      <c r="E83" s="242"/>
    </row>
    <row r="84" spans="1:5" hidden="1" x14ac:dyDescent="0.25">
      <c r="A84" s="65"/>
      <c r="B84" s="65"/>
      <c r="C84" s="65"/>
      <c r="D84" s="65"/>
      <c r="E84" s="242"/>
    </row>
    <row r="85" spans="1:5" hidden="1" x14ac:dyDescent="0.25">
      <c r="A85" s="65"/>
      <c r="B85" s="65"/>
      <c r="C85" s="65"/>
      <c r="D85" s="65"/>
      <c r="E85" s="242"/>
    </row>
    <row r="86" spans="1:5" hidden="1" x14ac:dyDescent="0.25">
      <c r="A86" s="65"/>
      <c r="B86" s="65"/>
      <c r="C86" s="65"/>
      <c r="D86" s="65"/>
      <c r="E86" s="242"/>
    </row>
    <row r="87" spans="1:5" hidden="1" x14ac:dyDescent="0.25">
      <c r="A87" s="65"/>
      <c r="B87" s="65"/>
      <c r="C87" s="65"/>
      <c r="D87" s="65"/>
      <c r="E87" s="242"/>
    </row>
  </sheetData>
  <sheetProtection password="CE6F" sheet="1" objects="1" scenarios="1"/>
  <sortState ref="B33:F36">
    <sortCondition descending="1" ref="F33:F36"/>
  </sortState>
  <mergeCells count="9">
    <mergeCell ref="A2:L2"/>
    <mergeCell ref="A29:A32"/>
    <mergeCell ref="A33:A36"/>
    <mergeCell ref="A5:A8"/>
    <mergeCell ref="A9:A12"/>
    <mergeCell ref="A13:A16"/>
    <mergeCell ref="A17:A20"/>
    <mergeCell ref="A21:A24"/>
    <mergeCell ref="A25:A28"/>
  </mergeCells>
  <phoneticPr fontId="1" type="noConversion"/>
  <hyperlinks>
    <hyperlink ref="H36" r:id="rId1"/>
  </hyperlinks>
  <pageMargins left="0.75" right="0.75" top="1" bottom="1" header="0.5" footer="0.5"/>
  <pageSetup scale="70" orientation="landscape"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DC109"/>
  <sheetViews>
    <sheetView showGridLines="0" topLeftCell="G79" zoomScale="90" zoomScaleNormal="90" workbookViewId="0">
      <selection activeCell="X96" sqref="X96"/>
    </sheetView>
  </sheetViews>
  <sheetFormatPr defaultColWidth="0" defaultRowHeight="15" zeroHeight="1" x14ac:dyDescent="0.25"/>
  <cols>
    <col min="1" max="3" width="2.42578125" style="78" customWidth="1"/>
    <col min="4" max="5" width="7.42578125" style="78" customWidth="1"/>
    <col min="6" max="6" width="20" style="78" bestFit="1" customWidth="1"/>
    <col min="7" max="7" width="25.85546875" style="78" customWidth="1"/>
    <col min="8" max="8" width="1.5703125" style="78" customWidth="1"/>
    <col min="9" max="9" width="4.5703125" style="78" customWidth="1"/>
    <col min="10" max="10" width="2.5703125" style="79" customWidth="1"/>
    <col min="11" max="11" width="4.5703125" style="78" customWidth="1"/>
    <col min="12" max="12" width="1.5703125" style="78" customWidth="1"/>
    <col min="13" max="13" width="25.85546875" style="78" customWidth="1"/>
    <col min="14" max="14" width="32.5703125" style="78" bestFit="1" customWidth="1"/>
    <col min="15" max="17" width="2.42578125" style="78" customWidth="1"/>
    <col min="18" max="18" width="3.5703125" style="80" customWidth="1"/>
    <col min="19" max="19" width="23.85546875" style="78" customWidth="1"/>
    <col min="20" max="23" width="7.5703125" style="78" customWidth="1"/>
    <col min="24" max="24" width="9.140625" style="78" customWidth="1"/>
    <col min="25" max="25" width="7.5703125" style="78" customWidth="1"/>
    <col min="26" max="27" width="2.42578125" style="78" customWidth="1"/>
    <col min="28" max="28" width="2.5703125" style="78" customWidth="1"/>
    <col min="29" max="29" width="0" style="81" hidden="1" customWidth="1"/>
    <col min="30" max="30" width="11.85546875" style="81" hidden="1" customWidth="1"/>
    <col min="31" max="31" width="14.5703125" style="78" hidden="1" customWidth="1"/>
    <col min="32" max="107" width="0" style="78" hidden="1" customWidth="1"/>
    <col min="108" max="16384" width="9.140625" style="78" hidden="1"/>
  </cols>
  <sheetData>
    <row r="1" spans="2:107" x14ac:dyDescent="0.25">
      <c r="AE1" s="82"/>
    </row>
    <row r="2" spans="2:107" s="152" customFormat="1" ht="22.5" customHeight="1" x14ac:dyDescent="0.2">
      <c r="B2" s="268" t="s">
        <v>275</v>
      </c>
      <c r="C2" s="269"/>
      <c r="D2" s="269"/>
      <c r="E2" s="269"/>
      <c r="F2" s="269"/>
      <c r="G2" s="269"/>
      <c r="H2" s="269"/>
      <c r="I2" s="269"/>
      <c r="J2" s="269"/>
      <c r="K2" s="269"/>
      <c r="L2" s="269"/>
      <c r="M2" s="269"/>
      <c r="N2" s="269"/>
      <c r="O2" s="269"/>
      <c r="P2" s="269"/>
      <c r="Q2" s="269"/>
      <c r="R2" s="269"/>
      <c r="S2" s="269"/>
      <c r="T2" s="269"/>
      <c r="U2" s="269"/>
      <c r="V2" s="269"/>
      <c r="W2" s="269"/>
      <c r="X2" s="269"/>
      <c r="Y2" s="269"/>
      <c r="Z2" s="269"/>
      <c r="AA2" s="270"/>
      <c r="AC2" s="153"/>
      <c r="AD2" s="153"/>
      <c r="DB2" s="154"/>
      <c r="DC2" s="154"/>
    </row>
    <row r="3" spans="2:107" ht="15.75" thickBot="1" x14ac:dyDescent="0.3">
      <c r="B3" s="164"/>
      <c r="DB3" s="82"/>
      <c r="DC3" s="82"/>
    </row>
    <row r="4" spans="2:107" s="83" customFormat="1" ht="16.5" thickTop="1" thickBot="1" x14ac:dyDescent="0.25">
      <c r="B4" s="195" t="s">
        <v>300</v>
      </c>
      <c r="C4" s="145"/>
      <c r="D4" s="145"/>
      <c r="E4" s="145"/>
      <c r="F4" s="145"/>
      <c r="G4" s="195" t="s">
        <v>301</v>
      </c>
      <c r="H4" s="277" t="s">
        <v>392</v>
      </c>
      <c r="I4" s="277"/>
      <c r="J4" s="196" t="s">
        <v>302</v>
      </c>
      <c r="K4" s="197" t="s">
        <v>15</v>
      </c>
      <c r="L4" s="195" t="s">
        <v>302</v>
      </c>
      <c r="M4" s="198" t="s">
        <v>229</v>
      </c>
      <c r="N4" s="145"/>
      <c r="O4" s="145"/>
      <c r="P4" s="145"/>
      <c r="Q4" s="145"/>
      <c r="R4" s="146"/>
      <c r="S4" s="145"/>
      <c r="T4" s="145"/>
      <c r="U4" s="145"/>
      <c r="V4" s="145"/>
      <c r="W4" s="145"/>
      <c r="X4" s="145"/>
      <c r="Y4" s="145"/>
      <c r="Z4" s="145"/>
      <c r="AA4" s="145"/>
      <c r="AC4" s="84"/>
      <c r="AD4" s="84"/>
      <c r="DB4" s="85"/>
      <c r="DC4" s="85"/>
    </row>
    <row r="5" spans="2:107" s="83" customFormat="1" ht="15" customHeight="1" thickTop="1" x14ac:dyDescent="0.2">
      <c r="B5" s="86"/>
      <c r="C5" s="87"/>
      <c r="D5" s="87"/>
      <c r="E5" s="87"/>
      <c r="F5" s="87"/>
      <c r="G5" s="87"/>
      <c r="H5" s="87"/>
      <c r="I5" s="87"/>
      <c r="J5" s="23"/>
      <c r="K5" s="87"/>
      <c r="L5" s="87"/>
      <c r="M5" s="87"/>
      <c r="N5" s="87"/>
      <c r="O5" s="87"/>
      <c r="P5" s="87"/>
      <c r="Q5" s="88"/>
      <c r="R5" s="44"/>
      <c r="S5" s="87"/>
      <c r="T5" s="87"/>
      <c r="U5" s="87"/>
      <c r="V5" s="87"/>
      <c r="W5" s="87"/>
      <c r="X5" s="87"/>
      <c r="Y5" s="87"/>
      <c r="Z5" s="87"/>
      <c r="AA5" s="89"/>
      <c r="AC5" s="84"/>
      <c r="AD5" s="84"/>
      <c r="DB5" s="85"/>
      <c r="DC5" s="85"/>
    </row>
    <row r="6" spans="2:107" s="83" customFormat="1" ht="15" customHeight="1" x14ac:dyDescent="0.2">
      <c r="B6" s="86"/>
      <c r="C6" s="274" t="s">
        <v>20</v>
      </c>
      <c r="D6" s="275"/>
      <c r="E6" s="275"/>
      <c r="F6" s="275"/>
      <c r="G6" s="275"/>
      <c r="H6" s="275"/>
      <c r="I6" s="275"/>
      <c r="J6" s="275"/>
      <c r="K6" s="275"/>
      <c r="L6" s="275"/>
      <c r="M6" s="275"/>
      <c r="N6" s="275"/>
      <c r="O6" s="276"/>
      <c r="P6" s="90"/>
      <c r="Q6" s="88"/>
      <c r="R6" s="271" t="s">
        <v>21</v>
      </c>
      <c r="S6" s="272"/>
      <c r="T6" s="272"/>
      <c r="U6" s="272"/>
      <c r="V6" s="272"/>
      <c r="W6" s="272"/>
      <c r="X6" s="272"/>
      <c r="Y6" s="272"/>
      <c r="Z6" s="273"/>
      <c r="AA6" s="89"/>
      <c r="AC6" s="84"/>
      <c r="AD6" s="84"/>
      <c r="DB6" s="85" t="s">
        <v>18</v>
      </c>
      <c r="DC6" s="85" t="s">
        <v>163</v>
      </c>
    </row>
    <row r="7" spans="2:107" s="83" customFormat="1" ht="15" customHeight="1" x14ac:dyDescent="0.2">
      <c r="B7" s="86"/>
      <c r="C7" s="7"/>
      <c r="D7" s="6"/>
      <c r="E7" s="6"/>
      <c r="F7" s="6"/>
      <c r="G7" s="6"/>
      <c r="H7" s="6"/>
      <c r="I7" s="6"/>
      <c r="J7" s="66"/>
      <c r="K7" s="6"/>
      <c r="L7" s="6"/>
      <c r="M7" s="6"/>
      <c r="N7" s="6"/>
      <c r="O7" s="9"/>
      <c r="P7" s="87"/>
      <c r="Q7" s="88"/>
      <c r="R7" s="91"/>
      <c r="S7" s="92"/>
      <c r="T7" s="92"/>
      <c r="U7" s="92"/>
      <c r="V7" s="92"/>
      <c r="W7" s="92"/>
      <c r="X7" s="92"/>
      <c r="Y7" s="92"/>
      <c r="Z7" s="93"/>
      <c r="AA7" s="89"/>
      <c r="AC7" s="84"/>
      <c r="AD7" s="84"/>
      <c r="DB7" s="85"/>
      <c r="DC7" s="85"/>
    </row>
    <row r="8" spans="2:107" s="83" customFormat="1" ht="15" customHeight="1" x14ac:dyDescent="0.25">
      <c r="B8" s="86"/>
      <c r="C8" s="7"/>
      <c r="D8" s="94" t="s">
        <v>16</v>
      </c>
      <c r="E8" s="94" t="s">
        <v>203</v>
      </c>
      <c r="F8" s="94" t="s">
        <v>241</v>
      </c>
      <c r="G8" s="95" t="s">
        <v>174</v>
      </c>
      <c r="H8" s="94"/>
      <c r="I8" s="267" t="s">
        <v>3</v>
      </c>
      <c r="J8" s="267"/>
      <c r="K8" s="267"/>
      <c r="L8" s="94"/>
      <c r="M8" s="96" t="s">
        <v>175</v>
      </c>
      <c r="N8" s="94" t="s">
        <v>191</v>
      </c>
      <c r="O8" s="9"/>
      <c r="P8" s="87"/>
      <c r="Q8" s="88"/>
      <c r="R8" s="97"/>
      <c r="S8" s="98" t="s">
        <v>6</v>
      </c>
      <c r="T8" s="99" t="s">
        <v>53</v>
      </c>
      <c r="U8" s="99" t="s">
        <v>7</v>
      </c>
      <c r="V8" s="99" t="s">
        <v>8</v>
      </c>
      <c r="W8" s="99" t="s">
        <v>9</v>
      </c>
      <c r="X8" s="99" t="s">
        <v>10</v>
      </c>
      <c r="Y8" s="100" t="s">
        <v>54</v>
      </c>
      <c r="Z8" s="89"/>
      <c r="AA8" s="89"/>
      <c r="AC8" s="84"/>
      <c r="AD8" s="84"/>
      <c r="DB8" s="101" t="s">
        <v>39</v>
      </c>
      <c r="DC8" s="102" t="s">
        <v>55</v>
      </c>
    </row>
    <row r="9" spans="2:107" s="83" customFormat="1" ht="15" customHeight="1" x14ac:dyDescent="0.25">
      <c r="B9" s="86"/>
      <c r="C9" s="7"/>
      <c r="D9" s="94" t="s">
        <v>213</v>
      </c>
      <c r="E9" s="94"/>
      <c r="F9" s="6"/>
      <c r="G9" s="6"/>
      <c r="H9" s="6"/>
      <c r="I9" s="6"/>
      <c r="J9" s="6"/>
      <c r="K9" s="6"/>
      <c r="L9" s="6"/>
      <c r="M9" s="6"/>
      <c r="N9" s="6"/>
      <c r="O9" s="9"/>
      <c r="P9" s="87"/>
      <c r="Q9" s="88"/>
      <c r="R9" s="97"/>
      <c r="S9" s="103" t="str">
        <f>VLOOKUP(1,'Dummy Table'!$DG$4:$DH$7,2,FALSE)</f>
        <v>Borussia Dortmund</v>
      </c>
      <c r="T9" s="104">
        <f>SUM(U9:W9)</f>
        <v>6</v>
      </c>
      <c r="U9" s="104">
        <f>SUMIF('Dummy Table'!B$4:B$7,'Group Stages'!S9,'Dummy Table'!Q$4:Q$7)</f>
        <v>4</v>
      </c>
      <c r="V9" s="104">
        <f>SUMIF('Dummy Table'!B$4:B$7,'Group Stages'!S9,'Dummy Table'!R$4:R$7)</f>
        <v>1</v>
      </c>
      <c r="W9" s="104">
        <f>SUMIF('Dummy Table'!B$4:B$7,'Group Stages'!S9,'Dummy Table'!S$4:S$7)</f>
        <v>1</v>
      </c>
      <c r="X9" s="104" t="str">
        <f>CONCATENATE(SUMIF('Dummy Table'!B$4:B$7,'Group Stages'!S9,'Dummy Table'!T$4:T$7)," - ",SUMIF('Dummy Table'!B$4:B$7,'Group Stages'!S9,'Dummy Table'!U$4:U$7))</f>
        <v>10 - 2</v>
      </c>
      <c r="Y9" s="105">
        <f>U9*3+V9*1</f>
        <v>13</v>
      </c>
      <c r="Z9" s="89"/>
      <c r="AA9" s="89"/>
      <c r="AC9" s="84"/>
      <c r="AD9" s="84"/>
      <c r="DB9" s="101" t="s">
        <v>48</v>
      </c>
      <c r="DC9" s="102" t="s">
        <v>56</v>
      </c>
    </row>
    <row r="10" spans="2:107" s="83" customFormat="1" ht="15" customHeight="1" x14ac:dyDescent="0.25">
      <c r="B10" s="86"/>
      <c r="C10" s="7"/>
      <c r="D10" s="66">
        <v>1</v>
      </c>
      <c r="E10" s="66" t="str">
        <f>VLOOKUP(G10,'Team Setup'!$B$5:$E$36,4,FALSE)</f>
        <v>B</v>
      </c>
      <c r="F10" s="106">
        <v>43361</v>
      </c>
      <c r="G10" s="26" t="s">
        <v>169</v>
      </c>
      <c r="H10" s="6"/>
      <c r="I10" s="14">
        <v>4</v>
      </c>
      <c r="J10" s="14" t="s">
        <v>4</v>
      </c>
      <c r="K10" s="14">
        <v>0</v>
      </c>
      <c r="L10" s="6"/>
      <c r="M10" s="34" t="s">
        <v>432</v>
      </c>
      <c r="N10" s="34" t="str">
        <f>VLOOKUP(G10,'Team Setup'!$B$5:$C$36,2,FALSE)</f>
        <v>Nou Camp</v>
      </c>
      <c r="O10" s="9"/>
      <c r="P10" s="87"/>
      <c r="Q10" s="88"/>
      <c r="R10" s="97"/>
      <c r="S10" s="107" t="str">
        <f>VLOOKUP(2,'Dummy Table'!$DG$4:$DH$7,2,FALSE)</f>
        <v>Atletico Madrid</v>
      </c>
      <c r="T10" s="23">
        <f>SUM(U10:W10)</f>
        <v>6</v>
      </c>
      <c r="U10" s="23">
        <f>SUMIF('Dummy Table'!B$4:B$7,'Group Stages'!S10,'Dummy Table'!Q$4:Q$7)</f>
        <v>4</v>
      </c>
      <c r="V10" s="23">
        <f>SUMIF('Dummy Table'!B$4:B$7,'Group Stages'!S10,'Dummy Table'!R$4:R$7)</f>
        <v>1</v>
      </c>
      <c r="W10" s="23">
        <f>SUMIF('Dummy Table'!B$4:B$7,'Group Stages'!S10,'Dummy Table'!S$4:S$7)</f>
        <v>1</v>
      </c>
      <c r="X10" s="23" t="str">
        <f>CONCATENATE(SUMIF('Dummy Table'!B$4:B$7,'Group Stages'!S10,'Dummy Table'!T$4:T$7)," - ",SUMIF('Dummy Table'!B$4:B$7,'Group Stages'!S10,'Dummy Table'!U$4:U$7))</f>
        <v>9 - 6</v>
      </c>
      <c r="Y10" s="108">
        <f>U10*3+V10*1</f>
        <v>13</v>
      </c>
      <c r="Z10" s="89"/>
      <c r="AA10" s="89"/>
      <c r="AC10" s="84" t="str">
        <f>D10&amp;G10</f>
        <v>1Barcelona</v>
      </c>
      <c r="AD10" s="84" t="str">
        <f>D10&amp;M10</f>
        <v>1PSV Eindhoven</v>
      </c>
      <c r="AF10" s="109"/>
      <c r="DB10" s="101" t="s">
        <v>46</v>
      </c>
      <c r="DC10" s="102" t="s">
        <v>57</v>
      </c>
    </row>
    <row r="11" spans="2:107" s="83" customFormat="1" ht="15" customHeight="1" x14ac:dyDescent="0.25">
      <c r="B11" s="86"/>
      <c r="C11" s="7"/>
      <c r="D11" s="66">
        <v>1</v>
      </c>
      <c r="E11" s="66" t="str">
        <f>VLOOKUP(G11,'Team Setup'!$B$5:$E$36,4,FALSE)</f>
        <v>B</v>
      </c>
      <c r="F11" s="106">
        <v>43361</v>
      </c>
      <c r="G11" s="26" t="s">
        <v>440</v>
      </c>
      <c r="H11" s="6"/>
      <c r="I11" s="14">
        <v>2</v>
      </c>
      <c r="J11" s="14" t="s">
        <v>4</v>
      </c>
      <c r="K11" s="14">
        <v>1</v>
      </c>
      <c r="L11" s="6"/>
      <c r="M11" s="34" t="s">
        <v>385</v>
      </c>
      <c r="N11" s="34" t="str">
        <f>VLOOKUP(G11,'Team Setup'!$B$5:$C$36,2,FALSE)</f>
        <v>San Siro Stadium</v>
      </c>
      <c r="O11" s="9"/>
      <c r="P11" s="87"/>
      <c r="Q11" s="88"/>
      <c r="R11" s="97"/>
      <c r="S11" s="107" t="str">
        <f>VLOOKUP(3,'Dummy Table'!$DG$4:$DH$7,2,FALSE)</f>
        <v>Club Brugge</v>
      </c>
      <c r="T11" s="23">
        <f>SUM(U11:W11)</f>
        <v>6</v>
      </c>
      <c r="U11" s="23">
        <f>SUMIF('Dummy Table'!B$4:B$7,'Group Stages'!S11,'Dummy Table'!Q$4:Q$7)</f>
        <v>1</v>
      </c>
      <c r="V11" s="23">
        <f>SUMIF('Dummy Table'!B$4:B$7,'Group Stages'!S11,'Dummy Table'!R$4:R$7)</f>
        <v>3</v>
      </c>
      <c r="W11" s="23">
        <f>SUMIF('Dummy Table'!B$4:B$7,'Group Stages'!S11,'Dummy Table'!S$4:S$7)</f>
        <v>2</v>
      </c>
      <c r="X11" s="23" t="str">
        <f>CONCATENATE(SUMIF('Dummy Table'!B$4:B$7,'Group Stages'!S11,'Dummy Table'!T$4:T$7)," - ",SUMIF('Dummy Table'!B$4:B$7,'Group Stages'!S11,'Dummy Table'!U$4:U$7))</f>
        <v>6 - 5</v>
      </c>
      <c r="Y11" s="108">
        <f>U11*3+V11*1</f>
        <v>6</v>
      </c>
      <c r="Z11" s="89"/>
      <c r="AA11" s="89"/>
      <c r="AC11" s="84" t="str">
        <f t="shared" ref="AC11:AC74" si="0">D11&amp;G11</f>
        <v>1Internazionale</v>
      </c>
      <c r="AD11" s="84" t="str">
        <f t="shared" ref="AD11:AD74" si="1">D11&amp;M11</f>
        <v>1Tottenham Hotspur</v>
      </c>
      <c r="AF11" s="109"/>
      <c r="DB11" s="101" t="s">
        <v>40</v>
      </c>
      <c r="DC11" s="102" t="s">
        <v>58</v>
      </c>
    </row>
    <row r="12" spans="2:107" s="83" customFormat="1" ht="15" customHeight="1" x14ac:dyDescent="0.25">
      <c r="B12" s="86"/>
      <c r="C12" s="7"/>
      <c r="D12" s="66">
        <v>1</v>
      </c>
      <c r="E12" s="66" t="str">
        <f>VLOOKUP(G12,'Team Setup'!$B$5:$E$36,4,FALSE)</f>
        <v>A</v>
      </c>
      <c r="F12" s="106">
        <v>43361</v>
      </c>
      <c r="G12" s="26" t="s">
        <v>429</v>
      </c>
      <c r="H12" s="6"/>
      <c r="I12" s="14">
        <v>0</v>
      </c>
      <c r="J12" s="14" t="s">
        <v>4</v>
      </c>
      <c r="K12" s="14">
        <v>1</v>
      </c>
      <c r="L12" s="6"/>
      <c r="M12" s="34" t="s">
        <v>247</v>
      </c>
      <c r="N12" s="34" t="str">
        <f>VLOOKUP(G12,'Team Setup'!$B$5:$C$36,2,FALSE)</f>
        <v>Jan Breydel</v>
      </c>
      <c r="O12" s="9"/>
      <c r="P12" s="87"/>
      <c r="Q12" s="88"/>
      <c r="R12" s="97"/>
      <c r="S12" s="110" t="str">
        <f>VLOOKUP(4,'Dummy Table'!$DG$4:$DH$7,2,FALSE)</f>
        <v>Monaco</v>
      </c>
      <c r="T12" s="111">
        <f>SUM(U12:W12)</f>
        <v>6</v>
      </c>
      <c r="U12" s="111">
        <f>SUMIF('Dummy Table'!B$4:B$7,'Group Stages'!S12,'Dummy Table'!Q$4:Q$7)</f>
        <v>0</v>
      </c>
      <c r="V12" s="111">
        <f>SUMIF('Dummy Table'!B$4:B$7,'Group Stages'!S12,'Dummy Table'!R$4:R$7)</f>
        <v>1</v>
      </c>
      <c r="W12" s="111">
        <f>SUMIF('Dummy Table'!B$4:B$7,'Group Stages'!S12,'Dummy Table'!S$4:S$7)</f>
        <v>5</v>
      </c>
      <c r="X12" s="111" t="str">
        <f>CONCATENATE(SUMIF('Dummy Table'!B$4:B$7,'Group Stages'!S12,'Dummy Table'!T$4:T$7)," - ",SUMIF('Dummy Table'!B$4:B$7,'Group Stages'!S12,'Dummy Table'!U$4:U$7))</f>
        <v>2 - 14</v>
      </c>
      <c r="Y12" s="112">
        <f>U12*3+V12*1</f>
        <v>1</v>
      </c>
      <c r="Z12" s="89"/>
      <c r="AA12" s="89"/>
      <c r="AC12" s="84" t="str">
        <f t="shared" si="0"/>
        <v>1Club Brugge</v>
      </c>
      <c r="AD12" s="84" t="str">
        <f t="shared" si="1"/>
        <v>1Borussia Dortmund</v>
      </c>
      <c r="AF12" s="109"/>
      <c r="DB12" s="101" t="s">
        <v>49</v>
      </c>
      <c r="DC12" s="102" t="s">
        <v>59</v>
      </c>
    </row>
    <row r="13" spans="2:107" s="83" customFormat="1" ht="15" customHeight="1" x14ac:dyDescent="0.25">
      <c r="B13" s="86"/>
      <c r="C13" s="7"/>
      <c r="D13" s="66">
        <v>1</v>
      </c>
      <c r="E13" s="66" t="str">
        <f>VLOOKUP(G13,'Team Setup'!$B$5:$E$36,4,FALSE)</f>
        <v>C</v>
      </c>
      <c r="F13" s="106">
        <v>43361</v>
      </c>
      <c r="G13" s="26" t="s">
        <v>426</v>
      </c>
      <c r="H13" s="6"/>
      <c r="I13" s="14">
        <v>0</v>
      </c>
      <c r="J13" s="14" t="s">
        <v>4</v>
      </c>
      <c r="K13" s="14">
        <v>0</v>
      </c>
      <c r="L13" s="6"/>
      <c r="M13" s="34" t="s">
        <v>345</v>
      </c>
      <c r="N13" s="34" t="str">
        <f>VLOOKUP(G13,'Team Setup'!$B$5:$C$36,2,FALSE)</f>
        <v>Rajko Mitić Stadium</v>
      </c>
      <c r="O13" s="9"/>
      <c r="P13" s="87"/>
      <c r="Q13" s="88"/>
      <c r="R13" s="97"/>
      <c r="S13" s="87"/>
      <c r="T13" s="87"/>
      <c r="U13" s="87"/>
      <c r="V13" s="87"/>
      <c r="W13" s="87"/>
      <c r="X13" s="87"/>
      <c r="Y13" s="87"/>
      <c r="Z13" s="89"/>
      <c r="AA13" s="89"/>
      <c r="AC13" s="84" t="str">
        <f t="shared" si="0"/>
        <v>1Red Star Belgrade</v>
      </c>
      <c r="AD13" s="84" t="str">
        <f t="shared" si="1"/>
        <v>1Napoli</v>
      </c>
      <c r="AF13" s="109"/>
      <c r="DB13" s="101" t="s">
        <v>44</v>
      </c>
      <c r="DC13" s="102" t="s">
        <v>60</v>
      </c>
    </row>
    <row r="14" spans="2:107" s="83" customFormat="1" ht="15" customHeight="1" x14ac:dyDescent="0.25">
      <c r="B14" s="86"/>
      <c r="C14" s="7"/>
      <c r="D14" s="66">
        <v>1</v>
      </c>
      <c r="E14" s="66" t="str">
        <f>VLOOKUP(G14,'Team Setup'!$B$5:$E$36,4,FALSE)</f>
        <v>D</v>
      </c>
      <c r="F14" s="106">
        <v>43361</v>
      </c>
      <c r="G14" s="26" t="s">
        <v>269</v>
      </c>
      <c r="H14" s="6"/>
      <c r="I14" s="14">
        <v>3</v>
      </c>
      <c r="J14" s="14" t="s">
        <v>4</v>
      </c>
      <c r="K14" s="14">
        <v>0</v>
      </c>
      <c r="L14" s="6"/>
      <c r="M14" s="34" t="s">
        <v>421</v>
      </c>
      <c r="N14" s="34" t="str">
        <f>VLOOKUP(G14,'Team Setup'!$B$5:$C$36,2,FALSE)</f>
        <v>Türk Telekom Arena</v>
      </c>
      <c r="O14" s="9"/>
      <c r="P14" s="87"/>
      <c r="Q14" s="88"/>
      <c r="R14" s="97"/>
      <c r="S14" s="87"/>
      <c r="T14" s="87"/>
      <c r="U14" s="87"/>
      <c r="V14" s="87"/>
      <c r="W14" s="87"/>
      <c r="X14" s="87"/>
      <c r="Y14" s="87"/>
      <c r="Z14" s="89"/>
      <c r="AA14" s="89"/>
      <c r="AC14" s="84" t="str">
        <f t="shared" si="0"/>
        <v>1Galatasaray</v>
      </c>
      <c r="AD14" s="84" t="str">
        <f t="shared" si="1"/>
        <v>1Lokomotiv Moscow</v>
      </c>
      <c r="AF14" s="109"/>
      <c r="DB14" s="101" t="s">
        <v>34</v>
      </c>
      <c r="DC14" s="102" t="s">
        <v>61</v>
      </c>
    </row>
    <row r="15" spans="2:107" s="83" customFormat="1" ht="15" customHeight="1" x14ac:dyDescent="0.25">
      <c r="B15" s="86"/>
      <c r="C15" s="7"/>
      <c r="D15" s="66">
        <v>1</v>
      </c>
      <c r="E15" s="66" t="str">
        <f>VLOOKUP(G15,'Team Setup'!$B$5:$E$36,4,FALSE)</f>
        <v>C</v>
      </c>
      <c r="F15" s="106">
        <v>43361</v>
      </c>
      <c r="G15" s="26" t="s">
        <v>393</v>
      </c>
      <c r="H15" s="6"/>
      <c r="I15" s="14">
        <v>3</v>
      </c>
      <c r="J15" s="14" t="s">
        <v>4</v>
      </c>
      <c r="K15" s="14">
        <v>2</v>
      </c>
      <c r="L15" s="6"/>
      <c r="M15" s="34" t="s">
        <v>268</v>
      </c>
      <c r="N15" s="34" t="str">
        <f>VLOOKUP(G15,'Team Setup'!$B$5:$C$36,2,FALSE)</f>
        <v>Anfield</v>
      </c>
      <c r="O15" s="9"/>
      <c r="P15" s="87"/>
      <c r="Q15" s="88"/>
      <c r="R15" s="97"/>
      <c r="S15" s="98" t="s">
        <v>11</v>
      </c>
      <c r="T15" s="99" t="s">
        <v>53</v>
      </c>
      <c r="U15" s="99" t="s">
        <v>7</v>
      </c>
      <c r="V15" s="99" t="s">
        <v>8</v>
      </c>
      <c r="W15" s="99" t="s">
        <v>9</v>
      </c>
      <c r="X15" s="99" t="s">
        <v>10</v>
      </c>
      <c r="Y15" s="100" t="s">
        <v>54</v>
      </c>
      <c r="Z15" s="89"/>
      <c r="AA15" s="89"/>
      <c r="AC15" s="84" t="str">
        <f t="shared" si="0"/>
        <v>1Liverpool</v>
      </c>
      <c r="AD15" s="84" t="str">
        <f t="shared" si="1"/>
        <v>1Paris Saint-Germain</v>
      </c>
      <c r="AF15" s="109"/>
      <c r="DB15" s="101" t="s">
        <v>33</v>
      </c>
      <c r="DC15" s="102" t="s">
        <v>62</v>
      </c>
    </row>
    <row r="16" spans="2:107" s="83" customFormat="1" ht="15" customHeight="1" x14ac:dyDescent="0.25">
      <c r="B16" s="86"/>
      <c r="C16" s="7"/>
      <c r="D16" s="66">
        <v>1</v>
      </c>
      <c r="E16" s="66" t="str">
        <f>VLOOKUP(G16,'Team Setup'!$B$5:$E$36,4,FALSE)</f>
        <v>A</v>
      </c>
      <c r="F16" s="106">
        <v>43361</v>
      </c>
      <c r="G16" s="26" t="s">
        <v>386</v>
      </c>
      <c r="H16" s="6"/>
      <c r="I16" s="14">
        <v>1</v>
      </c>
      <c r="J16" s="14" t="s">
        <v>4</v>
      </c>
      <c r="K16" s="14">
        <v>2</v>
      </c>
      <c r="L16" s="6"/>
      <c r="M16" s="34" t="s">
        <v>346</v>
      </c>
      <c r="N16" s="34" t="str">
        <f>VLOOKUP(G16,'Team Setup'!$B$5:$C$36,2,FALSE)</f>
        <v>Stade Louis II</v>
      </c>
      <c r="O16" s="9"/>
      <c r="P16" s="87"/>
      <c r="Q16" s="88"/>
      <c r="R16" s="97"/>
      <c r="S16" s="103" t="str">
        <f>VLOOKUP(1,'Dummy Table'!$DG$8:$DH$11,2,FALSE)</f>
        <v>Barcelona</v>
      </c>
      <c r="T16" s="104">
        <f>SUM(U16:W16)</f>
        <v>6</v>
      </c>
      <c r="U16" s="104">
        <f>SUMIF('Dummy Table'!B$8:B$11,'Group Stages'!S16,'Dummy Table'!Q$8:Q$11)</f>
        <v>4</v>
      </c>
      <c r="V16" s="104">
        <f>SUMIF('Dummy Table'!B$8:B$11,'Group Stages'!S16,'Dummy Table'!R$8:R$11)</f>
        <v>2</v>
      </c>
      <c r="W16" s="104">
        <f>SUMIF('Dummy Table'!B$8:B$11,'Group Stages'!S16,'Dummy Table'!S$8:S$11)</f>
        <v>0</v>
      </c>
      <c r="X16" s="104" t="str">
        <f>CONCATENATE(SUMIF('Dummy Table'!B$8:B$11,'Group Stages'!S16,'Dummy Table'!T$8:T$11)," - ",SUMIF('Dummy Table'!B$8:B$11,'Group Stages'!S16,'Dummy Table'!U$8:U$11))</f>
        <v>14 - 5</v>
      </c>
      <c r="Y16" s="105">
        <f>U16*3+V16*1</f>
        <v>14</v>
      </c>
      <c r="Z16" s="89"/>
      <c r="AA16" s="89"/>
      <c r="AC16" s="84" t="str">
        <f t="shared" si="0"/>
        <v>1Monaco</v>
      </c>
      <c r="AD16" s="84" t="str">
        <f t="shared" si="1"/>
        <v>1Atletico Madrid</v>
      </c>
      <c r="AF16" s="109"/>
      <c r="DB16" s="113" t="s">
        <v>19</v>
      </c>
      <c r="DC16" s="102" t="s">
        <v>63</v>
      </c>
    </row>
    <row r="17" spans="2:107" s="83" customFormat="1" ht="15" customHeight="1" x14ac:dyDescent="0.25">
      <c r="B17" s="86"/>
      <c r="C17" s="7"/>
      <c r="D17" s="66">
        <v>1</v>
      </c>
      <c r="E17" s="66" t="str">
        <f>VLOOKUP(G17,'Team Setup'!$B$5:$E$36,4,FALSE)</f>
        <v>D</v>
      </c>
      <c r="F17" s="106">
        <v>43361</v>
      </c>
      <c r="G17" s="26" t="s">
        <v>270</v>
      </c>
      <c r="H17" s="6"/>
      <c r="I17" s="14">
        <v>1</v>
      </c>
      <c r="J17" s="14" t="s">
        <v>4</v>
      </c>
      <c r="K17" s="14">
        <v>1</v>
      </c>
      <c r="L17" s="6"/>
      <c r="M17" s="34" t="s">
        <v>248</v>
      </c>
      <c r="N17" s="34" t="str">
        <f>VLOOKUP(G17,'Team Setup'!$B$5:$C$36,2,FALSE)</f>
        <v>Veltins-Arena</v>
      </c>
      <c r="O17" s="9"/>
      <c r="P17" s="87"/>
      <c r="Q17" s="88"/>
      <c r="R17" s="97"/>
      <c r="S17" s="107" t="str">
        <f>VLOOKUP(2,'Dummy Table'!$DG$8:$DH$11,2,FALSE)</f>
        <v>Tottenham Hotspur</v>
      </c>
      <c r="T17" s="23">
        <f>SUM(U17:W17)</f>
        <v>6</v>
      </c>
      <c r="U17" s="23">
        <f>SUMIF('Dummy Table'!B$8:B$11,'Group Stages'!S17,'Dummy Table'!Q$8:Q$11)</f>
        <v>2</v>
      </c>
      <c r="V17" s="23">
        <f>SUMIF('Dummy Table'!B$8:B$11,'Group Stages'!S17,'Dummy Table'!R$8:R$11)</f>
        <v>2</v>
      </c>
      <c r="W17" s="23">
        <f>SUMIF('Dummy Table'!B$8:B$11,'Group Stages'!S17,'Dummy Table'!S$8:S$11)</f>
        <v>2</v>
      </c>
      <c r="X17" s="23" t="str">
        <f>CONCATENATE(SUMIF('Dummy Table'!B$8:B$11,'Group Stages'!S17,'Dummy Table'!T$8:T$11)," - ",SUMIF('Dummy Table'!B$8:B$11,'Group Stages'!S17,'Dummy Table'!U$8:U$11))</f>
        <v>9 - 10</v>
      </c>
      <c r="Y17" s="108">
        <f>U17*3+V17*1</f>
        <v>8</v>
      </c>
      <c r="Z17" s="89"/>
      <c r="AA17" s="89"/>
      <c r="AC17" s="84" t="str">
        <f t="shared" si="0"/>
        <v>1Schalke 04</v>
      </c>
      <c r="AD17" s="84" t="str">
        <f t="shared" si="1"/>
        <v>1Porto</v>
      </c>
      <c r="AF17" s="109"/>
      <c r="DB17" s="101" t="s">
        <v>37</v>
      </c>
      <c r="DC17" s="102" t="s">
        <v>64</v>
      </c>
    </row>
    <row r="18" spans="2:107" s="83" customFormat="1" ht="15" customHeight="1" x14ac:dyDescent="0.25">
      <c r="B18" s="86"/>
      <c r="C18" s="7"/>
      <c r="D18" s="66">
        <v>1</v>
      </c>
      <c r="E18" s="66" t="str">
        <f>VLOOKUP(G18,'Team Setup'!$B$5:$E$36,4,FALSE)</f>
        <v>E</v>
      </c>
      <c r="F18" s="106">
        <v>43362</v>
      </c>
      <c r="G18" s="26" t="s">
        <v>243</v>
      </c>
      <c r="H18" s="6"/>
      <c r="I18" s="14">
        <v>3</v>
      </c>
      <c r="J18" s="14" t="s">
        <v>4</v>
      </c>
      <c r="K18" s="14">
        <v>0</v>
      </c>
      <c r="L18" s="6"/>
      <c r="M18" s="34" t="s">
        <v>417</v>
      </c>
      <c r="N18" s="34" t="str">
        <f>VLOOKUP(G18,'Team Setup'!$B$5:$C$36,2,FALSE)</f>
        <v>Amsterdam Arena</v>
      </c>
      <c r="O18" s="9"/>
      <c r="P18" s="87"/>
      <c r="Q18" s="88"/>
      <c r="R18" s="97"/>
      <c r="S18" s="107" t="str">
        <f>VLOOKUP(3,'Dummy Table'!$DG$8:$DH$11,2,FALSE)</f>
        <v>Internazionale</v>
      </c>
      <c r="T18" s="23">
        <f>SUM(U18:W18)</f>
        <v>6</v>
      </c>
      <c r="U18" s="23">
        <f>SUMIF('Dummy Table'!B$8:B$11,'Group Stages'!S18,'Dummy Table'!Q$8:Q$11)</f>
        <v>2</v>
      </c>
      <c r="V18" s="23">
        <f>SUMIF('Dummy Table'!B$8:B$11,'Group Stages'!S18,'Dummy Table'!R$8:R$11)</f>
        <v>2</v>
      </c>
      <c r="W18" s="23">
        <f>SUMIF('Dummy Table'!B$8:B$11,'Group Stages'!S18,'Dummy Table'!S$8:S$11)</f>
        <v>2</v>
      </c>
      <c r="X18" s="23" t="str">
        <f>CONCATENATE(SUMIF('Dummy Table'!B$8:B$11,'Group Stages'!S18,'Dummy Table'!T$8:T$11)," - ",SUMIF('Dummy Table'!B$8:B$11,'Group Stages'!S18,'Dummy Table'!U$8:U$11))</f>
        <v>6 - 7</v>
      </c>
      <c r="Y18" s="108">
        <f>U18*3+V18*1</f>
        <v>8</v>
      </c>
      <c r="Z18" s="89"/>
      <c r="AA18" s="89"/>
      <c r="AC18" s="84" t="str">
        <f t="shared" si="0"/>
        <v>1Ajax</v>
      </c>
      <c r="AD18" s="84" t="str">
        <f t="shared" si="1"/>
        <v>1AEK Athens</v>
      </c>
      <c r="AF18" s="109"/>
      <c r="DB18" s="101" t="s">
        <v>5</v>
      </c>
      <c r="DC18" s="102" t="s">
        <v>65</v>
      </c>
    </row>
    <row r="19" spans="2:107" s="83" customFormat="1" ht="15" customHeight="1" x14ac:dyDescent="0.25">
      <c r="B19" s="86"/>
      <c r="C19" s="7"/>
      <c r="D19" s="66">
        <v>1</v>
      </c>
      <c r="E19" s="66" t="str">
        <f>VLOOKUP(G19,'Team Setup'!$B$5:$E$36,4,FALSE)</f>
        <v>F</v>
      </c>
      <c r="F19" s="106">
        <v>43362</v>
      </c>
      <c r="G19" s="26" t="s">
        <v>244</v>
      </c>
      <c r="H19" s="6"/>
      <c r="I19" s="14">
        <v>2</v>
      </c>
      <c r="J19" s="14" t="s">
        <v>4</v>
      </c>
      <c r="K19" s="14">
        <v>2</v>
      </c>
      <c r="L19" s="6"/>
      <c r="M19" s="34" t="s">
        <v>415</v>
      </c>
      <c r="N19" s="34" t="str">
        <f>VLOOKUP(G19,'Team Setup'!$B$5:$C$36,2,FALSE)</f>
        <v>Donbass Arena</v>
      </c>
      <c r="O19" s="9"/>
      <c r="P19" s="87"/>
      <c r="Q19" s="88"/>
      <c r="R19" s="97"/>
      <c r="S19" s="110" t="str">
        <f>VLOOKUP(4,'Dummy Table'!$DG$8:$DH$11,2,FALSE)</f>
        <v>PSV Eindhoven</v>
      </c>
      <c r="T19" s="111">
        <f>SUM(U19:W19)</f>
        <v>6</v>
      </c>
      <c r="U19" s="111">
        <f>SUMIF('Dummy Table'!B$8:B$11,'Group Stages'!S19,'Dummy Table'!Q$8:Q$11)</f>
        <v>0</v>
      </c>
      <c r="V19" s="111">
        <f>SUMIF('Dummy Table'!B$8:B$11,'Group Stages'!S19,'Dummy Table'!R$8:R$11)</f>
        <v>2</v>
      </c>
      <c r="W19" s="111">
        <f>SUMIF('Dummy Table'!B$8:B$11,'Group Stages'!S19,'Dummy Table'!S$8:S$11)</f>
        <v>4</v>
      </c>
      <c r="X19" s="111" t="str">
        <f>CONCATENATE(SUMIF('Dummy Table'!B$8:B$11,'Group Stages'!S19,'Dummy Table'!T$8:T$11)," - ",SUMIF('Dummy Table'!B$8:B$11,'Group Stages'!S19,'Dummy Table'!U$8:U$11))</f>
        <v>6 - 13</v>
      </c>
      <c r="Y19" s="112">
        <f>U19*3+V19*1</f>
        <v>2</v>
      </c>
      <c r="Z19" s="89"/>
      <c r="AA19" s="89"/>
      <c r="AC19" s="84" t="str">
        <f t="shared" si="0"/>
        <v>1Shakhtar Donetsk</v>
      </c>
      <c r="AD19" s="84" t="str">
        <f t="shared" si="1"/>
        <v>1Hoffenheim</v>
      </c>
      <c r="AF19" s="109"/>
      <c r="DB19" s="101" t="s">
        <v>26</v>
      </c>
      <c r="DC19" s="102" t="s">
        <v>66</v>
      </c>
    </row>
    <row r="20" spans="2:107" s="83" customFormat="1" ht="15" customHeight="1" x14ac:dyDescent="0.25">
      <c r="B20" s="86"/>
      <c r="C20" s="7"/>
      <c r="D20" s="66">
        <v>1</v>
      </c>
      <c r="E20" s="66" t="str">
        <f>VLOOKUP(G20,'Team Setup'!$B$5:$E$36,4,FALSE)</f>
        <v>E</v>
      </c>
      <c r="F20" s="106">
        <v>43362</v>
      </c>
      <c r="G20" s="26" t="s">
        <v>242</v>
      </c>
      <c r="H20" s="6"/>
      <c r="I20" s="14">
        <v>0</v>
      </c>
      <c r="J20" s="14" t="s">
        <v>4</v>
      </c>
      <c r="K20" s="14">
        <v>2</v>
      </c>
      <c r="L20" s="6"/>
      <c r="M20" s="34" t="s">
        <v>226</v>
      </c>
      <c r="N20" s="34" t="str">
        <f>VLOOKUP(G20,'Team Setup'!$B$5:$C$36,2,FALSE)</f>
        <v>Estádio da Luz</v>
      </c>
      <c r="O20" s="9"/>
      <c r="P20" s="87"/>
      <c r="Q20" s="88"/>
      <c r="R20" s="97"/>
      <c r="S20" s="87"/>
      <c r="T20" s="87"/>
      <c r="U20" s="87"/>
      <c r="V20" s="87"/>
      <c r="W20" s="87"/>
      <c r="X20" s="87"/>
      <c r="Y20" s="87"/>
      <c r="Z20" s="89"/>
      <c r="AA20" s="89"/>
      <c r="AC20" s="84" t="str">
        <f t="shared" si="0"/>
        <v>1Benfica</v>
      </c>
      <c r="AD20" s="84" t="str">
        <f t="shared" si="1"/>
        <v>1Bayern Munich</v>
      </c>
      <c r="AF20" s="109"/>
      <c r="DB20" s="101" t="s">
        <v>41</v>
      </c>
      <c r="DC20" s="102" t="s">
        <v>67</v>
      </c>
    </row>
    <row r="21" spans="2:107" s="83" customFormat="1" ht="15" customHeight="1" x14ac:dyDescent="0.25">
      <c r="B21" s="86"/>
      <c r="C21" s="7"/>
      <c r="D21" s="66">
        <v>1</v>
      </c>
      <c r="E21" s="66" t="str">
        <f>VLOOKUP(G21,'Team Setup'!$B$5:$E$36,4,FALSE)</f>
        <v>F</v>
      </c>
      <c r="F21" s="106">
        <v>43362</v>
      </c>
      <c r="G21" s="26" t="s">
        <v>245</v>
      </c>
      <c r="H21" s="6"/>
      <c r="I21" s="14">
        <v>1</v>
      </c>
      <c r="J21" s="14" t="s">
        <v>4</v>
      </c>
      <c r="K21" s="14">
        <v>2</v>
      </c>
      <c r="L21" s="6"/>
      <c r="M21" s="34" t="s">
        <v>419</v>
      </c>
      <c r="N21" s="34" t="str">
        <f>VLOOKUP(G21,'Team Setup'!$B$5:$C$36,2,FALSE)</f>
        <v>City of Manchester</v>
      </c>
      <c r="O21" s="9"/>
      <c r="P21" s="87"/>
      <c r="Q21" s="88"/>
      <c r="R21" s="97"/>
      <c r="S21" s="87"/>
      <c r="T21" s="87"/>
      <c r="U21" s="87"/>
      <c r="V21" s="87"/>
      <c r="W21" s="87"/>
      <c r="X21" s="87"/>
      <c r="Y21" s="87"/>
      <c r="Z21" s="89"/>
      <c r="AA21" s="89"/>
      <c r="AC21" s="84" t="str">
        <f t="shared" si="0"/>
        <v>1Manchester City</v>
      </c>
      <c r="AD21" s="84" t="str">
        <f t="shared" si="1"/>
        <v>1Lyon</v>
      </c>
      <c r="AF21" s="109"/>
      <c r="DB21" s="101" t="s">
        <v>31</v>
      </c>
      <c r="DC21" s="102" t="s">
        <v>68</v>
      </c>
    </row>
    <row r="22" spans="2:107" s="83" customFormat="1" ht="15" customHeight="1" x14ac:dyDescent="0.25">
      <c r="B22" s="86"/>
      <c r="C22" s="7"/>
      <c r="D22" s="66">
        <v>1</v>
      </c>
      <c r="E22" s="66" t="str">
        <f>VLOOKUP(G22,'Team Setup'!$B$5:$E$36,4,FALSE)</f>
        <v>G</v>
      </c>
      <c r="F22" s="106">
        <v>43362</v>
      </c>
      <c r="G22" s="26" t="s">
        <v>423</v>
      </c>
      <c r="H22" s="6"/>
      <c r="I22" s="14">
        <v>2</v>
      </c>
      <c r="J22" s="14" t="s">
        <v>4</v>
      </c>
      <c r="K22" s="14">
        <v>2</v>
      </c>
      <c r="L22" s="6"/>
      <c r="M22" s="34" t="s">
        <v>342</v>
      </c>
      <c r="N22" s="34" t="str">
        <f>VLOOKUP(G22,'Team Setup'!$B$5:$C$36,2,FALSE)</f>
        <v>Doosan Arena</v>
      </c>
      <c r="O22" s="9"/>
      <c r="P22" s="87"/>
      <c r="Q22" s="88"/>
      <c r="R22" s="97"/>
      <c r="S22" s="98" t="s">
        <v>12</v>
      </c>
      <c r="T22" s="99" t="s">
        <v>53</v>
      </c>
      <c r="U22" s="99" t="s">
        <v>7</v>
      </c>
      <c r="V22" s="99" t="s">
        <v>8</v>
      </c>
      <c r="W22" s="99" t="s">
        <v>9</v>
      </c>
      <c r="X22" s="99" t="s">
        <v>10</v>
      </c>
      <c r="Y22" s="100" t="s">
        <v>54</v>
      </c>
      <c r="Z22" s="89"/>
      <c r="AA22" s="89"/>
      <c r="AC22" s="84" t="str">
        <f t="shared" si="0"/>
        <v>1Plzen</v>
      </c>
      <c r="AD22" s="84" t="str">
        <f t="shared" si="1"/>
        <v>1CSKA Moscow</v>
      </c>
      <c r="AF22" s="109"/>
      <c r="DB22" s="101" t="s">
        <v>27</v>
      </c>
      <c r="DC22" s="102" t="s">
        <v>69</v>
      </c>
    </row>
    <row r="23" spans="2:107" s="83" customFormat="1" ht="15" customHeight="1" x14ac:dyDescent="0.25">
      <c r="B23" s="86"/>
      <c r="C23" s="7"/>
      <c r="D23" s="66">
        <v>1</v>
      </c>
      <c r="E23" s="66" t="str">
        <f>VLOOKUP(G23,'Team Setup'!$B$5:$E$36,4,FALSE)</f>
        <v>G</v>
      </c>
      <c r="F23" s="106">
        <v>43362</v>
      </c>
      <c r="G23" s="26" t="s">
        <v>171</v>
      </c>
      <c r="H23" s="6"/>
      <c r="I23" s="14">
        <v>3</v>
      </c>
      <c r="J23" s="14" t="s">
        <v>4</v>
      </c>
      <c r="K23" s="14">
        <v>0</v>
      </c>
      <c r="L23" s="6"/>
      <c r="M23" s="34" t="s">
        <v>396</v>
      </c>
      <c r="N23" s="34" t="str">
        <f>VLOOKUP(G23,'Team Setup'!$B$5:$C$36,2,FALSE)</f>
        <v>Santiago Bernabeu</v>
      </c>
      <c r="O23" s="9"/>
      <c r="P23" s="87"/>
      <c r="Q23" s="88"/>
      <c r="R23" s="97"/>
      <c r="S23" s="103" t="str">
        <f>VLOOKUP(1,'Dummy Table'!$DG$12:$DH$15,2,FALSE)</f>
        <v>Paris Saint-Germain</v>
      </c>
      <c r="T23" s="104">
        <f>SUM(U23:W23)</f>
        <v>6</v>
      </c>
      <c r="U23" s="104">
        <f>SUMIF('Dummy Table'!B$12:B$15,'Group Stages'!S23,'Dummy Table'!Q$12:Q$15)</f>
        <v>3</v>
      </c>
      <c r="V23" s="104">
        <f>SUMIF('Dummy Table'!B$12:B$15,'Group Stages'!S23,'Dummy Table'!R$12:R$15)</f>
        <v>2</v>
      </c>
      <c r="W23" s="104">
        <f>SUMIF('Dummy Table'!B$12:B$15,'Group Stages'!S23,'Dummy Table'!S$12:S$15)</f>
        <v>1</v>
      </c>
      <c r="X23" s="104" t="str">
        <f>CONCATENATE(SUMIF('Dummy Table'!B$12:B$15,'Group Stages'!S23,'Dummy Table'!T$12:T$15)," - ",SUMIF('Dummy Table'!B$12:B$15,'Group Stages'!S23,'Dummy Table'!U$12:U$15))</f>
        <v>17 - 9</v>
      </c>
      <c r="Y23" s="105">
        <f>U23*3+V23*1</f>
        <v>11</v>
      </c>
      <c r="Z23" s="89"/>
      <c r="AA23" s="89"/>
      <c r="AC23" s="84" t="str">
        <f t="shared" si="0"/>
        <v>1Real Madrid</v>
      </c>
      <c r="AD23" s="84" t="str">
        <f t="shared" si="1"/>
        <v>1AS Roma</v>
      </c>
      <c r="AF23" s="109"/>
      <c r="DB23" s="101" t="s">
        <v>30</v>
      </c>
      <c r="DC23" s="102" t="s">
        <v>70</v>
      </c>
    </row>
    <row r="24" spans="2:107" s="83" customFormat="1" ht="15" customHeight="1" x14ac:dyDescent="0.25">
      <c r="B24" s="86"/>
      <c r="C24" s="7"/>
      <c r="D24" s="66">
        <v>1</v>
      </c>
      <c r="E24" s="66" t="str">
        <f>VLOOKUP(G24,'Team Setup'!$B$5:$E$36,4,FALSE)</f>
        <v>H</v>
      </c>
      <c r="F24" s="106">
        <v>43362</v>
      </c>
      <c r="G24" s="26" t="s">
        <v>435</v>
      </c>
      <c r="H24" s="6"/>
      <c r="I24" s="14">
        <v>0</v>
      </c>
      <c r="J24" s="14" t="s">
        <v>4</v>
      </c>
      <c r="K24" s="14">
        <v>2</v>
      </c>
      <c r="L24" s="6"/>
      <c r="M24" s="34" t="s">
        <v>267</v>
      </c>
      <c r="N24" s="34" t="str">
        <f>VLOOKUP(G24,'Team Setup'!$B$5:$C$36,2,FALSE)</f>
        <v>Mestalla</v>
      </c>
      <c r="O24" s="9"/>
      <c r="P24" s="87"/>
      <c r="Q24" s="88"/>
      <c r="R24" s="97"/>
      <c r="S24" s="107" t="str">
        <f>VLOOKUP(2,'Dummy Table'!$DG$12:$DH$15,2,FALSE)</f>
        <v>Liverpool</v>
      </c>
      <c r="T24" s="23">
        <f>SUM(U24:W24)</f>
        <v>6</v>
      </c>
      <c r="U24" s="23">
        <f>SUMIF('Dummy Table'!B$12:B$15,'Group Stages'!S24,'Dummy Table'!Q$12:Q$15)</f>
        <v>3</v>
      </c>
      <c r="V24" s="23">
        <f>SUMIF('Dummy Table'!B$12:B$15,'Group Stages'!S24,'Dummy Table'!R$12:R$15)</f>
        <v>0</v>
      </c>
      <c r="W24" s="23">
        <f>SUMIF('Dummy Table'!B$12:B$15,'Group Stages'!S24,'Dummy Table'!S$12:S$15)</f>
        <v>3</v>
      </c>
      <c r="X24" s="23" t="str">
        <f>CONCATENATE(SUMIF('Dummy Table'!B$12:B$15,'Group Stages'!S24,'Dummy Table'!T$12:T$15)," - ",SUMIF('Dummy Table'!B$12:B$15,'Group Stages'!S24,'Dummy Table'!U$12:U$15))</f>
        <v>9 - 7</v>
      </c>
      <c r="Y24" s="108">
        <f>U24*3+V24*1</f>
        <v>9</v>
      </c>
      <c r="Z24" s="89"/>
      <c r="AA24" s="89"/>
      <c r="AC24" s="84" t="str">
        <f t="shared" si="0"/>
        <v>1Valencia</v>
      </c>
      <c r="AD24" s="84" t="str">
        <f t="shared" si="1"/>
        <v>1Juventus</v>
      </c>
      <c r="AF24" s="109"/>
      <c r="DB24" s="101" t="s">
        <v>47</v>
      </c>
      <c r="DC24" s="102" t="s">
        <v>71</v>
      </c>
    </row>
    <row r="25" spans="2:107" s="83" customFormat="1" ht="15" customHeight="1" x14ac:dyDescent="0.25">
      <c r="B25" s="86"/>
      <c r="C25" s="7"/>
      <c r="D25" s="66">
        <v>1</v>
      </c>
      <c r="E25" s="66" t="str">
        <f>VLOOKUP(G25,'Team Setup'!$B$5:$E$36,4,FALSE)</f>
        <v>H</v>
      </c>
      <c r="F25" s="106">
        <v>43362</v>
      </c>
      <c r="G25" s="26" t="s">
        <v>413</v>
      </c>
      <c r="H25" s="6"/>
      <c r="I25" s="14">
        <v>0</v>
      </c>
      <c r="J25" s="14" t="s">
        <v>4</v>
      </c>
      <c r="K25" s="14">
        <v>3</v>
      </c>
      <c r="L25" s="6"/>
      <c r="M25" s="34" t="s">
        <v>229</v>
      </c>
      <c r="N25" s="34" t="str">
        <f>VLOOKUP(G25,'Team Setup'!$B$5:$C$36,2,FALSE)</f>
        <v>Stade de Suisse</v>
      </c>
      <c r="O25" s="9"/>
      <c r="P25" s="87"/>
      <c r="Q25" s="88"/>
      <c r="R25" s="97"/>
      <c r="S25" s="107" t="str">
        <f>VLOOKUP(3,'Dummy Table'!$DG$12:$DH$15,2,FALSE)</f>
        <v>Napoli</v>
      </c>
      <c r="T25" s="23">
        <f>SUM(U25:W25)</f>
        <v>6</v>
      </c>
      <c r="U25" s="23">
        <f>SUMIF('Dummy Table'!B$12:B$15,'Group Stages'!S25,'Dummy Table'!Q$12:Q$15)</f>
        <v>2</v>
      </c>
      <c r="V25" s="23">
        <f>SUMIF('Dummy Table'!B$12:B$15,'Group Stages'!S25,'Dummy Table'!R$12:R$15)</f>
        <v>3</v>
      </c>
      <c r="W25" s="23">
        <f>SUMIF('Dummy Table'!B$12:B$15,'Group Stages'!S25,'Dummy Table'!S$12:S$15)</f>
        <v>1</v>
      </c>
      <c r="X25" s="23" t="str">
        <f>CONCATENATE(SUMIF('Dummy Table'!B$12:B$15,'Group Stages'!S25,'Dummy Table'!T$12:T$15)," - ",SUMIF('Dummy Table'!B$12:B$15,'Group Stages'!S25,'Dummy Table'!U$12:U$15))</f>
        <v>7 - 5</v>
      </c>
      <c r="Y25" s="108">
        <f>U25*3+V25*1</f>
        <v>9</v>
      </c>
      <c r="Z25" s="89"/>
      <c r="AA25" s="89"/>
      <c r="AC25" s="84" t="str">
        <f t="shared" si="0"/>
        <v>1Young Boys</v>
      </c>
      <c r="AD25" s="84" t="str">
        <f t="shared" si="1"/>
        <v>1Manchester United</v>
      </c>
      <c r="AF25" s="109"/>
      <c r="DB25" s="101" t="s">
        <v>35</v>
      </c>
      <c r="DC25" s="102" t="s">
        <v>72</v>
      </c>
    </row>
    <row r="26" spans="2:107" s="83" customFormat="1" ht="15" customHeight="1" x14ac:dyDescent="0.25">
      <c r="B26" s="86"/>
      <c r="C26" s="7"/>
      <c r="D26" s="66">
        <f>D10+1</f>
        <v>2</v>
      </c>
      <c r="E26" s="66" t="str">
        <f>VLOOKUP(G26,'Team Setup'!$B$5:$E$36,4,FALSE)</f>
        <v>F</v>
      </c>
      <c r="F26" s="106">
        <v>43375</v>
      </c>
      <c r="G26" s="26" t="s">
        <v>415</v>
      </c>
      <c r="H26" s="6"/>
      <c r="I26" s="14">
        <v>1</v>
      </c>
      <c r="J26" s="14" t="s">
        <v>4</v>
      </c>
      <c r="K26" s="14">
        <v>2</v>
      </c>
      <c r="L26" s="6"/>
      <c r="M26" s="34" t="s">
        <v>245</v>
      </c>
      <c r="N26" s="34" t="str">
        <f>VLOOKUP(G26,'Team Setup'!$B$5:$C$36,2,FALSE)</f>
        <v>Rhein-Neckar-Arena</v>
      </c>
      <c r="O26" s="9"/>
      <c r="P26" s="87"/>
      <c r="Q26" s="88"/>
      <c r="R26" s="97"/>
      <c r="S26" s="110" t="str">
        <f>VLOOKUP(4,'Dummy Table'!$DG$12:$DH$15,2,FALSE)</f>
        <v>Red Star Belgrade</v>
      </c>
      <c r="T26" s="111">
        <f>SUM(U26:W26)</f>
        <v>6</v>
      </c>
      <c r="U26" s="111">
        <f>SUMIF('Dummy Table'!B$12:B$15,'Group Stages'!S26,'Dummy Table'!Q$12:Q$15)</f>
        <v>1</v>
      </c>
      <c r="V26" s="111">
        <f>SUMIF('Dummy Table'!B$12:B$15,'Group Stages'!S26,'Dummy Table'!R$12:R$15)</f>
        <v>1</v>
      </c>
      <c r="W26" s="111">
        <f>SUMIF('Dummy Table'!B$12:B$15,'Group Stages'!S26,'Dummy Table'!S$12:S$15)</f>
        <v>4</v>
      </c>
      <c r="X26" s="111" t="str">
        <f>CONCATENATE(SUMIF('Dummy Table'!B$12:B$15,'Group Stages'!S26,'Dummy Table'!T$12:T$15)," - ",SUMIF('Dummy Table'!B$12:B$15,'Group Stages'!S26,'Dummy Table'!U$12:U$15))</f>
        <v>5 - 17</v>
      </c>
      <c r="Y26" s="112">
        <f>U26*3+V26*1</f>
        <v>4</v>
      </c>
      <c r="Z26" s="89"/>
      <c r="AA26" s="89"/>
      <c r="AC26" s="84" t="str">
        <f t="shared" si="0"/>
        <v>2Hoffenheim</v>
      </c>
      <c r="AD26" s="84" t="str">
        <f t="shared" si="1"/>
        <v>2Manchester City</v>
      </c>
      <c r="AF26" s="109"/>
      <c r="DB26" s="101" t="s">
        <v>29</v>
      </c>
      <c r="DC26" s="102" t="s">
        <v>73</v>
      </c>
    </row>
    <row r="27" spans="2:107" s="83" customFormat="1" ht="15" customHeight="1" x14ac:dyDescent="0.25">
      <c r="B27" s="86"/>
      <c r="C27" s="7"/>
      <c r="D27" s="66">
        <f t="shared" ref="D27:D90" si="2">D11+1</f>
        <v>2</v>
      </c>
      <c r="E27" s="66" t="str">
        <f>VLOOKUP(G27,'Team Setup'!$B$5:$E$36,4,FALSE)</f>
        <v>H</v>
      </c>
      <c r="F27" s="106">
        <v>43375</v>
      </c>
      <c r="G27" s="26" t="s">
        <v>267</v>
      </c>
      <c r="H27" s="6"/>
      <c r="I27" s="14">
        <v>3</v>
      </c>
      <c r="J27" s="14" t="s">
        <v>4</v>
      </c>
      <c r="K27" s="14">
        <v>0</v>
      </c>
      <c r="L27" s="6"/>
      <c r="M27" s="34" t="s">
        <v>413</v>
      </c>
      <c r="N27" s="34" t="str">
        <f>VLOOKUP(G27,'Team Setup'!$B$5:$C$36,2,FALSE)</f>
        <v>Juventus Stadium</v>
      </c>
      <c r="O27" s="9"/>
      <c r="P27" s="87"/>
      <c r="Q27" s="88"/>
      <c r="R27" s="97"/>
      <c r="S27" s="87"/>
      <c r="T27" s="87"/>
      <c r="U27" s="87"/>
      <c r="V27" s="87"/>
      <c r="W27" s="87"/>
      <c r="X27" s="87"/>
      <c r="Y27" s="87"/>
      <c r="Z27" s="89"/>
      <c r="AA27" s="89"/>
      <c r="AC27" s="84" t="str">
        <f t="shared" si="0"/>
        <v>2Juventus</v>
      </c>
      <c r="AD27" s="84" t="str">
        <f t="shared" si="1"/>
        <v>2Young Boys</v>
      </c>
      <c r="AF27" s="109"/>
      <c r="DB27" s="101" t="s">
        <v>28</v>
      </c>
      <c r="DC27" s="102" t="s">
        <v>74</v>
      </c>
    </row>
    <row r="28" spans="2:107" s="83" customFormat="1" ht="15" customHeight="1" x14ac:dyDescent="0.25">
      <c r="B28" s="86"/>
      <c r="C28" s="7"/>
      <c r="D28" s="66">
        <f t="shared" si="2"/>
        <v>2</v>
      </c>
      <c r="E28" s="66" t="str">
        <f>VLOOKUP(G28,'Team Setup'!$B$5:$E$36,4,FALSE)</f>
        <v>E</v>
      </c>
      <c r="F28" s="106">
        <v>43375</v>
      </c>
      <c r="G28" s="26" t="s">
        <v>417</v>
      </c>
      <c r="H28" s="6"/>
      <c r="I28" s="14">
        <v>2</v>
      </c>
      <c r="J28" s="14" t="s">
        <v>4</v>
      </c>
      <c r="K28" s="14">
        <v>3</v>
      </c>
      <c r="L28" s="6"/>
      <c r="M28" s="34" t="s">
        <v>242</v>
      </c>
      <c r="N28" s="34" t="str">
        <f>VLOOKUP(G28,'Team Setup'!$B$5:$C$36,2,FALSE)</f>
        <v>Athens Olympic Stadium</v>
      </c>
      <c r="O28" s="9"/>
      <c r="P28" s="87"/>
      <c r="Q28" s="88"/>
      <c r="R28" s="97"/>
      <c r="S28" s="87"/>
      <c r="T28" s="87"/>
      <c r="U28" s="87"/>
      <c r="V28" s="87"/>
      <c r="W28" s="87"/>
      <c r="X28" s="87"/>
      <c r="Y28" s="87"/>
      <c r="Z28" s="89"/>
      <c r="AA28" s="89"/>
      <c r="AC28" s="84" t="str">
        <f t="shared" si="0"/>
        <v>2AEK Athens</v>
      </c>
      <c r="AD28" s="84" t="str">
        <f t="shared" si="1"/>
        <v>2Benfica</v>
      </c>
      <c r="AF28" s="109"/>
      <c r="DB28" s="101" t="s">
        <v>32</v>
      </c>
      <c r="DC28" s="102" t="s">
        <v>75</v>
      </c>
    </row>
    <row r="29" spans="2:107" s="83" customFormat="1" ht="15" customHeight="1" x14ac:dyDescent="0.25">
      <c r="B29" s="86"/>
      <c r="C29" s="7"/>
      <c r="D29" s="66">
        <f t="shared" si="2"/>
        <v>2</v>
      </c>
      <c r="E29" s="66" t="str">
        <f>VLOOKUP(G29,'Team Setup'!$B$5:$E$36,4,FALSE)</f>
        <v>G</v>
      </c>
      <c r="F29" s="106">
        <v>43375</v>
      </c>
      <c r="G29" s="26" t="s">
        <v>396</v>
      </c>
      <c r="H29" s="6"/>
      <c r="I29" s="14">
        <v>5</v>
      </c>
      <c r="J29" s="14" t="s">
        <v>4</v>
      </c>
      <c r="K29" s="14">
        <v>0</v>
      </c>
      <c r="L29" s="6"/>
      <c r="M29" s="34" t="s">
        <v>423</v>
      </c>
      <c r="N29" s="34" t="str">
        <f>VLOOKUP(G29,'Team Setup'!$B$5:$C$36,2,FALSE)</f>
        <v>Olimpico</v>
      </c>
      <c r="O29" s="9"/>
      <c r="P29" s="87"/>
      <c r="Q29" s="88"/>
      <c r="R29" s="97"/>
      <c r="S29" s="98" t="s">
        <v>13</v>
      </c>
      <c r="T29" s="99" t="s">
        <v>53</v>
      </c>
      <c r="U29" s="99" t="s">
        <v>7</v>
      </c>
      <c r="V29" s="99" t="s">
        <v>8</v>
      </c>
      <c r="W29" s="99" t="s">
        <v>9</v>
      </c>
      <c r="X29" s="99" t="s">
        <v>10</v>
      </c>
      <c r="Y29" s="100" t="s">
        <v>54</v>
      </c>
      <c r="Z29" s="89"/>
      <c r="AA29" s="89"/>
      <c r="AC29" s="84" t="str">
        <f t="shared" si="0"/>
        <v>2AS Roma</v>
      </c>
      <c r="AD29" s="84" t="str">
        <f t="shared" si="1"/>
        <v>2Plzen</v>
      </c>
      <c r="AF29" s="109"/>
      <c r="DB29" s="101" t="s">
        <v>42</v>
      </c>
      <c r="DC29" s="102" t="s">
        <v>76</v>
      </c>
    </row>
    <row r="30" spans="2:107" s="83" customFormat="1" ht="15" customHeight="1" x14ac:dyDescent="0.25">
      <c r="B30" s="86"/>
      <c r="C30" s="7"/>
      <c r="D30" s="66">
        <f t="shared" si="2"/>
        <v>2</v>
      </c>
      <c r="E30" s="66" t="str">
        <f>VLOOKUP(G30,'Team Setup'!$B$5:$E$36,4,FALSE)</f>
        <v>E</v>
      </c>
      <c r="F30" s="106">
        <v>43375</v>
      </c>
      <c r="G30" s="26" t="s">
        <v>226</v>
      </c>
      <c r="H30" s="6"/>
      <c r="I30" s="14">
        <v>1</v>
      </c>
      <c r="J30" s="14" t="s">
        <v>4</v>
      </c>
      <c r="K30" s="14">
        <v>1</v>
      </c>
      <c r="L30" s="6"/>
      <c r="M30" s="34" t="s">
        <v>243</v>
      </c>
      <c r="N30" s="34" t="str">
        <f>VLOOKUP(G30,'Team Setup'!$B$5:$C$36,2,FALSE)</f>
        <v>Allianz Arena</v>
      </c>
      <c r="O30" s="9"/>
      <c r="P30" s="87"/>
      <c r="Q30" s="88"/>
      <c r="R30" s="97"/>
      <c r="S30" s="103" t="str">
        <f>VLOOKUP(1,'Dummy Table'!$DG$16:$DH$19,2,FALSE)</f>
        <v>Porto</v>
      </c>
      <c r="T30" s="104">
        <f>SUM(U30:W30)</f>
        <v>6</v>
      </c>
      <c r="U30" s="104">
        <f>SUMIF('Dummy Table'!B$16:B$19,'Group Stages'!S30,'Dummy Table'!Q$16:Q$19)</f>
        <v>5</v>
      </c>
      <c r="V30" s="104">
        <f>SUMIF('Dummy Table'!B$16:B$19,'Group Stages'!S30,'Dummy Table'!R$16:R$19)</f>
        <v>1</v>
      </c>
      <c r="W30" s="104">
        <f>SUMIF('Dummy Table'!B$16:B$19,'Group Stages'!S30,'Dummy Table'!S$16:S$19)</f>
        <v>0</v>
      </c>
      <c r="X30" s="104" t="str">
        <f>CONCATENATE(SUMIF('Dummy Table'!B$16:B$19,'Group Stages'!S30,'Dummy Table'!T$16:T$19)," - ",SUMIF('Dummy Table'!B$16:B$19,'Group Stages'!S30,'Dummy Table'!U$16:U$19))</f>
        <v>15 - 6</v>
      </c>
      <c r="Y30" s="105">
        <f>U30*3+V30*1</f>
        <v>16</v>
      </c>
      <c r="Z30" s="89"/>
      <c r="AA30" s="89"/>
      <c r="AC30" s="84" t="str">
        <f t="shared" si="0"/>
        <v>2Bayern Munich</v>
      </c>
      <c r="AD30" s="84" t="str">
        <f t="shared" si="1"/>
        <v>2Ajax</v>
      </c>
      <c r="AF30" s="109"/>
      <c r="DB30" s="101" t="s">
        <v>38</v>
      </c>
      <c r="DC30" s="102" t="s">
        <v>77</v>
      </c>
    </row>
    <row r="31" spans="2:107" s="83" customFormat="1" ht="15" customHeight="1" x14ac:dyDescent="0.25">
      <c r="B31" s="86"/>
      <c r="C31" s="7"/>
      <c r="D31" s="66">
        <f t="shared" si="2"/>
        <v>2</v>
      </c>
      <c r="E31" s="66" t="str">
        <f>VLOOKUP(G31,'Team Setup'!$B$5:$E$36,4,FALSE)</f>
        <v>G</v>
      </c>
      <c r="F31" s="106">
        <v>43375</v>
      </c>
      <c r="G31" s="26" t="s">
        <v>342</v>
      </c>
      <c r="H31" s="6"/>
      <c r="I31" s="14">
        <v>1</v>
      </c>
      <c r="J31" s="14" t="s">
        <v>4</v>
      </c>
      <c r="K31" s="14">
        <v>0</v>
      </c>
      <c r="L31" s="6"/>
      <c r="M31" s="34" t="s">
        <v>171</v>
      </c>
      <c r="N31" s="34" t="str">
        <f>VLOOKUP(G31,'Team Setup'!$B$5:$C$36,2,FALSE)</f>
        <v>Luzhniki</v>
      </c>
      <c r="O31" s="9"/>
      <c r="P31" s="87"/>
      <c r="Q31" s="88"/>
      <c r="R31" s="97"/>
      <c r="S31" s="107" t="str">
        <f>VLOOKUP(2,'Dummy Table'!$DG$16:$DH$19,2,FALSE)</f>
        <v>Schalke 04</v>
      </c>
      <c r="T31" s="23">
        <f>SUM(U31:W31)</f>
        <v>6</v>
      </c>
      <c r="U31" s="23">
        <f>SUMIF('Dummy Table'!B$16:B$19,'Group Stages'!S31,'Dummy Table'!Q$16:Q$19)</f>
        <v>3</v>
      </c>
      <c r="V31" s="23">
        <f>SUMIF('Dummy Table'!B$16:B$19,'Group Stages'!S31,'Dummy Table'!R$16:R$19)</f>
        <v>2</v>
      </c>
      <c r="W31" s="23">
        <f>SUMIF('Dummy Table'!B$16:B$19,'Group Stages'!S31,'Dummy Table'!S$16:S$19)</f>
        <v>1</v>
      </c>
      <c r="X31" s="23" t="str">
        <f>CONCATENATE(SUMIF('Dummy Table'!B$16:B$19,'Group Stages'!S31,'Dummy Table'!T$16:T$19)," - ",SUMIF('Dummy Table'!B$16:B$19,'Group Stages'!S31,'Dummy Table'!U$16:U$19))</f>
        <v>6 - 4</v>
      </c>
      <c r="Y31" s="108">
        <f>U31*3+V31*1</f>
        <v>11</v>
      </c>
      <c r="Z31" s="89"/>
      <c r="AA31" s="89"/>
      <c r="AC31" s="84" t="str">
        <f t="shared" si="0"/>
        <v>2CSKA Moscow</v>
      </c>
      <c r="AD31" s="84" t="str">
        <f t="shared" si="1"/>
        <v>2Real Madrid</v>
      </c>
      <c r="AF31" s="109"/>
      <c r="DB31" s="101" t="s">
        <v>36</v>
      </c>
      <c r="DC31" s="102" t="s">
        <v>78</v>
      </c>
    </row>
    <row r="32" spans="2:107" s="83" customFormat="1" ht="15" customHeight="1" x14ac:dyDescent="0.25">
      <c r="B32" s="86"/>
      <c r="C32" s="7"/>
      <c r="D32" s="66">
        <f t="shared" si="2"/>
        <v>2</v>
      </c>
      <c r="E32" s="66" t="str">
        <f>VLOOKUP(G32,'Team Setup'!$B$5:$E$36,4,FALSE)</f>
        <v>F</v>
      </c>
      <c r="F32" s="106">
        <v>43375</v>
      </c>
      <c r="G32" s="26" t="s">
        <v>419</v>
      </c>
      <c r="H32" s="6"/>
      <c r="I32" s="14">
        <v>2</v>
      </c>
      <c r="J32" s="14" t="s">
        <v>4</v>
      </c>
      <c r="K32" s="14">
        <v>2</v>
      </c>
      <c r="L32" s="6"/>
      <c r="M32" s="34" t="s">
        <v>244</v>
      </c>
      <c r="N32" s="34" t="str">
        <f>VLOOKUP(G32,'Team Setup'!$B$5:$C$36,2,FALSE)</f>
        <v>Groupama Stadium</v>
      </c>
      <c r="O32" s="9"/>
      <c r="P32" s="87"/>
      <c r="Q32" s="88"/>
      <c r="R32" s="97"/>
      <c r="S32" s="107" t="str">
        <f>VLOOKUP(3,'Dummy Table'!$DG$16:$DH$19,2,FALSE)</f>
        <v>Galatasaray</v>
      </c>
      <c r="T32" s="23">
        <f>SUM(U32:W32)</f>
        <v>6</v>
      </c>
      <c r="U32" s="23">
        <f>SUMIF('Dummy Table'!B$16:B$19,'Group Stages'!S32,'Dummy Table'!Q$16:Q$19)</f>
        <v>1</v>
      </c>
      <c r="V32" s="23">
        <f>SUMIF('Dummy Table'!B$16:B$19,'Group Stages'!S32,'Dummy Table'!R$16:R$19)</f>
        <v>1</v>
      </c>
      <c r="W32" s="23">
        <f>SUMIF('Dummy Table'!B$16:B$19,'Group Stages'!S32,'Dummy Table'!S$16:S$19)</f>
        <v>4</v>
      </c>
      <c r="X32" s="23" t="str">
        <f>CONCATENATE(SUMIF('Dummy Table'!B$16:B$19,'Group Stages'!S32,'Dummy Table'!T$16:T$19)," - ",SUMIF('Dummy Table'!B$16:B$19,'Group Stages'!S32,'Dummy Table'!U$16:U$19))</f>
        <v>5 - 8</v>
      </c>
      <c r="Y32" s="108">
        <f>U32*3+V32*1</f>
        <v>4</v>
      </c>
      <c r="Z32" s="89"/>
      <c r="AA32" s="89"/>
      <c r="AC32" s="84" t="str">
        <f t="shared" si="0"/>
        <v>2Lyon</v>
      </c>
      <c r="AD32" s="84" t="str">
        <f t="shared" si="1"/>
        <v>2Shakhtar Donetsk</v>
      </c>
      <c r="AF32" s="109"/>
      <c r="DB32" s="101" t="s">
        <v>25</v>
      </c>
      <c r="DC32" s="102" t="s">
        <v>79</v>
      </c>
    </row>
    <row r="33" spans="2:107" s="83" customFormat="1" ht="15" customHeight="1" x14ac:dyDescent="0.25">
      <c r="B33" s="86"/>
      <c r="C33" s="7"/>
      <c r="D33" s="66">
        <f t="shared" si="2"/>
        <v>2</v>
      </c>
      <c r="E33" s="66" t="str">
        <f>VLOOKUP(G33,'Team Setup'!$B$5:$E$36,4,FALSE)</f>
        <v>H</v>
      </c>
      <c r="F33" s="106">
        <v>43375</v>
      </c>
      <c r="G33" s="26" t="s">
        <v>229</v>
      </c>
      <c r="H33" s="6"/>
      <c r="I33" s="14">
        <v>0</v>
      </c>
      <c r="J33" s="14" t="s">
        <v>4</v>
      </c>
      <c r="K33" s="14">
        <v>0</v>
      </c>
      <c r="L33" s="6"/>
      <c r="M33" s="34" t="s">
        <v>435</v>
      </c>
      <c r="N33" s="34" t="str">
        <f>VLOOKUP(G33,'Team Setup'!$B$5:$C$36,2,FALSE)</f>
        <v>Old Trafford</v>
      </c>
      <c r="O33" s="9"/>
      <c r="P33" s="87"/>
      <c r="Q33" s="88"/>
      <c r="R33" s="97"/>
      <c r="S33" s="110" t="str">
        <f>VLOOKUP(4,'Dummy Table'!$DG$16:$DH$19,2,FALSE)</f>
        <v>Lokomotiv Moscow</v>
      </c>
      <c r="T33" s="111">
        <f>SUM(U33:W33)</f>
        <v>6</v>
      </c>
      <c r="U33" s="111">
        <f>SUMIF('Dummy Table'!B$16:B$19,'Group Stages'!S33,'Dummy Table'!Q$16:Q$19)</f>
        <v>1</v>
      </c>
      <c r="V33" s="111">
        <f>SUMIF('Dummy Table'!B$16:B$19,'Group Stages'!S33,'Dummy Table'!R$16:R$19)</f>
        <v>0</v>
      </c>
      <c r="W33" s="111">
        <f>SUMIF('Dummy Table'!B$16:B$19,'Group Stages'!S33,'Dummy Table'!S$16:S$19)</f>
        <v>5</v>
      </c>
      <c r="X33" s="111" t="str">
        <f>CONCATENATE(SUMIF('Dummy Table'!B$16:B$19,'Group Stages'!S33,'Dummy Table'!T$16:T$19)," - ",SUMIF('Dummy Table'!B$16:B$19,'Group Stages'!S33,'Dummy Table'!U$16:U$19))</f>
        <v>4 - 12</v>
      </c>
      <c r="Y33" s="112">
        <f>U33*3+V33*1</f>
        <v>3</v>
      </c>
      <c r="Z33" s="89"/>
      <c r="AA33" s="89"/>
      <c r="AC33" s="84" t="str">
        <f t="shared" si="0"/>
        <v>2Manchester United</v>
      </c>
      <c r="AD33" s="84" t="str">
        <f t="shared" si="1"/>
        <v>2Valencia</v>
      </c>
      <c r="AF33" s="109"/>
      <c r="DB33" s="101" t="s">
        <v>43</v>
      </c>
      <c r="DC33" s="102" t="s">
        <v>80</v>
      </c>
    </row>
    <row r="34" spans="2:107" s="83" customFormat="1" ht="15" customHeight="1" x14ac:dyDescent="0.25">
      <c r="B34" s="86"/>
      <c r="C34" s="7"/>
      <c r="D34" s="66">
        <f t="shared" si="2"/>
        <v>2</v>
      </c>
      <c r="E34" s="66" t="str">
        <f>VLOOKUP(G34,'Team Setup'!$B$5:$E$36,4,FALSE)</f>
        <v>D</v>
      </c>
      <c r="F34" s="106">
        <v>43376</v>
      </c>
      <c r="G34" s="26" t="s">
        <v>421</v>
      </c>
      <c r="H34" s="6"/>
      <c r="I34" s="14">
        <v>0</v>
      </c>
      <c r="J34" s="14" t="s">
        <v>4</v>
      </c>
      <c r="K34" s="14">
        <v>1</v>
      </c>
      <c r="L34" s="6"/>
      <c r="M34" s="34" t="s">
        <v>270</v>
      </c>
      <c r="N34" s="34" t="str">
        <f>VLOOKUP(G34,'Team Setup'!$B$5:$C$36,2,FALSE)</f>
        <v>RZD Arena</v>
      </c>
      <c r="O34" s="9"/>
      <c r="P34" s="87"/>
      <c r="Q34" s="88"/>
      <c r="R34" s="97"/>
      <c r="S34" s="87"/>
      <c r="T34" s="87"/>
      <c r="U34" s="87"/>
      <c r="V34" s="87"/>
      <c r="W34" s="87"/>
      <c r="X34" s="87"/>
      <c r="Y34" s="87"/>
      <c r="Z34" s="89"/>
      <c r="AA34" s="89"/>
      <c r="AC34" s="84" t="str">
        <f t="shared" si="0"/>
        <v>2Lokomotiv Moscow</v>
      </c>
      <c r="AD34" s="84" t="str">
        <f t="shared" si="1"/>
        <v>2Schalke 04</v>
      </c>
      <c r="DB34" s="101" t="s">
        <v>45</v>
      </c>
      <c r="DC34" s="102" t="s">
        <v>81</v>
      </c>
    </row>
    <row r="35" spans="2:107" s="83" customFormat="1" ht="15" customHeight="1" x14ac:dyDescent="0.25">
      <c r="B35" s="86"/>
      <c r="C35" s="7"/>
      <c r="D35" s="66">
        <f t="shared" si="2"/>
        <v>2</v>
      </c>
      <c r="E35" s="66" t="str">
        <f>VLOOKUP(G35,'Team Setup'!$B$5:$E$36,4,FALSE)</f>
        <v>C</v>
      </c>
      <c r="F35" s="106">
        <v>43376</v>
      </c>
      <c r="G35" s="26" t="s">
        <v>268</v>
      </c>
      <c r="H35" s="6"/>
      <c r="I35" s="14">
        <v>6</v>
      </c>
      <c r="J35" s="14" t="s">
        <v>4</v>
      </c>
      <c r="K35" s="14">
        <v>1</v>
      </c>
      <c r="L35" s="6"/>
      <c r="M35" s="34" t="s">
        <v>426</v>
      </c>
      <c r="N35" s="34" t="str">
        <f>VLOOKUP(G35,'Team Setup'!$B$5:$C$36,2,FALSE)</f>
        <v>Parc des Princes</v>
      </c>
      <c r="O35" s="9"/>
      <c r="P35" s="87"/>
      <c r="Q35" s="88"/>
      <c r="R35" s="97"/>
      <c r="S35" s="87"/>
      <c r="T35" s="87"/>
      <c r="U35" s="87"/>
      <c r="V35" s="87"/>
      <c r="W35" s="87"/>
      <c r="X35" s="87"/>
      <c r="Y35" s="87"/>
      <c r="Z35" s="89"/>
      <c r="AA35" s="89"/>
      <c r="AB35" s="87"/>
      <c r="AC35" s="84" t="str">
        <f t="shared" si="0"/>
        <v>2Paris Saint-Germain</v>
      </c>
      <c r="AD35" s="84" t="str">
        <f t="shared" si="1"/>
        <v>2Red Star Belgrade</v>
      </c>
      <c r="DB35" s="113"/>
      <c r="DC35" s="102" t="s">
        <v>82</v>
      </c>
    </row>
    <row r="36" spans="2:107" s="83" customFormat="1" ht="15" customHeight="1" x14ac:dyDescent="0.25">
      <c r="B36" s="86"/>
      <c r="C36" s="7"/>
      <c r="D36" s="66">
        <f t="shared" si="2"/>
        <v>2</v>
      </c>
      <c r="E36" s="66" t="str">
        <f>VLOOKUP(G36,'Team Setup'!$B$5:$E$36,4,FALSE)</f>
        <v>A</v>
      </c>
      <c r="F36" s="106">
        <v>43376</v>
      </c>
      <c r="G36" s="26" t="s">
        <v>346</v>
      </c>
      <c r="H36" s="6"/>
      <c r="I36" s="14">
        <v>3</v>
      </c>
      <c r="J36" s="14" t="s">
        <v>4</v>
      </c>
      <c r="K36" s="14">
        <v>1</v>
      </c>
      <c r="L36" s="6"/>
      <c r="M36" s="34" t="s">
        <v>429</v>
      </c>
      <c r="N36" s="34" t="str">
        <f>VLOOKUP(G36,'Team Setup'!$B$5:$C$36,2,FALSE)</f>
        <v>Vicente Calderon</v>
      </c>
      <c r="O36" s="9"/>
      <c r="P36" s="87"/>
      <c r="Q36" s="88"/>
      <c r="R36" s="97"/>
      <c r="S36" s="98" t="s">
        <v>164</v>
      </c>
      <c r="T36" s="99" t="s">
        <v>53</v>
      </c>
      <c r="U36" s="99" t="s">
        <v>7</v>
      </c>
      <c r="V36" s="99" t="s">
        <v>8</v>
      </c>
      <c r="W36" s="99" t="s">
        <v>9</v>
      </c>
      <c r="X36" s="99" t="s">
        <v>10</v>
      </c>
      <c r="Y36" s="100" t="s">
        <v>54</v>
      </c>
      <c r="Z36" s="89"/>
      <c r="AA36" s="89"/>
      <c r="AC36" s="84" t="str">
        <f t="shared" si="0"/>
        <v>2Atletico Madrid</v>
      </c>
      <c r="AD36" s="84" t="str">
        <f t="shared" si="1"/>
        <v>2Club Brugge</v>
      </c>
      <c r="DB36" s="113"/>
      <c r="DC36" s="102" t="s">
        <v>83</v>
      </c>
    </row>
    <row r="37" spans="2:107" s="83" customFormat="1" ht="15" customHeight="1" x14ac:dyDescent="0.25">
      <c r="B37" s="86"/>
      <c r="C37" s="7"/>
      <c r="D37" s="66">
        <f t="shared" si="2"/>
        <v>2</v>
      </c>
      <c r="E37" s="66" t="str">
        <f>VLOOKUP(G37,'Team Setup'!$B$5:$E$36,4,FALSE)</f>
        <v>A</v>
      </c>
      <c r="F37" s="106">
        <v>43376</v>
      </c>
      <c r="G37" s="26" t="s">
        <v>247</v>
      </c>
      <c r="H37" s="6"/>
      <c r="I37" s="14">
        <v>3</v>
      </c>
      <c r="J37" s="14" t="s">
        <v>4</v>
      </c>
      <c r="K37" s="14">
        <v>0</v>
      </c>
      <c r="L37" s="6"/>
      <c r="M37" s="34" t="s">
        <v>386</v>
      </c>
      <c r="N37" s="34" t="str">
        <f>VLOOKUP(G37,'Team Setup'!$B$5:$C$36,2,FALSE)</f>
        <v>Signal Iduna Park</v>
      </c>
      <c r="O37" s="9"/>
      <c r="P37" s="87"/>
      <c r="Q37" s="88"/>
      <c r="R37" s="97"/>
      <c r="S37" s="103" t="str">
        <f>VLOOKUP(1,'Dummy Table'!$DG$20:$DH$23,2,FALSE)</f>
        <v>Bayern Munich</v>
      </c>
      <c r="T37" s="104">
        <f>SUM(U37:W37)</f>
        <v>6</v>
      </c>
      <c r="U37" s="104">
        <f>SUMIF('Dummy Table'!B$20:B$23,'Group Stages'!S37,'Dummy Table'!Q$20:Q$23)</f>
        <v>4</v>
      </c>
      <c r="V37" s="104">
        <f>SUMIF('Dummy Table'!B$20:B$23,'Group Stages'!S37,'Dummy Table'!R$20:R$23)</f>
        <v>2</v>
      </c>
      <c r="W37" s="104">
        <f>SUMIF('Dummy Table'!B$20:B$23,'Group Stages'!S37,'Dummy Table'!S$20:S$23)</f>
        <v>0</v>
      </c>
      <c r="X37" s="104" t="str">
        <f>CONCATENATE(SUMIF('Dummy Table'!B$20:B$23,'Group Stages'!S37,'Dummy Table'!T$20:T$23)," - ",SUMIF('Dummy Table'!B$20:B$23,'Group Stages'!S37,'Dummy Table'!U$20:U$23))</f>
        <v>15 - 5</v>
      </c>
      <c r="Y37" s="105">
        <f>U37*3+V37*1</f>
        <v>14</v>
      </c>
      <c r="Z37" s="89"/>
      <c r="AA37" s="89"/>
      <c r="AC37" s="84" t="str">
        <f t="shared" si="0"/>
        <v>2Borussia Dortmund</v>
      </c>
      <c r="AD37" s="84" t="str">
        <f t="shared" si="1"/>
        <v>2Monaco</v>
      </c>
      <c r="DB37" s="85"/>
      <c r="DC37" s="102" t="s">
        <v>84</v>
      </c>
    </row>
    <row r="38" spans="2:107" s="83" customFormat="1" ht="15" customHeight="1" x14ac:dyDescent="0.25">
      <c r="B38" s="86"/>
      <c r="C38" s="7"/>
      <c r="D38" s="66">
        <f t="shared" si="2"/>
        <v>2</v>
      </c>
      <c r="E38" s="66" t="str">
        <f>VLOOKUP(G38,'Team Setup'!$B$5:$E$36,4,FALSE)</f>
        <v>D</v>
      </c>
      <c r="F38" s="106">
        <v>43376</v>
      </c>
      <c r="G38" s="26" t="s">
        <v>248</v>
      </c>
      <c r="H38" s="6"/>
      <c r="I38" s="14">
        <v>1</v>
      </c>
      <c r="J38" s="14" t="s">
        <v>4</v>
      </c>
      <c r="K38" s="14">
        <v>0</v>
      </c>
      <c r="L38" s="6"/>
      <c r="M38" s="34" t="s">
        <v>269</v>
      </c>
      <c r="N38" s="34" t="str">
        <f>VLOOKUP(G38,'Team Setup'!$B$5:$C$36,2,FALSE)</f>
        <v>Estádio do Dragão</v>
      </c>
      <c r="O38" s="9"/>
      <c r="P38" s="87"/>
      <c r="Q38" s="114"/>
      <c r="R38" s="115"/>
      <c r="S38" s="107" t="str">
        <f>VLOOKUP(2,'Dummy Table'!$DG$20:$DH$23,2,FALSE)</f>
        <v>Ajax</v>
      </c>
      <c r="T38" s="23">
        <f>SUM(U38:W38)</f>
        <v>6</v>
      </c>
      <c r="U38" s="23">
        <f>SUMIF('Dummy Table'!B$20:B$23,'Group Stages'!S38,'Dummy Table'!Q$20:Q$23)</f>
        <v>3</v>
      </c>
      <c r="V38" s="23">
        <f>SUMIF('Dummy Table'!B$20:B$23,'Group Stages'!S38,'Dummy Table'!R$20:R$23)</f>
        <v>3</v>
      </c>
      <c r="W38" s="23">
        <f>SUMIF('Dummy Table'!B$20:B$23,'Group Stages'!S38,'Dummy Table'!S$20:S$23)</f>
        <v>0</v>
      </c>
      <c r="X38" s="23" t="str">
        <f>CONCATENATE(SUMIF('Dummy Table'!B$20:B$23,'Group Stages'!S38,'Dummy Table'!T$20:T$23)," - ",SUMIF('Dummy Table'!B$20:B$23,'Group Stages'!S38,'Dummy Table'!U$20:U$23))</f>
        <v>11 - 5</v>
      </c>
      <c r="Y38" s="108">
        <f>U38*3+V38*1</f>
        <v>12</v>
      </c>
      <c r="Z38" s="116"/>
      <c r="AA38" s="116"/>
      <c r="AC38" s="84" t="str">
        <f t="shared" si="0"/>
        <v>2Porto</v>
      </c>
      <c r="AD38" s="84" t="str">
        <f t="shared" si="1"/>
        <v>2Galatasaray</v>
      </c>
      <c r="DB38" s="85"/>
      <c r="DC38" s="102" t="s">
        <v>85</v>
      </c>
    </row>
    <row r="39" spans="2:107" s="83" customFormat="1" ht="15" customHeight="1" x14ac:dyDescent="0.25">
      <c r="B39" s="86"/>
      <c r="C39" s="7"/>
      <c r="D39" s="66">
        <f t="shared" si="2"/>
        <v>2</v>
      </c>
      <c r="E39" s="66" t="str">
        <f>VLOOKUP(G39,'Team Setup'!$B$5:$E$36,4,FALSE)</f>
        <v>C</v>
      </c>
      <c r="F39" s="106">
        <v>43376</v>
      </c>
      <c r="G39" s="26" t="s">
        <v>345</v>
      </c>
      <c r="H39" s="6"/>
      <c r="I39" s="14">
        <v>1</v>
      </c>
      <c r="J39" s="14" t="s">
        <v>4</v>
      </c>
      <c r="K39" s="14">
        <v>0</v>
      </c>
      <c r="L39" s="6"/>
      <c r="M39" s="34" t="s">
        <v>393</v>
      </c>
      <c r="N39" s="34" t="str">
        <f>VLOOKUP(G39,'Team Setup'!$B$5:$C$36,2,FALSE)</f>
        <v>San Paolo</v>
      </c>
      <c r="O39" s="9"/>
      <c r="P39" s="87"/>
      <c r="Q39" s="117"/>
      <c r="R39" s="115"/>
      <c r="S39" s="107" t="str">
        <f>VLOOKUP(3,'Dummy Table'!$DG$20:$DH$23,2,FALSE)</f>
        <v>Benfica</v>
      </c>
      <c r="T39" s="23">
        <f>SUM(U39:W39)</f>
        <v>6</v>
      </c>
      <c r="U39" s="23">
        <f>SUMIF('Dummy Table'!B$20:B$23,'Group Stages'!S39,'Dummy Table'!Q$20:Q$23)</f>
        <v>2</v>
      </c>
      <c r="V39" s="23">
        <f>SUMIF('Dummy Table'!B$20:B$23,'Group Stages'!S39,'Dummy Table'!R$20:R$23)</f>
        <v>1</v>
      </c>
      <c r="W39" s="23">
        <f>SUMIF('Dummy Table'!B$20:B$23,'Group Stages'!S39,'Dummy Table'!S$20:S$23)</f>
        <v>3</v>
      </c>
      <c r="X39" s="23" t="str">
        <f>CONCATENATE(SUMIF('Dummy Table'!B$20:B$23,'Group Stages'!S39,'Dummy Table'!T$20:T$23)," - ",SUMIF('Dummy Table'!B$20:B$23,'Group Stages'!S39,'Dummy Table'!U$20:U$23))</f>
        <v>6 - 11</v>
      </c>
      <c r="Y39" s="108">
        <f>U39*3+V39*1</f>
        <v>7</v>
      </c>
      <c r="Z39" s="118"/>
      <c r="AA39" s="118"/>
      <c r="AC39" s="84" t="str">
        <f t="shared" si="0"/>
        <v>2Napoli</v>
      </c>
      <c r="AD39" s="84" t="str">
        <f t="shared" si="1"/>
        <v>2Liverpool</v>
      </c>
      <c r="DB39" s="85"/>
      <c r="DC39" s="102" t="s">
        <v>86</v>
      </c>
    </row>
    <row r="40" spans="2:107" s="83" customFormat="1" ht="15" customHeight="1" x14ac:dyDescent="0.25">
      <c r="B40" s="86"/>
      <c r="C40" s="7"/>
      <c r="D40" s="66">
        <f t="shared" si="2"/>
        <v>2</v>
      </c>
      <c r="E40" s="66" t="str">
        <f>VLOOKUP(G40,'Team Setup'!$B$5:$E$36,4,FALSE)</f>
        <v>B</v>
      </c>
      <c r="F40" s="106">
        <v>43376</v>
      </c>
      <c r="G40" s="26" t="s">
        <v>432</v>
      </c>
      <c r="H40" s="6"/>
      <c r="I40" s="14">
        <v>1</v>
      </c>
      <c r="J40" s="14" t="s">
        <v>4</v>
      </c>
      <c r="K40" s="14">
        <v>2</v>
      </c>
      <c r="L40" s="6"/>
      <c r="M40" s="34" t="s">
        <v>440</v>
      </c>
      <c r="N40" s="34" t="str">
        <f>VLOOKUP(G40,'Team Setup'!$B$5:$C$36,2,FALSE)</f>
        <v>PSV Stadion</v>
      </c>
      <c r="O40" s="9"/>
      <c r="P40" s="87"/>
      <c r="Q40" s="117"/>
      <c r="R40" s="115"/>
      <c r="S40" s="110" t="str">
        <f>VLOOKUP(4,'Dummy Table'!$DG$20:$DH$23,2,FALSE)</f>
        <v>AEK Athens</v>
      </c>
      <c r="T40" s="111">
        <f>SUM(U40:W40)</f>
        <v>6</v>
      </c>
      <c r="U40" s="111">
        <f>SUMIF('Dummy Table'!B$20:B$23,'Group Stages'!S40,'Dummy Table'!Q$20:Q$23)</f>
        <v>0</v>
      </c>
      <c r="V40" s="111">
        <f>SUMIF('Dummy Table'!B$20:B$23,'Group Stages'!S40,'Dummy Table'!R$20:R$23)</f>
        <v>0</v>
      </c>
      <c r="W40" s="111">
        <f>SUMIF('Dummy Table'!B$20:B$23,'Group Stages'!S40,'Dummy Table'!S$20:S$23)</f>
        <v>6</v>
      </c>
      <c r="X40" s="111" t="str">
        <f>CONCATENATE(SUMIF('Dummy Table'!B$20:B$23,'Group Stages'!S40,'Dummy Table'!T$20:T$23)," - ",SUMIF('Dummy Table'!B$20:B$23,'Group Stages'!S40,'Dummy Table'!U$20:U$23))</f>
        <v>2 - 13</v>
      </c>
      <c r="Y40" s="112">
        <f>U40*3+V40*1</f>
        <v>0</v>
      </c>
      <c r="Z40" s="118"/>
      <c r="AA40" s="118"/>
      <c r="AC40" s="84" t="str">
        <f t="shared" si="0"/>
        <v>2PSV Eindhoven</v>
      </c>
      <c r="AD40" s="84" t="str">
        <f t="shared" si="1"/>
        <v>2Internazionale</v>
      </c>
      <c r="DB40" s="85"/>
      <c r="DC40" s="102" t="s">
        <v>87</v>
      </c>
    </row>
    <row r="41" spans="2:107" s="83" customFormat="1" ht="15" customHeight="1" x14ac:dyDescent="0.25">
      <c r="B41" s="86"/>
      <c r="C41" s="7"/>
      <c r="D41" s="66">
        <f t="shared" si="2"/>
        <v>2</v>
      </c>
      <c r="E41" s="66" t="str">
        <f>VLOOKUP(G41,'Team Setup'!$B$5:$E$36,4,FALSE)</f>
        <v>B</v>
      </c>
      <c r="F41" s="106">
        <v>43376</v>
      </c>
      <c r="G41" s="26" t="s">
        <v>385</v>
      </c>
      <c r="H41" s="6"/>
      <c r="I41" s="14">
        <v>2</v>
      </c>
      <c r="J41" s="14" t="s">
        <v>4</v>
      </c>
      <c r="K41" s="14">
        <v>4</v>
      </c>
      <c r="L41" s="6"/>
      <c r="M41" s="34" t="s">
        <v>169</v>
      </c>
      <c r="N41" s="34" t="str">
        <f>VLOOKUP(G41,'Team Setup'!$B$5:$C$36,2,FALSE)</f>
        <v>White Hart Lane</v>
      </c>
      <c r="O41" s="9"/>
      <c r="P41" s="87"/>
      <c r="Q41" s="117"/>
      <c r="R41" s="115"/>
      <c r="S41" s="27"/>
      <c r="T41" s="27"/>
      <c r="U41" s="27"/>
      <c r="V41" s="27"/>
      <c r="W41" s="27"/>
      <c r="X41" s="27"/>
      <c r="Y41" s="27"/>
      <c r="Z41" s="118"/>
      <c r="AA41" s="118"/>
      <c r="AC41" s="84" t="str">
        <f t="shared" si="0"/>
        <v>2Tottenham Hotspur</v>
      </c>
      <c r="AD41" s="84" t="str">
        <f t="shared" si="1"/>
        <v>2Barcelona</v>
      </c>
      <c r="DB41" s="85"/>
      <c r="DC41" s="102" t="s">
        <v>88</v>
      </c>
    </row>
    <row r="42" spans="2:107" s="83" customFormat="1" ht="15" customHeight="1" x14ac:dyDescent="0.25">
      <c r="B42" s="86"/>
      <c r="C42" s="7"/>
      <c r="D42" s="66">
        <f t="shared" si="2"/>
        <v>3</v>
      </c>
      <c r="E42" s="66" t="str">
        <f>VLOOKUP(G42,'Team Setup'!$B$5:$E$36,4,FALSE)</f>
        <v>E</v>
      </c>
      <c r="F42" s="106">
        <v>43396</v>
      </c>
      <c r="G42" s="26" t="s">
        <v>417</v>
      </c>
      <c r="H42" s="6"/>
      <c r="I42" s="14">
        <v>0</v>
      </c>
      <c r="J42" s="14" t="s">
        <v>4</v>
      </c>
      <c r="K42" s="14">
        <v>2</v>
      </c>
      <c r="L42" s="6"/>
      <c r="M42" s="34" t="s">
        <v>226</v>
      </c>
      <c r="N42" s="34" t="str">
        <f>VLOOKUP(G42,'Team Setup'!$B$5:$C$36,2,FALSE)</f>
        <v>Athens Olympic Stadium</v>
      </c>
      <c r="O42" s="9"/>
      <c r="P42" s="87"/>
      <c r="Q42" s="117"/>
      <c r="R42" s="115"/>
      <c r="S42" s="27"/>
      <c r="T42" s="27"/>
      <c r="U42" s="27"/>
      <c r="V42" s="27"/>
      <c r="W42" s="27"/>
      <c r="X42" s="27"/>
      <c r="Y42" s="27"/>
      <c r="Z42" s="118"/>
      <c r="AA42" s="118"/>
      <c r="AC42" s="84" t="str">
        <f t="shared" si="0"/>
        <v>3AEK Athens</v>
      </c>
      <c r="AD42" s="84" t="str">
        <f t="shared" si="1"/>
        <v>3Bayern Munich</v>
      </c>
      <c r="DB42" s="85"/>
      <c r="DC42" s="102" t="s">
        <v>89</v>
      </c>
    </row>
    <row r="43" spans="2:107" s="83" customFormat="1" ht="15" customHeight="1" x14ac:dyDescent="0.25">
      <c r="B43" s="86"/>
      <c r="C43" s="7"/>
      <c r="D43" s="66">
        <f t="shared" si="2"/>
        <v>3</v>
      </c>
      <c r="E43" s="66" t="str">
        <f>VLOOKUP(G43,'Team Setup'!$B$5:$E$36,4,FALSE)</f>
        <v>H</v>
      </c>
      <c r="F43" s="106">
        <v>43396</v>
      </c>
      <c r="G43" s="26" t="s">
        <v>413</v>
      </c>
      <c r="H43" s="6"/>
      <c r="I43" s="14">
        <v>1</v>
      </c>
      <c r="J43" s="14" t="s">
        <v>4</v>
      </c>
      <c r="K43" s="14">
        <v>1</v>
      </c>
      <c r="L43" s="6"/>
      <c r="M43" s="34" t="s">
        <v>435</v>
      </c>
      <c r="N43" s="34" t="str">
        <f>VLOOKUP(G43,'Team Setup'!$B$5:$C$36,2,FALSE)</f>
        <v>Stade de Suisse</v>
      </c>
      <c r="O43" s="9"/>
      <c r="P43" s="87"/>
      <c r="Q43" s="117"/>
      <c r="R43" s="115"/>
      <c r="S43" s="98" t="s">
        <v>165</v>
      </c>
      <c r="T43" s="99" t="s">
        <v>53</v>
      </c>
      <c r="U43" s="99" t="s">
        <v>7</v>
      </c>
      <c r="V43" s="99" t="s">
        <v>8</v>
      </c>
      <c r="W43" s="99" t="s">
        <v>9</v>
      </c>
      <c r="X43" s="99" t="s">
        <v>10</v>
      </c>
      <c r="Y43" s="100" t="s">
        <v>54</v>
      </c>
      <c r="Z43" s="118"/>
      <c r="AA43" s="118"/>
      <c r="AC43" s="84" t="str">
        <f t="shared" si="0"/>
        <v>3Young Boys</v>
      </c>
      <c r="AD43" s="84" t="str">
        <f t="shared" si="1"/>
        <v>3Valencia</v>
      </c>
      <c r="DB43" s="85"/>
      <c r="DC43" s="102" t="s">
        <v>90</v>
      </c>
    </row>
    <row r="44" spans="2:107" s="83" customFormat="1" ht="15" customHeight="1" x14ac:dyDescent="0.25">
      <c r="B44" s="86"/>
      <c r="C44" s="7"/>
      <c r="D44" s="66">
        <f t="shared" si="2"/>
        <v>3</v>
      </c>
      <c r="E44" s="66" t="str">
        <f>VLOOKUP(G44,'Team Setup'!$B$5:$E$36,4,FALSE)</f>
        <v>E</v>
      </c>
      <c r="F44" s="106">
        <v>43396</v>
      </c>
      <c r="G44" s="26" t="s">
        <v>243</v>
      </c>
      <c r="H44" s="6"/>
      <c r="I44" s="14">
        <v>1</v>
      </c>
      <c r="J44" s="14" t="s">
        <v>4</v>
      </c>
      <c r="K44" s="14">
        <v>0</v>
      </c>
      <c r="L44" s="6"/>
      <c r="M44" s="34" t="s">
        <v>242</v>
      </c>
      <c r="N44" s="34" t="str">
        <f>VLOOKUP(G44,'Team Setup'!$B$5:$C$36,2,FALSE)</f>
        <v>Amsterdam Arena</v>
      </c>
      <c r="O44" s="9"/>
      <c r="P44" s="87"/>
      <c r="Q44" s="117"/>
      <c r="R44" s="115"/>
      <c r="S44" s="103" t="str">
        <f>VLOOKUP(1,'Dummy Table'!$DG$24:$DH$27,2,FALSE)</f>
        <v>Manchester City</v>
      </c>
      <c r="T44" s="104">
        <f>SUM(U44:W44)</f>
        <v>6</v>
      </c>
      <c r="U44" s="104">
        <f>SUMIF('Dummy Table'!B$24:B$27,'Group Stages'!S44,'Dummy Table'!Q$24:Q$27)</f>
        <v>4</v>
      </c>
      <c r="V44" s="104">
        <f>SUMIF('Dummy Table'!B$24:B$27,'Group Stages'!S44,'Dummy Table'!R$24:R$27)</f>
        <v>1</v>
      </c>
      <c r="W44" s="104">
        <f>SUMIF('Dummy Table'!B$24:B$27,'Group Stages'!S44,'Dummy Table'!S$24:S$27)</f>
        <v>1</v>
      </c>
      <c r="X44" s="104" t="str">
        <f>CONCATENATE(SUMIF('Dummy Table'!B$24:B$27,'Group Stages'!S44,'Dummy Table'!T$24:T$27)," - ",SUMIF('Dummy Table'!B$24:B$27,'Group Stages'!S44,'Dummy Table'!U$24:U$27))</f>
        <v>16 - 6</v>
      </c>
      <c r="Y44" s="105">
        <f>U44*3+V44*1</f>
        <v>13</v>
      </c>
      <c r="Z44" s="118"/>
      <c r="AA44" s="118"/>
      <c r="AC44" s="84" t="str">
        <f t="shared" si="0"/>
        <v>3Ajax</v>
      </c>
      <c r="AD44" s="84" t="str">
        <f t="shared" si="1"/>
        <v>3Benfica</v>
      </c>
      <c r="DB44" s="85"/>
      <c r="DC44" s="102" t="s">
        <v>91</v>
      </c>
    </row>
    <row r="45" spans="2:107" s="83" customFormat="1" ht="15" customHeight="1" x14ac:dyDescent="0.25">
      <c r="B45" s="86"/>
      <c r="C45" s="7"/>
      <c r="D45" s="66">
        <f t="shared" si="2"/>
        <v>3</v>
      </c>
      <c r="E45" s="66" t="str">
        <f>VLOOKUP(G45,'Team Setup'!$B$5:$E$36,4,FALSE)</f>
        <v>G</v>
      </c>
      <c r="F45" s="106">
        <v>43396</v>
      </c>
      <c r="G45" s="26" t="s">
        <v>396</v>
      </c>
      <c r="H45" s="6"/>
      <c r="I45" s="14">
        <v>3</v>
      </c>
      <c r="J45" s="14" t="s">
        <v>4</v>
      </c>
      <c r="K45" s="14">
        <v>0</v>
      </c>
      <c r="L45" s="6"/>
      <c r="M45" s="34" t="s">
        <v>342</v>
      </c>
      <c r="N45" s="34" t="str">
        <f>VLOOKUP(G45,'Team Setup'!$B$5:$C$36,2,FALSE)</f>
        <v>Olimpico</v>
      </c>
      <c r="O45" s="9"/>
      <c r="P45" s="87"/>
      <c r="Q45" s="117"/>
      <c r="R45" s="115"/>
      <c r="S45" s="107" t="str">
        <f>VLOOKUP(2,'Dummy Table'!$DG$24:$DH$27,2,FALSE)</f>
        <v>Lyon</v>
      </c>
      <c r="T45" s="23">
        <f>SUM(U45:W45)</f>
        <v>6</v>
      </c>
      <c r="U45" s="23">
        <f>SUMIF('Dummy Table'!B$24:B$27,'Group Stages'!S45,'Dummy Table'!Q$24:Q$27)</f>
        <v>1</v>
      </c>
      <c r="V45" s="23">
        <f>SUMIF('Dummy Table'!B$24:B$27,'Group Stages'!S45,'Dummy Table'!R$24:R$27)</f>
        <v>5</v>
      </c>
      <c r="W45" s="23">
        <f>SUMIF('Dummy Table'!B$24:B$27,'Group Stages'!S45,'Dummy Table'!S$24:S$27)</f>
        <v>0</v>
      </c>
      <c r="X45" s="23" t="str">
        <f>CONCATENATE(SUMIF('Dummy Table'!B$24:B$27,'Group Stages'!S45,'Dummy Table'!T$24:T$27)," - ",SUMIF('Dummy Table'!B$24:B$27,'Group Stages'!S45,'Dummy Table'!U$24:U$27))</f>
        <v>12 - 11</v>
      </c>
      <c r="Y45" s="108">
        <f>U45*3+V45*1</f>
        <v>8</v>
      </c>
      <c r="Z45" s="118"/>
      <c r="AA45" s="118"/>
      <c r="AC45" s="84" t="str">
        <f t="shared" si="0"/>
        <v>3AS Roma</v>
      </c>
      <c r="AD45" s="84" t="str">
        <f t="shared" si="1"/>
        <v>3CSKA Moscow</v>
      </c>
      <c r="DB45" s="85"/>
      <c r="DC45" s="102" t="s">
        <v>92</v>
      </c>
    </row>
    <row r="46" spans="2:107" s="83" customFormat="1" ht="15" customHeight="1" x14ac:dyDescent="0.25">
      <c r="B46" s="86"/>
      <c r="C46" s="7"/>
      <c r="D46" s="66">
        <f t="shared" si="2"/>
        <v>3</v>
      </c>
      <c r="E46" s="66" t="str">
        <f>VLOOKUP(G46,'Team Setup'!$B$5:$E$36,4,FALSE)</f>
        <v>F</v>
      </c>
      <c r="F46" s="106">
        <v>43396</v>
      </c>
      <c r="G46" s="26" t="s">
        <v>415</v>
      </c>
      <c r="H46" s="6"/>
      <c r="I46" s="14">
        <v>3</v>
      </c>
      <c r="J46" s="14" t="s">
        <v>4</v>
      </c>
      <c r="K46" s="14">
        <v>3</v>
      </c>
      <c r="L46" s="6"/>
      <c r="M46" s="34" t="s">
        <v>419</v>
      </c>
      <c r="N46" s="34" t="str">
        <f>VLOOKUP(G46,'Team Setup'!$B$5:$C$36,2,FALSE)</f>
        <v>Rhein-Neckar-Arena</v>
      </c>
      <c r="O46" s="9"/>
      <c r="P46" s="87"/>
      <c r="Q46" s="117"/>
      <c r="R46" s="115"/>
      <c r="S46" s="107" t="str">
        <f>VLOOKUP(3,'Dummy Table'!$DG$24:$DH$27,2,FALSE)</f>
        <v>Shakhtar Donetsk</v>
      </c>
      <c r="T46" s="23">
        <f>SUM(U46:W46)</f>
        <v>6</v>
      </c>
      <c r="U46" s="23">
        <f>SUMIF('Dummy Table'!B$24:B$27,'Group Stages'!S46,'Dummy Table'!Q$24:Q$27)</f>
        <v>1</v>
      </c>
      <c r="V46" s="23">
        <f>SUMIF('Dummy Table'!B$24:B$27,'Group Stages'!S46,'Dummy Table'!R$24:R$27)</f>
        <v>3</v>
      </c>
      <c r="W46" s="23">
        <f>SUMIF('Dummy Table'!B$24:B$27,'Group Stages'!S46,'Dummy Table'!S$24:S$27)</f>
        <v>2</v>
      </c>
      <c r="X46" s="23" t="str">
        <f>CONCATENATE(SUMIF('Dummy Table'!B$24:B$27,'Group Stages'!S46,'Dummy Table'!T$24:T$27)," - ",SUMIF('Dummy Table'!B$24:B$27,'Group Stages'!S46,'Dummy Table'!U$24:U$27))</f>
        <v>8 - 16</v>
      </c>
      <c r="Y46" s="108">
        <f>U46*3+V46*1</f>
        <v>6</v>
      </c>
      <c r="Z46" s="118"/>
      <c r="AA46" s="118"/>
      <c r="AC46" s="84" t="str">
        <f t="shared" si="0"/>
        <v>3Hoffenheim</v>
      </c>
      <c r="AD46" s="84" t="str">
        <f t="shared" si="1"/>
        <v>3Lyon</v>
      </c>
      <c r="DB46" s="85"/>
      <c r="DC46" s="102" t="s">
        <v>93</v>
      </c>
    </row>
    <row r="47" spans="2:107" s="83" customFormat="1" ht="15" customHeight="1" x14ac:dyDescent="0.25">
      <c r="B47" s="86"/>
      <c r="C47" s="7"/>
      <c r="D47" s="66">
        <f t="shared" si="2"/>
        <v>3</v>
      </c>
      <c r="E47" s="66" t="str">
        <f>VLOOKUP(G47,'Team Setup'!$B$5:$E$36,4,FALSE)</f>
        <v>H</v>
      </c>
      <c r="F47" s="106">
        <v>43396</v>
      </c>
      <c r="G47" s="26" t="s">
        <v>229</v>
      </c>
      <c r="H47" s="6"/>
      <c r="I47" s="14">
        <v>0</v>
      </c>
      <c r="J47" s="14" t="s">
        <v>4</v>
      </c>
      <c r="K47" s="14">
        <v>1</v>
      </c>
      <c r="L47" s="6"/>
      <c r="M47" s="34" t="s">
        <v>267</v>
      </c>
      <c r="N47" s="34" t="str">
        <f>VLOOKUP(G47,'Team Setup'!$B$5:$C$36,2,FALSE)</f>
        <v>Old Trafford</v>
      </c>
      <c r="O47" s="9"/>
      <c r="P47" s="87"/>
      <c r="Q47" s="117"/>
      <c r="R47" s="115"/>
      <c r="S47" s="110" t="str">
        <f>VLOOKUP(4,'Dummy Table'!$DG$24:$DH$27,2,FALSE)</f>
        <v>Hoffenheim</v>
      </c>
      <c r="T47" s="111">
        <f>SUM(U47:W47)</f>
        <v>6</v>
      </c>
      <c r="U47" s="111">
        <f>SUMIF('Dummy Table'!B$24:B$27,'Group Stages'!S47,'Dummy Table'!Q$24:Q$27)</f>
        <v>0</v>
      </c>
      <c r="V47" s="111">
        <f>SUMIF('Dummy Table'!B$24:B$27,'Group Stages'!S47,'Dummy Table'!R$24:R$27)</f>
        <v>3</v>
      </c>
      <c r="W47" s="111">
        <f>SUMIF('Dummy Table'!B$24:B$27,'Group Stages'!S47,'Dummy Table'!S$24:S$27)</f>
        <v>3</v>
      </c>
      <c r="X47" s="111" t="str">
        <f>CONCATENATE(SUMIF('Dummy Table'!B$24:B$27,'Group Stages'!S47,'Dummy Table'!T$24:T$27)," - ",SUMIF('Dummy Table'!B$24:B$27,'Group Stages'!S47,'Dummy Table'!U$24:U$27))</f>
        <v>11 - 14</v>
      </c>
      <c r="Y47" s="112">
        <f>U47*3+V47*1</f>
        <v>3</v>
      </c>
      <c r="Z47" s="118"/>
      <c r="AA47" s="118"/>
      <c r="AC47" s="84" t="str">
        <f t="shared" si="0"/>
        <v>3Manchester United</v>
      </c>
      <c r="AD47" s="84" t="str">
        <f t="shared" si="1"/>
        <v>3Juventus</v>
      </c>
      <c r="DB47" s="85"/>
      <c r="DC47" s="102" t="s">
        <v>94</v>
      </c>
    </row>
    <row r="48" spans="2:107" s="83" customFormat="1" ht="15" customHeight="1" x14ac:dyDescent="0.25">
      <c r="B48" s="86"/>
      <c r="C48" s="7"/>
      <c r="D48" s="66">
        <f t="shared" si="2"/>
        <v>3</v>
      </c>
      <c r="E48" s="66" t="str">
        <f>VLOOKUP(G48,'Team Setup'!$B$5:$E$36,4,FALSE)</f>
        <v>G</v>
      </c>
      <c r="F48" s="106">
        <v>43396</v>
      </c>
      <c r="G48" s="26" t="s">
        <v>171</v>
      </c>
      <c r="H48" s="6"/>
      <c r="I48" s="14">
        <v>2</v>
      </c>
      <c r="J48" s="14" t="s">
        <v>4</v>
      </c>
      <c r="K48" s="14">
        <v>1</v>
      </c>
      <c r="L48" s="6"/>
      <c r="M48" s="34" t="s">
        <v>423</v>
      </c>
      <c r="N48" s="34" t="str">
        <f>VLOOKUP(G48,'Team Setup'!$B$5:$C$36,2,FALSE)</f>
        <v>Santiago Bernabeu</v>
      </c>
      <c r="O48" s="9"/>
      <c r="P48" s="87"/>
      <c r="Q48" s="117"/>
      <c r="R48" s="115"/>
      <c r="S48" s="27"/>
      <c r="T48" s="27"/>
      <c r="U48" s="27"/>
      <c r="V48" s="27"/>
      <c r="W48" s="27"/>
      <c r="X48" s="27"/>
      <c r="Y48" s="27"/>
      <c r="Z48" s="118"/>
      <c r="AA48" s="118"/>
      <c r="AC48" s="84" t="str">
        <f t="shared" si="0"/>
        <v>3Real Madrid</v>
      </c>
      <c r="AD48" s="84" t="str">
        <f t="shared" si="1"/>
        <v>3Plzen</v>
      </c>
      <c r="DB48" s="85"/>
      <c r="DC48" s="102" t="s">
        <v>95</v>
      </c>
    </row>
    <row r="49" spans="2:107" s="83" customFormat="1" ht="15" customHeight="1" x14ac:dyDescent="0.25">
      <c r="B49" s="86"/>
      <c r="C49" s="7"/>
      <c r="D49" s="66">
        <f t="shared" si="2"/>
        <v>3</v>
      </c>
      <c r="E49" s="66" t="str">
        <f>VLOOKUP(G49,'Team Setup'!$B$5:$E$36,4,FALSE)</f>
        <v>F</v>
      </c>
      <c r="F49" s="106">
        <v>43396</v>
      </c>
      <c r="G49" s="26" t="s">
        <v>244</v>
      </c>
      <c r="H49" s="6"/>
      <c r="I49" s="14">
        <v>0</v>
      </c>
      <c r="J49" s="14" t="s">
        <v>4</v>
      </c>
      <c r="K49" s="14">
        <v>3</v>
      </c>
      <c r="L49" s="6"/>
      <c r="M49" s="34" t="s">
        <v>245</v>
      </c>
      <c r="N49" s="34" t="str">
        <f>VLOOKUP(G49,'Team Setup'!$B$5:$C$36,2,FALSE)</f>
        <v>Donbass Arena</v>
      </c>
      <c r="O49" s="9"/>
      <c r="P49" s="87"/>
      <c r="Q49" s="117"/>
      <c r="R49" s="115"/>
      <c r="S49" s="27"/>
      <c r="T49" s="27"/>
      <c r="U49" s="27"/>
      <c r="V49" s="27"/>
      <c r="W49" s="27"/>
      <c r="X49" s="27"/>
      <c r="Y49" s="27"/>
      <c r="Z49" s="118"/>
      <c r="AA49" s="118"/>
      <c r="AC49" s="84" t="str">
        <f t="shared" si="0"/>
        <v>3Shakhtar Donetsk</v>
      </c>
      <c r="AD49" s="84" t="str">
        <f t="shared" si="1"/>
        <v>3Manchester City</v>
      </c>
      <c r="DB49" s="85"/>
      <c r="DC49" s="102" t="s">
        <v>96</v>
      </c>
    </row>
    <row r="50" spans="2:107" s="83" customFormat="1" ht="15" customHeight="1" x14ac:dyDescent="0.25">
      <c r="B50" s="86"/>
      <c r="C50" s="7"/>
      <c r="D50" s="66">
        <f t="shared" si="2"/>
        <v>3</v>
      </c>
      <c r="E50" s="66" t="str">
        <f>VLOOKUP(G50,'Team Setup'!$B$5:$E$36,4,FALSE)</f>
        <v>A</v>
      </c>
      <c r="F50" s="106">
        <v>43397</v>
      </c>
      <c r="G50" s="26" t="s">
        <v>429</v>
      </c>
      <c r="H50" s="6"/>
      <c r="I50" s="14">
        <v>1</v>
      </c>
      <c r="J50" s="14" t="s">
        <v>4</v>
      </c>
      <c r="K50" s="14">
        <v>1</v>
      </c>
      <c r="L50" s="6"/>
      <c r="M50" s="34" t="s">
        <v>386</v>
      </c>
      <c r="N50" s="34" t="str">
        <f>VLOOKUP(G50,'Team Setup'!$B$5:$C$36,2,FALSE)</f>
        <v>Jan Breydel</v>
      </c>
      <c r="O50" s="9"/>
      <c r="P50" s="87"/>
      <c r="Q50" s="117"/>
      <c r="R50" s="115"/>
      <c r="S50" s="98" t="s">
        <v>166</v>
      </c>
      <c r="T50" s="99" t="s">
        <v>53</v>
      </c>
      <c r="U50" s="99" t="s">
        <v>7</v>
      </c>
      <c r="V50" s="99" t="s">
        <v>8</v>
      </c>
      <c r="W50" s="99" t="s">
        <v>9</v>
      </c>
      <c r="X50" s="99" t="s">
        <v>10</v>
      </c>
      <c r="Y50" s="100" t="s">
        <v>54</v>
      </c>
      <c r="Z50" s="118"/>
      <c r="AA50" s="118"/>
      <c r="AC50" s="84" t="str">
        <f t="shared" si="0"/>
        <v>3Club Brugge</v>
      </c>
      <c r="AD50" s="84" t="str">
        <f t="shared" si="1"/>
        <v>3Monaco</v>
      </c>
      <c r="DB50" s="85"/>
      <c r="DC50" s="102" t="s">
        <v>97</v>
      </c>
    </row>
    <row r="51" spans="2:107" s="83" customFormat="1" ht="15" customHeight="1" x14ac:dyDescent="0.25">
      <c r="B51" s="86"/>
      <c r="C51" s="7"/>
      <c r="D51" s="66">
        <f t="shared" si="2"/>
        <v>3</v>
      </c>
      <c r="E51" s="66" t="str">
        <f>VLOOKUP(G51,'Team Setup'!$B$5:$E$36,4,FALSE)</f>
        <v>B</v>
      </c>
      <c r="F51" s="106">
        <v>43397</v>
      </c>
      <c r="G51" s="26" t="s">
        <v>432</v>
      </c>
      <c r="H51" s="6"/>
      <c r="I51" s="14">
        <v>2</v>
      </c>
      <c r="J51" s="14" t="s">
        <v>4</v>
      </c>
      <c r="K51" s="14">
        <v>2</v>
      </c>
      <c r="L51" s="6"/>
      <c r="M51" s="34" t="s">
        <v>385</v>
      </c>
      <c r="N51" s="34" t="str">
        <f>VLOOKUP(G51,'Team Setup'!$B$5:$C$36,2,FALSE)</f>
        <v>PSV Stadion</v>
      </c>
      <c r="O51" s="9"/>
      <c r="P51" s="87"/>
      <c r="Q51" s="117"/>
      <c r="R51" s="115"/>
      <c r="S51" s="103" t="str">
        <f>VLOOKUP(1,'Dummy Table'!$DG$28:$DH$31,2,FALSE)</f>
        <v>Real Madrid</v>
      </c>
      <c r="T51" s="104">
        <f>SUM(U51:W51)</f>
        <v>6</v>
      </c>
      <c r="U51" s="104">
        <f>SUMIF('Dummy Table'!B$28:B$31,'Group Stages'!S51,'Dummy Table'!Q$28:Q$31)</f>
        <v>4</v>
      </c>
      <c r="V51" s="104">
        <f>SUMIF('Dummy Table'!B$28:B$31,'Group Stages'!S51,'Dummy Table'!R$28:R$31)</f>
        <v>0</v>
      </c>
      <c r="W51" s="104">
        <f>SUMIF('Dummy Table'!B$28:B$31,'Group Stages'!S51,'Dummy Table'!S$28:S$31)</f>
        <v>2</v>
      </c>
      <c r="X51" s="104" t="str">
        <f>CONCATENATE(SUMIF('Dummy Table'!B$28:B$31,'Group Stages'!S51,'Dummy Table'!T$28:T$31)," - ",SUMIF('Dummy Table'!B$28:B$31,'Group Stages'!S51,'Dummy Table'!U$28:U$31))</f>
        <v>12 - 5</v>
      </c>
      <c r="Y51" s="105">
        <f>U51*3+V51*1</f>
        <v>12</v>
      </c>
      <c r="Z51" s="118"/>
      <c r="AA51" s="118"/>
      <c r="AC51" s="84" t="str">
        <f t="shared" si="0"/>
        <v>3PSV Eindhoven</v>
      </c>
      <c r="AD51" s="84" t="str">
        <f t="shared" si="1"/>
        <v>3Tottenham Hotspur</v>
      </c>
      <c r="DB51" s="85"/>
      <c r="DC51" s="102" t="s">
        <v>98</v>
      </c>
    </row>
    <row r="52" spans="2:107" s="83" customFormat="1" ht="15" customHeight="1" x14ac:dyDescent="0.25">
      <c r="B52" s="86"/>
      <c r="C52" s="7"/>
      <c r="D52" s="66">
        <f t="shared" si="2"/>
        <v>3</v>
      </c>
      <c r="E52" s="66" t="str">
        <f>VLOOKUP(G52,'Team Setup'!$B$5:$E$36,4,FALSE)</f>
        <v>B</v>
      </c>
      <c r="F52" s="106">
        <v>43397</v>
      </c>
      <c r="G52" s="26" t="s">
        <v>169</v>
      </c>
      <c r="H52" s="6"/>
      <c r="I52" s="14">
        <v>2</v>
      </c>
      <c r="J52" s="14" t="s">
        <v>4</v>
      </c>
      <c r="K52" s="14">
        <v>0</v>
      </c>
      <c r="L52" s="6"/>
      <c r="M52" s="34" t="s">
        <v>440</v>
      </c>
      <c r="N52" s="34" t="str">
        <f>VLOOKUP(G52,'Team Setup'!$B$5:$C$36,2,FALSE)</f>
        <v>Nou Camp</v>
      </c>
      <c r="O52" s="9"/>
      <c r="P52" s="87"/>
      <c r="Q52" s="117"/>
      <c r="R52" s="115"/>
      <c r="S52" s="107" t="str">
        <f>VLOOKUP(2,'Dummy Table'!$DG$28:$DH$31,2,FALSE)</f>
        <v>AS Roma</v>
      </c>
      <c r="T52" s="23">
        <f>SUM(U52:W52)</f>
        <v>6</v>
      </c>
      <c r="U52" s="23">
        <f>SUMIF('Dummy Table'!B$28:B$31,'Group Stages'!S52,'Dummy Table'!Q$28:Q$31)</f>
        <v>3</v>
      </c>
      <c r="V52" s="23">
        <f>SUMIF('Dummy Table'!B$28:B$31,'Group Stages'!S52,'Dummy Table'!R$28:R$31)</f>
        <v>0</v>
      </c>
      <c r="W52" s="23">
        <f>SUMIF('Dummy Table'!B$28:B$31,'Group Stages'!S52,'Dummy Table'!S$28:S$31)</f>
        <v>3</v>
      </c>
      <c r="X52" s="23" t="str">
        <f>CONCATENATE(SUMIF('Dummy Table'!B$28:B$31,'Group Stages'!S52,'Dummy Table'!T$28:T$31)," - ",SUMIF('Dummy Table'!B$28:B$31,'Group Stages'!S52,'Dummy Table'!U$28:U$31))</f>
        <v>11 - 8</v>
      </c>
      <c r="Y52" s="108">
        <f>U52*3+V52*1</f>
        <v>9</v>
      </c>
      <c r="Z52" s="118"/>
      <c r="AA52" s="118"/>
      <c r="AC52" s="84" t="str">
        <f t="shared" si="0"/>
        <v>3Barcelona</v>
      </c>
      <c r="AD52" s="84" t="str">
        <f t="shared" si="1"/>
        <v>3Internazionale</v>
      </c>
      <c r="DB52" s="85"/>
      <c r="DC52" s="102" t="s">
        <v>99</v>
      </c>
    </row>
    <row r="53" spans="2:107" s="83" customFormat="1" ht="15" customHeight="1" x14ac:dyDescent="0.25">
      <c r="B53" s="86"/>
      <c r="C53" s="7"/>
      <c r="D53" s="66">
        <f t="shared" si="2"/>
        <v>3</v>
      </c>
      <c r="E53" s="66" t="str">
        <f>VLOOKUP(G53,'Team Setup'!$B$5:$E$36,4,FALSE)</f>
        <v>A</v>
      </c>
      <c r="F53" s="106">
        <v>43397</v>
      </c>
      <c r="G53" s="26" t="s">
        <v>247</v>
      </c>
      <c r="H53" s="6"/>
      <c r="I53" s="14">
        <v>4</v>
      </c>
      <c r="J53" s="14" t="s">
        <v>4</v>
      </c>
      <c r="K53" s="14">
        <v>0</v>
      </c>
      <c r="L53" s="6"/>
      <c r="M53" s="34" t="s">
        <v>346</v>
      </c>
      <c r="N53" s="34" t="str">
        <f>VLOOKUP(G53,'Team Setup'!$B$5:$C$36,2,FALSE)</f>
        <v>Signal Iduna Park</v>
      </c>
      <c r="O53" s="9"/>
      <c r="P53" s="87"/>
      <c r="Q53" s="117"/>
      <c r="R53" s="115"/>
      <c r="S53" s="107" t="str">
        <f>VLOOKUP(3,'Dummy Table'!$DG$28:$DH$31,2,FALSE)</f>
        <v>Plzen</v>
      </c>
      <c r="T53" s="23">
        <f>SUM(U53:W53)</f>
        <v>6</v>
      </c>
      <c r="U53" s="23">
        <f>SUMIF('Dummy Table'!B$28:B$31,'Group Stages'!S53,'Dummy Table'!Q$28:Q$31)</f>
        <v>2</v>
      </c>
      <c r="V53" s="23">
        <f>SUMIF('Dummy Table'!B$28:B$31,'Group Stages'!S53,'Dummy Table'!R$28:R$31)</f>
        <v>1</v>
      </c>
      <c r="W53" s="23">
        <f>SUMIF('Dummy Table'!B$28:B$31,'Group Stages'!S53,'Dummy Table'!S$28:S$31)</f>
        <v>3</v>
      </c>
      <c r="X53" s="23" t="str">
        <f>CONCATENATE(SUMIF('Dummy Table'!B$28:B$31,'Group Stages'!S53,'Dummy Table'!T$28:T$31)," - ",SUMIF('Dummy Table'!B$28:B$31,'Group Stages'!S53,'Dummy Table'!U$28:U$31))</f>
        <v>7 - 16</v>
      </c>
      <c r="Y53" s="108">
        <f>U53*3+V53*1</f>
        <v>7</v>
      </c>
      <c r="Z53" s="118"/>
      <c r="AA53" s="118"/>
      <c r="AC53" s="84" t="str">
        <f t="shared" si="0"/>
        <v>3Borussia Dortmund</v>
      </c>
      <c r="AD53" s="84" t="str">
        <f t="shared" si="1"/>
        <v>3Atletico Madrid</v>
      </c>
      <c r="DB53" s="85"/>
      <c r="DC53" s="102" t="s">
        <v>100</v>
      </c>
    </row>
    <row r="54" spans="2:107" s="83" customFormat="1" ht="15" customHeight="1" x14ac:dyDescent="0.25">
      <c r="B54" s="86"/>
      <c r="C54" s="7"/>
      <c r="D54" s="66">
        <f t="shared" si="2"/>
        <v>3</v>
      </c>
      <c r="E54" s="66" t="str">
        <f>VLOOKUP(G54,'Team Setup'!$B$5:$E$36,4,FALSE)</f>
        <v>D</v>
      </c>
      <c r="F54" s="106">
        <v>43397</v>
      </c>
      <c r="G54" s="26" t="s">
        <v>269</v>
      </c>
      <c r="H54" s="6"/>
      <c r="I54" s="14">
        <v>0</v>
      </c>
      <c r="J54" s="14" t="s">
        <v>4</v>
      </c>
      <c r="K54" s="14">
        <v>0</v>
      </c>
      <c r="L54" s="6"/>
      <c r="M54" s="34" t="s">
        <v>270</v>
      </c>
      <c r="N54" s="34" t="str">
        <f>VLOOKUP(G54,'Team Setup'!$B$5:$C$36,2,FALSE)</f>
        <v>Türk Telekom Arena</v>
      </c>
      <c r="O54" s="9"/>
      <c r="P54" s="87"/>
      <c r="Q54" s="117"/>
      <c r="R54" s="115"/>
      <c r="S54" s="110" t="str">
        <f>VLOOKUP(4,'Dummy Table'!$DG$28:$DH$31,2,FALSE)</f>
        <v>CSKA Moscow</v>
      </c>
      <c r="T54" s="111">
        <f>SUM(U54:W54)</f>
        <v>6</v>
      </c>
      <c r="U54" s="111">
        <f>SUMIF('Dummy Table'!B$28:B$31,'Group Stages'!S54,'Dummy Table'!Q$28:Q$31)</f>
        <v>2</v>
      </c>
      <c r="V54" s="111">
        <f>SUMIF('Dummy Table'!B$28:B$31,'Group Stages'!S54,'Dummy Table'!R$28:R$31)</f>
        <v>1</v>
      </c>
      <c r="W54" s="111">
        <f>SUMIF('Dummy Table'!B$28:B$31,'Group Stages'!S54,'Dummy Table'!S$28:S$31)</f>
        <v>3</v>
      </c>
      <c r="X54" s="111" t="str">
        <f>CONCATENATE(SUMIF('Dummy Table'!B$28:B$31,'Group Stages'!S54,'Dummy Table'!T$28:T$31)," - ",SUMIF('Dummy Table'!B$28:B$31,'Group Stages'!S54,'Dummy Table'!U$28:U$31))</f>
        <v>8 - 9</v>
      </c>
      <c r="Y54" s="112">
        <f>U54*3+V54*1</f>
        <v>7</v>
      </c>
      <c r="Z54" s="118"/>
      <c r="AA54" s="118"/>
      <c r="AC54" s="84" t="str">
        <f t="shared" si="0"/>
        <v>3Galatasaray</v>
      </c>
      <c r="AD54" s="84" t="str">
        <f t="shared" si="1"/>
        <v>3Schalke 04</v>
      </c>
      <c r="DB54" s="85"/>
      <c r="DC54" s="102" t="s">
        <v>101</v>
      </c>
    </row>
    <row r="55" spans="2:107" s="83" customFormat="1" ht="15" customHeight="1" x14ac:dyDescent="0.25">
      <c r="B55" s="86"/>
      <c r="C55" s="7"/>
      <c r="D55" s="66">
        <f t="shared" si="2"/>
        <v>3</v>
      </c>
      <c r="E55" s="66" t="str">
        <f>VLOOKUP(G55,'Team Setup'!$B$5:$E$36,4,FALSE)</f>
        <v>C</v>
      </c>
      <c r="F55" s="106">
        <v>43397</v>
      </c>
      <c r="G55" s="26" t="s">
        <v>393</v>
      </c>
      <c r="H55" s="6"/>
      <c r="I55" s="14">
        <v>4</v>
      </c>
      <c r="J55" s="14" t="s">
        <v>4</v>
      </c>
      <c r="K55" s="14">
        <v>0</v>
      </c>
      <c r="L55" s="6"/>
      <c r="M55" s="34" t="s">
        <v>426</v>
      </c>
      <c r="N55" s="34" t="str">
        <f>VLOOKUP(G55,'Team Setup'!$B$5:$C$36,2,FALSE)</f>
        <v>Anfield</v>
      </c>
      <c r="O55" s="9"/>
      <c r="P55" s="87"/>
      <c r="Q55" s="117"/>
      <c r="R55" s="115"/>
      <c r="S55" s="27"/>
      <c r="T55" s="27"/>
      <c r="U55" s="27"/>
      <c r="V55" s="27"/>
      <c r="W55" s="27"/>
      <c r="X55" s="27"/>
      <c r="Y55" s="27"/>
      <c r="Z55" s="118"/>
      <c r="AA55" s="118"/>
      <c r="AC55" s="84" t="str">
        <f t="shared" si="0"/>
        <v>3Liverpool</v>
      </c>
      <c r="AD55" s="84" t="str">
        <f t="shared" si="1"/>
        <v>3Red Star Belgrade</v>
      </c>
      <c r="DB55" s="85"/>
      <c r="DC55" s="102" t="s">
        <v>102</v>
      </c>
    </row>
    <row r="56" spans="2:107" s="83" customFormat="1" ht="15" customHeight="1" x14ac:dyDescent="0.25">
      <c r="B56" s="86"/>
      <c r="C56" s="7"/>
      <c r="D56" s="66">
        <f t="shared" si="2"/>
        <v>3</v>
      </c>
      <c r="E56" s="66" t="str">
        <f>VLOOKUP(G56,'Team Setup'!$B$5:$E$36,4,FALSE)</f>
        <v>D</v>
      </c>
      <c r="F56" s="106">
        <v>43397</v>
      </c>
      <c r="G56" s="26" t="s">
        <v>421</v>
      </c>
      <c r="H56" s="6"/>
      <c r="I56" s="14">
        <v>1</v>
      </c>
      <c r="J56" s="14" t="s">
        <v>4</v>
      </c>
      <c r="K56" s="14">
        <v>3</v>
      </c>
      <c r="L56" s="6"/>
      <c r="M56" s="34" t="s">
        <v>248</v>
      </c>
      <c r="N56" s="34" t="str">
        <f>VLOOKUP(G56,'Team Setup'!$B$5:$C$36,2,FALSE)</f>
        <v>RZD Arena</v>
      </c>
      <c r="O56" s="9"/>
      <c r="P56" s="87"/>
      <c r="Q56" s="117"/>
      <c r="R56" s="115"/>
      <c r="S56" s="27"/>
      <c r="T56" s="27"/>
      <c r="U56" s="27"/>
      <c r="V56" s="27"/>
      <c r="W56" s="27"/>
      <c r="X56" s="27"/>
      <c r="Y56" s="27"/>
      <c r="Z56" s="118"/>
      <c r="AA56" s="118"/>
      <c r="AC56" s="84" t="str">
        <f t="shared" si="0"/>
        <v>3Lokomotiv Moscow</v>
      </c>
      <c r="AD56" s="84" t="str">
        <f t="shared" si="1"/>
        <v>3Porto</v>
      </c>
      <c r="DB56" s="85"/>
      <c r="DC56" s="102" t="s">
        <v>103</v>
      </c>
    </row>
    <row r="57" spans="2:107" s="83" customFormat="1" ht="15" customHeight="1" x14ac:dyDescent="0.25">
      <c r="B57" s="86"/>
      <c r="C57" s="7"/>
      <c r="D57" s="66">
        <f t="shared" si="2"/>
        <v>3</v>
      </c>
      <c r="E57" s="66" t="str">
        <f>VLOOKUP(G57,'Team Setup'!$B$5:$E$36,4,FALSE)</f>
        <v>C</v>
      </c>
      <c r="F57" s="106">
        <v>43397</v>
      </c>
      <c r="G57" s="26" t="s">
        <v>268</v>
      </c>
      <c r="H57" s="6"/>
      <c r="I57" s="14">
        <v>2</v>
      </c>
      <c r="J57" s="14" t="s">
        <v>4</v>
      </c>
      <c r="K57" s="14">
        <v>2</v>
      </c>
      <c r="L57" s="6"/>
      <c r="M57" s="34" t="s">
        <v>345</v>
      </c>
      <c r="N57" s="34" t="str">
        <f>VLOOKUP(G57,'Team Setup'!$B$5:$C$36,2,FALSE)</f>
        <v>Parc des Princes</v>
      </c>
      <c r="O57" s="9"/>
      <c r="P57" s="87"/>
      <c r="Q57" s="117"/>
      <c r="R57" s="115"/>
      <c r="S57" s="98" t="s">
        <v>167</v>
      </c>
      <c r="T57" s="99" t="s">
        <v>53</v>
      </c>
      <c r="U57" s="99" t="s">
        <v>7</v>
      </c>
      <c r="V57" s="99" t="s">
        <v>8</v>
      </c>
      <c r="W57" s="99" t="s">
        <v>9</v>
      </c>
      <c r="X57" s="99" t="s">
        <v>10</v>
      </c>
      <c r="Y57" s="100" t="s">
        <v>54</v>
      </c>
      <c r="Z57" s="118"/>
      <c r="AA57" s="118"/>
      <c r="AC57" s="84" t="str">
        <f t="shared" si="0"/>
        <v>3Paris Saint-Germain</v>
      </c>
      <c r="AD57" s="84" t="str">
        <f t="shared" si="1"/>
        <v>3Napoli</v>
      </c>
      <c r="DB57" s="85"/>
      <c r="DC57" s="102" t="s">
        <v>104</v>
      </c>
    </row>
    <row r="58" spans="2:107" s="83" customFormat="1" ht="15" customHeight="1" x14ac:dyDescent="0.25">
      <c r="B58" s="86"/>
      <c r="C58" s="7"/>
      <c r="D58" s="66">
        <f t="shared" si="2"/>
        <v>4</v>
      </c>
      <c r="E58" s="66" t="str">
        <f>VLOOKUP(G58,'Team Setup'!$B$5:$E$36,4,FALSE)</f>
        <v>C</v>
      </c>
      <c r="F58" s="106">
        <v>43410</v>
      </c>
      <c r="G58" s="26" t="s">
        <v>426</v>
      </c>
      <c r="H58" s="6"/>
      <c r="I58" s="14">
        <v>2</v>
      </c>
      <c r="J58" s="14" t="s">
        <v>4</v>
      </c>
      <c r="K58" s="14">
        <v>0</v>
      </c>
      <c r="L58" s="6"/>
      <c r="M58" s="34" t="s">
        <v>393</v>
      </c>
      <c r="N58" s="34" t="str">
        <f>VLOOKUP(G58,'Team Setup'!$B$5:$C$36,2,FALSE)</f>
        <v>Rajko Mitić Stadium</v>
      </c>
      <c r="O58" s="9"/>
      <c r="P58" s="87"/>
      <c r="Q58" s="117"/>
      <c r="R58" s="115"/>
      <c r="S58" s="103" t="str">
        <f>VLOOKUP(1,'Dummy Table'!$DG$32:$DH$35,2,FALSE)</f>
        <v>Juventus</v>
      </c>
      <c r="T58" s="104">
        <f>SUM(U58:W58)</f>
        <v>6</v>
      </c>
      <c r="U58" s="104">
        <f>SUMIF('Dummy Table'!B$32:B$35,'Group Stages'!S58,'Dummy Table'!Q$32:Q$35)</f>
        <v>4</v>
      </c>
      <c r="V58" s="104">
        <f>SUMIF('Dummy Table'!B$32:B$35,'Group Stages'!S58,'Dummy Table'!R$32:R$35)</f>
        <v>0</v>
      </c>
      <c r="W58" s="104">
        <f>SUMIF('Dummy Table'!B$32:B$35,'Group Stages'!S58,'Dummy Table'!S$32:S$35)</f>
        <v>2</v>
      </c>
      <c r="X58" s="104" t="str">
        <f>CONCATENATE(SUMIF('Dummy Table'!B$32:B$35,'Group Stages'!S58,'Dummy Table'!T$32:T$35)," - ",SUMIF('Dummy Table'!B$32:B$35,'Group Stages'!S58,'Dummy Table'!U$32:U$35))</f>
        <v>9 - 4</v>
      </c>
      <c r="Y58" s="105">
        <f>U58*3+V58*1</f>
        <v>12</v>
      </c>
      <c r="Z58" s="118"/>
      <c r="AA58" s="118"/>
      <c r="AC58" s="84" t="str">
        <f t="shared" si="0"/>
        <v>4Red Star Belgrade</v>
      </c>
      <c r="AD58" s="84" t="str">
        <f t="shared" si="1"/>
        <v>4Liverpool</v>
      </c>
      <c r="DB58" s="85"/>
      <c r="DC58" s="102" t="s">
        <v>105</v>
      </c>
    </row>
    <row r="59" spans="2:107" s="83" customFormat="1" ht="15" customHeight="1" x14ac:dyDescent="0.25">
      <c r="B59" s="86"/>
      <c r="C59" s="7"/>
      <c r="D59" s="66">
        <f t="shared" si="2"/>
        <v>4</v>
      </c>
      <c r="E59" s="66" t="str">
        <f>VLOOKUP(G59,'Team Setup'!$B$5:$E$36,4,FALSE)</f>
        <v>A</v>
      </c>
      <c r="F59" s="106">
        <v>43410</v>
      </c>
      <c r="G59" s="26" t="s">
        <v>386</v>
      </c>
      <c r="H59" s="6"/>
      <c r="I59" s="14">
        <v>0</v>
      </c>
      <c r="J59" s="14" t="s">
        <v>4</v>
      </c>
      <c r="K59" s="14">
        <v>4</v>
      </c>
      <c r="L59" s="6"/>
      <c r="M59" s="34" t="s">
        <v>429</v>
      </c>
      <c r="N59" s="34" t="str">
        <f>VLOOKUP(G59,'Team Setup'!$B$5:$C$36,2,FALSE)</f>
        <v>Stade Louis II</v>
      </c>
      <c r="O59" s="9"/>
      <c r="P59" s="87"/>
      <c r="Q59" s="117"/>
      <c r="R59" s="115"/>
      <c r="S59" s="107" t="str">
        <f>VLOOKUP(2,'Dummy Table'!$DG$32:$DH$35,2,FALSE)</f>
        <v>Manchester United</v>
      </c>
      <c r="T59" s="23">
        <f>SUM(U59:W59)</f>
        <v>6</v>
      </c>
      <c r="U59" s="23">
        <f>SUMIF('Dummy Table'!B$32:B$35,'Group Stages'!S59,'Dummy Table'!Q$32:Q$35)</f>
        <v>3</v>
      </c>
      <c r="V59" s="23">
        <f>SUMIF('Dummy Table'!B$32:B$35,'Group Stages'!S59,'Dummy Table'!R$32:R$35)</f>
        <v>1</v>
      </c>
      <c r="W59" s="23">
        <f>SUMIF('Dummy Table'!B$32:B$35,'Group Stages'!S59,'Dummy Table'!S$32:S$35)</f>
        <v>2</v>
      </c>
      <c r="X59" s="23" t="str">
        <f>CONCATENATE(SUMIF('Dummy Table'!B$32:B$35,'Group Stages'!S59,'Dummy Table'!T$32:T$35)," - ",SUMIF('Dummy Table'!B$32:B$35,'Group Stages'!S59,'Dummy Table'!U$32:U$35))</f>
        <v>7 - 4</v>
      </c>
      <c r="Y59" s="108">
        <f>U59*3+V59*1</f>
        <v>10</v>
      </c>
      <c r="Z59" s="118"/>
      <c r="AA59" s="118"/>
      <c r="AC59" s="84" t="str">
        <f t="shared" si="0"/>
        <v>4Monaco</v>
      </c>
      <c r="AD59" s="84" t="str">
        <f t="shared" si="1"/>
        <v>4Club Brugge</v>
      </c>
      <c r="DB59" s="85"/>
      <c r="DC59" s="102" t="s">
        <v>106</v>
      </c>
    </row>
    <row r="60" spans="2:107" s="83" customFormat="1" ht="15" customHeight="1" x14ac:dyDescent="0.25">
      <c r="B60" s="86"/>
      <c r="C60" s="7"/>
      <c r="D60" s="66">
        <f t="shared" si="2"/>
        <v>4</v>
      </c>
      <c r="E60" s="66" t="str">
        <f>VLOOKUP(G60,'Team Setup'!$B$5:$E$36,4,FALSE)</f>
        <v>A</v>
      </c>
      <c r="F60" s="106">
        <v>43410</v>
      </c>
      <c r="G60" s="26" t="s">
        <v>346</v>
      </c>
      <c r="H60" s="6"/>
      <c r="I60" s="14">
        <v>2</v>
      </c>
      <c r="J60" s="14" t="s">
        <v>4</v>
      </c>
      <c r="K60" s="14">
        <v>0</v>
      </c>
      <c r="L60" s="6"/>
      <c r="M60" s="34" t="s">
        <v>247</v>
      </c>
      <c r="N60" s="34" t="str">
        <f>VLOOKUP(G60,'Team Setup'!$B$5:$C$36,2,FALSE)</f>
        <v>Vicente Calderon</v>
      </c>
      <c r="O60" s="9"/>
      <c r="P60" s="87"/>
      <c r="Q60" s="117"/>
      <c r="R60" s="115"/>
      <c r="S60" s="107" t="str">
        <f>VLOOKUP(3,'Dummy Table'!$DG$32:$DH$35,2,FALSE)</f>
        <v>Valencia</v>
      </c>
      <c r="T60" s="23">
        <f>SUM(U60:W60)</f>
        <v>6</v>
      </c>
      <c r="U60" s="23">
        <f>SUMIF('Dummy Table'!B$32:B$35,'Group Stages'!S60,'Dummy Table'!Q$32:Q$35)</f>
        <v>2</v>
      </c>
      <c r="V60" s="23">
        <f>SUMIF('Dummy Table'!B$32:B$35,'Group Stages'!S60,'Dummy Table'!R$32:R$35)</f>
        <v>2</v>
      </c>
      <c r="W60" s="23">
        <f>SUMIF('Dummy Table'!B$32:B$35,'Group Stages'!S60,'Dummy Table'!S$32:S$35)</f>
        <v>2</v>
      </c>
      <c r="X60" s="23" t="str">
        <f>CONCATENATE(SUMIF('Dummy Table'!B$32:B$35,'Group Stages'!S60,'Dummy Table'!T$32:T$35)," - ",SUMIF('Dummy Table'!B$32:B$35,'Group Stages'!S60,'Dummy Table'!U$32:U$35))</f>
        <v>6 - 6</v>
      </c>
      <c r="Y60" s="108">
        <f>U60*3+V60*1</f>
        <v>8</v>
      </c>
      <c r="Z60" s="118"/>
      <c r="AA60" s="118"/>
      <c r="AC60" s="84" t="str">
        <f t="shared" si="0"/>
        <v>4Atletico Madrid</v>
      </c>
      <c r="AD60" s="84" t="str">
        <f t="shared" si="1"/>
        <v>4Borussia Dortmund</v>
      </c>
      <c r="DB60" s="85"/>
      <c r="DC60" s="102" t="s">
        <v>107</v>
      </c>
    </row>
    <row r="61" spans="2:107" s="83" customFormat="1" ht="15" customHeight="1" x14ac:dyDescent="0.25">
      <c r="B61" s="86"/>
      <c r="C61" s="7"/>
      <c r="D61" s="66">
        <f t="shared" si="2"/>
        <v>4</v>
      </c>
      <c r="E61" s="66" t="str">
        <f>VLOOKUP(G61,'Team Setup'!$B$5:$E$36,4,FALSE)</f>
        <v>D</v>
      </c>
      <c r="F61" s="106">
        <v>43410</v>
      </c>
      <c r="G61" s="26" t="s">
        <v>248</v>
      </c>
      <c r="H61" s="6"/>
      <c r="I61" s="14">
        <v>4</v>
      </c>
      <c r="J61" s="14" t="s">
        <v>4</v>
      </c>
      <c r="K61" s="14">
        <v>1</v>
      </c>
      <c r="L61" s="6"/>
      <c r="M61" s="34" t="s">
        <v>421</v>
      </c>
      <c r="N61" s="34" t="str">
        <f>VLOOKUP(G61,'Team Setup'!$B$5:$C$36,2,FALSE)</f>
        <v>Estádio do Dragão</v>
      </c>
      <c r="O61" s="9"/>
      <c r="P61" s="87"/>
      <c r="Q61" s="114"/>
      <c r="R61" s="115"/>
      <c r="S61" s="110" t="str">
        <f>VLOOKUP(4,'Dummy Table'!$DG$32:$DH$35,2,FALSE)</f>
        <v>Young Boys</v>
      </c>
      <c r="T61" s="111">
        <f>SUM(U61:W61)</f>
        <v>6</v>
      </c>
      <c r="U61" s="111">
        <f>SUMIF('Dummy Table'!B$32:B$35,'Group Stages'!S61,'Dummy Table'!Q$32:Q$35)</f>
        <v>1</v>
      </c>
      <c r="V61" s="111">
        <f>SUMIF('Dummy Table'!B$32:B$35,'Group Stages'!S61,'Dummy Table'!R$32:R$35)</f>
        <v>1</v>
      </c>
      <c r="W61" s="111">
        <f>SUMIF('Dummy Table'!B$32:B$35,'Group Stages'!S61,'Dummy Table'!S$32:S$35)</f>
        <v>4</v>
      </c>
      <c r="X61" s="111" t="str">
        <f>CONCATENATE(SUMIF('Dummy Table'!B$32:B$35,'Group Stages'!S61,'Dummy Table'!T$32:T$35)," - ",SUMIF('Dummy Table'!B$32:B$35,'Group Stages'!S61,'Dummy Table'!U$32:U$35))</f>
        <v>4 - 12</v>
      </c>
      <c r="Y61" s="112">
        <f>U61*3+V61*1</f>
        <v>4</v>
      </c>
      <c r="Z61" s="116"/>
      <c r="AA61" s="116"/>
      <c r="AC61" s="84" t="str">
        <f t="shared" si="0"/>
        <v>4Porto</v>
      </c>
      <c r="AD61" s="84" t="str">
        <f t="shared" si="1"/>
        <v>4Lokomotiv Moscow</v>
      </c>
      <c r="DB61" s="85"/>
      <c r="DC61" s="102" t="s">
        <v>108</v>
      </c>
    </row>
    <row r="62" spans="2:107" s="83" customFormat="1" ht="15" customHeight="1" x14ac:dyDescent="0.25">
      <c r="B62" s="86"/>
      <c r="C62" s="7"/>
      <c r="D62" s="66">
        <f t="shared" si="2"/>
        <v>4</v>
      </c>
      <c r="E62" s="66" t="str">
        <f>VLOOKUP(G62,'Team Setup'!$B$5:$E$36,4,FALSE)</f>
        <v>B</v>
      </c>
      <c r="F62" s="106">
        <v>43410</v>
      </c>
      <c r="G62" s="26" t="s">
        <v>440</v>
      </c>
      <c r="H62" s="6"/>
      <c r="I62" s="14">
        <v>1</v>
      </c>
      <c r="J62" s="14" t="s">
        <v>4</v>
      </c>
      <c r="K62" s="14">
        <v>1</v>
      </c>
      <c r="L62" s="6"/>
      <c r="M62" s="34" t="s">
        <v>169</v>
      </c>
      <c r="N62" s="34" t="str">
        <f>VLOOKUP(G62,'Team Setup'!$B$5:$C$36,2,FALSE)</f>
        <v>San Siro Stadium</v>
      </c>
      <c r="O62" s="9"/>
      <c r="P62" s="87"/>
      <c r="Q62" s="117"/>
      <c r="R62" s="119"/>
      <c r="S62" s="120"/>
      <c r="T62" s="120"/>
      <c r="U62" s="120"/>
      <c r="V62" s="120"/>
      <c r="W62" s="120"/>
      <c r="X62" s="120"/>
      <c r="Y62" s="120"/>
      <c r="Z62" s="121"/>
      <c r="AA62" s="118"/>
      <c r="AC62" s="84" t="str">
        <f t="shared" si="0"/>
        <v>4Internazionale</v>
      </c>
      <c r="AD62" s="84" t="str">
        <f t="shared" si="1"/>
        <v>4Barcelona</v>
      </c>
      <c r="DB62" s="85"/>
      <c r="DC62" s="102" t="s">
        <v>109</v>
      </c>
    </row>
    <row r="63" spans="2:107" s="83" customFormat="1" ht="15" customHeight="1" x14ac:dyDescent="0.25">
      <c r="B63" s="86"/>
      <c r="C63" s="7"/>
      <c r="D63" s="66">
        <f t="shared" si="2"/>
        <v>4</v>
      </c>
      <c r="E63" s="66" t="str">
        <f>VLOOKUP(G63,'Team Setup'!$B$5:$E$36,4,FALSE)</f>
        <v>C</v>
      </c>
      <c r="F63" s="106">
        <v>43410</v>
      </c>
      <c r="G63" s="26" t="s">
        <v>345</v>
      </c>
      <c r="H63" s="6"/>
      <c r="I63" s="14">
        <v>1</v>
      </c>
      <c r="J63" s="14" t="s">
        <v>4</v>
      </c>
      <c r="K63" s="14">
        <v>1</v>
      </c>
      <c r="L63" s="6"/>
      <c r="M63" s="34" t="s">
        <v>268</v>
      </c>
      <c r="N63" s="34" t="str">
        <f>VLOOKUP(G63,'Team Setup'!$B$5:$C$36,2,FALSE)</f>
        <v>San Paolo</v>
      </c>
      <c r="O63" s="9"/>
      <c r="P63" s="87"/>
      <c r="Q63" s="117"/>
      <c r="R63" s="15"/>
      <c r="S63" s="27"/>
      <c r="T63" s="27"/>
      <c r="U63" s="27"/>
      <c r="V63" s="27"/>
      <c r="W63" s="27"/>
      <c r="X63" s="27"/>
      <c r="Y63" s="27"/>
      <c r="Z63" s="27"/>
      <c r="AA63" s="118"/>
      <c r="AC63" s="84" t="str">
        <f t="shared" si="0"/>
        <v>4Napoli</v>
      </c>
      <c r="AD63" s="84" t="str">
        <f t="shared" si="1"/>
        <v>4Paris Saint-Germain</v>
      </c>
      <c r="DB63" s="85"/>
      <c r="DC63" s="102" t="s">
        <v>110</v>
      </c>
    </row>
    <row r="64" spans="2:107" ht="15" customHeight="1" x14ac:dyDescent="0.25">
      <c r="B64" s="122"/>
      <c r="C64" s="7"/>
      <c r="D64" s="66">
        <f t="shared" si="2"/>
        <v>4</v>
      </c>
      <c r="E64" s="66" t="str">
        <f>VLOOKUP(G64,'Team Setup'!$B$5:$E$36,4,FALSE)</f>
        <v>D</v>
      </c>
      <c r="F64" s="106">
        <v>43410</v>
      </c>
      <c r="G64" s="26" t="s">
        <v>270</v>
      </c>
      <c r="H64" s="6"/>
      <c r="I64" s="14">
        <v>2</v>
      </c>
      <c r="J64" s="14" t="s">
        <v>4</v>
      </c>
      <c r="K64" s="14">
        <v>0</v>
      </c>
      <c r="L64" s="6"/>
      <c r="M64" s="34" t="s">
        <v>269</v>
      </c>
      <c r="N64" s="34" t="str">
        <f>VLOOKUP(G64,'Team Setup'!$B$5:$C$36,2,FALSE)</f>
        <v>Veltins-Arena</v>
      </c>
      <c r="O64" s="123"/>
      <c r="P64" s="124"/>
      <c r="Q64" s="125"/>
      <c r="R64" s="126" t="s">
        <v>239</v>
      </c>
      <c r="T64" s="124"/>
      <c r="U64" s="124"/>
      <c r="V64" s="124"/>
      <c r="W64" s="124"/>
      <c r="X64" s="124"/>
      <c r="Y64" s="124"/>
      <c r="Z64" s="124"/>
      <c r="AA64" s="127"/>
      <c r="AC64" s="84" t="str">
        <f t="shared" si="0"/>
        <v>4Schalke 04</v>
      </c>
      <c r="AD64" s="84" t="str">
        <f t="shared" si="1"/>
        <v>4Galatasaray</v>
      </c>
    </row>
    <row r="65" spans="2:30" ht="15" customHeight="1" x14ac:dyDescent="0.25">
      <c r="B65" s="122"/>
      <c r="C65" s="7"/>
      <c r="D65" s="66">
        <f t="shared" si="2"/>
        <v>4</v>
      </c>
      <c r="E65" s="66" t="str">
        <f>VLOOKUP(G65,'Team Setup'!$B$5:$E$36,4,FALSE)</f>
        <v>B</v>
      </c>
      <c r="F65" s="106">
        <v>43410</v>
      </c>
      <c r="G65" s="26" t="s">
        <v>385</v>
      </c>
      <c r="H65" s="6"/>
      <c r="I65" s="14">
        <v>2</v>
      </c>
      <c r="J65" s="14" t="s">
        <v>4</v>
      </c>
      <c r="K65" s="14">
        <v>1</v>
      </c>
      <c r="L65" s="6"/>
      <c r="M65" s="34" t="s">
        <v>432</v>
      </c>
      <c r="N65" s="34" t="str">
        <f>VLOOKUP(G65,'Team Setup'!$B$5:$C$36,2,FALSE)</f>
        <v>White Hart Lane</v>
      </c>
      <c r="O65" s="123"/>
      <c r="P65" s="124"/>
      <c r="Q65" s="125"/>
      <c r="R65" s="128" t="s">
        <v>202</v>
      </c>
      <c r="T65" s="124"/>
      <c r="U65" s="124"/>
      <c r="V65" s="124"/>
      <c r="W65" s="124"/>
      <c r="X65" s="124"/>
      <c r="Y65" s="124"/>
      <c r="Z65" s="124"/>
      <c r="AA65" s="127"/>
      <c r="AC65" s="84" t="str">
        <f t="shared" si="0"/>
        <v>4Tottenham Hotspur</v>
      </c>
      <c r="AD65" s="84" t="str">
        <f t="shared" si="1"/>
        <v>4PSV Eindhoven</v>
      </c>
    </row>
    <row r="66" spans="2:30" ht="15" customHeight="1" x14ac:dyDescent="0.25">
      <c r="B66" s="122"/>
      <c r="C66" s="7"/>
      <c r="D66" s="66">
        <f t="shared" si="2"/>
        <v>4</v>
      </c>
      <c r="E66" s="66" t="str">
        <f>VLOOKUP(G66,'Team Setup'!$B$5:$E$36,4,FALSE)</f>
        <v>G</v>
      </c>
      <c r="F66" s="106">
        <v>43411</v>
      </c>
      <c r="G66" s="26" t="s">
        <v>342</v>
      </c>
      <c r="H66" s="6"/>
      <c r="I66" s="14">
        <v>1</v>
      </c>
      <c r="J66" s="14" t="s">
        <v>4</v>
      </c>
      <c r="K66" s="14">
        <v>2</v>
      </c>
      <c r="L66" s="6"/>
      <c r="M66" s="34" t="s">
        <v>396</v>
      </c>
      <c r="N66" s="34" t="str">
        <f>VLOOKUP(G66,'Team Setup'!$B$5:$C$36,2,FALSE)</f>
        <v>Luzhniki</v>
      </c>
      <c r="O66" s="123"/>
      <c r="P66" s="124"/>
      <c r="Q66" s="125"/>
      <c r="R66" s="124"/>
      <c r="T66" s="124"/>
      <c r="U66" s="124"/>
      <c r="V66" s="124"/>
      <c r="W66" s="124"/>
      <c r="X66" s="124"/>
      <c r="Y66" s="124"/>
      <c r="Z66" s="124"/>
      <c r="AA66" s="127"/>
      <c r="AC66" s="84" t="str">
        <f t="shared" si="0"/>
        <v>4CSKA Moscow</v>
      </c>
      <c r="AD66" s="84" t="str">
        <f t="shared" si="1"/>
        <v>4AS Roma</v>
      </c>
    </row>
    <row r="67" spans="2:30" ht="15" customHeight="1" x14ac:dyDescent="0.25">
      <c r="B67" s="122"/>
      <c r="C67" s="7"/>
      <c r="D67" s="66">
        <f t="shared" si="2"/>
        <v>4</v>
      </c>
      <c r="E67" s="66" t="str">
        <f>VLOOKUP(G67,'Team Setup'!$B$5:$E$36,4,FALSE)</f>
        <v>H</v>
      </c>
      <c r="F67" s="106">
        <v>43411</v>
      </c>
      <c r="G67" s="26" t="s">
        <v>435</v>
      </c>
      <c r="H67" s="6"/>
      <c r="I67" s="14">
        <v>3</v>
      </c>
      <c r="J67" s="14" t="s">
        <v>4</v>
      </c>
      <c r="K67" s="14">
        <v>1</v>
      </c>
      <c r="L67" s="6"/>
      <c r="M67" s="34" t="s">
        <v>413</v>
      </c>
      <c r="N67" s="34" t="str">
        <f>VLOOKUP(G67,'Team Setup'!$B$5:$C$36,2,FALSE)</f>
        <v>Mestalla</v>
      </c>
      <c r="O67" s="123"/>
      <c r="P67" s="124"/>
      <c r="Q67" s="125"/>
      <c r="R67" s="124" t="s">
        <v>240</v>
      </c>
      <c r="T67" s="124"/>
      <c r="U67" s="124"/>
      <c r="V67" s="124"/>
      <c r="W67" s="124"/>
      <c r="X67" s="124"/>
      <c r="Y67" s="124"/>
      <c r="Z67" s="124"/>
      <c r="AA67" s="127"/>
      <c r="AC67" s="84" t="str">
        <f t="shared" si="0"/>
        <v>4Valencia</v>
      </c>
      <c r="AD67" s="84" t="str">
        <f t="shared" si="1"/>
        <v>4Young Boys</v>
      </c>
    </row>
    <row r="68" spans="2:30" ht="15" customHeight="1" x14ac:dyDescent="0.25">
      <c r="B68" s="122"/>
      <c r="C68" s="7"/>
      <c r="D68" s="66">
        <f t="shared" si="2"/>
        <v>4</v>
      </c>
      <c r="E68" s="66" t="str">
        <f>VLOOKUP(G68,'Team Setup'!$B$5:$E$36,4,FALSE)</f>
        <v>E</v>
      </c>
      <c r="F68" s="106">
        <v>43411</v>
      </c>
      <c r="G68" s="26" t="s">
        <v>226</v>
      </c>
      <c r="H68" s="6"/>
      <c r="I68" s="14">
        <v>2</v>
      </c>
      <c r="J68" s="14" t="s">
        <v>4</v>
      </c>
      <c r="K68" s="14">
        <v>0</v>
      </c>
      <c r="L68" s="6"/>
      <c r="M68" s="34" t="s">
        <v>417</v>
      </c>
      <c r="N68" s="34" t="str">
        <f>VLOOKUP(G68,'Team Setup'!$B$5:$C$36,2,FALSE)</f>
        <v>Allianz Arena</v>
      </c>
      <c r="O68" s="123"/>
      <c r="P68" s="124"/>
      <c r="Q68" s="125"/>
      <c r="R68" s="124" t="s">
        <v>176</v>
      </c>
      <c r="T68" s="124"/>
      <c r="U68" s="124"/>
      <c r="V68" s="124"/>
      <c r="W68" s="124"/>
      <c r="X68" s="124"/>
      <c r="Y68" s="124"/>
      <c r="Z68" s="124"/>
      <c r="AA68" s="127"/>
      <c r="AC68" s="84" t="str">
        <f t="shared" si="0"/>
        <v>4Bayern Munich</v>
      </c>
      <c r="AD68" s="84" t="str">
        <f t="shared" si="1"/>
        <v>4AEK Athens</v>
      </c>
    </row>
    <row r="69" spans="2:30" ht="15" customHeight="1" x14ac:dyDescent="0.25">
      <c r="B69" s="122"/>
      <c r="C69" s="7"/>
      <c r="D69" s="66">
        <f t="shared" si="2"/>
        <v>4</v>
      </c>
      <c r="E69" s="66" t="str">
        <f>VLOOKUP(G69,'Team Setup'!$B$5:$E$36,4,FALSE)</f>
        <v>E</v>
      </c>
      <c r="F69" s="106">
        <v>43411</v>
      </c>
      <c r="G69" s="26" t="s">
        <v>242</v>
      </c>
      <c r="H69" s="6"/>
      <c r="I69" s="14">
        <v>1</v>
      </c>
      <c r="J69" s="14" t="s">
        <v>4</v>
      </c>
      <c r="K69" s="14">
        <v>1</v>
      </c>
      <c r="L69" s="6"/>
      <c r="M69" s="34" t="s">
        <v>243</v>
      </c>
      <c r="N69" s="34" t="str">
        <f>VLOOKUP(G69,'Team Setup'!$B$5:$C$36,2,FALSE)</f>
        <v>Estádio da Luz</v>
      </c>
      <c r="O69" s="123"/>
      <c r="P69" s="124"/>
      <c r="Q69" s="125"/>
      <c r="R69" s="124" t="s">
        <v>177</v>
      </c>
      <c r="T69" s="124"/>
      <c r="U69" s="124"/>
      <c r="V69" s="124"/>
      <c r="W69" s="124"/>
      <c r="X69" s="124"/>
      <c r="Y69" s="124"/>
      <c r="Z69" s="124"/>
      <c r="AA69" s="127"/>
      <c r="AC69" s="84" t="str">
        <f t="shared" si="0"/>
        <v>4Benfica</v>
      </c>
      <c r="AD69" s="84" t="str">
        <f t="shared" si="1"/>
        <v>4Ajax</v>
      </c>
    </row>
    <row r="70" spans="2:30" ht="15" customHeight="1" x14ac:dyDescent="0.25">
      <c r="B70" s="122"/>
      <c r="C70" s="7"/>
      <c r="D70" s="66">
        <f t="shared" si="2"/>
        <v>4</v>
      </c>
      <c r="E70" s="66" t="str">
        <f>VLOOKUP(G70,'Team Setup'!$B$5:$E$36,4,FALSE)</f>
        <v>H</v>
      </c>
      <c r="F70" s="106">
        <v>43411</v>
      </c>
      <c r="G70" s="26" t="s">
        <v>267</v>
      </c>
      <c r="H70" s="6"/>
      <c r="I70" s="14">
        <v>1</v>
      </c>
      <c r="J70" s="14" t="s">
        <v>4</v>
      </c>
      <c r="K70" s="14">
        <v>2</v>
      </c>
      <c r="L70" s="6"/>
      <c r="M70" s="34" t="s">
        <v>229</v>
      </c>
      <c r="N70" s="34" t="str">
        <f>VLOOKUP(G70,'Team Setup'!$B$5:$C$36,2,FALSE)</f>
        <v>Juventus Stadium</v>
      </c>
      <c r="O70" s="123"/>
      <c r="P70" s="124"/>
      <c r="Q70" s="125"/>
      <c r="R70" s="124" t="s">
        <v>178</v>
      </c>
      <c r="T70" s="124"/>
      <c r="U70" s="124"/>
      <c r="V70" s="124"/>
      <c r="W70" s="124"/>
      <c r="X70" s="124"/>
      <c r="Y70" s="124"/>
      <c r="Z70" s="124"/>
      <c r="AA70" s="127"/>
      <c r="AC70" s="84" t="str">
        <f t="shared" si="0"/>
        <v>4Juventus</v>
      </c>
      <c r="AD70" s="84" t="str">
        <f t="shared" si="1"/>
        <v>4Manchester United</v>
      </c>
    </row>
    <row r="71" spans="2:30" ht="15" customHeight="1" x14ac:dyDescent="0.25">
      <c r="B71" s="122"/>
      <c r="C71" s="7"/>
      <c r="D71" s="66">
        <f t="shared" si="2"/>
        <v>4</v>
      </c>
      <c r="E71" s="66" t="str">
        <f>VLOOKUP(G71,'Team Setup'!$B$5:$E$36,4,FALSE)</f>
        <v>F</v>
      </c>
      <c r="F71" s="106">
        <v>43411</v>
      </c>
      <c r="G71" s="26" t="s">
        <v>419</v>
      </c>
      <c r="H71" s="6"/>
      <c r="I71" s="14">
        <v>2</v>
      </c>
      <c r="J71" s="14" t="s">
        <v>4</v>
      </c>
      <c r="K71" s="14">
        <v>2</v>
      </c>
      <c r="L71" s="6"/>
      <c r="M71" s="34" t="s">
        <v>415</v>
      </c>
      <c r="N71" s="34" t="str">
        <f>VLOOKUP(G71,'Team Setup'!$B$5:$C$36,2,FALSE)</f>
        <v>Groupama Stadium</v>
      </c>
      <c r="O71" s="123"/>
      <c r="P71" s="124"/>
      <c r="Q71" s="125"/>
      <c r="R71" s="124" t="s">
        <v>179</v>
      </c>
      <c r="T71" s="124"/>
      <c r="U71" s="124"/>
      <c r="V71" s="124"/>
      <c r="W71" s="124"/>
      <c r="X71" s="124"/>
      <c r="Y71" s="124"/>
      <c r="Z71" s="124"/>
      <c r="AA71" s="127"/>
      <c r="AC71" s="84" t="str">
        <f t="shared" si="0"/>
        <v>4Lyon</v>
      </c>
      <c r="AD71" s="84" t="str">
        <f t="shared" si="1"/>
        <v>4Hoffenheim</v>
      </c>
    </row>
    <row r="72" spans="2:30" ht="15" customHeight="1" x14ac:dyDescent="0.25">
      <c r="B72" s="122"/>
      <c r="C72" s="7"/>
      <c r="D72" s="66">
        <f t="shared" si="2"/>
        <v>4</v>
      </c>
      <c r="E72" s="66" t="str">
        <f>VLOOKUP(G72,'Team Setup'!$B$5:$E$36,4,FALSE)</f>
        <v>F</v>
      </c>
      <c r="F72" s="106">
        <v>43411</v>
      </c>
      <c r="G72" s="26" t="s">
        <v>245</v>
      </c>
      <c r="H72" s="6"/>
      <c r="I72" s="14">
        <v>6</v>
      </c>
      <c r="J72" s="14" t="s">
        <v>4</v>
      </c>
      <c r="K72" s="14">
        <v>0</v>
      </c>
      <c r="L72" s="6"/>
      <c r="M72" s="34" t="s">
        <v>244</v>
      </c>
      <c r="N72" s="34" t="str">
        <f>VLOOKUP(G72,'Team Setup'!$B$5:$C$36,2,FALSE)</f>
        <v>City of Manchester</v>
      </c>
      <c r="O72" s="123"/>
      <c r="P72" s="124"/>
      <c r="Q72" s="125"/>
      <c r="R72" s="124" t="s">
        <v>180</v>
      </c>
      <c r="T72" s="124"/>
      <c r="U72" s="124"/>
      <c r="V72" s="124"/>
      <c r="W72" s="124"/>
      <c r="X72" s="124"/>
      <c r="Y72" s="124"/>
      <c r="Z72" s="124"/>
      <c r="AA72" s="127"/>
      <c r="AC72" s="84" t="str">
        <f t="shared" si="0"/>
        <v>4Manchester City</v>
      </c>
      <c r="AD72" s="84" t="str">
        <f t="shared" si="1"/>
        <v>4Shakhtar Donetsk</v>
      </c>
    </row>
    <row r="73" spans="2:30" ht="15" customHeight="1" x14ac:dyDescent="0.25">
      <c r="B73" s="122"/>
      <c r="C73" s="7"/>
      <c r="D73" s="66">
        <f t="shared" si="2"/>
        <v>4</v>
      </c>
      <c r="E73" s="66" t="str">
        <f>VLOOKUP(G73,'Team Setup'!$B$5:$E$36,4,FALSE)</f>
        <v>G</v>
      </c>
      <c r="F73" s="106">
        <v>43411</v>
      </c>
      <c r="G73" s="26" t="s">
        <v>423</v>
      </c>
      <c r="H73" s="6"/>
      <c r="I73" s="14">
        <v>0</v>
      </c>
      <c r="J73" s="14" t="s">
        <v>4</v>
      </c>
      <c r="K73" s="14">
        <v>5</v>
      </c>
      <c r="L73" s="6"/>
      <c r="M73" s="34" t="s">
        <v>171</v>
      </c>
      <c r="N73" s="34" t="str">
        <f>VLOOKUP(G73,'Team Setup'!$B$5:$C$36,2,FALSE)</f>
        <v>Doosan Arena</v>
      </c>
      <c r="O73" s="123"/>
      <c r="P73" s="124"/>
      <c r="Q73" s="125"/>
      <c r="R73" s="124" t="s">
        <v>181</v>
      </c>
      <c r="T73" s="124"/>
      <c r="U73" s="124"/>
      <c r="V73" s="124"/>
      <c r="W73" s="124"/>
      <c r="X73" s="124"/>
      <c r="Y73" s="124"/>
      <c r="Z73" s="124"/>
      <c r="AA73" s="127"/>
      <c r="AC73" s="84" t="str">
        <f t="shared" si="0"/>
        <v>4Plzen</v>
      </c>
      <c r="AD73" s="84" t="str">
        <f t="shared" si="1"/>
        <v>4Real Madrid</v>
      </c>
    </row>
    <row r="74" spans="2:30" ht="15" customHeight="1" x14ac:dyDescent="0.25">
      <c r="B74" s="122"/>
      <c r="C74" s="7"/>
      <c r="D74" s="66">
        <f t="shared" si="2"/>
        <v>5</v>
      </c>
      <c r="E74" s="66" t="str">
        <f>VLOOKUP(G74,'Team Setup'!$B$5:$E$36,4,FALSE)</f>
        <v>E</v>
      </c>
      <c r="F74" s="106">
        <v>43431</v>
      </c>
      <c r="G74" s="26" t="s">
        <v>417</v>
      </c>
      <c r="H74" s="6"/>
      <c r="I74" s="14">
        <v>0</v>
      </c>
      <c r="J74" s="14" t="s">
        <v>4</v>
      </c>
      <c r="K74" s="14">
        <v>2</v>
      </c>
      <c r="L74" s="6"/>
      <c r="M74" s="34" t="s">
        <v>243</v>
      </c>
      <c r="N74" s="34" t="str">
        <f>VLOOKUP(G74,'Team Setup'!$B$5:$C$36,2,FALSE)</f>
        <v>Athens Olympic Stadium</v>
      </c>
      <c r="O74" s="123"/>
      <c r="P74" s="124"/>
      <c r="Q74" s="125"/>
      <c r="R74" s="124" t="s">
        <v>182</v>
      </c>
      <c r="T74" s="124"/>
      <c r="U74" s="124"/>
      <c r="V74" s="124"/>
      <c r="W74" s="124"/>
      <c r="X74" s="124"/>
      <c r="Y74" s="124"/>
      <c r="Z74" s="124"/>
      <c r="AA74" s="127"/>
      <c r="AC74" s="84" t="str">
        <f t="shared" si="0"/>
        <v>5AEK Athens</v>
      </c>
      <c r="AD74" s="84" t="str">
        <f t="shared" si="1"/>
        <v>5Ajax</v>
      </c>
    </row>
    <row r="75" spans="2:30" ht="15" customHeight="1" x14ac:dyDescent="0.25">
      <c r="B75" s="122"/>
      <c r="C75" s="7"/>
      <c r="D75" s="66">
        <f t="shared" si="2"/>
        <v>5</v>
      </c>
      <c r="E75" s="66" t="str">
        <f>VLOOKUP(G75,'Team Setup'!$B$5:$E$36,4,FALSE)</f>
        <v>G</v>
      </c>
      <c r="F75" s="106">
        <v>43431</v>
      </c>
      <c r="G75" s="26" t="s">
        <v>342</v>
      </c>
      <c r="H75" s="6"/>
      <c r="I75" s="14">
        <v>1</v>
      </c>
      <c r="J75" s="14" t="s">
        <v>4</v>
      </c>
      <c r="K75" s="14">
        <v>2</v>
      </c>
      <c r="L75" s="6"/>
      <c r="M75" s="34" t="s">
        <v>423</v>
      </c>
      <c r="N75" s="34" t="str">
        <f>VLOOKUP(G75,'Team Setup'!$B$5:$C$36,2,FALSE)</f>
        <v>Luzhniki</v>
      </c>
      <c r="O75" s="123"/>
      <c r="P75" s="124"/>
      <c r="Q75" s="125"/>
      <c r="R75" s="124" t="s">
        <v>183</v>
      </c>
      <c r="T75" s="124"/>
      <c r="U75" s="124"/>
      <c r="V75" s="124"/>
      <c r="W75" s="124"/>
      <c r="X75" s="124"/>
      <c r="Y75" s="124"/>
      <c r="Z75" s="124"/>
      <c r="AA75" s="127"/>
      <c r="AC75" s="84" t="str">
        <f t="shared" ref="AC75:AC105" si="3">D75&amp;G75</f>
        <v>5CSKA Moscow</v>
      </c>
      <c r="AD75" s="84" t="str">
        <f t="shared" ref="AD75:AD105" si="4">D75&amp;M75</f>
        <v>5Plzen</v>
      </c>
    </row>
    <row r="76" spans="2:30" ht="15" customHeight="1" x14ac:dyDescent="0.25">
      <c r="B76" s="122"/>
      <c r="C76" s="7"/>
      <c r="D76" s="66">
        <f t="shared" si="2"/>
        <v>5</v>
      </c>
      <c r="E76" s="66" t="str">
        <f>VLOOKUP(G76,'Team Setup'!$B$5:$E$36,4,FALSE)</f>
        <v>G</v>
      </c>
      <c r="F76" s="106">
        <v>43431</v>
      </c>
      <c r="G76" s="26" t="s">
        <v>396</v>
      </c>
      <c r="H76" s="6"/>
      <c r="I76" s="14">
        <v>0</v>
      </c>
      <c r="J76" s="14" t="s">
        <v>4</v>
      </c>
      <c r="K76" s="14">
        <v>2</v>
      </c>
      <c r="L76" s="6"/>
      <c r="M76" s="34" t="s">
        <v>171</v>
      </c>
      <c r="N76" s="34" t="str">
        <f>VLOOKUP(G76,'Team Setup'!$B$5:$C$36,2,FALSE)</f>
        <v>Olimpico</v>
      </c>
      <c r="O76" s="123"/>
      <c r="P76" s="124"/>
      <c r="Q76" s="125"/>
      <c r="R76" s="124" t="s">
        <v>184</v>
      </c>
      <c r="T76" s="124"/>
      <c r="U76" s="124"/>
      <c r="V76" s="124"/>
      <c r="W76" s="124"/>
      <c r="X76" s="124"/>
      <c r="Y76" s="124"/>
      <c r="Z76" s="124"/>
      <c r="AA76" s="127"/>
      <c r="AC76" s="84" t="str">
        <f t="shared" si="3"/>
        <v>5AS Roma</v>
      </c>
      <c r="AD76" s="84" t="str">
        <f t="shared" si="4"/>
        <v>5Real Madrid</v>
      </c>
    </row>
    <row r="77" spans="2:30" ht="15" customHeight="1" x14ac:dyDescent="0.25">
      <c r="B77" s="122"/>
      <c r="C77" s="7"/>
      <c r="D77" s="66">
        <f t="shared" si="2"/>
        <v>5</v>
      </c>
      <c r="E77" s="66" t="str">
        <f>VLOOKUP(G77,'Team Setup'!$B$5:$E$36,4,FALSE)</f>
        <v>E</v>
      </c>
      <c r="F77" s="106">
        <v>43431</v>
      </c>
      <c r="G77" s="26" t="s">
        <v>226</v>
      </c>
      <c r="H77" s="6"/>
      <c r="I77" s="14">
        <v>5</v>
      </c>
      <c r="J77" s="14" t="s">
        <v>4</v>
      </c>
      <c r="K77" s="14">
        <v>1</v>
      </c>
      <c r="L77" s="6"/>
      <c r="M77" s="34" t="s">
        <v>242</v>
      </c>
      <c r="N77" s="34" t="str">
        <f>VLOOKUP(G77,'Team Setup'!$B$5:$C$36,2,FALSE)</f>
        <v>Allianz Arena</v>
      </c>
      <c r="O77" s="123"/>
      <c r="P77" s="124"/>
      <c r="Q77" s="125"/>
      <c r="R77" s="124" t="s">
        <v>185</v>
      </c>
      <c r="T77" s="124"/>
      <c r="U77" s="124"/>
      <c r="V77" s="124"/>
      <c r="W77" s="124"/>
      <c r="X77" s="124"/>
      <c r="Y77" s="124"/>
      <c r="Z77" s="124"/>
      <c r="AA77" s="127"/>
      <c r="AC77" s="84" t="str">
        <f t="shared" si="3"/>
        <v>5Bayern Munich</v>
      </c>
      <c r="AD77" s="84" t="str">
        <f t="shared" si="4"/>
        <v>5Benfica</v>
      </c>
    </row>
    <row r="78" spans="2:30" ht="15" customHeight="1" x14ac:dyDescent="0.25">
      <c r="B78" s="122"/>
      <c r="C78" s="7"/>
      <c r="D78" s="66">
        <f t="shared" si="2"/>
        <v>5</v>
      </c>
      <c r="E78" s="66" t="str">
        <f>VLOOKUP(G78,'Team Setup'!$B$5:$E$36,4,FALSE)</f>
        <v>F</v>
      </c>
      <c r="F78" s="106">
        <v>43431</v>
      </c>
      <c r="G78" s="26" t="s">
        <v>415</v>
      </c>
      <c r="H78" s="6"/>
      <c r="I78" s="14">
        <v>2</v>
      </c>
      <c r="J78" s="14" t="s">
        <v>4</v>
      </c>
      <c r="K78" s="14">
        <v>3</v>
      </c>
      <c r="L78" s="6"/>
      <c r="M78" s="34" t="s">
        <v>244</v>
      </c>
      <c r="N78" s="34" t="str">
        <f>VLOOKUP(G78,'Team Setup'!$B$5:$C$36,2,FALSE)</f>
        <v>Rhein-Neckar-Arena</v>
      </c>
      <c r="O78" s="123"/>
      <c r="P78" s="124"/>
      <c r="Q78" s="125"/>
      <c r="R78" s="124" t="s">
        <v>186</v>
      </c>
      <c r="T78" s="124"/>
      <c r="U78" s="124"/>
      <c r="V78" s="124"/>
      <c r="W78" s="124"/>
      <c r="X78" s="124"/>
      <c r="Y78" s="124"/>
      <c r="Z78" s="124"/>
      <c r="AA78" s="127"/>
      <c r="AC78" s="84" t="str">
        <f t="shared" si="3"/>
        <v>5Hoffenheim</v>
      </c>
      <c r="AD78" s="84" t="str">
        <f t="shared" si="4"/>
        <v>5Shakhtar Donetsk</v>
      </c>
    </row>
    <row r="79" spans="2:30" ht="15" customHeight="1" x14ac:dyDescent="0.25">
      <c r="B79" s="122"/>
      <c r="C79" s="7"/>
      <c r="D79" s="66">
        <f t="shared" si="2"/>
        <v>5</v>
      </c>
      <c r="E79" s="66" t="str">
        <f>VLOOKUP(G79,'Team Setup'!$B$5:$E$36,4,FALSE)</f>
        <v>H</v>
      </c>
      <c r="F79" s="106">
        <v>43431</v>
      </c>
      <c r="G79" s="26" t="s">
        <v>267</v>
      </c>
      <c r="H79" s="6"/>
      <c r="I79" s="14">
        <v>1</v>
      </c>
      <c r="J79" s="14" t="s">
        <v>4</v>
      </c>
      <c r="K79" s="14">
        <v>0</v>
      </c>
      <c r="L79" s="6"/>
      <c r="M79" s="34" t="s">
        <v>435</v>
      </c>
      <c r="N79" s="34" t="str">
        <f>VLOOKUP(G79,'Team Setup'!$B$5:$C$36,2,FALSE)</f>
        <v>Juventus Stadium</v>
      </c>
      <c r="O79" s="123"/>
      <c r="P79" s="124"/>
      <c r="Q79" s="125"/>
      <c r="R79" s="124" t="s">
        <v>187</v>
      </c>
      <c r="T79" s="124"/>
      <c r="U79" s="124"/>
      <c r="V79" s="124"/>
      <c r="W79" s="124"/>
      <c r="X79" s="124"/>
      <c r="Y79" s="124"/>
      <c r="Z79" s="124"/>
      <c r="AA79" s="127"/>
      <c r="AC79" s="84" t="str">
        <f t="shared" si="3"/>
        <v>5Juventus</v>
      </c>
      <c r="AD79" s="84" t="str">
        <f t="shared" si="4"/>
        <v>5Valencia</v>
      </c>
    </row>
    <row r="80" spans="2:30" ht="15" customHeight="1" x14ac:dyDescent="0.25">
      <c r="B80" s="122"/>
      <c r="C80" s="7"/>
      <c r="D80" s="66">
        <f t="shared" si="2"/>
        <v>5</v>
      </c>
      <c r="E80" s="66" t="str">
        <f>VLOOKUP(G80,'Team Setup'!$B$5:$E$36,4,FALSE)</f>
        <v>F</v>
      </c>
      <c r="F80" s="106">
        <v>43431</v>
      </c>
      <c r="G80" s="26" t="s">
        <v>419</v>
      </c>
      <c r="H80" s="6"/>
      <c r="I80" s="14">
        <v>2</v>
      </c>
      <c r="J80" s="14" t="s">
        <v>4</v>
      </c>
      <c r="K80" s="14">
        <v>2</v>
      </c>
      <c r="L80" s="6"/>
      <c r="M80" s="34" t="s">
        <v>245</v>
      </c>
      <c r="N80" s="34" t="str">
        <f>VLOOKUP(G80,'Team Setup'!$B$5:$C$36,2,FALSE)</f>
        <v>Groupama Stadium</v>
      </c>
      <c r="O80" s="123"/>
      <c r="P80" s="124"/>
      <c r="Q80" s="125"/>
      <c r="R80" s="124"/>
      <c r="T80" s="124"/>
      <c r="U80" s="124"/>
      <c r="V80" s="124"/>
      <c r="W80" s="124"/>
      <c r="X80" s="124"/>
      <c r="Y80" s="124"/>
      <c r="Z80" s="124"/>
      <c r="AA80" s="127"/>
      <c r="AC80" s="84" t="str">
        <f t="shared" si="3"/>
        <v>5Lyon</v>
      </c>
      <c r="AD80" s="84" t="str">
        <f t="shared" si="4"/>
        <v>5Manchester City</v>
      </c>
    </row>
    <row r="81" spans="2:30" ht="15" customHeight="1" x14ac:dyDescent="0.25">
      <c r="B81" s="122"/>
      <c r="C81" s="7"/>
      <c r="D81" s="66">
        <f t="shared" si="2"/>
        <v>5</v>
      </c>
      <c r="E81" s="66" t="str">
        <f>VLOOKUP(G81,'Team Setup'!$B$5:$E$36,4,FALSE)</f>
        <v>H</v>
      </c>
      <c r="F81" s="106">
        <v>43431</v>
      </c>
      <c r="G81" s="26" t="s">
        <v>229</v>
      </c>
      <c r="H81" s="6"/>
      <c r="I81" s="14">
        <v>1</v>
      </c>
      <c r="J81" s="14" t="s">
        <v>4</v>
      </c>
      <c r="K81" s="14">
        <v>0</v>
      </c>
      <c r="L81" s="6"/>
      <c r="M81" s="34" t="s">
        <v>413</v>
      </c>
      <c r="N81" s="34" t="str">
        <f>VLOOKUP(G81,'Team Setup'!$B$5:$C$36,2,FALSE)</f>
        <v>Old Trafford</v>
      </c>
      <c r="O81" s="123"/>
      <c r="P81" s="124"/>
      <c r="Q81" s="125"/>
      <c r="R81" s="126" t="s">
        <v>442</v>
      </c>
      <c r="T81" s="124"/>
      <c r="U81" s="124"/>
      <c r="V81" s="124"/>
      <c r="W81" s="124"/>
      <c r="X81" s="124"/>
      <c r="Y81" s="124"/>
      <c r="Z81" s="124"/>
      <c r="AA81" s="127"/>
      <c r="AC81" s="84" t="str">
        <f t="shared" si="3"/>
        <v>5Manchester United</v>
      </c>
      <c r="AD81" s="84" t="str">
        <f t="shared" si="4"/>
        <v>5Young Boys</v>
      </c>
    </row>
    <row r="82" spans="2:30" ht="15" customHeight="1" x14ac:dyDescent="0.25">
      <c r="B82" s="122"/>
      <c r="C82" s="7"/>
      <c r="D82" s="66">
        <f t="shared" si="2"/>
        <v>5</v>
      </c>
      <c r="E82" s="66" t="str">
        <f>VLOOKUP(G82,'Team Setup'!$B$5:$E$36,4,FALSE)</f>
        <v>A</v>
      </c>
      <c r="F82" s="106">
        <v>43432</v>
      </c>
      <c r="G82" s="26" t="s">
        <v>346</v>
      </c>
      <c r="H82" s="6"/>
      <c r="I82" s="14">
        <v>2</v>
      </c>
      <c r="J82" s="14" t="s">
        <v>4</v>
      </c>
      <c r="K82" s="14">
        <v>0</v>
      </c>
      <c r="L82" s="6"/>
      <c r="M82" s="34" t="s">
        <v>386</v>
      </c>
      <c r="N82" s="34" t="str">
        <f>VLOOKUP(G82,'Team Setup'!$B$5:$C$36,2,FALSE)</f>
        <v>Vicente Calderon</v>
      </c>
      <c r="O82" s="123"/>
      <c r="P82" s="124"/>
      <c r="Q82" s="125"/>
      <c r="R82" s="129" t="s">
        <v>193</v>
      </c>
      <c r="T82" s="130" t="s">
        <v>17</v>
      </c>
      <c r="U82" s="124"/>
      <c r="V82" s="131" t="s">
        <v>200</v>
      </c>
      <c r="W82" s="124"/>
      <c r="X82" s="124"/>
      <c r="Y82" s="124"/>
      <c r="Z82" s="124"/>
      <c r="AA82" s="127"/>
      <c r="AC82" s="84" t="str">
        <f t="shared" si="3"/>
        <v>5Atletico Madrid</v>
      </c>
      <c r="AD82" s="84" t="str">
        <f t="shared" si="4"/>
        <v>5Monaco</v>
      </c>
    </row>
    <row r="83" spans="2:30" ht="15" customHeight="1" x14ac:dyDescent="0.25">
      <c r="B83" s="122"/>
      <c r="C83" s="7"/>
      <c r="D83" s="66">
        <f t="shared" si="2"/>
        <v>5</v>
      </c>
      <c r="E83" s="66" t="str">
        <f>VLOOKUP(G83,'Team Setup'!$B$5:$E$36,4,FALSE)</f>
        <v>D</v>
      </c>
      <c r="F83" s="106">
        <v>43432</v>
      </c>
      <c r="G83" s="26" t="s">
        <v>421</v>
      </c>
      <c r="H83" s="6"/>
      <c r="I83" s="14">
        <v>2</v>
      </c>
      <c r="J83" s="14" t="s">
        <v>4</v>
      </c>
      <c r="K83" s="14">
        <v>0</v>
      </c>
      <c r="L83" s="6"/>
      <c r="M83" s="34" t="s">
        <v>269</v>
      </c>
      <c r="N83" s="34" t="str">
        <f>VLOOKUP(G83,'Team Setup'!$B$5:$C$36,2,FALSE)</f>
        <v>RZD Arena</v>
      </c>
      <c r="O83" s="123"/>
      <c r="P83" s="124"/>
      <c r="Q83" s="125"/>
      <c r="R83" s="132" t="s">
        <v>15</v>
      </c>
      <c r="S83" s="133" t="str">
        <f>S9</f>
        <v>Borussia Dortmund</v>
      </c>
      <c r="T83" s="133" t="str">
        <f>VLOOKUP(S83,'Team Setup'!$B$5:$D$36,3,FALSE)</f>
        <v>Germany</v>
      </c>
      <c r="U83" s="124"/>
      <c r="V83" s="14">
        <v>3</v>
      </c>
      <c r="W83" s="124"/>
      <c r="X83" s="102" t="str">
        <f t="shared" ref="X83:X90" si="5">S83</f>
        <v>Borussia Dortmund</v>
      </c>
      <c r="Z83" s="124"/>
      <c r="AA83" s="127"/>
      <c r="AC83" s="84" t="str">
        <f t="shared" si="3"/>
        <v>5Lokomotiv Moscow</v>
      </c>
      <c r="AD83" s="84" t="str">
        <f t="shared" si="4"/>
        <v>5Galatasaray</v>
      </c>
    </row>
    <row r="84" spans="2:30" ht="15" customHeight="1" x14ac:dyDescent="0.25">
      <c r="B84" s="122"/>
      <c r="C84" s="7"/>
      <c r="D84" s="66">
        <f t="shared" si="2"/>
        <v>5</v>
      </c>
      <c r="E84" s="66" t="str">
        <f>VLOOKUP(G84,'Team Setup'!$B$5:$E$36,4,FALSE)</f>
        <v>A</v>
      </c>
      <c r="F84" s="106">
        <v>43432</v>
      </c>
      <c r="G84" s="26" t="s">
        <v>247</v>
      </c>
      <c r="H84" s="6"/>
      <c r="I84" s="14">
        <v>0</v>
      </c>
      <c r="J84" s="14" t="s">
        <v>4</v>
      </c>
      <c r="K84" s="14">
        <v>0</v>
      </c>
      <c r="L84" s="6"/>
      <c r="M84" s="34" t="s">
        <v>429</v>
      </c>
      <c r="N84" s="34" t="str">
        <f>VLOOKUP(G84,'Team Setup'!$B$5:$C$36,2,FALSE)</f>
        <v>Signal Iduna Park</v>
      </c>
      <c r="O84" s="123"/>
      <c r="P84" s="124"/>
      <c r="Q84" s="125"/>
      <c r="R84" s="132" t="s">
        <v>195</v>
      </c>
      <c r="S84" s="133" t="str">
        <f>S16</f>
        <v>Barcelona</v>
      </c>
      <c r="T84" s="133" t="str">
        <f>VLOOKUP(S84,'Team Setup'!$B$5:$D$36,3,FALSE)</f>
        <v>Spain</v>
      </c>
      <c r="U84" s="124"/>
      <c r="V84" s="14">
        <v>5</v>
      </c>
      <c r="W84" s="124"/>
      <c r="X84" s="102" t="str">
        <f t="shared" si="5"/>
        <v>Barcelona</v>
      </c>
      <c r="Z84" s="124"/>
      <c r="AA84" s="127"/>
      <c r="AC84" s="84" t="str">
        <f t="shared" si="3"/>
        <v>5Borussia Dortmund</v>
      </c>
      <c r="AD84" s="84" t="str">
        <f t="shared" si="4"/>
        <v>5Club Brugge</v>
      </c>
    </row>
    <row r="85" spans="2:30" ht="15" customHeight="1" x14ac:dyDescent="0.25">
      <c r="B85" s="122"/>
      <c r="C85" s="7"/>
      <c r="D85" s="66">
        <f t="shared" si="2"/>
        <v>5</v>
      </c>
      <c r="E85" s="66" t="str">
        <f>VLOOKUP(G85,'Team Setup'!$B$5:$E$36,4,FALSE)</f>
        <v>D</v>
      </c>
      <c r="F85" s="106">
        <v>43432</v>
      </c>
      <c r="G85" s="26" t="s">
        <v>248</v>
      </c>
      <c r="H85" s="6"/>
      <c r="I85" s="14">
        <v>3</v>
      </c>
      <c r="J85" s="14" t="s">
        <v>4</v>
      </c>
      <c r="K85" s="14">
        <v>1</v>
      </c>
      <c r="L85" s="6"/>
      <c r="M85" s="34" t="s">
        <v>270</v>
      </c>
      <c r="N85" s="34" t="str">
        <f>VLOOKUP(G85,'Team Setup'!$B$5:$C$36,2,FALSE)</f>
        <v>Estádio do Dragão</v>
      </c>
      <c r="O85" s="123"/>
      <c r="P85" s="124"/>
      <c r="Q85" s="125"/>
      <c r="R85" s="132" t="s">
        <v>196</v>
      </c>
      <c r="S85" s="133" t="str">
        <f>S23</f>
        <v>Paris Saint-Germain</v>
      </c>
      <c r="T85" s="133" t="str">
        <f>VLOOKUP(S85,'Team Setup'!$B$5:$D$36,3,FALSE)</f>
        <v>France</v>
      </c>
      <c r="U85" s="124"/>
      <c r="V85" s="14">
        <v>2</v>
      </c>
      <c r="W85" s="124"/>
      <c r="X85" s="102" t="str">
        <f t="shared" si="5"/>
        <v>Paris Saint-Germain</v>
      </c>
      <c r="Z85" s="124"/>
      <c r="AA85" s="127"/>
      <c r="AC85" s="84" t="str">
        <f t="shared" si="3"/>
        <v>5Porto</v>
      </c>
      <c r="AD85" s="84" t="str">
        <f t="shared" si="4"/>
        <v>5Schalke 04</v>
      </c>
    </row>
    <row r="86" spans="2:30" ht="15" customHeight="1" x14ac:dyDescent="0.25">
      <c r="B86" s="122"/>
      <c r="C86" s="7"/>
      <c r="D86" s="66">
        <f t="shared" si="2"/>
        <v>5</v>
      </c>
      <c r="E86" s="66" t="str">
        <f>VLOOKUP(G86,'Team Setup'!$B$5:$E$36,4,FALSE)</f>
        <v>C</v>
      </c>
      <c r="F86" s="106">
        <v>43432</v>
      </c>
      <c r="G86" s="26" t="s">
        <v>345</v>
      </c>
      <c r="H86" s="6"/>
      <c r="I86" s="14">
        <v>3</v>
      </c>
      <c r="J86" s="14" t="s">
        <v>4</v>
      </c>
      <c r="K86" s="14">
        <v>1</v>
      </c>
      <c r="L86" s="6"/>
      <c r="M86" s="34" t="s">
        <v>426</v>
      </c>
      <c r="N86" s="34" t="str">
        <f>VLOOKUP(G86,'Team Setup'!$B$5:$C$36,2,FALSE)</f>
        <v>San Paolo</v>
      </c>
      <c r="O86" s="123"/>
      <c r="P86" s="124"/>
      <c r="Q86" s="125"/>
      <c r="R86" s="132" t="s">
        <v>8</v>
      </c>
      <c r="S86" s="133" t="str">
        <f>S30</f>
        <v>Porto</v>
      </c>
      <c r="T86" s="133" t="str">
        <f>VLOOKUP(S86,'Team Setup'!$B$5:$D$36,3,FALSE)</f>
        <v>Portugal</v>
      </c>
      <c r="U86" s="124"/>
      <c r="V86" s="14">
        <v>1</v>
      </c>
      <c r="W86" s="124"/>
      <c r="X86" s="102" t="str">
        <f t="shared" si="5"/>
        <v>Porto</v>
      </c>
      <c r="Z86" s="124"/>
      <c r="AA86" s="127"/>
      <c r="AC86" s="84" t="str">
        <f t="shared" si="3"/>
        <v>5Napoli</v>
      </c>
      <c r="AD86" s="84" t="str">
        <f t="shared" si="4"/>
        <v>5Red Star Belgrade</v>
      </c>
    </row>
    <row r="87" spans="2:30" ht="15" customHeight="1" x14ac:dyDescent="0.25">
      <c r="B87" s="122"/>
      <c r="C87" s="7"/>
      <c r="D87" s="66">
        <f>D71+1</f>
        <v>5</v>
      </c>
      <c r="E87" s="66" t="str">
        <f>VLOOKUP(G87,'Team Setup'!$B$5:$E$36,4,FALSE)</f>
        <v>C</v>
      </c>
      <c r="F87" s="106">
        <v>43432</v>
      </c>
      <c r="G87" s="26" t="s">
        <v>268</v>
      </c>
      <c r="H87" s="6"/>
      <c r="I87" s="14">
        <v>2</v>
      </c>
      <c r="J87" s="14" t="s">
        <v>4</v>
      </c>
      <c r="K87" s="14">
        <v>1</v>
      </c>
      <c r="L87" s="6"/>
      <c r="M87" s="34" t="s">
        <v>393</v>
      </c>
      <c r="N87" s="34" t="str">
        <f>VLOOKUP(G87,'Team Setup'!$B$5:$C$36,2,FALSE)</f>
        <v>Parc des Princes</v>
      </c>
      <c r="O87" s="123"/>
      <c r="P87" s="124"/>
      <c r="Q87" s="125"/>
      <c r="R87" s="132" t="s">
        <v>197</v>
      </c>
      <c r="S87" s="78" t="str">
        <f>S37</f>
        <v>Bayern Munich</v>
      </c>
      <c r="T87" s="133" t="str">
        <f>VLOOKUP(S87,'Team Setup'!$B$5:$D$36,3,FALSE)</f>
        <v>Germany</v>
      </c>
      <c r="U87" s="124"/>
      <c r="V87" s="14">
        <v>6</v>
      </c>
      <c r="W87" s="124"/>
      <c r="X87" s="102" t="str">
        <f t="shared" si="5"/>
        <v>Bayern Munich</v>
      </c>
      <c r="Z87" s="124"/>
      <c r="AA87" s="127"/>
      <c r="AC87" s="84" t="str">
        <f t="shared" si="3"/>
        <v>5Paris Saint-Germain</v>
      </c>
      <c r="AD87" s="84" t="str">
        <f t="shared" si="4"/>
        <v>5Liverpool</v>
      </c>
    </row>
    <row r="88" spans="2:30" ht="15" customHeight="1" x14ac:dyDescent="0.25">
      <c r="B88" s="122"/>
      <c r="C88" s="7"/>
      <c r="D88" s="66">
        <f t="shared" si="2"/>
        <v>5</v>
      </c>
      <c r="E88" s="66" t="str">
        <f>VLOOKUP(G88,'Team Setup'!$B$5:$E$36,4,FALSE)</f>
        <v>B</v>
      </c>
      <c r="F88" s="106">
        <v>43432</v>
      </c>
      <c r="G88" s="26" t="s">
        <v>432</v>
      </c>
      <c r="H88" s="6"/>
      <c r="I88" s="14">
        <v>1</v>
      </c>
      <c r="J88" s="14" t="s">
        <v>4</v>
      </c>
      <c r="K88" s="14">
        <v>2</v>
      </c>
      <c r="L88" s="6"/>
      <c r="M88" s="34" t="s">
        <v>169</v>
      </c>
      <c r="N88" s="34" t="str">
        <f>VLOOKUP(G88,'Team Setup'!$B$5:$C$36,2,FALSE)</f>
        <v>PSV Stadion</v>
      </c>
      <c r="O88" s="123"/>
      <c r="P88" s="124"/>
      <c r="Q88" s="125"/>
      <c r="R88" s="132" t="s">
        <v>14</v>
      </c>
      <c r="S88" s="78" t="str">
        <f>S44</f>
        <v>Manchester City</v>
      </c>
      <c r="T88" s="133" t="str">
        <f>VLOOKUP(S88,'Team Setup'!$B$5:$D$36,3,FALSE)</f>
        <v>England</v>
      </c>
      <c r="U88" s="124"/>
      <c r="V88" s="14">
        <v>8</v>
      </c>
      <c r="W88" s="124"/>
      <c r="X88" s="102" t="str">
        <f t="shared" si="5"/>
        <v>Manchester City</v>
      </c>
      <c r="Z88" s="124"/>
      <c r="AA88" s="127"/>
      <c r="AC88" s="84" t="str">
        <f t="shared" si="3"/>
        <v>5PSV Eindhoven</v>
      </c>
      <c r="AD88" s="84" t="str">
        <f t="shared" si="4"/>
        <v>5Barcelona</v>
      </c>
    </row>
    <row r="89" spans="2:30" ht="15" customHeight="1" x14ac:dyDescent="0.25">
      <c r="B89" s="122"/>
      <c r="C89" s="7"/>
      <c r="D89" s="66">
        <f t="shared" si="2"/>
        <v>5</v>
      </c>
      <c r="E89" s="66" t="str">
        <f>VLOOKUP(G89,'Team Setup'!$B$5:$E$36,4,FALSE)</f>
        <v>B</v>
      </c>
      <c r="F89" s="106">
        <v>43432</v>
      </c>
      <c r="G89" s="26" t="s">
        <v>385</v>
      </c>
      <c r="H89" s="6"/>
      <c r="I89" s="14">
        <v>1</v>
      </c>
      <c r="J89" s="14" t="s">
        <v>4</v>
      </c>
      <c r="K89" s="14">
        <v>0</v>
      </c>
      <c r="L89" s="6"/>
      <c r="M89" s="34" t="s">
        <v>440</v>
      </c>
      <c r="N89" s="34" t="str">
        <f>VLOOKUP(G89,'Team Setup'!$B$5:$C$36,2,FALSE)</f>
        <v>White Hart Lane</v>
      </c>
      <c r="O89" s="123"/>
      <c r="P89" s="124"/>
      <c r="Q89" s="125"/>
      <c r="R89" s="132" t="s">
        <v>198</v>
      </c>
      <c r="S89" s="78" t="str">
        <f>S51</f>
        <v>Real Madrid</v>
      </c>
      <c r="T89" s="133" t="str">
        <f>VLOOKUP(S89,'Team Setup'!$B$5:$D$36,3,FALSE)</f>
        <v>Spain</v>
      </c>
      <c r="U89" s="124"/>
      <c r="V89" s="14">
        <v>4</v>
      </c>
      <c r="W89" s="124"/>
      <c r="X89" s="102" t="str">
        <f t="shared" si="5"/>
        <v>Real Madrid</v>
      </c>
      <c r="Z89" s="124"/>
      <c r="AA89" s="127"/>
      <c r="AC89" s="84" t="str">
        <f t="shared" si="3"/>
        <v>5Tottenham Hotspur</v>
      </c>
      <c r="AD89" s="84" t="str">
        <f t="shared" si="4"/>
        <v>5Internazionale</v>
      </c>
    </row>
    <row r="90" spans="2:30" ht="15" customHeight="1" x14ac:dyDescent="0.25">
      <c r="B90" s="122"/>
      <c r="C90" s="7"/>
      <c r="D90" s="66">
        <f t="shared" si="2"/>
        <v>6</v>
      </c>
      <c r="E90" s="66" t="str">
        <f>VLOOKUP(G90,'Team Setup'!$B$5:$E$36,4,FALSE)</f>
        <v>D</v>
      </c>
      <c r="F90" s="106">
        <v>43445</v>
      </c>
      <c r="G90" s="26" t="s">
        <v>269</v>
      </c>
      <c r="H90" s="6"/>
      <c r="I90" s="14">
        <v>2</v>
      </c>
      <c r="J90" s="14" t="s">
        <v>4</v>
      </c>
      <c r="K90" s="14">
        <v>3</v>
      </c>
      <c r="L90" s="6"/>
      <c r="M90" s="34" t="s">
        <v>248</v>
      </c>
      <c r="N90" s="34" t="str">
        <f>VLOOKUP(G90,'Team Setup'!$B$5:$C$36,2,FALSE)</f>
        <v>Türk Telekom Arena</v>
      </c>
      <c r="O90" s="123"/>
      <c r="P90" s="124"/>
      <c r="Q90" s="125"/>
      <c r="R90" s="132" t="s">
        <v>199</v>
      </c>
      <c r="S90" s="78" t="str">
        <f>S58</f>
        <v>Juventus</v>
      </c>
      <c r="T90" s="133" t="str">
        <f>VLOOKUP(S90,'Team Setup'!$B$5:$D$36,3,FALSE)</f>
        <v>Italy</v>
      </c>
      <c r="U90" s="124"/>
      <c r="V90" s="14">
        <v>7</v>
      </c>
      <c r="W90" s="124"/>
      <c r="X90" s="102" t="str">
        <f t="shared" si="5"/>
        <v>Juventus</v>
      </c>
      <c r="Z90" s="124"/>
      <c r="AA90" s="127"/>
      <c r="AC90" s="84" t="str">
        <f t="shared" si="3"/>
        <v>6Galatasaray</v>
      </c>
      <c r="AD90" s="84" t="str">
        <f t="shared" si="4"/>
        <v>6Porto</v>
      </c>
    </row>
    <row r="91" spans="2:30" ht="15" customHeight="1" x14ac:dyDescent="0.25">
      <c r="B91" s="122"/>
      <c r="C91" s="7"/>
      <c r="D91" s="66">
        <f t="shared" ref="D91:D105" si="6">D75+1</f>
        <v>6</v>
      </c>
      <c r="E91" s="66" t="str">
        <f>VLOOKUP(G91,'Team Setup'!$B$5:$E$36,4,FALSE)</f>
        <v>D</v>
      </c>
      <c r="F91" s="106">
        <v>43445</v>
      </c>
      <c r="G91" s="26" t="s">
        <v>270</v>
      </c>
      <c r="H91" s="6"/>
      <c r="I91" s="14">
        <v>1</v>
      </c>
      <c r="J91" s="14" t="s">
        <v>4</v>
      </c>
      <c r="K91" s="14">
        <v>0</v>
      </c>
      <c r="L91" s="6"/>
      <c r="M91" s="34" t="s">
        <v>421</v>
      </c>
      <c r="N91" s="34" t="str">
        <f>VLOOKUP(G91,'Team Setup'!$B$5:$C$36,2,FALSE)</f>
        <v>Veltins-Arena</v>
      </c>
      <c r="O91" s="123"/>
      <c r="P91" s="124"/>
      <c r="Q91" s="125"/>
      <c r="R91" s="134"/>
      <c r="T91" s="124"/>
      <c r="U91" s="124"/>
      <c r="V91" s="132"/>
      <c r="W91" s="124"/>
      <c r="X91" s="102"/>
      <c r="Z91" s="124"/>
      <c r="AA91" s="127"/>
      <c r="AC91" s="84" t="str">
        <f t="shared" si="3"/>
        <v>6Schalke 04</v>
      </c>
      <c r="AD91" s="84" t="str">
        <f t="shared" si="4"/>
        <v>6Lokomotiv Moscow</v>
      </c>
    </row>
    <row r="92" spans="2:30" ht="15" customHeight="1" x14ac:dyDescent="0.25">
      <c r="B92" s="122"/>
      <c r="C92" s="7"/>
      <c r="D92" s="66">
        <f t="shared" si="6"/>
        <v>6</v>
      </c>
      <c r="E92" s="66" t="str">
        <f>VLOOKUP(G92,'Team Setup'!$B$5:$E$36,4,FALSE)</f>
        <v>B</v>
      </c>
      <c r="F92" s="106">
        <v>43445</v>
      </c>
      <c r="G92" s="26" t="s">
        <v>169</v>
      </c>
      <c r="H92" s="6"/>
      <c r="I92" s="14">
        <v>1</v>
      </c>
      <c r="J92" s="14" t="s">
        <v>4</v>
      </c>
      <c r="K92" s="14">
        <v>1</v>
      </c>
      <c r="L92" s="6"/>
      <c r="M92" s="34" t="s">
        <v>385</v>
      </c>
      <c r="N92" s="34" t="str">
        <f>VLOOKUP(G92,'Team Setup'!$B$5:$C$36,2,FALSE)</f>
        <v>Nou Camp</v>
      </c>
      <c r="O92" s="123"/>
      <c r="P92" s="124"/>
      <c r="Q92" s="125"/>
      <c r="R92" s="135" t="s">
        <v>194</v>
      </c>
      <c r="T92" s="124"/>
      <c r="U92" s="124"/>
      <c r="V92" s="132"/>
      <c r="W92" s="124"/>
      <c r="X92" s="102"/>
      <c r="Z92" s="124"/>
      <c r="AA92" s="127"/>
      <c r="AC92" s="84" t="str">
        <f t="shared" si="3"/>
        <v>6Barcelona</v>
      </c>
      <c r="AD92" s="84" t="str">
        <f t="shared" si="4"/>
        <v>6Tottenham Hotspur</v>
      </c>
    </row>
    <row r="93" spans="2:30" ht="15" customHeight="1" x14ac:dyDescent="0.25">
      <c r="B93" s="122"/>
      <c r="C93" s="7"/>
      <c r="D93" s="66">
        <f t="shared" si="6"/>
        <v>6</v>
      </c>
      <c r="E93" s="66" t="str">
        <f>VLOOKUP(G93,'Team Setup'!$B$5:$E$36,4,FALSE)</f>
        <v>A</v>
      </c>
      <c r="F93" s="106">
        <v>43445</v>
      </c>
      <c r="G93" s="26" t="s">
        <v>429</v>
      </c>
      <c r="H93" s="6"/>
      <c r="I93" s="14">
        <v>0</v>
      </c>
      <c r="J93" s="14" t="s">
        <v>4</v>
      </c>
      <c r="K93" s="14">
        <v>0</v>
      </c>
      <c r="L93" s="6"/>
      <c r="M93" s="34" t="s">
        <v>346</v>
      </c>
      <c r="N93" s="34" t="str">
        <f>VLOOKUP(G93,'Team Setup'!$B$5:$C$36,2,FALSE)</f>
        <v>Jan Breydel</v>
      </c>
      <c r="O93" s="123"/>
      <c r="P93" s="124"/>
      <c r="Q93" s="125"/>
      <c r="R93" s="132" t="s">
        <v>15</v>
      </c>
      <c r="S93" s="133" t="str">
        <f>S10</f>
        <v>Atletico Madrid</v>
      </c>
      <c r="T93" s="133" t="str">
        <f>VLOOKUP(S93,'Team Setup'!$B$5:$D$36,3,FALSE)</f>
        <v>Spain</v>
      </c>
      <c r="U93" s="124"/>
      <c r="V93" s="14">
        <v>7</v>
      </c>
      <c r="W93" s="124"/>
      <c r="X93" s="102" t="str">
        <f t="shared" ref="X93:X100" si="7">S93</f>
        <v>Atletico Madrid</v>
      </c>
      <c r="Z93" s="124"/>
      <c r="AA93" s="127"/>
      <c r="AC93" s="84" t="str">
        <f t="shared" si="3"/>
        <v>6Club Brugge</v>
      </c>
      <c r="AD93" s="84" t="str">
        <f t="shared" si="4"/>
        <v>6Atletico Madrid</v>
      </c>
    </row>
    <row r="94" spans="2:30" ht="15" customHeight="1" x14ac:dyDescent="0.25">
      <c r="B94" s="122"/>
      <c r="C94" s="7"/>
      <c r="D94" s="66">
        <f t="shared" si="6"/>
        <v>6</v>
      </c>
      <c r="E94" s="66" t="str">
        <f>VLOOKUP(G94,'Team Setup'!$B$5:$E$36,4,FALSE)</f>
        <v>C</v>
      </c>
      <c r="F94" s="106">
        <v>43445</v>
      </c>
      <c r="G94" s="26" t="s">
        <v>426</v>
      </c>
      <c r="H94" s="6"/>
      <c r="I94" s="14">
        <v>1</v>
      </c>
      <c r="J94" s="14" t="s">
        <v>4</v>
      </c>
      <c r="K94" s="14">
        <v>4</v>
      </c>
      <c r="L94" s="6"/>
      <c r="M94" s="34" t="s">
        <v>268</v>
      </c>
      <c r="N94" s="34" t="str">
        <f>VLOOKUP(G94,'Team Setup'!$B$5:$C$36,2,FALSE)</f>
        <v>Rajko Mitić Stadium</v>
      </c>
      <c r="O94" s="123"/>
      <c r="P94" s="124"/>
      <c r="Q94" s="125"/>
      <c r="R94" s="132" t="s">
        <v>195</v>
      </c>
      <c r="S94" s="133" t="str">
        <f>S17</f>
        <v>Tottenham Hotspur</v>
      </c>
      <c r="T94" s="133" t="str">
        <f>VLOOKUP(S94,'Team Setup'!$B$5:$D$36,3,FALSE)</f>
        <v>England</v>
      </c>
      <c r="U94" s="124"/>
      <c r="V94" s="14">
        <v>3</v>
      </c>
      <c r="W94" s="124"/>
      <c r="X94" s="102" t="str">
        <f t="shared" si="7"/>
        <v>Tottenham Hotspur</v>
      </c>
      <c r="Z94" s="124"/>
      <c r="AA94" s="127"/>
      <c r="AC94" s="84" t="str">
        <f t="shared" si="3"/>
        <v>6Red Star Belgrade</v>
      </c>
      <c r="AD94" s="84" t="str">
        <f t="shared" si="4"/>
        <v>6Paris Saint-Germain</v>
      </c>
    </row>
    <row r="95" spans="2:30" ht="15" customHeight="1" x14ac:dyDescent="0.25">
      <c r="B95" s="122"/>
      <c r="C95" s="7"/>
      <c r="D95" s="66">
        <f t="shared" si="6"/>
        <v>6</v>
      </c>
      <c r="E95" s="66" t="str">
        <f>VLOOKUP(G95,'Team Setup'!$B$5:$E$36,4,FALSE)</f>
        <v>B</v>
      </c>
      <c r="F95" s="106">
        <v>43445</v>
      </c>
      <c r="G95" s="26" t="s">
        <v>440</v>
      </c>
      <c r="H95" s="6"/>
      <c r="I95" s="14">
        <v>1</v>
      </c>
      <c r="J95" s="14" t="s">
        <v>4</v>
      </c>
      <c r="K95" s="14">
        <v>1</v>
      </c>
      <c r="L95" s="6"/>
      <c r="M95" s="34" t="s">
        <v>432</v>
      </c>
      <c r="N95" s="34" t="str">
        <f>VLOOKUP(G95,'Team Setup'!$B$5:$C$36,2,FALSE)</f>
        <v>San Siro Stadium</v>
      </c>
      <c r="O95" s="123"/>
      <c r="P95" s="124"/>
      <c r="Q95" s="125"/>
      <c r="R95" s="132" t="s">
        <v>196</v>
      </c>
      <c r="S95" s="133" t="str">
        <f>S24</f>
        <v>Liverpool</v>
      </c>
      <c r="T95" s="133" t="str">
        <f>VLOOKUP(S95,'Team Setup'!$B$5:$D$36,3,FALSE)</f>
        <v>England</v>
      </c>
      <c r="U95" s="124"/>
      <c r="V95" s="14">
        <v>6</v>
      </c>
      <c r="W95" s="124"/>
      <c r="X95" s="102" t="str">
        <f t="shared" si="7"/>
        <v>Liverpool</v>
      </c>
      <c r="Z95" s="124"/>
      <c r="AA95" s="127"/>
      <c r="AC95" s="84" t="str">
        <f t="shared" si="3"/>
        <v>6Internazionale</v>
      </c>
      <c r="AD95" s="84" t="str">
        <f t="shared" si="4"/>
        <v>6PSV Eindhoven</v>
      </c>
    </row>
    <row r="96" spans="2:30" ht="15" customHeight="1" x14ac:dyDescent="0.25">
      <c r="B96" s="122"/>
      <c r="C96" s="7"/>
      <c r="D96" s="66">
        <f t="shared" si="6"/>
        <v>6</v>
      </c>
      <c r="E96" s="66" t="str">
        <f>VLOOKUP(G96,'Team Setup'!$B$5:$E$36,4,FALSE)</f>
        <v>C</v>
      </c>
      <c r="F96" s="106">
        <v>43445</v>
      </c>
      <c r="G96" s="26" t="s">
        <v>393</v>
      </c>
      <c r="H96" s="6"/>
      <c r="I96" s="14">
        <v>1</v>
      </c>
      <c r="J96" s="14" t="s">
        <v>4</v>
      </c>
      <c r="K96" s="14">
        <v>0</v>
      </c>
      <c r="L96" s="6"/>
      <c r="M96" s="34" t="s">
        <v>345</v>
      </c>
      <c r="N96" s="34" t="str">
        <f>VLOOKUP(G96,'Team Setup'!$B$5:$C$36,2,FALSE)</f>
        <v>Anfield</v>
      </c>
      <c r="O96" s="123"/>
      <c r="P96" s="124"/>
      <c r="Q96" s="125"/>
      <c r="R96" s="132" t="s">
        <v>8</v>
      </c>
      <c r="S96" s="133" t="str">
        <f>S31</f>
        <v>Schalke 04</v>
      </c>
      <c r="T96" s="133" t="str">
        <f>VLOOKUP(S96,'Team Setup'!$B$5:$D$36,3,FALSE)</f>
        <v>Germany</v>
      </c>
      <c r="U96" s="124"/>
      <c r="V96" s="14">
        <v>8</v>
      </c>
      <c r="W96" s="124"/>
      <c r="X96" s="102" t="str">
        <f t="shared" si="7"/>
        <v>Schalke 04</v>
      </c>
      <c r="Z96" s="124"/>
      <c r="AA96" s="127"/>
      <c r="AC96" s="84" t="str">
        <f t="shared" si="3"/>
        <v>6Liverpool</v>
      </c>
      <c r="AD96" s="84" t="str">
        <f t="shared" si="4"/>
        <v>6Napoli</v>
      </c>
    </row>
    <row r="97" spans="1:30" ht="15" customHeight="1" x14ac:dyDescent="0.25">
      <c r="B97" s="122"/>
      <c r="C97" s="7"/>
      <c r="D97" s="66">
        <f t="shared" si="6"/>
        <v>6</v>
      </c>
      <c r="E97" s="66" t="str">
        <f>VLOOKUP(G97,'Team Setup'!$B$5:$E$36,4,FALSE)</f>
        <v>A</v>
      </c>
      <c r="F97" s="106">
        <v>43445</v>
      </c>
      <c r="G97" s="26" t="s">
        <v>386</v>
      </c>
      <c r="H97" s="6"/>
      <c r="I97" s="14">
        <v>0</v>
      </c>
      <c r="J97" s="14"/>
      <c r="K97" s="14">
        <v>2</v>
      </c>
      <c r="L97" s="6"/>
      <c r="M97" s="34" t="s">
        <v>247</v>
      </c>
      <c r="N97" s="34" t="str">
        <f>VLOOKUP(G97,'Team Setup'!$B$5:$C$36,2,FALSE)</f>
        <v>Stade Louis II</v>
      </c>
      <c r="O97" s="123"/>
      <c r="P97" s="124"/>
      <c r="Q97" s="125"/>
      <c r="R97" s="132" t="s">
        <v>197</v>
      </c>
      <c r="S97" s="78" t="str">
        <f>S38</f>
        <v>Ajax</v>
      </c>
      <c r="T97" s="133" t="str">
        <f>VLOOKUP(S97,'Team Setup'!$B$5:$D$36,3,FALSE)</f>
        <v>Netherland</v>
      </c>
      <c r="U97" s="124"/>
      <c r="V97" s="14">
        <v>4</v>
      </c>
      <c r="W97" s="124"/>
      <c r="X97" s="102" t="str">
        <f t="shared" si="7"/>
        <v>Ajax</v>
      </c>
      <c r="Z97" s="124"/>
      <c r="AA97" s="127"/>
      <c r="AC97" s="84" t="str">
        <f t="shared" si="3"/>
        <v>6Monaco</v>
      </c>
      <c r="AD97" s="84" t="str">
        <f t="shared" si="4"/>
        <v>6Borussia Dortmund</v>
      </c>
    </row>
    <row r="98" spans="1:30" ht="15" customHeight="1" x14ac:dyDescent="0.25">
      <c r="B98" s="122"/>
      <c r="C98" s="7"/>
      <c r="D98" s="66">
        <f t="shared" si="6"/>
        <v>6</v>
      </c>
      <c r="E98" s="66" t="str">
        <f>VLOOKUP(G98,'Team Setup'!$B$5:$E$36,4,FALSE)</f>
        <v>G</v>
      </c>
      <c r="F98" s="106">
        <v>43446</v>
      </c>
      <c r="G98" s="26" t="s">
        <v>423</v>
      </c>
      <c r="H98" s="6"/>
      <c r="I98" s="14">
        <v>2</v>
      </c>
      <c r="J98" s="14" t="s">
        <v>4</v>
      </c>
      <c r="K98" s="14">
        <v>1</v>
      </c>
      <c r="L98" s="6"/>
      <c r="M98" s="34" t="s">
        <v>396</v>
      </c>
      <c r="N98" s="34" t="str">
        <f>VLOOKUP(G98,'Team Setup'!$B$5:$C$36,2,FALSE)</f>
        <v>Doosan Arena</v>
      </c>
      <c r="O98" s="123"/>
      <c r="P98" s="124"/>
      <c r="Q98" s="125"/>
      <c r="R98" s="132" t="s">
        <v>14</v>
      </c>
      <c r="S98" s="78" t="str">
        <f>S45</f>
        <v>Lyon</v>
      </c>
      <c r="T98" s="133" t="str">
        <f>VLOOKUP(S98,'Team Setup'!$B$5:$D$36,3,FALSE)</f>
        <v>France</v>
      </c>
      <c r="U98" s="124"/>
      <c r="V98" s="14">
        <v>5</v>
      </c>
      <c r="W98" s="124"/>
      <c r="X98" s="102" t="str">
        <f t="shared" si="7"/>
        <v>Lyon</v>
      </c>
      <c r="Z98" s="124"/>
      <c r="AA98" s="127"/>
      <c r="AC98" s="84" t="str">
        <f t="shared" si="3"/>
        <v>6Plzen</v>
      </c>
      <c r="AD98" s="84" t="str">
        <f t="shared" si="4"/>
        <v>6AS Roma</v>
      </c>
    </row>
    <row r="99" spans="1:30" ht="15" customHeight="1" x14ac:dyDescent="0.25">
      <c r="B99" s="122"/>
      <c r="C99" s="7"/>
      <c r="D99" s="66">
        <f t="shared" si="6"/>
        <v>6</v>
      </c>
      <c r="E99" s="66" t="str">
        <f>VLOOKUP(G99,'Team Setup'!$B$5:$E$36,4,FALSE)</f>
        <v>G</v>
      </c>
      <c r="F99" s="106">
        <v>43446</v>
      </c>
      <c r="G99" s="26" t="s">
        <v>171</v>
      </c>
      <c r="H99" s="6"/>
      <c r="I99" s="14">
        <v>0</v>
      </c>
      <c r="J99" s="14" t="s">
        <v>4</v>
      </c>
      <c r="K99" s="14">
        <v>3</v>
      </c>
      <c r="L99" s="6"/>
      <c r="M99" s="34" t="s">
        <v>342</v>
      </c>
      <c r="N99" s="34" t="str">
        <f>VLOOKUP(G99,'Team Setup'!$B$5:$C$36,2,FALSE)</f>
        <v>Santiago Bernabeu</v>
      </c>
      <c r="O99" s="123"/>
      <c r="P99" s="124"/>
      <c r="Q99" s="125"/>
      <c r="R99" s="132" t="s">
        <v>198</v>
      </c>
      <c r="S99" s="78" t="str">
        <f>S52</f>
        <v>AS Roma</v>
      </c>
      <c r="T99" s="133" t="str">
        <f>VLOOKUP(S99,'Team Setup'!$B$5:$D$36,3,FALSE)</f>
        <v>Italy</v>
      </c>
      <c r="U99" s="124"/>
      <c r="V99" s="14">
        <v>1</v>
      </c>
      <c r="W99" s="124"/>
      <c r="X99" s="102" t="str">
        <f t="shared" si="7"/>
        <v>AS Roma</v>
      </c>
      <c r="Z99" s="124"/>
      <c r="AA99" s="127"/>
      <c r="AC99" s="84" t="str">
        <f t="shared" si="3"/>
        <v>6Real Madrid</v>
      </c>
      <c r="AD99" s="84" t="str">
        <f t="shared" si="4"/>
        <v>6CSKA Moscow</v>
      </c>
    </row>
    <row r="100" spans="1:30" ht="15" customHeight="1" x14ac:dyDescent="0.25">
      <c r="B100" s="122"/>
      <c r="C100" s="7"/>
      <c r="D100" s="66">
        <f t="shared" si="6"/>
        <v>6</v>
      </c>
      <c r="E100" s="66" t="str">
        <f>VLOOKUP(G100,'Team Setup'!$B$5:$E$36,4,FALSE)</f>
        <v>E</v>
      </c>
      <c r="F100" s="106">
        <v>43446</v>
      </c>
      <c r="G100" s="26" t="s">
        <v>243</v>
      </c>
      <c r="H100" s="6"/>
      <c r="I100" s="14">
        <v>3</v>
      </c>
      <c r="J100" s="14" t="s">
        <v>4</v>
      </c>
      <c r="K100" s="14">
        <v>3</v>
      </c>
      <c r="L100" s="6"/>
      <c r="M100" s="34" t="s">
        <v>226</v>
      </c>
      <c r="N100" s="34" t="str">
        <f>VLOOKUP(G100,'Team Setup'!$B$5:$C$36,2,FALSE)</f>
        <v>Amsterdam Arena</v>
      </c>
      <c r="O100" s="123"/>
      <c r="P100" s="124"/>
      <c r="Q100" s="125"/>
      <c r="R100" s="132" t="s">
        <v>199</v>
      </c>
      <c r="S100" s="78" t="str">
        <f>S59</f>
        <v>Manchester United</v>
      </c>
      <c r="T100" s="133" t="str">
        <f>VLOOKUP(S100,'Team Setup'!$B$5:$D$36,3,FALSE)</f>
        <v>England</v>
      </c>
      <c r="U100" s="124"/>
      <c r="V100" s="14">
        <v>2</v>
      </c>
      <c r="W100" s="124"/>
      <c r="X100" s="102" t="str">
        <f t="shared" si="7"/>
        <v>Manchester United</v>
      </c>
      <c r="Z100" s="124"/>
      <c r="AA100" s="127"/>
      <c r="AC100" s="84" t="str">
        <f t="shared" si="3"/>
        <v>6Ajax</v>
      </c>
      <c r="AD100" s="84" t="str">
        <f t="shared" si="4"/>
        <v>6Bayern Munich</v>
      </c>
    </row>
    <row r="101" spans="1:30" ht="15" customHeight="1" x14ac:dyDescent="0.25">
      <c r="B101" s="122"/>
      <c r="C101" s="7"/>
      <c r="D101" s="66">
        <f t="shared" si="6"/>
        <v>6</v>
      </c>
      <c r="E101" s="66" t="str">
        <f>VLOOKUP(G101,'Team Setup'!$B$5:$E$36,4,FALSE)</f>
        <v>E</v>
      </c>
      <c r="F101" s="106">
        <v>43446</v>
      </c>
      <c r="G101" s="26" t="s">
        <v>242</v>
      </c>
      <c r="H101" s="6"/>
      <c r="I101" s="14">
        <v>1</v>
      </c>
      <c r="J101" s="14" t="s">
        <v>4</v>
      </c>
      <c r="K101" s="14">
        <v>0</v>
      </c>
      <c r="L101" s="6"/>
      <c r="M101" s="34" t="s">
        <v>417</v>
      </c>
      <c r="N101" s="34" t="str">
        <f>VLOOKUP(G101,'Team Setup'!$B$5:$C$36,2,FALSE)</f>
        <v>Estádio da Luz</v>
      </c>
      <c r="O101" s="123"/>
      <c r="P101" s="124"/>
      <c r="Q101" s="125"/>
      <c r="Y101" s="124"/>
      <c r="Z101" s="124"/>
      <c r="AA101" s="127"/>
      <c r="AC101" s="84" t="str">
        <f t="shared" si="3"/>
        <v>6Benfica</v>
      </c>
      <c r="AD101" s="84" t="str">
        <f t="shared" si="4"/>
        <v>6AEK Athens</v>
      </c>
    </row>
    <row r="102" spans="1:30" ht="15" customHeight="1" x14ac:dyDescent="0.25">
      <c r="B102" s="122"/>
      <c r="C102" s="7"/>
      <c r="D102" s="66">
        <f t="shared" si="6"/>
        <v>6</v>
      </c>
      <c r="E102" s="66" t="str">
        <f>VLOOKUP(G102,'Team Setup'!$B$5:$E$36,4,FALSE)</f>
        <v>F</v>
      </c>
      <c r="F102" s="106">
        <v>43446</v>
      </c>
      <c r="G102" s="26" t="s">
        <v>245</v>
      </c>
      <c r="H102" s="6"/>
      <c r="I102" s="14">
        <v>2</v>
      </c>
      <c r="J102" s="14" t="s">
        <v>4</v>
      </c>
      <c r="K102" s="14">
        <v>1</v>
      </c>
      <c r="L102" s="6"/>
      <c r="M102" s="34" t="s">
        <v>415</v>
      </c>
      <c r="N102" s="34" t="str">
        <f>VLOOKUP(G102,'Team Setup'!$B$5:$C$36,2,FALSE)</f>
        <v>City of Manchester</v>
      </c>
      <c r="O102" s="123"/>
      <c r="P102" s="124"/>
      <c r="Q102" s="125"/>
      <c r="R102" s="134"/>
      <c r="S102" s="124"/>
      <c r="T102" s="124"/>
      <c r="U102" s="124"/>
      <c r="V102" s="124"/>
      <c r="W102" s="124"/>
      <c r="X102" s="124"/>
      <c r="Y102" s="124"/>
      <c r="Z102" s="124"/>
      <c r="AA102" s="127"/>
      <c r="AC102" s="84" t="str">
        <f t="shared" si="3"/>
        <v>6Manchester City</v>
      </c>
      <c r="AD102" s="84" t="str">
        <f t="shared" si="4"/>
        <v>6Hoffenheim</v>
      </c>
    </row>
    <row r="103" spans="1:30" ht="15" customHeight="1" x14ac:dyDescent="0.25">
      <c r="B103" s="122"/>
      <c r="C103" s="7"/>
      <c r="D103" s="66">
        <f t="shared" si="6"/>
        <v>6</v>
      </c>
      <c r="E103" s="66" t="str">
        <f>VLOOKUP(G103,'Team Setup'!$B$5:$E$36,4,FALSE)</f>
        <v>F</v>
      </c>
      <c r="F103" s="106">
        <v>43446</v>
      </c>
      <c r="G103" s="26" t="s">
        <v>244</v>
      </c>
      <c r="H103" s="6"/>
      <c r="I103" s="14">
        <v>1</v>
      </c>
      <c r="J103" s="14" t="s">
        <v>4</v>
      </c>
      <c r="K103" s="14">
        <v>1</v>
      </c>
      <c r="L103" s="6"/>
      <c r="M103" s="34" t="s">
        <v>419</v>
      </c>
      <c r="N103" s="34" t="str">
        <f>VLOOKUP(G103,'Team Setup'!$B$5:$C$36,2,FALSE)</f>
        <v>Donbass Arena</v>
      </c>
      <c r="O103" s="123"/>
      <c r="P103" s="124"/>
      <c r="Q103" s="125"/>
      <c r="R103" s="134"/>
      <c r="S103" s="124"/>
      <c r="T103" s="124"/>
      <c r="U103" s="124"/>
      <c r="V103" s="124"/>
      <c r="W103" s="124"/>
      <c r="X103" s="124"/>
      <c r="Y103" s="124"/>
      <c r="Z103" s="124"/>
      <c r="AA103" s="127"/>
      <c r="AC103" s="84" t="str">
        <f t="shared" si="3"/>
        <v>6Shakhtar Donetsk</v>
      </c>
      <c r="AD103" s="84" t="str">
        <f t="shared" si="4"/>
        <v>6Lyon</v>
      </c>
    </row>
    <row r="104" spans="1:30" ht="15" customHeight="1" x14ac:dyDescent="0.25">
      <c r="B104" s="122"/>
      <c r="C104" s="7"/>
      <c r="D104" s="66">
        <f t="shared" si="6"/>
        <v>6</v>
      </c>
      <c r="E104" s="66" t="str">
        <f>VLOOKUP(G104,'Team Setup'!$B$5:$E$36,4,FALSE)</f>
        <v>H</v>
      </c>
      <c r="F104" s="106">
        <v>43446</v>
      </c>
      <c r="G104" s="26" t="s">
        <v>435</v>
      </c>
      <c r="H104" s="6"/>
      <c r="I104" s="14">
        <v>2</v>
      </c>
      <c r="J104" s="14" t="s">
        <v>4</v>
      </c>
      <c r="K104" s="14">
        <v>1</v>
      </c>
      <c r="L104" s="6"/>
      <c r="M104" s="34" t="s">
        <v>229</v>
      </c>
      <c r="N104" s="34" t="str">
        <f>VLOOKUP(G104,'Team Setup'!$B$5:$C$36,2,FALSE)</f>
        <v>Mestalla</v>
      </c>
      <c r="O104" s="123"/>
      <c r="P104" s="124"/>
      <c r="Q104" s="125"/>
      <c r="R104" s="134"/>
      <c r="S104" s="124"/>
      <c r="T104" s="124"/>
      <c r="U104" s="124"/>
      <c r="V104" s="124"/>
      <c r="W104" s="124"/>
      <c r="X104" s="124"/>
      <c r="Y104" s="124"/>
      <c r="Z104" s="124"/>
      <c r="AA104" s="127"/>
      <c r="AC104" s="84" t="str">
        <f t="shared" si="3"/>
        <v>6Valencia</v>
      </c>
      <c r="AD104" s="84" t="str">
        <f t="shared" si="4"/>
        <v>6Manchester United</v>
      </c>
    </row>
    <row r="105" spans="1:30" ht="15" customHeight="1" x14ac:dyDescent="0.25">
      <c r="B105" s="122"/>
      <c r="C105" s="7"/>
      <c r="D105" s="66">
        <f t="shared" si="6"/>
        <v>6</v>
      </c>
      <c r="E105" s="66" t="str">
        <f>VLOOKUP(G105,'Team Setup'!$B$5:$E$36,4,FALSE)</f>
        <v>H</v>
      </c>
      <c r="F105" s="106">
        <v>43446</v>
      </c>
      <c r="G105" s="26" t="s">
        <v>413</v>
      </c>
      <c r="H105" s="6"/>
      <c r="I105" s="14">
        <v>2</v>
      </c>
      <c r="J105" s="14" t="s">
        <v>4</v>
      </c>
      <c r="K105" s="14">
        <v>1</v>
      </c>
      <c r="L105" s="6"/>
      <c r="M105" s="34" t="s">
        <v>267</v>
      </c>
      <c r="N105" s="34" t="str">
        <f>VLOOKUP(G105,'Team Setup'!$B$5:$C$36,2,FALSE)</f>
        <v>Stade de Suisse</v>
      </c>
      <c r="O105" s="123"/>
      <c r="P105" s="124"/>
      <c r="Q105" s="125"/>
      <c r="R105" s="134"/>
      <c r="S105" s="124"/>
      <c r="T105" s="124"/>
      <c r="U105" s="124"/>
      <c r="V105" s="124"/>
      <c r="W105" s="124"/>
      <c r="X105" s="124"/>
      <c r="Y105" s="124"/>
      <c r="Z105" s="124"/>
      <c r="AA105" s="127"/>
      <c r="AC105" s="84" t="str">
        <f t="shared" si="3"/>
        <v>6Young Boys</v>
      </c>
      <c r="AD105" s="84" t="str">
        <f t="shared" si="4"/>
        <v>6Juventus</v>
      </c>
    </row>
    <row r="106" spans="1:30" ht="15" customHeight="1" x14ac:dyDescent="0.25">
      <c r="B106" s="122"/>
      <c r="C106" s="136"/>
      <c r="D106" s="137"/>
      <c r="E106" s="137"/>
      <c r="F106" s="137"/>
      <c r="G106" s="137"/>
      <c r="H106" s="137"/>
      <c r="I106" s="137"/>
      <c r="J106" s="138"/>
      <c r="K106" s="137"/>
      <c r="L106" s="137"/>
      <c r="M106" s="137"/>
      <c r="N106" s="137"/>
      <c r="O106" s="139"/>
      <c r="P106" s="124"/>
      <c r="Q106" s="125"/>
      <c r="R106" s="134"/>
      <c r="S106" s="124"/>
      <c r="T106" s="124"/>
      <c r="U106" s="124"/>
      <c r="V106" s="124"/>
      <c r="W106" s="124"/>
      <c r="X106" s="124"/>
      <c r="Y106" s="124"/>
      <c r="Z106" s="124"/>
      <c r="AA106" s="127"/>
    </row>
    <row r="107" spans="1:30" ht="15" customHeight="1" x14ac:dyDescent="0.25">
      <c r="A107" s="127"/>
      <c r="B107" s="164" t="s">
        <v>447</v>
      </c>
      <c r="C107" s="140"/>
      <c r="D107" s="140"/>
      <c r="E107" s="140"/>
      <c r="F107" s="140"/>
      <c r="G107" s="140"/>
      <c r="H107" s="140"/>
      <c r="I107" s="140"/>
      <c r="J107" s="141"/>
      <c r="K107" s="140"/>
      <c r="L107" s="140"/>
      <c r="M107" s="140"/>
      <c r="N107" s="140"/>
      <c r="O107" s="140"/>
      <c r="P107" s="140"/>
      <c r="Q107" s="142"/>
      <c r="R107" s="143"/>
      <c r="S107" s="140"/>
      <c r="T107" s="140"/>
      <c r="U107" s="140"/>
      <c r="V107" s="140"/>
      <c r="W107" s="140"/>
      <c r="X107" s="140"/>
      <c r="Y107" s="140"/>
      <c r="Z107" s="140"/>
      <c r="AA107" s="144"/>
    </row>
    <row r="108" spans="1:30" x14ac:dyDescent="0.25">
      <c r="B108" s="155"/>
      <c r="C108" s="155"/>
      <c r="D108" s="155"/>
      <c r="E108" s="155"/>
      <c r="F108" s="155"/>
      <c r="G108" s="155"/>
      <c r="H108" s="155"/>
      <c r="I108" s="155"/>
      <c r="J108" s="156"/>
      <c r="K108" s="155"/>
      <c r="L108" s="155"/>
      <c r="M108" s="155"/>
      <c r="N108" s="155"/>
      <c r="O108" s="155"/>
      <c r="P108" s="155"/>
      <c r="Q108" s="155"/>
      <c r="R108" s="157"/>
      <c r="S108" s="155"/>
      <c r="T108" s="155"/>
      <c r="U108" s="155"/>
      <c r="V108" s="155"/>
      <c r="W108" s="155"/>
      <c r="X108" s="155"/>
      <c r="Y108" s="155"/>
      <c r="Z108" s="155"/>
      <c r="AA108" s="155"/>
    </row>
    <row r="109" spans="1:30" x14ac:dyDescent="0.25"/>
  </sheetData>
  <sheetProtection password="CE6F" sheet="1" objects="1" scenarios="1"/>
  <mergeCells count="5">
    <mergeCell ref="I8:K8"/>
    <mergeCell ref="B2:AA2"/>
    <mergeCell ref="R6:Z6"/>
    <mergeCell ref="C6:O6"/>
    <mergeCell ref="H4:I4"/>
  </mergeCells>
  <phoneticPr fontId="1" type="noConversion"/>
  <conditionalFormatting sqref="G10:G105">
    <cfRule type="expression" dxfId="272" priority="9">
      <formula>AND(ISNUMBER(I10),ISNUMBER(K10),I10&gt;K10)</formula>
    </cfRule>
  </conditionalFormatting>
  <conditionalFormatting sqref="M10:N105">
    <cfRule type="expression" dxfId="271" priority="10">
      <formula>AND(ISNUMBER(I10),ISNUMBER(K10),I10&lt;K10)</formula>
    </cfRule>
  </conditionalFormatting>
  <conditionalFormatting sqref="V93:V100 V83:V90 I10:I105 K10:K105">
    <cfRule type="expression" dxfId="270" priority="11">
      <formula>ISBLANK(I10)</formula>
    </cfRule>
  </conditionalFormatting>
  <conditionalFormatting sqref="S9:S10 S16:S17 S23:S24 S30:S31 S37:S38 S44:S45 S51:S52 S58:S59">
    <cfRule type="expression" dxfId="269" priority="12" stopIfTrue="1">
      <formula>$T$9+$T$10+$T$11+$T$12=24</formula>
    </cfRule>
  </conditionalFormatting>
  <conditionalFormatting sqref="S11 S18 S25 S32 S39 S46 S53 S60">
    <cfRule type="expression" dxfId="268" priority="13" stopIfTrue="1">
      <formula>$T$9+$T$10+$T$11+$T$12=24</formula>
    </cfRule>
  </conditionalFormatting>
  <conditionalFormatting sqref="M4">
    <cfRule type="expression" dxfId="267" priority="8">
      <formula>$H$4="Team"</formula>
    </cfRule>
  </conditionalFormatting>
  <conditionalFormatting sqref="K4">
    <cfRule type="expression" dxfId="266" priority="7">
      <formula>$H$4="Group"</formula>
    </cfRule>
  </conditionalFormatting>
  <conditionalFormatting sqref="D10:N105">
    <cfRule type="expression" dxfId="265" priority="5">
      <formula>AND($H$4="Team",OR($G10=$M$4,$M10=$M$4))</formula>
    </cfRule>
    <cfRule type="expression" dxfId="264" priority="6">
      <formula>AND($H$4="Group",$E10=$K$4)</formula>
    </cfRule>
  </conditionalFormatting>
  <conditionalFormatting sqref="L4">
    <cfRule type="expression" dxfId="263" priority="1">
      <formula>$H$4="Team"</formula>
    </cfRule>
    <cfRule type="expression" dxfId="262" priority="4">
      <formula>$H$4="Group"</formula>
    </cfRule>
  </conditionalFormatting>
  <conditionalFormatting sqref="H4 J4">
    <cfRule type="cellIs" dxfId="261" priority="3" operator="equal">
      <formula>"Team"</formula>
    </cfRule>
  </conditionalFormatting>
  <conditionalFormatting sqref="J4:K4">
    <cfRule type="expression" dxfId="260" priority="2">
      <formula>$H$4="Team"</formula>
    </cfRule>
  </conditionalFormatting>
  <dataValidations count="3">
    <dataValidation type="list" allowBlank="1" showInputMessage="1" showErrorMessage="1" sqref="M4 G10:G105 M10:M105">
      <formula1>Team</formula1>
    </dataValidation>
    <dataValidation type="list" allowBlank="1" showInputMessage="1" showErrorMessage="1" sqref="H4">
      <formula1>"Group,Team"</formula1>
    </dataValidation>
    <dataValidation type="list" allowBlank="1" showInputMessage="1" showErrorMessage="1" sqref="K4">
      <formula1>"A,B,C,D,E,F,G,H"</formula1>
    </dataValidation>
  </dataValidations>
  <printOptions horizontalCentered="1" verticalCentered="1"/>
  <pageMargins left="0.39370078740157483" right="0.31496062992125984" top="0.55118110236220474" bottom="0.51181102362204722" header="0.23622047244094491" footer="0.35433070866141736"/>
  <pageSetup paperSize="9" scale="43" orientation="portrait" horizontalDpi="300" verticalDpi="300" r:id="rId1"/>
  <headerFooter alignWithMargins="0">
    <oddHeader>&amp;C&amp;"Arial,Bold"&amp;16
UEFA CHAMPIONS LEAGUE 2016/2017 GROUP FIXTURES</oddHeader>
    <oddFooter>&amp;C
copyright (c) 2016 exceltemplate.net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DD220"/>
  <sheetViews>
    <sheetView showGridLines="0" tabSelected="1" topLeftCell="A61" zoomScale="80" zoomScaleNormal="80" workbookViewId="0">
      <selection activeCell="W55" sqref="W55"/>
    </sheetView>
  </sheetViews>
  <sheetFormatPr defaultColWidth="0" defaultRowHeight="15" x14ac:dyDescent="0.2"/>
  <cols>
    <col min="1" max="2" width="2.42578125" style="1" customWidth="1"/>
    <col min="3" max="3" width="1.5703125" style="6" customWidth="1"/>
    <col min="4" max="4" width="7.5703125" style="6" customWidth="1"/>
    <col min="5" max="5" width="1.5703125" style="6" customWidth="1"/>
    <col min="6" max="6" width="22.5703125" style="6" customWidth="1"/>
    <col min="7" max="7" width="1.85546875" style="1" customWidth="1"/>
    <col min="8" max="8" width="22.5703125" style="1" customWidth="1"/>
    <col min="9" max="9" width="1.5703125" style="1" customWidth="1"/>
    <col min="10" max="10" width="4.5703125" style="1" customWidth="1"/>
    <col min="11" max="11" width="2.5703125" style="2" customWidth="1"/>
    <col min="12" max="12" width="4.5703125" style="1" customWidth="1"/>
    <col min="13" max="13" width="1.5703125" style="1" customWidth="1"/>
    <col min="14" max="14" width="22.5703125" style="1" customWidth="1"/>
    <col min="15" max="15" width="2.5703125" style="1" customWidth="1"/>
    <col min="16" max="16" width="4.5703125" style="1" customWidth="1"/>
    <col min="17" max="17" width="2.5703125" style="1" customWidth="1"/>
    <col min="18" max="18" width="4.5703125" style="1" customWidth="1"/>
    <col min="19" max="19" width="2.42578125" style="1" customWidth="1"/>
    <col min="20" max="20" width="22.5703125" style="1" customWidth="1"/>
    <col min="21" max="21" width="3.42578125" style="1" customWidth="1"/>
    <col min="22" max="22" width="4.5703125" style="1" customWidth="1"/>
    <col min="23" max="23" width="2.5703125" style="1" customWidth="1"/>
    <col min="24" max="24" width="4.5703125" style="1" customWidth="1"/>
    <col min="25" max="25" width="2.5703125" style="1" customWidth="1"/>
    <col min="26" max="26" width="22.5703125" style="1" customWidth="1"/>
    <col min="27" max="27" width="2.5703125" style="1" customWidth="1"/>
    <col min="28" max="28" width="1.5703125" style="6" customWidth="1"/>
    <col min="29" max="29" width="9.140625" style="6" customWidth="1"/>
    <col min="30" max="30" width="1.5703125" style="39" customWidth="1"/>
    <col min="31" max="31" width="22.5703125" style="39" customWidth="1"/>
    <col min="32" max="33" width="2.5703125" style="1" customWidth="1"/>
    <col min="34" max="108" width="0" style="1" hidden="1" customWidth="1"/>
    <col min="109" max="16384" width="9.140625" style="1" hidden="1"/>
  </cols>
  <sheetData>
    <row r="1" spans="2:108" x14ac:dyDescent="0.2">
      <c r="AE1" s="37"/>
      <c r="AF1" s="3"/>
    </row>
    <row r="2" spans="2:108" s="159" customFormat="1" ht="21.75" customHeight="1" x14ac:dyDescent="0.2">
      <c r="B2" s="295" t="s">
        <v>192</v>
      </c>
      <c r="C2" s="296"/>
      <c r="D2" s="296"/>
      <c r="E2" s="296"/>
      <c r="F2" s="296"/>
      <c r="G2" s="296"/>
      <c r="H2" s="296"/>
      <c r="I2" s="296"/>
      <c r="J2" s="296"/>
      <c r="K2" s="296"/>
      <c r="L2" s="296"/>
      <c r="M2" s="296"/>
      <c r="N2" s="296"/>
      <c r="O2" s="296"/>
      <c r="P2" s="296"/>
      <c r="Q2" s="296"/>
      <c r="R2" s="296"/>
      <c r="S2" s="296"/>
      <c r="T2" s="296"/>
      <c r="U2" s="296"/>
      <c r="V2" s="296"/>
      <c r="W2" s="296"/>
      <c r="X2" s="296"/>
      <c r="Y2" s="296"/>
      <c r="Z2" s="296"/>
      <c r="AA2" s="296"/>
      <c r="AB2" s="296"/>
      <c r="AC2" s="296"/>
      <c r="AD2" s="296"/>
      <c r="AE2" s="296"/>
      <c r="AF2" s="296"/>
      <c r="AG2" s="158"/>
      <c r="DC2" s="160"/>
      <c r="DD2" s="160"/>
    </row>
    <row r="3" spans="2:108" ht="15" customHeight="1" x14ac:dyDescent="0.2">
      <c r="B3" s="164"/>
      <c r="K3" s="1"/>
      <c r="R3" s="6"/>
      <c r="S3" s="6"/>
      <c r="T3" s="6"/>
      <c r="U3" s="6"/>
      <c r="V3" s="6"/>
      <c r="W3" s="6"/>
      <c r="X3" s="6"/>
      <c r="Y3" s="6"/>
      <c r="Z3" s="6"/>
      <c r="AA3" s="6"/>
      <c r="AE3" s="6"/>
      <c r="DC3" s="3"/>
      <c r="DD3" s="3"/>
    </row>
    <row r="4" spans="2:108" ht="15" customHeight="1" x14ac:dyDescent="0.2">
      <c r="B4" s="292" t="s">
        <v>0</v>
      </c>
      <c r="C4" s="293"/>
      <c r="D4" s="293"/>
      <c r="E4" s="293"/>
      <c r="F4" s="293"/>
      <c r="G4" s="293"/>
      <c r="H4" s="293"/>
      <c r="I4" s="293"/>
      <c r="J4" s="293"/>
      <c r="K4" s="293"/>
      <c r="L4" s="293"/>
      <c r="M4" s="293"/>
      <c r="N4" s="293"/>
      <c r="O4" s="293"/>
      <c r="P4" s="293"/>
      <c r="Q4" s="293"/>
      <c r="R4" s="293"/>
      <c r="S4" s="293"/>
      <c r="T4" s="293"/>
      <c r="U4" s="293"/>
      <c r="V4" s="293"/>
      <c r="W4" s="293"/>
      <c r="X4" s="293"/>
      <c r="Y4" s="293"/>
      <c r="Z4" s="293"/>
      <c r="AA4" s="293"/>
      <c r="AB4" s="293"/>
      <c r="AC4" s="293"/>
      <c r="AD4" s="293"/>
      <c r="AE4" s="293"/>
      <c r="AF4" s="294"/>
      <c r="CF4" s="3" t="s">
        <v>18</v>
      </c>
      <c r="CG4" s="3" t="s">
        <v>163</v>
      </c>
    </row>
    <row r="5" spans="2:108" ht="15" customHeight="1" x14ac:dyDescent="0.2">
      <c r="B5" s="7"/>
      <c r="G5" s="6"/>
      <c r="H5" s="6"/>
      <c r="I5" s="6"/>
      <c r="J5" s="6"/>
      <c r="K5" s="8"/>
      <c r="L5" s="6"/>
      <c r="M5" s="6"/>
      <c r="N5" s="6"/>
      <c r="O5" s="6"/>
      <c r="P5" s="6"/>
      <c r="Q5" s="6"/>
      <c r="R5" s="6"/>
      <c r="S5" s="6"/>
      <c r="T5" s="6"/>
      <c r="U5" s="6"/>
      <c r="V5" s="6"/>
      <c r="W5" s="6"/>
      <c r="X5" s="6"/>
      <c r="Y5" s="6"/>
      <c r="Z5" s="6"/>
      <c r="AA5" s="6"/>
      <c r="AD5" s="6"/>
      <c r="AE5" s="6"/>
      <c r="AF5" s="9"/>
      <c r="CF5" s="3"/>
      <c r="CG5" s="3"/>
    </row>
    <row r="6" spans="2:108" ht="15" customHeight="1" x14ac:dyDescent="0.2">
      <c r="B6" s="7"/>
      <c r="C6" s="297" t="s">
        <v>189</v>
      </c>
      <c r="D6" s="297"/>
      <c r="E6" s="297"/>
      <c r="F6" s="297"/>
      <c r="G6" s="297"/>
      <c r="H6" s="297"/>
      <c r="I6" s="297"/>
      <c r="J6" s="297"/>
      <c r="K6" s="297"/>
      <c r="L6" s="297"/>
      <c r="M6" s="297"/>
      <c r="N6" s="297"/>
      <c r="O6" s="297"/>
      <c r="P6" s="297"/>
      <c r="Q6" s="6"/>
      <c r="R6" s="298" t="s">
        <v>188</v>
      </c>
      <c r="S6" s="298"/>
      <c r="T6" s="298"/>
      <c r="U6" s="298"/>
      <c r="V6" s="298"/>
      <c r="W6" s="298"/>
      <c r="X6" s="298"/>
      <c r="Y6" s="298"/>
      <c r="Z6" s="298"/>
      <c r="AA6" s="298"/>
      <c r="AB6" s="298"/>
      <c r="AC6" s="298"/>
      <c r="AD6" s="298"/>
      <c r="AE6" s="298"/>
      <c r="AF6" s="9"/>
      <c r="CF6" s="3"/>
      <c r="CG6" s="3"/>
    </row>
    <row r="7" spans="2:108" s="12" customFormat="1" ht="15" customHeight="1" x14ac:dyDescent="0.2">
      <c r="B7" s="10"/>
      <c r="C7" s="51"/>
      <c r="D7" s="51"/>
      <c r="E7" s="51"/>
      <c r="F7" s="51"/>
      <c r="G7" s="51"/>
      <c r="H7" s="52" t="s">
        <v>253</v>
      </c>
      <c r="I7" s="51"/>
      <c r="J7" s="51"/>
      <c r="K7" s="51"/>
      <c r="L7" s="51"/>
      <c r="M7" s="51"/>
      <c r="N7" s="52" t="s">
        <v>254</v>
      </c>
      <c r="O7" s="51"/>
      <c r="P7" s="51"/>
      <c r="Q7" s="4"/>
      <c r="R7" s="57"/>
      <c r="S7" s="57"/>
      <c r="T7" s="58" t="s">
        <v>254</v>
      </c>
      <c r="U7" s="57"/>
      <c r="V7" s="57"/>
      <c r="W7" s="57"/>
      <c r="X7" s="57"/>
      <c r="Y7" s="57"/>
      <c r="Z7" s="58" t="s">
        <v>253</v>
      </c>
      <c r="AA7" s="57"/>
      <c r="AB7" s="57"/>
      <c r="AC7" s="57"/>
      <c r="AD7" s="57"/>
      <c r="AE7" s="57"/>
      <c r="AF7" s="11"/>
      <c r="CF7" s="13"/>
      <c r="CG7" s="13"/>
    </row>
    <row r="8" spans="2:108" ht="15" customHeight="1" x14ac:dyDescent="0.2">
      <c r="B8" s="7"/>
      <c r="C8" s="53"/>
      <c r="D8" s="53" t="s">
        <v>16</v>
      </c>
      <c r="E8" s="53" t="s">
        <v>24</v>
      </c>
      <c r="F8" s="54">
        <v>1</v>
      </c>
      <c r="G8" s="55"/>
      <c r="H8" s="72" t="str">
        <f>IF(ISNA(VLOOKUP(F8,'Group Stages'!$V$93:$X$100,3,FALSE)),"",VLOOKUP(F8,'Group Stages'!$V$93:$X$100,3,FALSE))</f>
        <v>AS Roma</v>
      </c>
      <c r="I8" s="53"/>
      <c r="J8" s="52">
        <v>2</v>
      </c>
      <c r="K8" s="52" t="s">
        <v>4</v>
      </c>
      <c r="L8" s="52">
        <v>1</v>
      </c>
      <c r="M8" s="53"/>
      <c r="N8" s="72" t="str">
        <f>Z8</f>
        <v>Porto</v>
      </c>
      <c r="O8" s="53"/>
      <c r="P8" s="53"/>
      <c r="Q8" s="6"/>
      <c r="R8" s="57"/>
      <c r="S8" s="57"/>
      <c r="T8" s="73" t="str">
        <f>H8</f>
        <v>AS Roma</v>
      </c>
      <c r="U8" s="57"/>
      <c r="V8" s="58">
        <v>1</v>
      </c>
      <c r="W8" s="58" t="s">
        <v>4</v>
      </c>
      <c r="X8" s="58">
        <v>3</v>
      </c>
      <c r="Y8" s="57"/>
      <c r="Z8" s="73" t="str">
        <f>IF(ISNA(VLOOKUP(AE8,'Group Stages'!$V$83:$X$90,3,FALSE)),"",VLOOKUP(AE8,'Group Stages'!$V$83:$X$90,3,FALSE))</f>
        <v>Porto</v>
      </c>
      <c r="AA8" s="57"/>
      <c r="AB8" s="57"/>
      <c r="AC8" s="57" t="s">
        <v>16</v>
      </c>
      <c r="AD8" s="57" t="s">
        <v>24</v>
      </c>
      <c r="AE8" s="59">
        <f>F8</f>
        <v>1</v>
      </c>
      <c r="AF8" s="9"/>
      <c r="CF8" s="3"/>
      <c r="CG8" s="3"/>
    </row>
    <row r="9" spans="2:108" ht="15" customHeight="1" x14ac:dyDescent="0.2">
      <c r="B9" s="7"/>
      <c r="C9" s="53"/>
      <c r="D9" s="53" t="s">
        <v>1</v>
      </c>
      <c r="E9" s="53" t="s">
        <v>24</v>
      </c>
      <c r="F9" s="56">
        <v>43508</v>
      </c>
      <c r="G9" s="53"/>
      <c r="H9" s="53"/>
      <c r="I9" s="53"/>
      <c r="J9" s="53"/>
      <c r="K9" s="52"/>
      <c r="L9" s="53"/>
      <c r="M9" s="53"/>
      <c r="N9" s="53"/>
      <c r="O9" s="53"/>
      <c r="P9" s="53"/>
      <c r="Q9" s="6"/>
      <c r="R9" s="57"/>
      <c r="S9" s="57"/>
      <c r="T9" s="263"/>
      <c r="U9" s="223" t="s">
        <v>288</v>
      </c>
      <c r="V9" s="58"/>
      <c r="W9" s="223" t="s">
        <v>4</v>
      </c>
      <c r="X9" s="58"/>
      <c r="Y9" s="57"/>
      <c r="Z9" s="57"/>
      <c r="AA9" s="57"/>
      <c r="AB9" s="57"/>
      <c r="AC9" s="57" t="s">
        <v>1</v>
      </c>
      <c r="AD9" s="57" t="s">
        <v>24</v>
      </c>
      <c r="AE9" s="263">
        <v>43530</v>
      </c>
      <c r="AF9" s="9"/>
      <c r="CF9" s="3"/>
      <c r="CG9" s="3"/>
    </row>
    <row r="10" spans="2:108" ht="15" customHeight="1" x14ac:dyDescent="0.2">
      <c r="B10" s="7"/>
      <c r="C10" s="53"/>
      <c r="D10" s="53" t="s">
        <v>2</v>
      </c>
      <c r="E10" s="53" t="s">
        <v>24</v>
      </c>
      <c r="F10" s="262">
        <v>0.83333333333333337</v>
      </c>
      <c r="G10" s="53"/>
      <c r="H10" s="221"/>
      <c r="I10" s="221"/>
      <c r="J10" s="221"/>
      <c r="K10" s="222"/>
      <c r="L10" s="221"/>
      <c r="M10" s="221"/>
      <c r="N10" s="221"/>
      <c r="O10" s="221"/>
      <c r="P10" s="221"/>
      <c r="R10" s="219"/>
      <c r="S10" s="219"/>
      <c r="T10" s="264"/>
      <c r="U10" s="224" t="s">
        <v>287</v>
      </c>
      <c r="V10" s="220"/>
      <c r="W10" s="223" t="s">
        <v>4</v>
      </c>
      <c r="X10" s="220"/>
      <c r="Y10" s="219"/>
      <c r="Z10" s="219"/>
      <c r="AA10" s="57"/>
      <c r="AB10" s="57"/>
      <c r="AC10" s="57" t="s">
        <v>2</v>
      </c>
      <c r="AD10" s="57" t="s">
        <v>24</v>
      </c>
      <c r="AE10" s="264">
        <v>0.83333333333333337</v>
      </c>
      <c r="AF10" s="9"/>
      <c r="CF10" s="3"/>
      <c r="CG10" s="3"/>
    </row>
    <row r="11" spans="2:108" ht="15" customHeight="1" x14ac:dyDescent="0.2">
      <c r="B11" s="7"/>
      <c r="C11" s="53"/>
      <c r="D11" s="53" t="s">
        <v>191</v>
      </c>
      <c r="E11" s="53" t="s">
        <v>24</v>
      </c>
      <c r="F11" s="52" t="str">
        <f>IF(H8&lt;&gt;"",VLOOKUP(H8,'Team Setup'!$B$5:$C$36,2,FALSE),"")</f>
        <v>Olimpico</v>
      </c>
      <c r="G11" s="53"/>
      <c r="H11" s="221"/>
      <c r="I11" s="221"/>
      <c r="J11" s="221"/>
      <c r="K11" s="222"/>
      <c r="L11" s="221"/>
      <c r="M11" s="221"/>
      <c r="N11" s="221"/>
      <c r="O11" s="221"/>
      <c r="P11" s="221"/>
      <c r="R11" s="219"/>
      <c r="S11" s="219"/>
      <c r="T11" s="219"/>
      <c r="U11" s="219"/>
      <c r="V11" s="219"/>
      <c r="W11" s="219"/>
      <c r="X11" s="219"/>
      <c r="Y11" s="219"/>
      <c r="Z11" s="219"/>
      <c r="AA11" s="57"/>
      <c r="AB11" s="57"/>
      <c r="AC11" s="57" t="s">
        <v>191</v>
      </c>
      <c r="AD11" s="57" t="s">
        <v>24</v>
      </c>
      <c r="AE11" s="58" t="str">
        <f>IF(Z8&lt;&gt;"",VLOOKUP(Z8,'Team Setup'!$B$5:$C$36,2,FALSE),"")</f>
        <v>Estádio do Dragão</v>
      </c>
      <c r="AF11" s="9"/>
      <c r="CF11" s="3"/>
      <c r="CG11" s="3"/>
    </row>
    <row r="12" spans="2:108" ht="15" customHeight="1" x14ac:dyDescent="0.2">
      <c r="B12" s="7"/>
      <c r="C12" s="53"/>
      <c r="D12" s="53"/>
      <c r="E12" s="53"/>
      <c r="F12" s="52" t="str">
        <f>IF(H8&lt;&gt;"",VLOOKUP(H8,'Team Setup'!$B$5:$D$36,3,FALSE),"")</f>
        <v>Italy</v>
      </c>
      <c r="G12" s="53"/>
      <c r="H12" s="17"/>
      <c r="I12" s="17"/>
      <c r="J12" s="17"/>
      <c r="K12" s="18"/>
      <c r="L12" s="17"/>
      <c r="M12" s="17"/>
      <c r="N12" s="17" t="s">
        <v>190</v>
      </c>
      <c r="O12" s="17" t="s">
        <v>24</v>
      </c>
      <c r="P12" s="19" t="str">
        <f>IF(AND(P13&lt;&gt;"",R13&lt;&gt;""),IF(AND(V10&lt;&gt;"",X10&lt;&gt;"",V10&gt;X10),N13&amp;" win on Penalty Kick",IF(AND(V10&lt;&gt;"",X10&lt;&gt;"",V10&lt;X10),T13&amp;" win on Penalty Kick",IF(P13&gt;R13,N13&amp;" win",IF(R13&gt;P13,T13&amp;" win",IF(AND(P13=R13,L8&gt;V8),T13&amp;" win on away goals",IF(AND(P13=R13,L8&lt;V8+V9),N13&amp;" win on away goals","")))))),"")</f>
        <v>Porto win</v>
      </c>
      <c r="Q12" s="19"/>
      <c r="R12" s="19"/>
      <c r="S12" s="17"/>
      <c r="T12" s="17"/>
      <c r="U12" s="17"/>
      <c r="V12" s="17"/>
      <c r="W12" s="17"/>
      <c r="X12" s="17"/>
      <c r="Y12" s="17"/>
      <c r="Z12" s="17"/>
      <c r="AA12" s="57"/>
      <c r="AB12" s="57"/>
      <c r="AC12" s="57"/>
      <c r="AD12" s="57"/>
      <c r="AE12" s="58" t="str">
        <f>IF(Z8&lt;&gt;"",VLOOKUP(Z8,'Team Setup'!$B$5:$D$36,3,FALSE),"")</f>
        <v>Portugal</v>
      </c>
      <c r="AF12" s="9"/>
      <c r="CF12" s="3"/>
      <c r="CG12" s="3"/>
    </row>
    <row r="13" spans="2:108" ht="15" customHeight="1" x14ac:dyDescent="0.2">
      <c r="B13" s="7"/>
      <c r="C13" s="53"/>
      <c r="D13" s="53"/>
      <c r="E13" s="53"/>
      <c r="F13" s="53"/>
      <c r="G13" s="53"/>
      <c r="H13" s="6"/>
      <c r="I13" s="6"/>
      <c r="J13" s="8"/>
      <c r="K13" s="20"/>
      <c r="L13" s="21"/>
      <c r="M13" s="8"/>
      <c r="N13" s="22" t="str">
        <f>H8</f>
        <v>AS Roma</v>
      </c>
      <c r="O13" s="4"/>
      <c r="P13" s="23">
        <f>IF(AND(L8&lt;&gt;"",V8&lt;&gt;"",X8&lt;&gt;"",J8&lt;&gt;""),J8+V8+V9,"")</f>
        <v>3</v>
      </c>
      <c r="Q13" s="24" t="s">
        <v>4</v>
      </c>
      <c r="R13" s="23">
        <f>IF(AND(L8&lt;&gt;"",V8&lt;&gt;"",X8&lt;&gt;"",J8&lt;&gt;""),L8+X8+X9,"")</f>
        <v>4</v>
      </c>
      <c r="S13" s="4"/>
      <c r="T13" s="4" t="str">
        <f>Z8</f>
        <v>Porto</v>
      </c>
      <c r="U13" s="6"/>
      <c r="V13" s="6"/>
      <c r="W13" s="6"/>
      <c r="X13" s="6"/>
      <c r="Y13" s="6"/>
      <c r="Z13" s="6"/>
      <c r="AA13" s="57"/>
      <c r="AB13" s="57"/>
      <c r="AC13" s="57"/>
      <c r="AD13" s="57"/>
      <c r="AE13" s="57"/>
      <c r="AF13" s="9"/>
      <c r="CF13" s="3"/>
      <c r="CG13" s="3"/>
    </row>
    <row r="14" spans="2:108" ht="15" customHeight="1" x14ac:dyDescent="0.2">
      <c r="B14" s="7"/>
      <c r="G14" s="6"/>
      <c r="H14" s="6"/>
      <c r="I14" s="6"/>
      <c r="J14" s="6"/>
      <c r="K14" s="25"/>
      <c r="L14" s="21"/>
      <c r="M14" s="6"/>
      <c r="N14" s="6"/>
      <c r="O14" s="6"/>
      <c r="P14" s="6"/>
      <c r="Q14" s="6"/>
      <c r="R14" s="6"/>
      <c r="S14" s="6"/>
      <c r="T14" s="6"/>
      <c r="U14" s="6"/>
      <c r="V14" s="6"/>
      <c r="W14" s="6"/>
      <c r="X14" s="6"/>
      <c r="Y14" s="6"/>
      <c r="Z14" s="6"/>
      <c r="AA14" s="6"/>
      <c r="AD14" s="6"/>
      <c r="AE14" s="6"/>
      <c r="AF14" s="9"/>
      <c r="CF14" s="3"/>
      <c r="CG14" s="3"/>
    </row>
    <row r="15" spans="2:108" ht="15" customHeight="1" x14ac:dyDescent="0.2">
      <c r="B15" s="7"/>
      <c r="C15" s="287" t="s">
        <v>189</v>
      </c>
      <c r="D15" s="287"/>
      <c r="E15" s="287"/>
      <c r="F15" s="287"/>
      <c r="G15" s="287"/>
      <c r="H15" s="287"/>
      <c r="I15" s="287"/>
      <c r="J15" s="287"/>
      <c r="K15" s="287"/>
      <c r="L15" s="287"/>
      <c r="M15" s="287"/>
      <c r="N15" s="287"/>
      <c r="O15" s="287"/>
      <c r="P15" s="287"/>
      <c r="Q15" s="50"/>
      <c r="R15" s="298" t="s">
        <v>188</v>
      </c>
      <c r="S15" s="298"/>
      <c r="T15" s="298"/>
      <c r="U15" s="298"/>
      <c r="V15" s="298"/>
      <c r="W15" s="298"/>
      <c r="X15" s="298"/>
      <c r="Y15" s="298"/>
      <c r="Z15" s="298"/>
      <c r="AA15" s="298"/>
      <c r="AB15" s="298"/>
      <c r="AC15" s="298"/>
      <c r="AD15" s="298"/>
      <c r="AE15" s="298"/>
      <c r="AF15" s="9"/>
      <c r="CF15" s="3"/>
      <c r="CG15" s="3"/>
    </row>
    <row r="16" spans="2:108" ht="15" customHeight="1" x14ac:dyDescent="0.2">
      <c r="B16" s="7"/>
      <c r="C16" s="51"/>
      <c r="D16" s="51"/>
      <c r="E16" s="51"/>
      <c r="F16" s="51"/>
      <c r="G16" s="51"/>
      <c r="H16" s="51"/>
      <c r="I16" s="51"/>
      <c r="J16" s="51"/>
      <c r="K16" s="51"/>
      <c r="L16" s="51"/>
      <c r="M16" s="51"/>
      <c r="N16" s="51"/>
      <c r="O16" s="51"/>
      <c r="P16" s="51"/>
      <c r="Q16" s="4"/>
      <c r="R16" s="57"/>
      <c r="S16" s="57"/>
      <c r="T16" s="57"/>
      <c r="U16" s="57"/>
      <c r="V16" s="57"/>
      <c r="W16" s="57"/>
      <c r="X16" s="57"/>
      <c r="Y16" s="57"/>
      <c r="Z16" s="57"/>
      <c r="AA16" s="57"/>
      <c r="AB16" s="57"/>
      <c r="AC16" s="57"/>
      <c r="AD16" s="57"/>
      <c r="AE16" s="57"/>
      <c r="AF16" s="9"/>
      <c r="CF16" s="3"/>
      <c r="CG16" s="3"/>
    </row>
    <row r="17" spans="2:85" ht="15" customHeight="1" x14ac:dyDescent="0.2">
      <c r="B17" s="7"/>
      <c r="C17" s="53"/>
      <c r="D17" s="53" t="s">
        <v>16</v>
      </c>
      <c r="E17" s="53" t="s">
        <v>24</v>
      </c>
      <c r="F17" s="54">
        <v>2</v>
      </c>
      <c r="G17" s="55"/>
      <c r="H17" s="69" t="str">
        <f>IF(ISNA(VLOOKUP(F17,'Group Stages'!$V$93:$X$100,3,FALSE)),"",VLOOKUP(F17,'Group Stages'!$V$93:$X$100,3,FALSE))</f>
        <v>Manchester United</v>
      </c>
      <c r="I17" s="53"/>
      <c r="J17" s="52">
        <v>0</v>
      </c>
      <c r="K17" s="52" t="s">
        <v>4</v>
      </c>
      <c r="L17" s="52">
        <v>2</v>
      </c>
      <c r="M17" s="53"/>
      <c r="N17" s="70" t="str">
        <f>Z17</f>
        <v>Paris Saint-Germain</v>
      </c>
      <c r="O17" s="53"/>
      <c r="P17" s="53"/>
      <c r="Q17" s="6"/>
      <c r="R17" s="57"/>
      <c r="S17" s="57"/>
      <c r="T17" s="67" t="str">
        <f>H17</f>
        <v>Manchester United</v>
      </c>
      <c r="U17" s="57"/>
      <c r="V17" s="58">
        <v>3</v>
      </c>
      <c r="W17" s="58" t="s">
        <v>4</v>
      </c>
      <c r="X17" s="58">
        <v>1</v>
      </c>
      <c r="Y17" s="57"/>
      <c r="Z17" s="68" t="str">
        <f>IF(ISNA(VLOOKUP(AE17,'Group Stages'!$V$83:$X$90,3,FALSE)),"",VLOOKUP(AE17,'Group Stages'!$V$83:$X$90,3,FALSE))</f>
        <v>Paris Saint-Germain</v>
      </c>
      <c r="AA17" s="57"/>
      <c r="AB17" s="57"/>
      <c r="AC17" s="57" t="s">
        <v>16</v>
      </c>
      <c r="AD17" s="57" t="s">
        <v>24</v>
      </c>
      <c r="AE17" s="59">
        <f>F17</f>
        <v>2</v>
      </c>
      <c r="AF17" s="9"/>
      <c r="CF17" s="3"/>
      <c r="CG17" s="3"/>
    </row>
    <row r="18" spans="2:85" ht="15" customHeight="1" x14ac:dyDescent="0.2">
      <c r="B18" s="7"/>
      <c r="C18" s="53"/>
      <c r="D18" s="53" t="s">
        <v>1</v>
      </c>
      <c r="E18" s="53" t="s">
        <v>24</v>
      </c>
      <c r="F18" s="56">
        <v>43508</v>
      </c>
      <c r="G18" s="53"/>
      <c r="H18" s="53"/>
      <c r="I18" s="53"/>
      <c r="J18" s="53"/>
      <c r="K18" s="52"/>
      <c r="L18" s="53"/>
      <c r="M18" s="53"/>
      <c r="N18" s="53"/>
      <c r="O18" s="53"/>
      <c r="P18" s="53"/>
      <c r="Q18" s="6"/>
      <c r="R18" s="57"/>
      <c r="S18" s="57"/>
      <c r="T18" s="57"/>
      <c r="U18" s="223" t="s">
        <v>288</v>
      </c>
      <c r="V18" s="58"/>
      <c r="W18" s="223" t="s">
        <v>4</v>
      </c>
      <c r="X18" s="58"/>
      <c r="Y18" s="57"/>
      <c r="Z18" s="57"/>
      <c r="AA18" s="57"/>
      <c r="AB18" s="57"/>
      <c r="AC18" s="57" t="s">
        <v>1</v>
      </c>
      <c r="AD18" s="57" t="s">
        <v>24</v>
      </c>
      <c r="AE18" s="263">
        <v>43530</v>
      </c>
      <c r="AF18" s="9"/>
      <c r="CF18" s="3"/>
      <c r="CG18" s="3"/>
    </row>
    <row r="19" spans="2:85" ht="15" customHeight="1" x14ac:dyDescent="0.2">
      <c r="B19" s="7"/>
      <c r="C19" s="53"/>
      <c r="D19" s="53" t="s">
        <v>2</v>
      </c>
      <c r="E19" s="53" t="s">
        <v>24</v>
      </c>
      <c r="F19" s="262">
        <v>0.83333333333333337</v>
      </c>
      <c r="G19" s="53"/>
      <c r="H19" s="221"/>
      <c r="I19" s="221"/>
      <c r="J19" s="221"/>
      <c r="K19" s="222"/>
      <c r="L19" s="221"/>
      <c r="M19" s="221"/>
      <c r="N19" s="221"/>
      <c r="O19" s="221"/>
      <c r="P19" s="221"/>
      <c r="R19" s="219"/>
      <c r="S19" s="219"/>
      <c r="T19" s="219"/>
      <c r="U19" s="224" t="s">
        <v>287</v>
      </c>
      <c r="V19" s="220"/>
      <c r="W19" s="223" t="s">
        <v>4</v>
      </c>
      <c r="X19" s="220"/>
      <c r="Y19" s="219"/>
      <c r="Z19" s="219"/>
      <c r="AA19" s="57"/>
      <c r="AB19" s="57"/>
      <c r="AC19" s="57" t="s">
        <v>2</v>
      </c>
      <c r="AD19" s="57" t="s">
        <v>24</v>
      </c>
      <c r="AE19" s="264">
        <v>0.83333333333333337</v>
      </c>
      <c r="AF19" s="9"/>
      <c r="CF19" s="3"/>
      <c r="CG19" s="3"/>
    </row>
    <row r="20" spans="2:85" ht="15" customHeight="1" x14ac:dyDescent="0.2">
      <c r="B20" s="7"/>
      <c r="C20" s="53"/>
      <c r="D20" s="53" t="s">
        <v>191</v>
      </c>
      <c r="E20" s="53" t="s">
        <v>24</v>
      </c>
      <c r="F20" s="52" t="str">
        <f>IF(H17&lt;&gt;"",VLOOKUP(H17,'Team Setup'!$B$5:$C$36,2,FALSE),"")</f>
        <v>Old Trafford</v>
      </c>
      <c r="G20" s="53"/>
      <c r="H20" s="221"/>
      <c r="I20" s="221"/>
      <c r="J20" s="221"/>
      <c r="K20" s="222"/>
      <c r="L20" s="221"/>
      <c r="M20" s="221"/>
      <c r="N20" s="221"/>
      <c r="O20" s="221"/>
      <c r="P20" s="221"/>
      <c r="R20" s="219"/>
      <c r="S20" s="219"/>
      <c r="T20" s="219"/>
      <c r="U20" s="219"/>
      <c r="V20" s="219"/>
      <c r="W20" s="219"/>
      <c r="X20" s="219"/>
      <c r="Y20" s="219"/>
      <c r="Z20" s="219"/>
      <c r="AA20" s="57"/>
      <c r="AB20" s="57"/>
      <c r="AC20" s="57" t="s">
        <v>191</v>
      </c>
      <c r="AD20" s="57" t="s">
        <v>24</v>
      </c>
      <c r="AE20" s="58" t="str">
        <f>IF(Z17&lt;&gt;"",VLOOKUP(Z17,'Team Setup'!$B$5:$C$36,2,FALSE),"")</f>
        <v>Parc des Princes</v>
      </c>
      <c r="AF20" s="9"/>
      <c r="CF20" s="3"/>
      <c r="CG20" s="3"/>
    </row>
    <row r="21" spans="2:85" ht="15" customHeight="1" x14ac:dyDescent="0.2">
      <c r="B21" s="7"/>
      <c r="C21" s="53"/>
      <c r="D21" s="53"/>
      <c r="E21" s="53"/>
      <c r="F21" s="52" t="str">
        <f>IF(H17&lt;&gt;"",VLOOKUP(H17,'Team Setup'!$B$5:$D$36,3,FALSE),"")</f>
        <v>England</v>
      </c>
      <c r="G21" s="53"/>
      <c r="H21" s="17"/>
      <c r="I21" s="17"/>
      <c r="J21" s="17"/>
      <c r="K21" s="217"/>
      <c r="L21" s="17"/>
      <c r="M21" s="17"/>
      <c r="N21" s="17" t="s">
        <v>190</v>
      </c>
      <c r="O21" s="17" t="s">
        <v>24</v>
      </c>
      <c r="P21" s="19" t="str">
        <f>IF(AND(P22&lt;&gt;"",R22&lt;&gt;""),IF(AND(V19&lt;&gt;"",X19&lt;&gt;"",V19&gt;X19),N22&amp;" win on Penalty Kick",IF(AND(V19&lt;&gt;"",X19&lt;&gt;"",V19&lt;X19),T22&amp;" win on Penalty Kick",IF(P22&gt;R22,N22&amp;" win",IF(R22&gt;P22,T22&amp;" win",IF(AND(P22=R22,L17&gt;V17),T22&amp;" win on away goals",IF(AND(P22=R22,L17&lt;V17+V18),N22&amp;" win on away goals","")))))),"")</f>
        <v>Manchester United win on away goals</v>
      </c>
      <c r="Q21" s="19"/>
      <c r="R21" s="19"/>
      <c r="S21" s="17"/>
      <c r="T21" s="17"/>
      <c r="U21" s="17"/>
      <c r="V21" s="17"/>
      <c r="W21" s="17"/>
      <c r="X21" s="17"/>
      <c r="Y21" s="17"/>
      <c r="Z21" s="17"/>
      <c r="AA21" s="57"/>
      <c r="AB21" s="57"/>
      <c r="AC21" s="57"/>
      <c r="AD21" s="57"/>
      <c r="AE21" s="58" t="str">
        <f>IF(Z17&lt;&gt;"",VLOOKUP(Z17,'Team Setup'!$B$5:$D$36,3,FALSE),"")</f>
        <v>France</v>
      </c>
      <c r="AF21" s="9"/>
      <c r="CF21" s="3"/>
      <c r="CG21" s="3"/>
    </row>
    <row r="22" spans="2:85" ht="15" customHeight="1" x14ac:dyDescent="0.2">
      <c r="B22" s="7"/>
      <c r="C22" s="53"/>
      <c r="D22" s="53"/>
      <c r="E22" s="53"/>
      <c r="F22" s="53"/>
      <c r="G22" s="53"/>
      <c r="H22" s="6"/>
      <c r="I22" s="6"/>
      <c r="J22" s="218"/>
      <c r="K22" s="20"/>
      <c r="L22" s="21"/>
      <c r="M22" s="218"/>
      <c r="N22" s="22" t="str">
        <f>H17</f>
        <v>Manchester United</v>
      </c>
      <c r="O22" s="4"/>
      <c r="P22" s="23">
        <f>IF(AND(L17&lt;&gt;"",V17&lt;&gt;"",X17&lt;&gt;"",J17&lt;&gt;""),J17+V17+V18,"")</f>
        <v>3</v>
      </c>
      <c r="Q22" s="24" t="s">
        <v>4</v>
      </c>
      <c r="R22" s="23">
        <f>IF(AND(L17&lt;&gt;"",V17&lt;&gt;"",X17&lt;&gt;"",J17&lt;&gt;""),L17+X17+X18,"")</f>
        <v>3</v>
      </c>
      <c r="S22" s="4"/>
      <c r="T22" s="4" t="str">
        <f>Z17</f>
        <v>Paris Saint-Germain</v>
      </c>
      <c r="U22" s="6"/>
      <c r="V22" s="6"/>
      <c r="W22" s="6"/>
      <c r="X22" s="6"/>
      <c r="Y22" s="6"/>
      <c r="Z22" s="6"/>
      <c r="AA22" s="57"/>
      <c r="AB22" s="57"/>
      <c r="AC22" s="57"/>
      <c r="AD22" s="57"/>
      <c r="AE22" s="57"/>
      <c r="AF22" s="9"/>
      <c r="CF22" s="3"/>
      <c r="CG22" s="3"/>
    </row>
    <row r="23" spans="2:85" ht="15" customHeight="1" x14ac:dyDescent="0.2">
      <c r="B23" s="7"/>
      <c r="G23" s="6"/>
      <c r="H23" s="6"/>
      <c r="I23" s="6"/>
      <c r="J23" s="6"/>
      <c r="K23" s="8"/>
      <c r="L23" s="6"/>
      <c r="M23" s="6"/>
      <c r="N23" s="6"/>
      <c r="O23" s="6"/>
      <c r="P23" s="6"/>
      <c r="Q23" s="6"/>
      <c r="R23" s="6"/>
      <c r="S23" s="6"/>
      <c r="T23" s="6"/>
      <c r="U23" s="6"/>
      <c r="V23" s="6"/>
      <c r="W23" s="6"/>
      <c r="X23" s="6"/>
      <c r="Y23" s="6"/>
      <c r="Z23" s="6"/>
      <c r="AA23" s="6"/>
      <c r="AD23" s="6"/>
      <c r="AE23" s="6"/>
      <c r="AF23" s="9"/>
      <c r="CF23" s="3"/>
      <c r="CG23" s="3"/>
    </row>
    <row r="24" spans="2:85" ht="15" customHeight="1" x14ac:dyDescent="0.2">
      <c r="B24" s="7"/>
      <c r="C24" s="279" t="s">
        <v>189</v>
      </c>
      <c r="D24" s="279"/>
      <c r="E24" s="279"/>
      <c r="F24" s="279"/>
      <c r="G24" s="279"/>
      <c r="H24" s="279"/>
      <c r="I24" s="279"/>
      <c r="J24" s="279"/>
      <c r="K24" s="279"/>
      <c r="L24" s="279"/>
      <c r="M24" s="279"/>
      <c r="N24" s="279"/>
      <c r="O24" s="279"/>
      <c r="P24" s="279"/>
      <c r="Q24" s="6"/>
      <c r="R24" s="280" t="s">
        <v>188</v>
      </c>
      <c r="S24" s="280"/>
      <c r="T24" s="280"/>
      <c r="U24" s="280"/>
      <c r="V24" s="280"/>
      <c r="W24" s="280"/>
      <c r="X24" s="280"/>
      <c r="Y24" s="280"/>
      <c r="Z24" s="280"/>
      <c r="AA24" s="280"/>
      <c r="AB24" s="280"/>
      <c r="AC24" s="280"/>
      <c r="AD24" s="280"/>
      <c r="AE24" s="280"/>
      <c r="AF24" s="9"/>
      <c r="CF24" s="3"/>
      <c r="CG24" s="3"/>
    </row>
    <row r="25" spans="2:85" ht="15" customHeight="1" x14ac:dyDescent="0.2">
      <c r="B25" s="7"/>
      <c r="C25" s="51"/>
      <c r="D25" s="51"/>
      <c r="E25" s="51"/>
      <c r="F25" s="51"/>
      <c r="G25" s="51"/>
      <c r="H25" s="51"/>
      <c r="I25" s="51"/>
      <c r="J25" s="51"/>
      <c r="K25" s="51"/>
      <c r="L25" s="51"/>
      <c r="M25" s="51"/>
      <c r="N25" s="51"/>
      <c r="O25" s="51"/>
      <c r="P25" s="51"/>
      <c r="Q25" s="4"/>
      <c r="R25" s="57"/>
      <c r="S25" s="57"/>
      <c r="T25" s="57"/>
      <c r="U25" s="57"/>
      <c r="V25" s="57"/>
      <c r="W25" s="57"/>
      <c r="X25" s="57"/>
      <c r="Y25" s="57"/>
      <c r="Z25" s="57"/>
      <c r="AA25" s="57"/>
      <c r="AB25" s="57"/>
      <c r="AC25" s="57"/>
      <c r="AD25" s="57"/>
      <c r="AE25" s="57"/>
      <c r="AF25" s="9"/>
      <c r="CF25" s="3"/>
      <c r="CG25" s="3"/>
    </row>
    <row r="26" spans="2:85" ht="15" customHeight="1" x14ac:dyDescent="0.2">
      <c r="B26" s="7"/>
      <c r="C26" s="53"/>
      <c r="D26" s="53" t="s">
        <v>16</v>
      </c>
      <c r="E26" s="53" t="s">
        <v>24</v>
      </c>
      <c r="F26" s="54">
        <v>3</v>
      </c>
      <c r="G26" s="55"/>
      <c r="H26" s="69" t="str">
        <f>IF(ISNA(VLOOKUP(F26,'Group Stages'!$V$93:$X$100,3,FALSE)),"",VLOOKUP(F26,'Group Stages'!$V$93:$X$100,3,FALSE))</f>
        <v>Tottenham Hotspur</v>
      </c>
      <c r="I26" s="53"/>
      <c r="J26" s="52">
        <v>3</v>
      </c>
      <c r="K26" s="52" t="s">
        <v>4</v>
      </c>
      <c r="L26" s="52">
        <v>0</v>
      </c>
      <c r="M26" s="53"/>
      <c r="N26" s="70" t="str">
        <f>Z26</f>
        <v>Borussia Dortmund</v>
      </c>
      <c r="O26" s="53"/>
      <c r="P26" s="53"/>
      <c r="Q26" s="6"/>
      <c r="R26" s="57"/>
      <c r="S26" s="57"/>
      <c r="T26" s="67" t="str">
        <f>H26</f>
        <v>Tottenham Hotspur</v>
      </c>
      <c r="U26" s="57"/>
      <c r="V26" s="58">
        <v>1</v>
      </c>
      <c r="W26" s="58" t="s">
        <v>4</v>
      </c>
      <c r="X26" s="58">
        <v>0</v>
      </c>
      <c r="Y26" s="57"/>
      <c r="Z26" s="68" t="str">
        <f>IF(ISNA(VLOOKUP(AE26,'Group Stages'!$V$83:$X$90,3,FALSE)),"",VLOOKUP(AE26,'Group Stages'!$V$83:$X$90,3,FALSE))</f>
        <v>Borussia Dortmund</v>
      </c>
      <c r="AA26" s="57"/>
      <c r="AB26" s="57"/>
      <c r="AC26" s="57" t="s">
        <v>16</v>
      </c>
      <c r="AD26" s="57" t="s">
        <v>24</v>
      </c>
      <c r="AE26" s="59">
        <f>F26</f>
        <v>3</v>
      </c>
      <c r="AF26" s="9"/>
      <c r="CF26" s="3"/>
      <c r="CG26" s="3"/>
    </row>
    <row r="27" spans="2:85" ht="15" customHeight="1" x14ac:dyDescent="0.2">
      <c r="B27" s="7"/>
      <c r="C27" s="53"/>
      <c r="D27" s="53" t="s">
        <v>1</v>
      </c>
      <c r="E27" s="53" t="s">
        <v>24</v>
      </c>
      <c r="F27" s="56">
        <v>43509</v>
      </c>
      <c r="G27" s="53"/>
      <c r="H27" s="53"/>
      <c r="I27" s="53"/>
      <c r="J27" s="53"/>
      <c r="K27" s="52"/>
      <c r="L27" s="53"/>
      <c r="M27" s="53"/>
      <c r="N27" s="53"/>
      <c r="O27" s="53"/>
      <c r="P27" s="53"/>
      <c r="Q27" s="6"/>
      <c r="R27" s="57"/>
      <c r="S27" s="57"/>
      <c r="T27" s="263"/>
      <c r="U27" s="223" t="s">
        <v>288</v>
      </c>
      <c r="V27" s="58"/>
      <c r="W27" s="223" t="s">
        <v>4</v>
      </c>
      <c r="X27" s="58"/>
      <c r="Y27" s="57"/>
      <c r="Z27" s="57"/>
      <c r="AA27" s="57"/>
      <c r="AB27" s="57"/>
      <c r="AC27" s="57" t="s">
        <v>1</v>
      </c>
      <c r="AD27" s="57" t="s">
        <v>24</v>
      </c>
      <c r="AE27" s="263">
        <v>43529</v>
      </c>
      <c r="AF27" s="9"/>
      <c r="CF27" s="3"/>
      <c r="CG27" s="3"/>
    </row>
    <row r="28" spans="2:85" ht="15" customHeight="1" x14ac:dyDescent="0.2">
      <c r="B28" s="7"/>
      <c r="C28" s="53"/>
      <c r="D28" s="53" t="s">
        <v>2</v>
      </c>
      <c r="E28" s="53" t="s">
        <v>24</v>
      </c>
      <c r="F28" s="262">
        <v>0.83333333333333337</v>
      </c>
      <c r="G28" s="53"/>
      <c r="H28" s="221"/>
      <c r="I28" s="221"/>
      <c r="J28" s="221"/>
      <c r="K28" s="222"/>
      <c r="L28" s="221"/>
      <c r="M28" s="221"/>
      <c r="N28" s="221"/>
      <c r="O28" s="221"/>
      <c r="P28" s="221"/>
      <c r="R28" s="219"/>
      <c r="S28" s="219"/>
      <c r="T28" s="264"/>
      <c r="U28" s="224" t="s">
        <v>287</v>
      </c>
      <c r="V28" s="220"/>
      <c r="W28" s="223" t="s">
        <v>4</v>
      </c>
      <c r="X28" s="220"/>
      <c r="Y28" s="219"/>
      <c r="Z28" s="219"/>
      <c r="AA28" s="57"/>
      <c r="AB28" s="57"/>
      <c r="AC28" s="57" t="s">
        <v>2</v>
      </c>
      <c r="AD28" s="57" t="s">
        <v>24</v>
      </c>
      <c r="AE28" s="264">
        <v>0.83333333333333337</v>
      </c>
      <c r="AF28" s="9"/>
      <c r="CF28" s="3"/>
      <c r="CG28" s="3"/>
    </row>
    <row r="29" spans="2:85" ht="15" customHeight="1" x14ac:dyDescent="0.2">
      <c r="B29" s="7"/>
      <c r="C29" s="53"/>
      <c r="D29" s="53" t="s">
        <v>191</v>
      </c>
      <c r="E29" s="53" t="s">
        <v>24</v>
      </c>
      <c r="F29" s="52" t="str">
        <f>IF(H26&lt;&gt;"",VLOOKUP(H26,'Team Setup'!$B$5:$C$36,2,FALSE),"")</f>
        <v>White Hart Lane</v>
      </c>
      <c r="G29" s="53"/>
      <c r="H29" s="221"/>
      <c r="I29" s="221"/>
      <c r="J29" s="221"/>
      <c r="K29" s="222"/>
      <c r="L29" s="221"/>
      <c r="M29" s="221"/>
      <c r="N29" s="221"/>
      <c r="O29" s="221"/>
      <c r="P29" s="221"/>
      <c r="R29" s="219"/>
      <c r="S29" s="219"/>
      <c r="T29" s="219"/>
      <c r="U29" s="219"/>
      <c r="V29" s="219"/>
      <c r="W29" s="219"/>
      <c r="X29" s="219"/>
      <c r="Y29" s="219"/>
      <c r="Z29" s="219"/>
      <c r="AA29" s="57"/>
      <c r="AB29" s="57"/>
      <c r="AC29" s="57" t="s">
        <v>191</v>
      </c>
      <c r="AD29" s="57" t="s">
        <v>24</v>
      </c>
      <c r="AE29" s="58" t="str">
        <f>IF(Z26&lt;&gt;"",VLOOKUP(Z26,'Team Setup'!$B$5:$C$36,2,FALSE),"")</f>
        <v>Signal Iduna Park</v>
      </c>
      <c r="AF29" s="9"/>
      <c r="CF29" s="3"/>
      <c r="CG29" s="3"/>
    </row>
    <row r="30" spans="2:85" ht="15" customHeight="1" x14ac:dyDescent="0.2">
      <c r="B30" s="7"/>
      <c r="C30" s="53"/>
      <c r="D30" s="53"/>
      <c r="E30" s="53"/>
      <c r="F30" s="52" t="str">
        <f>IF(H26&lt;&gt;"",VLOOKUP(H26,'Team Setup'!$B$5:$D$36,3,FALSE),"")</f>
        <v>England</v>
      </c>
      <c r="G30" s="53"/>
      <c r="H30" s="17"/>
      <c r="I30" s="17"/>
      <c r="J30" s="17"/>
      <c r="K30" s="217"/>
      <c r="L30" s="17"/>
      <c r="M30" s="17"/>
      <c r="N30" s="17" t="s">
        <v>190</v>
      </c>
      <c r="O30" s="17" t="s">
        <v>24</v>
      </c>
      <c r="P30" s="19" t="str">
        <f>IF(AND(P31&lt;&gt;"",R31&lt;&gt;""),IF(AND(V28&lt;&gt;"",X28&lt;&gt;"",V28&gt;X28),N31&amp;" win on Penalty Kick",IF(AND(V28&lt;&gt;"",X28&lt;&gt;"",V28&lt;X28),T31&amp;" win on Penalty Kick",IF(P31&gt;R31,N31&amp;" win",IF(R31&gt;P31,T31&amp;" win",IF(AND(P31=R31,L26&gt;V26),T31&amp;" win on away goals",IF(AND(P31=R31,L26&lt;V26+V27),N31&amp;" win on away goals","")))))),"")</f>
        <v>Tottenham Hotspur win</v>
      </c>
      <c r="Q30" s="19"/>
      <c r="R30" s="19"/>
      <c r="S30" s="17"/>
      <c r="T30" s="17"/>
      <c r="U30" s="17"/>
      <c r="V30" s="17"/>
      <c r="W30" s="17"/>
      <c r="X30" s="17"/>
      <c r="Y30" s="17"/>
      <c r="Z30" s="17"/>
      <c r="AA30" s="57"/>
      <c r="AB30" s="57"/>
      <c r="AC30" s="57"/>
      <c r="AD30" s="57"/>
      <c r="AE30" s="58" t="str">
        <f>IF(Z26&lt;&gt;"",VLOOKUP(Z26,'Team Setup'!$B$5:$D$36,3,FALSE),"")</f>
        <v>Germany</v>
      </c>
      <c r="AF30" s="9"/>
      <c r="CF30" s="3"/>
      <c r="CG30" s="3"/>
    </row>
    <row r="31" spans="2:85" ht="15" customHeight="1" x14ac:dyDescent="0.2">
      <c r="B31" s="7"/>
      <c r="C31" s="53"/>
      <c r="D31" s="53"/>
      <c r="E31" s="53"/>
      <c r="F31" s="53"/>
      <c r="G31" s="53"/>
      <c r="H31" s="6"/>
      <c r="I31" s="6"/>
      <c r="J31" s="218"/>
      <c r="K31" s="20"/>
      <c r="L31" s="21"/>
      <c r="M31" s="218"/>
      <c r="N31" s="22" t="str">
        <f>H26</f>
        <v>Tottenham Hotspur</v>
      </c>
      <c r="O31" s="4"/>
      <c r="P31" s="23">
        <f>IF(AND(L26&lt;&gt;"",V26&lt;&gt;"",X26&lt;&gt;"",J26&lt;&gt;""),J26+V26+V27,"")</f>
        <v>4</v>
      </c>
      <c r="Q31" s="24" t="s">
        <v>4</v>
      </c>
      <c r="R31" s="23">
        <f>IF(AND(L26&lt;&gt;"",V26&lt;&gt;"",X26&lt;&gt;"",J26&lt;&gt;""),L26+X26+X27,"")</f>
        <v>0</v>
      </c>
      <c r="S31" s="4"/>
      <c r="T31" s="4" t="str">
        <f>Z26</f>
        <v>Borussia Dortmund</v>
      </c>
      <c r="U31" s="6"/>
      <c r="V31" s="6"/>
      <c r="W31" s="6"/>
      <c r="X31" s="6"/>
      <c r="Y31" s="6"/>
      <c r="Z31" s="6"/>
      <c r="AA31" s="57"/>
      <c r="AB31" s="57"/>
      <c r="AC31" s="57"/>
      <c r="AD31" s="57"/>
      <c r="AE31" s="57"/>
      <c r="AF31" s="9"/>
      <c r="CF31" s="3"/>
      <c r="CG31" s="3"/>
    </row>
    <row r="32" spans="2:85" ht="15" customHeight="1" x14ac:dyDescent="0.2">
      <c r="B32" s="7"/>
      <c r="G32" s="6"/>
      <c r="H32" s="6"/>
      <c r="I32" s="6"/>
      <c r="J32" s="6"/>
      <c r="K32" s="8"/>
      <c r="L32" s="6"/>
      <c r="M32" s="6"/>
      <c r="N32" s="6"/>
      <c r="O32" s="6"/>
      <c r="P32" s="6"/>
      <c r="Q32" s="6"/>
      <c r="R32" s="6"/>
      <c r="S32" s="6"/>
      <c r="T32" s="6"/>
      <c r="U32" s="6"/>
      <c r="V32" s="6"/>
      <c r="W32" s="6"/>
      <c r="X32" s="6"/>
      <c r="Y32" s="6"/>
      <c r="Z32" s="6"/>
      <c r="AA32" s="6"/>
      <c r="AD32" s="6"/>
      <c r="AE32" s="6"/>
      <c r="AF32" s="9"/>
      <c r="CF32" s="3"/>
      <c r="CG32" s="3"/>
    </row>
    <row r="33" spans="2:85" ht="15" customHeight="1" x14ac:dyDescent="0.2">
      <c r="B33" s="7"/>
      <c r="C33" s="279" t="s">
        <v>189</v>
      </c>
      <c r="D33" s="279"/>
      <c r="E33" s="279"/>
      <c r="F33" s="279"/>
      <c r="G33" s="279"/>
      <c r="H33" s="279"/>
      <c r="I33" s="279"/>
      <c r="J33" s="279"/>
      <c r="K33" s="279"/>
      <c r="L33" s="279"/>
      <c r="M33" s="279"/>
      <c r="N33" s="279"/>
      <c r="O33" s="279"/>
      <c r="P33" s="279"/>
      <c r="Q33" s="6"/>
      <c r="R33" s="280" t="s">
        <v>188</v>
      </c>
      <c r="S33" s="280"/>
      <c r="T33" s="280"/>
      <c r="U33" s="280"/>
      <c r="V33" s="280"/>
      <c r="W33" s="280"/>
      <c r="X33" s="280"/>
      <c r="Y33" s="280"/>
      <c r="Z33" s="280"/>
      <c r="AA33" s="280"/>
      <c r="AB33" s="280"/>
      <c r="AC33" s="280"/>
      <c r="AD33" s="280"/>
      <c r="AE33" s="280"/>
      <c r="AF33" s="9"/>
      <c r="CF33" s="3"/>
      <c r="CG33" s="3"/>
    </row>
    <row r="34" spans="2:85" ht="15" customHeight="1" x14ac:dyDescent="0.2">
      <c r="B34" s="7"/>
      <c r="C34" s="51"/>
      <c r="D34" s="51"/>
      <c r="E34" s="51"/>
      <c r="F34" s="51"/>
      <c r="G34" s="51"/>
      <c r="H34" s="51"/>
      <c r="I34" s="51"/>
      <c r="J34" s="51"/>
      <c r="K34" s="51"/>
      <c r="L34" s="51"/>
      <c r="M34" s="51"/>
      <c r="N34" s="51"/>
      <c r="O34" s="51"/>
      <c r="P34" s="51"/>
      <c r="Q34" s="4"/>
      <c r="R34" s="57"/>
      <c r="S34" s="57"/>
      <c r="T34" s="57"/>
      <c r="U34" s="57"/>
      <c r="V34" s="57"/>
      <c r="W34" s="57"/>
      <c r="X34" s="57"/>
      <c r="Y34" s="57"/>
      <c r="Z34" s="57"/>
      <c r="AA34" s="57"/>
      <c r="AB34" s="57"/>
      <c r="AC34" s="57"/>
      <c r="AD34" s="57"/>
      <c r="AE34" s="57"/>
      <c r="AF34" s="9"/>
      <c r="CF34" s="3"/>
      <c r="CG34" s="3"/>
    </row>
    <row r="35" spans="2:85" ht="15" customHeight="1" x14ac:dyDescent="0.2">
      <c r="B35" s="7"/>
      <c r="C35" s="53"/>
      <c r="D35" s="53" t="s">
        <v>16</v>
      </c>
      <c r="E35" s="53" t="s">
        <v>24</v>
      </c>
      <c r="F35" s="54">
        <v>4</v>
      </c>
      <c r="G35" s="55"/>
      <c r="H35" s="69" t="str">
        <f>IF(ISNA(VLOOKUP(F35,'Group Stages'!$V$93:$X$100,3,FALSE)),"",VLOOKUP(F35,'Group Stages'!$V$93:$X$100,3,FALSE))</f>
        <v>Ajax</v>
      </c>
      <c r="I35" s="53"/>
      <c r="J35" s="52">
        <v>1</v>
      </c>
      <c r="K35" s="52" t="s">
        <v>4</v>
      </c>
      <c r="L35" s="52">
        <v>2</v>
      </c>
      <c r="M35" s="53"/>
      <c r="N35" s="70" t="str">
        <f>Z35</f>
        <v>Real Madrid</v>
      </c>
      <c r="O35" s="53"/>
      <c r="P35" s="53"/>
      <c r="Q35" s="6"/>
      <c r="R35" s="57"/>
      <c r="S35" s="57"/>
      <c r="T35" s="67" t="str">
        <f>H35</f>
        <v>Ajax</v>
      </c>
      <c r="U35" s="57"/>
      <c r="V35" s="58">
        <v>4</v>
      </c>
      <c r="W35" s="58" t="s">
        <v>4</v>
      </c>
      <c r="X35" s="58">
        <v>1</v>
      </c>
      <c r="Y35" s="57"/>
      <c r="Z35" s="68" t="str">
        <f>IF(ISNA(VLOOKUP(AE35,'Group Stages'!$V$83:$X$90,3,FALSE)),"",VLOOKUP(AE35,'Group Stages'!$V$83:$X$90,3,FALSE))</f>
        <v>Real Madrid</v>
      </c>
      <c r="AA35" s="57"/>
      <c r="AB35" s="57"/>
      <c r="AC35" s="57" t="s">
        <v>16</v>
      </c>
      <c r="AD35" s="57" t="s">
        <v>24</v>
      </c>
      <c r="AE35" s="59">
        <f>F35</f>
        <v>4</v>
      </c>
      <c r="AF35" s="9"/>
      <c r="CF35" s="3"/>
      <c r="CG35" s="3"/>
    </row>
    <row r="36" spans="2:85" ht="15" customHeight="1" x14ac:dyDescent="0.2">
      <c r="B36" s="7"/>
      <c r="C36" s="53"/>
      <c r="D36" s="53" t="s">
        <v>1</v>
      </c>
      <c r="E36" s="53" t="s">
        <v>24</v>
      </c>
      <c r="F36" s="56">
        <v>43509</v>
      </c>
      <c r="G36" s="53"/>
      <c r="H36" s="53"/>
      <c r="I36" s="53"/>
      <c r="J36" s="53"/>
      <c r="K36" s="52"/>
      <c r="L36" s="53"/>
      <c r="M36" s="53"/>
      <c r="N36" s="53"/>
      <c r="O36" s="53"/>
      <c r="P36" s="53"/>
      <c r="Q36" s="6"/>
      <c r="R36" s="57"/>
      <c r="S36" s="57"/>
      <c r="T36" s="263"/>
      <c r="U36" s="223" t="s">
        <v>288</v>
      </c>
      <c r="V36" s="58"/>
      <c r="W36" s="223" t="s">
        <v>4</v>
      </c>
      <c r="X36" s="58"/>
      <c r="Y36" s="57"/>
      <c r="Z36" s="57"/>
      <c r="AA36" s="57"/>
      <c r="AB36" s="57"/>
      <c r="AC36" s="57" t="s">
        <v>1</v>
      </c>
      <c r="AD36" s="57" t="s">
        <v>24</v>
      </c>
      <c r="AE36" s="263">
        <v>43529</v>
      </c>
      <c r="AF36" s="9"/>
      <c r="CF36" s="3"/>
      <c r="CG36" s="3"/>
    </row>
    <row r="37" spans="2:85" ht="15" customHeight="1" x14ac:dyDescent="0.2">
      <c r="B37" s="7"/>
      <c r="C37" s="53"/>
      <c r="D37" s="53" t="s">
        <v>2</v>
      </c>
      <c r="E37" s="53" t="s">
        <v>24</v>
      </c>
      <c r="F37" s="262">
        <v>0.83333333333333337</v>
      </c>
      <c r="G37" s="53"/>
      <c r="H37" s="221"/>
      <c r="I37" s="221"/>
      <c r="J37" s="221"/>
      <c r="K37" s="222"/>
      <c r="L37" s="221"/>
      <c r="M37" s="221"/>
      <c r="N37" s="221"/>
      <c r="O37" s="221"/>
      <c r="P37" s="221"/>
      <c r="R37" s="219"/>
      <c r="S37" s="219"/>
      <c r="T37" s="264"/>
      <c r="U37" s="224" t="s">
        <v>287</v>
      </c>
      <c r="V37" s="220"/>
      <c r="W37" s="223" t="s">
        <v>4</v>
      </c>
      <c r="X37" s="220"/>
      <c r="Y37" s="219"/>
      <c r="Z37" s="219"/>
      <c r="AA37" s="57"/>
      <c r="AB37" s="57"/>
      <c r="AC37" s="57" t="s">
        <v>2</v>
      </c>
      <c r="AD37" s="57" t="s">
        <v>24</v>
      </c>
      <c r="AE37" s="264">
        <v>0.83333333333333337</v>
      </c>
      <c r="AF37" s="9"/>
      <c r="CF37" s="3"/>
      <c r="CG37" s="3"/>
    </row>
    <row r="38" spans="2:85" ht="15" customHeight="1" x14ac:dyDescent="0.2">
      <c r="B38" s="7"/>
      <c r="C38" s="53"/>
      <c r="D38" s="53" t="s">
        <v>191</v>
      </c>
      <c r="E38" s="53" t="s">
        <v>24</v>
      </c>
      <c r="F38" s="52" t="str">
        <f>IF(H35&lt;&gt;"",VLOOKUP(H35,'Team Setup'!$B$5:$C$36,2,FALSE),"")</f>
        <v>Amsterdam Arena</v>
      </c>
      <c r="G38" s="53"/>
      <c r="H38" s="221"/>
      <c r="I38" s="221"/>
      <c r="J38" s="221"/>
      <c r="K38" s="222"/>
      <c r="L38" s="221"/>
      <c r="M38" s="221"/>
      <c r="N38" s="221"/>
      <c r="O38" s="221"/>
      <c r="P38" s="221"/>
      <c r="R38" s="219"/>
      <c r="S38" s="219"/>
      <c r="T38" s="219"/>
      <c r="U38" s="219"/>
      <c r="V38" s="219"/>
      <c r="W38" s="219"/>
      <c r="X38" s="219"/>
      <c r="Y38" s="219"/>
      <c r="Z38" s="219"/>
      <c r="AA38" s="57"/>
      <c r="AB38" s="57"/>
      <c r="AC38" s="57" t="s">
        <v>191</v>
      </c>
      <c r="AD38" s="57" t="s">
        <v>24</v>
      </c>
      <c r="AE38" s="58" t="str">
        <f>IF(Z35&lt;&gt;"",VLOOKUP(Z35,'Team Setup'!$B$5:$C$36,2,FALSE),"")</f>
        <v>Santiago Bernabeu</v>
      </c>
      <c r="AF38" s="9"/>
      <c r="CF38" s="3"/>
      <c r="CG38" s="3"/>
    </row>
    <row r="39" spans="2:85" ht="15" customHeight="1" x14ac:dyDescent="0.2">
      <c r="B39" s="7"/>
      <c r="C39" s="53"/>
      <c r="D39" s="53"/>
      <c r="E39" s="53"/>
      <c r="F39" s="52" t="str">
        <f>IF(H35&lt;&gt;"",VLOOKUP(H35,'Team Setup'!$B$5:$D$36,3,FALSE),"")</f>
        <v>Netherland</v>
      </c>
      <c r="G39" s="53"/>
      <c r="H39" s="17"/>
      <c r="I39" s="17"/>
      <c r="J39" s="17"/>
      <c r="K39" s="217"/>
      <c r="L39" s="17"/>
      <c r="M39" s="17"/>
      <c r="N39" s="17" t="s">
        <v>190</v>
      </c>
      <c r="O39" s="17" t="s">
        <v>24</v>
      </c>
      <c r="P39" s="19" t="str">
        <f>IF(AND(P40&lt;&gt;"",R40&lt;&gt;""),IF(AND(V37&lt;&gt;"",X37&lt;&gt;"",V37&gt;X37),N40&amp;" win on Penalty Kick",IF(AND(V37&lt;&gt;"",X37&lt;&gt;"",V37&lt;X37),T40&amp;" win on Penalty Kick",IF(P40&gt;R40,N40&amp;" win",IF(R40&gt;P40,T40&amp;" win",IF(AND(P40=R40,L35&gt;V35),T40&amp;" win on away goals",IF(AND(P40=R40,L35&lt;V35+V36),N40&amp;" win on away goals","")))))),"")</f>
        <v>Ajax win</v>
      </c>
      <c r="Q39" s="19"/>
      <c r="R39" s="19"/>
      <c r="S39" s="17"/>
      <c r="T39" s="17"/>
      <c r="U39" s="17"/>
      <c r="V39" s="17"/>
      <c r="W39" s="17"/>
      <c r="X39" s="17"/>
      <c r="Y39" s="17"/>
      <c r="Z39" s="17"/>
      <c r="AA39" s="57"/>
      <c r="AB39" s="57"/>
      <c r="AC39" s="57"/>
      <c r="AD39" s="57"/>
      <c r="AE39" s="58" t="str">
        <f>IF(Z35&lt;&gt;"",VLOOKUP(Z35,'Team Setup'!$B$5:$D$36,3,FALSE),"")</f>
        <v>Spain</v>
      </c>
      <c r="AF39" s="9"/>
      <c r="CF39" s="3"/>
      <c r="CG39" s="3"/>
    </row>
    <row r="40" spans="2:85" ht="15" customHeight="1" x14ac:dyDescent="0.2">
      <c r="B40" s="7"/>
      <c r="C40" s="53"/>
      <c r="D40" s="53"/>
      <c r="E40" s="53"/>
      <c r="F40" s="53"/>
      <c r="G40" s="53"/>
      <c r="H40" s="6"/>
      <c r="I40" s="6"/>
      <c r="J40" s="218"/>
      <c r="K40" s="20"/>
      <c r="L40" s="21"/>
      <c r="M40" s="218"/>
      <c r="N40" s="22" t="str">
        <f>H35</f>
        <v>Ajax</v>
      </c>
      <c r="O40" s="4"/>
      <c r="P40" s="23">
        <f>IF(AND(L35&lt;&gt;"",V35&lt;&gt;"",X35&lt;&gt;"",J35&lt;&gt;""),J35+V35+V36,"")</f>
        <v>5</v>
      </c>
      <c r="Q40" s="24" t="s">
        <v>4</v>
      </c>
      <c r="R40" s="23">
        <f>IF(AND(L35&lt;&gt;"",V35&lt;&gt;"",X35&lt;&gt;"",J35&lt;&gt;""),L35+X35+X36,"")</f>
        <v>3</v>
      </c>
      <c r="S40" s="4"/>
      <c r="T40" s="4" t="str">
        <f>Z35</f>
        <v>Real Madrid</v>
      </c>
      <c r="U40" s="6"/>
      <c r="V40" s="6"/>
      <c r="W40" s="6"/>
      <c r="X40" s="6"/>
      <c r="Y40" s="6"/>
      <c r="Z40" s="6"/>
      <c r="AA40" s="57"/>
      <c r="AB40" s="57"/>
      <c r="AC40" s="57"/>
      <c r="AD40" s="57"/>
      <c r="AE40" s="57"/>
      <c r="AF40" s="9"/>
      <c r="CF40" s="3"/>
      <c r="CG40" s="3"/>
    </row>
    <row r="41" spans="2:85" ht="15" customHeight="1" x14ac:dyDescent="0.2">
      <c r="B41" s="7"/>
      <c r="G41" s="6"/>
      <c r="H41" s="6"/>
      <c r="I41" s="6"/>
      <c r="J41" s="6"/>
      <c r="K41" s="8"/>
      <c r="L41" s="6"/>
      <c r="M41" s="6"/>
      <c r="N41" s="6"/>
      <c r="O41" s="6"/>
      <c r="P41" s="6"/>
      <c r="Q41" s="6"/>
      <c r="R41" s="6"/>
      <c r="S41" s="6"/>
      <c r="T41" s="6"/>
      <c r="U41" s="6"/>
      <c r="V41" s="6"/>
      <c r="W41" s="6"/>
      <c r="X41" s="6"/>
      <c r="Y41" s="6"/>
      <c r="Z41" s="6"/>
      <c r="AA41" s="6"/>
      <c r="AD41" s="6"/>
      <c r="AE41" s="6"/>
      <c r="AF41" s="9"/>
      <c r="CF41" s="3"/>
      <c r="CG41" s="3"/>
    </row>
    <row r="42" spans="2:85" ht="15" customHeight="1" x14ac:dyDescent="0.2">
      <c r="B42" s="7"/>
      <c r="C42" s="279" t="s">
        <v>189</v>
      </c>
      <c r="D42" s="279"/>
      <c r="E42" s="279"/>
      <c r="F42" s="279"/>
      <c r="G42" s="279"/>
      <c r="H42" s="279"/>
      <c r="I42" s="279"/>
      <c r="J42" s="279"/>
      <c r="K42" s="279"/>
      <c r="L42" s="279"/>
      <c r="M42" s="279"/>
      <c r="N42" s="279"/>
      <c r="O42" s="279"/>
      <c r="P42" s="279"/>
      <c r="Q42" s="6"/>
      <c r="R42" s="280" t="s">
        <v>188</v>
      </c>
      <c r="S42" s="280"/>
      <c r="T42" s="280"/>
      <c r="U42" s="280"/>
      <c r="V42" s="280"/>
      <c r="W42" s="280"/>
      <c r="X42" s="280"/>
      <c r="Y42" s="280"/>
      <c r="Z42" s="280"/>
      <c r="AA42" s="280"/>
      <c r="AB42" s="280"/>
      <c r="AC42" s="280"/>
      <c r="AD42" s="280"/>
      <c r="AE42" s="280"/>
      <c r="AF42" s="9"/>
      <c r="CF42" s="3"/>
      <c r="CG42" s="3"/>
    </row>
    <row r="43" spans="2:85" ht="15" customHeight="1" x14ac:dyDescent="0.2">
      <c r="B43" s="7"/>
      <c r="C43" s="51"/>
      <c r="D43" s="51"/>
      <c r="E43" s="51"/>
      <c r="F43" s="51"/>
      <c r="G43" s="51"/>
      <c r="H43" s="51"/>
      <c r="I43" s="51"/>
      <c r="J43" s="51"/>
      <c r="K43" s="51"/>
      <c r="L43" s="51"/>
      <c r="M43" s="51"/>
      <c r="N43" s="51"/>
      <c r="O43" s="51"/>
      <c r="P43" s="51"/>
      <c r="Q43" s="4"/>
      <c r="R43" s="57"/>
      <c r="S43" s="57"/>
      <c r="T43" s="57"/>
      <c r="U43" s="57"/>
      <c r="V43" s="57"/>
      <c r="W43" s="57"/>
      <c r="X43" s="57"/>
      <c r="Y43" s="57"/>
      <c r="Z43" s="57"/>
      <c r="AA43" s="57"/>
      <c r="AB43" s="57"/>
      <c r="AC43" s="57"/>
      <c r="AD43" s="57"/>
      <c r="AE43" s="57"/>
      <c r="AF43" s="9"/>
      <c r="CF43" s="3"/>
      <c r="CG43" s="3"/>
    </row>
    <row r="44" spans="2:85" ht="15" customHeight="1" x14ac:dyDescent="0.2">
      <c r="B44" s="7"/>
      <c r="C44" s="53"/>
      <c r="D44" s="53" t="s">
        <v>16</v>
      </c>
      <c r="E44" s="53" t="s">
        <v>24</v>
      </c>
      <c r="F44" s="54">
        <v>5</v>
      </c>
      <c r="G44" s="55"/>
      <c r="H44" s="69" t="str">
        <f>IF(ISNA(VLOOKUP(F44,'Group Stages'!$V$93:$X$100,3,FALSE)),"",VLOOKUP(F44,'Group Stages'!$V$93:$X$100,3,FALSE))</f>
        <v>Lyon</v>
      </c>
      <c r="I44" s="53"/>
      <c r="J44" s="52">
        <v>0</v>
      </c>
      <c r="K44" s="52" t="s">
        <v>4</v>
      </c>
      <c r="L44" s="52">
        <v>0</v>
      </c>
      <c r="M44" s="53"/>
      <c r="N44" s="70" t="str">
        <f>Z44</f>
        <v>Barcelona</v>
      </c>
      <c r="O44" s="53"/>
      <c r="P44" s="53"/>
      <c r="Q44" s="6"/>
      <c r="R44" s="57"/>
      <c r="S44" s="57"/>
      <c r="T44" s="67" t="str">
        <f>H44</f>
        <v>Lyon</v>
      </c>
      <c r="U44" s="57"/>
      <c r="V44" s="58">
        <v>1</v>
      </c>
      <c r="W44" s="58" t="s">
        <v>4</v>
      </c>
      <c r="X44" s="58">
        <v>5</v>
      </c>
      <c r="Y44" s="57"/>
      <c r="Z44" s="68" t="str">
        <f>IF(ISNA(VLOOKUP(AE44,'Group Stages'!$V$83:$X$90,3,FALSE)),"",VLOOKUP(AE44,'Group Stages'!$V$83:$X$90,3,FALSE))</f>
        <v>Barcelona</v>
      </c>
      <c r="AA44" s="57"/>
      <c r="AB44" s="57"/>
      <c r="AC44" s="57" t="s">
        <v>16</v>
      </c>
      <c r="AD44" s="57" t="s">
        <v>24</v>
      </c>
      <c r="AE44" s="59">
        <f>F44</f>
        <v>5</v>
      </c>
      <c r="AF44" s="9"/>
      <c r="CF44" s="3"/>
      <c r="CG44" s="3"/>
    </row>
    <row r="45" spans="2:85" ht="15" customHeight="1" x14ac:dyDescent="0.2">
      <c r="B45" s="7"/>
      <c r="C45" s="53"/>
      <c r="D45" s="53" t="s">
        <v>1</v>
      </c>
      <c r="E45" s="53" t="s">
        <v>24</v>
      </c>
      <c r="F45" s="56">
        <v>43515</v>
      </c>
      <c r="G45" s="53"/>
      <c r="H45" s="53"/>
      <c r="I45" s="53"/>
      <c r="J45" s="53"/>
      <c r="K45" s="52"/>
      <c r="L45" s="53"/>
      <c r="M45" s="53"/>
      <c r="N45" s="53"/>
      <c r="O45" s="53"/>
      <c r="P45" s="53"/>
      <c r="Q45" s="6"/>
      <c r="R45" s="57"/>
      <c r="S45" s="57"/>
      <c r="T45" s="57"/>
      <c r="U45" s="223" t="s">
        <v>288</v>
      </c>
      <c r="V45" s="58"/>
      <c r="W45" s="223" t="s">
        <v>4</v>
      </c>
      <c r="X45" s="58"/>
      <c r="Y45" s="57"/>
      <c r="Z45" s="57"/>
      <c r="AA45" s="57"/>
      <c r="AB45" s="57"/>
      <c r="AC45" s="57" t="s">
        <v>1</v>
      </c>
      <c r="AD45" s="57" t="s">
        <v>24</v>
      </c>
      <c r="AE45" s="263">
        <v>43537</v>
      </c>
      <c r="AF45" s="9"/>
      <c r="CF45" s="3"/>
      <c r="CG45" s="3"/>
    </row>
    <row r="46" spans="2:85" ht="15" customHeight="1" x14ac:dyDescent="0.2">
      <c r="B46" s="7"/>
      <c r="C46" s="53"/>
      <c r="D46" s="53" t="s">
        <v>2</v>
      </c>
      <c r="E46" s="53" t="s">
        <v>24</v>
      </c>
      <c r="F46" s="262">
        <v>0.83333333333333337</v>
      </c>
      <c r="G46" s="53"/>
      <c r="H46" s="221"/>
      <c r="I46" s="221"/>
      <c r="J46" s="221"/>
      <c r="K46" s="222"/>
      <c r="L46" s="221"/>
      <c r="M46" s="221"/>
      <c r="N46" s="221"/>
      <c r="O46" s="221"/>
      <c r="P46" s="221"/>
      <c r="R46" s="219"/>
      <c r="S46" s="219"/>
      <c r="T46" s="219"/>
      <c r="U46" s="224" t="s">
        <v>287</v>
      </c>
      <c r="V46" s="220"/>
      <c r="W46" s="223" t="s">
        <v>4</v>
      </c>
      <c r="X46" s="220"/>
      <c r="Y46" s="219"/>
      <c r="Z46" s="219"/>
      <c r="AA46" s="57"/>
      <c r="AB46" s="57"/>
      <c r="AC46" s="57" t="s">
        <v>2</v>
      </c>
      <c r="AD46" s="57" t="s">
        <v>24</v>
      </c>
      <c r="AE46" s="264">
        <v>0.83333333333333337</v>
      </c>
      <c r="AF46" s="9"/>
      <c r="CF46" s="3"/>
      <c r="CG46" s="3"/>
    </row>
    <row r="47" spans="2:85" ht="15" customHeight="1" x14ac:dyDescent="0.2">
      <c r="B47" s="7"/>
      <c r="C47" s="53"/>
      <c r="D47" s="53" t="s">
        <v>191</v>
      </c>
      <c r="E47" s="53" t="s">
        <v>24</v>
      </c>
      <c r="F47" s="52" t="str">
        <f>IF(H44&lt;&gt;"",VLOOKUP(H44,'Team Setup'!$B$5:$C$36,2,FALSE),"")</f>
        <v>Groupama Stadium</v>
      </c>
      <c r="G47" s="53"/>
      <c r="H47" s="221"/>
      <c r="I47" s="221"/>
      <c r="J47" s="221"/>
      <c r="K47" s="222"/>
      <c r="L47" s="221"/>
      <c r="M47" s="221"/>
      <c r="N47" s="221"/>
      <c r="O47" s="221"/>
      <c r="P47" s="221"/>
      <c r="R47" s="219"/>
      <c r="S47" s="219"/>
      <c r="T47" s="219"/>
      <c r="U47" s="219"/>
      <c r="V47" s="219"/>
      <c r="W47" s="219"/>
      <c r="X47" s="219"/>
      <c r="Y47" s="219"/>
      <c r="Z47" s="219"/>
      <c r="AA47" s="57"/>
      <c r="AB47" s="57"/>
      <c r="AC47" s="57" t="s">
        <v>191</v>
      </c>
      <c r="AD47" s="57" t="s">
        <v>24</v>
      </c>
      <c r="AE47" s="58" t="str">
        <f>IF(Z44&lt;&gt;"",VLOOKUP(Z44,'Team Setup'!$B$5:$C$36,2,FALSE),"")</f>
        <v>Nou Camp</v>
      </c>
      <c r="AF47" s="9"/>
      <c r="CF47" s="3"/>
      <c r="CG47" s="3"/>
    </row>
    <row r="48" spans="2:85" ht="15" customHeight="1" x14ac:dyDescent="0.2">
      <c r="B48" s="7"/>
      <c r="C48" s="53"/>
      <c r="D48" s="53"/>
      <c r="E48" s="53"/>
      <c r="F48" s="52" t="str">
        <f>IF(H44&lt;&gt;"",VLOOKUP(H44,'Team Setup'!$B$5:$D$36,3,FALSE),"")</f>
        <v>France</v>
      </c>
      <c r="G48" s="53"/>
      <c r="H48" s="17"/>
      <c r="I48" s="17"/>
      <c r="J48" s="17"/>
      <c r="K48" s="217"/>
      <c r="L48" s="17"/>
      <c r="M48" s="17"/>
      <c r="N48" s="17" t="s">
        <v>190</v>
      </c>
      <c r="O48" s="17" t="s">
        <v>24</v>
      </c>
      <c r="P48" s="19" t="str">
        <f>IF(AND(P49&lt;&gt;"",R49&lt;&gt;""),IF(AND(V46&lt;&gt;"",X46&lt;&gt;"",V46&gt;X46),N49&amp;" win on Penalty Kick",IF(AND(V46&lt;&gt;"",X46&lt;&gt;"",V46&lt;X46),T49&amp;" win on Penalty Kick",IF(P49&gt;R49,N49&amp;" win",IF(R49&gt;P49,T49&amp;" win",IF(AND(P49=R49,L44&gt;V44),T49&amp;" win on away goals",IF(AND(P49=R49,L44&lt;V44+V45),N49&amp;" win on away goals","")))))),"")</f>
        <v>Barcelona win</v>
      </c>
      <c r="Q48" s="19"/>
      <c r="R48" s="19"/>
      <c r="S48" s="17"/>
      <c r="T48" s="17"/>
      <c r="U48" s="17"/>
      <c r="V48" s="17"/>
      <c r="W48" s="17"/>
      <c r="X48" s="17"/>
      <c r="Y48" s="17"/>
      <c r="Z48" s="17"/>
      <c r="AA48" s="57"/>
      <c r="AB48" s="57"/>
      <c r="AC48" s="57"/>
      <c r="AD48" s="57"/>
      <c r="AE48" s="58" t="str">
        <f>IF(Z44&lt;&gt;"",VLOOKUP(Z44,'Team Setup'!$B$5:$D$36,3,FALSE),"")</f>
        <v>Spain</v>
      </c>
      <c r="AF48" s="9"/>
      <c r="CF48" s="3"/>
      <c r="CG48" s="3"/>
    </row>
    <row r="49" spans="2:85" ht="15" customHeight="1" x14ac:dyDescent="0.2">
      <c r="B49" s="7"/>
      <c r="C49" s="53"/>
      <c r="D49" s="53"/>
      <c r="E49" s="53"/>
      <c r="F49" s="53"/>
      <c r="G49" s="53"/>
      <c r="H49" s="6"/>
      <c r="I49" s="6"/>
      <c r="J49" s="218"/>
      <c r="K49" s="20"/>
      <c r="L49" s="21"/>
      <c r="M49" s="218"/>
      <c r="N49" s="22" t="str">
        <f>H44</f>
        <v>Lyon</v>
      </c>
      <c r="O49" s="4"/>
      <c r="P49" s="23">
        <f>IF(AND(L44&lt;&gt;"",V44&lt;&gt;"",X44&lt;&gt;"",J44&lt;&gt;""),J44+V44+V45,"")</f>
        <v>1</v>
      </c>
      <c r="Q49" s="24" t="s">
        <v>4</v>
      </c>
      <c r="R49" s="23">
        <f>IF(AND(L44&lt;&gt;"",V44&lt;&gt;"",X44&lt;&gt;"",J44&lt;&gt;""),L44+X44+X45,"")</f>
        <v>5</v>
      </c>
      <c r="S49" s="4"/>
      <c r="T49" s="4" t="str">
        <f>Z44</f>
        <v>Barcelona</v>
      </c>
      <c r="U49" s="6"/>
      <c r="V49" s="6"/>
      <c r="W49" s="6"/>
      <c r="X49" s="6"/>
      <c r="Y49" s="6"/>
      <c r="Z49" s="6"/>
      <c r="AA49" s="57"/>
      <c r="AB49" s="57"/>
      <c r="AC49" s="57"/>
      <c r="AD49" s="57"/>
      <c r="AE49" s="57"/>
      <c r="AF49" s="9"/>
      <c r="CF49" s="3"/>
      <c r="CG49" s="3"/>
    </row>
    <row r="50" spans="2:85" ht="15" customHeight="1" x14ac:dyDescent="0.2">
      <c r="B50" s="7"/>
      <c r="G50" s="6"/>
      <c r="H50" s="6"/>
      <c r="I50" s="6"/>
      <c r="J50" s="6"/>
      <c r="K50" s="8"/>
      <c r="L50" s="6"/>
      <c r="M50" s="6"/>
      <c r="N50" s="6"/>
      <c r="O50" s="6"/>
      <c r="P50" s="6"/>
      <c r="Q50" s="6"/>
      <c r="R50" s="6"/>
      <c r="S50" s="6"/>
      <c r="T50" s="6"/>
      <c r="U50" s="6"/>
      <c r="V50" s="6"/>
      <c r="W50" s="6"/>
      <c r="X50" s="6"/>
      <c r="Y50" s="6"/>
      <c r="Z50" s="6"/>
      <c r="AA50" s="6"/>
      <c r="AD50" s="6"/>
      <c r="AE50" s="6"/>
      <c r="AF50" s="9"/>
      <c r="CF50" s="3"/>
      <c r="CG50" s="3"/>
    </row>
    <row r="51" spans="2:85" ht="15" customHeight="1" x14ac:dyDescent="0.2">
      <c r="B51" s="7"/>
      <c r="C51" s="279" t="s">
        <v>189</v>
      </c>
      <c r="D51" s="279"/>
      <c r="E51" s="279"/>
      <c r="F51" s="279"/>
      <c r="G51" s="279"/>
      <c r="H51" s="279"/>
      <c r="I51" s="279"/>
      <c r="J51" s="279"/>
      <c r="K51" s="279"/>
      <c r="L51" s="279"/>
      <c r="M51" s="279"/>
      <c r="N51" s="279"/>
      <c r="O51" s="279"/>
      <c r="P51" s="279"/>
      <c r="Q51" s="6"/>
      <c r="R51" s="280" t="s">
        <v>188</v>
      </c>
      <c r="S51" s="280"/>
      <c r="T51" s="280"/>
      <c r="U51" s="280"/>
      <c r="V51" s="280"/>
      <c r="W51" s="280"/>
      <c r="X51" s="280"/>
      <c r="Y51" s="280"/>
      <c r="Z51" s="280"/>
      <c r="AA51" s="280"/>
      <c r="AB51" s="280"/>
      <c r="AC51" s="280"/>
      <c r="AD51" s="280"/>
      <c r="AE51" s="280"/>
      <c r="AF51" s="9"/>
      <c r="CF51" s="3"/>
      <c r="CG51" s="3"/>
    </row>
    <row r="52" spans="2:85" ht="15" customHeight="1" x14ac:dyDescent="0.2">
      <c r="B52" s="7"/>
      <c r="C52" s="51"/>
      <c r="D52" s="51"/>
      <c r="E52" s="51"/>
      <c r="F52" s="51"/>
      <c r="G52" s="51"/>
      <c r="H52" s="51"/>
      <c r="I52" s="51"/>
      <c r="J52" s="51"/>
      <c r="K52" s="51"/>
      <c r="L52" s="51"/>
      <c r="M52" s="51"/>
      <c r="N52" s="51"/>
      <c r="O52" s="51"/>
      <c r="P52" s="51"/>
      <c r="Q52" s="4"/>
      <c r="R52" s="57"/>
      <c r="S52" s="57"/>
      <c r="T52" s="57"/>
      <c r="U52" s="57"/>
      <c r="V52" s="57"/>
      <c r="W52" s="57"/>
      <c r="X52" s="57"/>
      <c r="Y52" s="57"/>
      <c r="Z52" s="57"/>
      <c r="AA52" s="57"/>
      <c r="AB52" s="57"/>
      <c r="AC52" s="57"/>
      <c r="AD52" s="57"/>
      <c r="AE52" s="57"/>
      <c r="AF52" s="9"/>
      <c r="CF52" s="3"/>
      <c r="CG52" s="3"/>
    </row>
    <row r="53" spans="2:85" ht="15" customHeight="1" x14ac:dyDescent="0.2">
      <c r="B53" s="7"/>
      <c r="C53" s="53"/>
      <c r="D53" s="53" t="s">
        <v>16</v>
      </c>
      <c r="E53" s="53" t="s">
        <v>24</v>
      </c>
      <c r="F53" s="54">
        <v>6</v>
      </c>
      <c r="G53" s="55"/>
      <c r="H53" s="69" t="str">
        <f>IF(ISNA(VLOOKUP(F53,'Group Stages'!$V$93:$X$100,3,FALSE)),"",VLOOKUP(F53,'Group Stages'!$V$93:$X$100,3,FALSE))</f>
        <v>Liverpool</v>
      </c>
      <c r="I53" s="53"/>
      <c r="J53" s="52">
        <v>0</v>
      </c>
      <c r="K53" s="52" t="s">
        <v>4</v>
      </c>
      <c r="L53" s="52">
        <v>0</v>
      </c>
      <c r="M53" s="53"/>
      <c r="N53" s="70" t="str">
        <f>Z53</f>
        <v>Bayern Munich</v>
      </c>
      <c r="O53" s="53"/>
      <c r="P53" s="53"/>
      <c r="Q53" s="6"/>
      <c r="R53" s="57"/>
      <c r="S53" s="57"/>
      <c r="T53" s="67" t="str">
        <f>H53</f>
        <v>Liverpool</v>
      </c>
      <c r="U53" s="57"/>
      <c r="V53" s="58">
        <v>3</v>
      </c>
      <c r="W53" s="58" t="s">
        <v>4</v>
      </c>
      <c r="X53" s="58">
        <v>1</v>
      </c>
      <c r="Y53" s="57"/>
      <c r="Z53" s="68" t="str">
        <f>IF(ISNA(VLOOKUP(AE53,'Group Stages'!$V$83:$X$90,3,FALSE)),"",VLOOKUP(AE53,'Group Stages'!$V$83:$X$90,3,FALSE))</f>
        <v>Bayern Munich</v>
      </c>
      <c r="AA53" s="57"/>
      <c r="AB53" s="57"/>
      <c r="AC53" s="57" t="s">
        <v>16</v>
      </c>
      <c r="AD53" s="57" t="s">
        <v>24</v>
      </c>
      <c r="AE53" s="59">
        <f>F53</f>
        <v>6</v>
      </c>
      <c r="AF53" s="9"/>
      <c r="CF53" s="3"/>
      <c r="CG53" s="3"/>
    </row>
    <row r="54" spans="2:85" ht="15" customHeight="1" x14ac:dyDescent="0.2">
      <c r="B54" s="7"/>
      <c r="C54" s="53"/>
      <c r="D54" s="53" t="s">
        <v>1</v>
      </c>
      <c r="E54" s="53" t="s">
        <v>24</v>
      </c>
      <c r="F54" s="56">
        <v>43515</v>
      </c>
      <c r="G54" s="53"/>
      <c r="H54" s="53"/>
      <c r="I54" s="53"/>
      <c r="J54" s="53"/>
      <c r="K54" s="52"/>
      <c r="L54" s="53"/>
      <c r="M54" s="53"/>
      <c r="N54" s="53"/>
      <c r="O54" s="53"/>
      <c r="P54" s="53"/>
      <c r="Q54" s="6"/>
      <c r="R54" s="57"/>
      <c r="S54" s="57"/>
      <c r="T54" s="57"/>
      <c r="U54" s="223" t="s">
        <v>288</v>
      </c>
      <c r="V54" s="58"/>
      <c r="W54" s="223" t="s">
        <v>4</v>
      </c>
      <c r="X54" s="58"/>
      <c r="Y54" s="57"/>
      <c r="Z54" s="57"/>
      <c r="AA54" s="57"/>
      <c r="AB54" s="57"/>
      <c r="AC54" s="57" t="s">
        <v>1</v>
      </c>
      <c r="AD54" s="57" t="s">
        <v>24</v>
      </c>
      <c r="AE54" s="263">
        <v>43537</v>
      </c>
      <c r="AF54" s="9"/>
      <c r="CF54" s="3"/>
      <c r="CG54" s="3"/>
    </row>
    <row r="55" spans="2:85" ht="15" customHeight="1" x14ac:dyDescent="0.2">
      <c r="B55" s="7"/>
      <c r="C55" s="53"/>
      <c r="D55" s="53" t="s">
        <v>2</v>
      </c>
      <c r="E55" s="53" t="s">
        <v>24</v>
      </c>
      <c r="F55" s="262">
        <v>0.83333333333333337</v>
      </c>
      <c r="G55" s="53"/>
      <c r="H55" s="221"/>
      <c r="I55" s="221"/>
      <c r="J55" s="221"/>
      <c r="K55" s="222"/>
      <c r="L55" s="221"/>
      <c r="M55" s="221"/>
      <c r="N55" s="221"/>
      <c r="O55" s="221"/>
      <c r="P55" s="221"/>
      <c r="R55" s="219"/>
      <c r="S55" s="219"/>
      <c r="T55" s="219"/>
      <c r="U55" s="224" t="s">
        <v>287</v>
      </c>
      <c r="V55" s="220"/>
      <c r="W55" s="223" t="s">
        <v>4</v>
      </c>
      <c r="X55" s="220"/>
      <c r="Y55" s="219"/>
      <c r="Z55" s="219"/>
      <c r="AA55" s="57"/>
      <c r="AB55" s="57"/>
      <c r="AC55" s="57" t="s">
        <v>2</v>
      </c>
      <c r="AD55" s="57" t="s">
        <v>24</v>
      </c>
      <c r="AE55" s="264">
        <v>0.83333333333333337</v>
      </c>
      <c r="AF55" s="9"/>
      <c r="CF55" s="3"/>
      <c r="CG55" s="3"/>
    </row>
    <row r="56" spans="2:85" ht="15" customHeight="1" x14ac:dyDescent="0.2">
      <c r="B56" s="7"/>
      <c r="C56" s="53"/>
      <c r="D56" s="53" t="s">
        <v>191</v>
      </c>
      <c r="E56" s="53" t="s">
        <v>24</v>
      </c>
      <c r="F56" s="52" t="str">
        <f>IF(H53&lt;&gt;"",VLOOKUP(H53,'Team Setup'!$B$5:$C$36,2,FALSE),"")</f>
        <v>Anfield</v>
      </c>
      <c r="G56" s="53"/>
      <c r="H56" s="221"/>
      <c r="I56" s="221"/>
      <c r="J56" s="221"/>
      <c r="K56" s="222"/>
      <c r="L56" s="221"/>
      <c r="M56" s="221"/>
      <c r="N56" s="221"/>
      <c r="O56" s="221"/>
      <c r="P56" s="221"/>
      <c r="R56" s="219"/>
      <c r="S56" s="219"/>
      <c r="T56" s="219"/>
      <c r="U56" s="219"/>
      <c r="V56" s="219"/>
      <c r="W56" s="219"/>
      <c r="X56" s="219"/>
      <c r="Y56" s="219"/>
      <c r="Z56" s="219"/>
      <c r="AA56" s="57"/>
      <c r="AB56" s="57"/>
      <c r="AC56" s="57" t="s">
        <v>191</v>
      </c>
      <c r="AD56" s="57" t="s">
        <v>24</v>
      </c>
      <c r="AE56" s="58" t="str">
        <f>IF(Z53&lt;&gt;"",VLOOKUP(Z53,'Team Setup'!$B$5:$C$36,2,FALSE),"")</f>
        <v>Allianz Arena</v>
      </c>
      <c r="AF56" s="9"/>
      <c r="CF56" s="3"/>
      <c r="CG56" s="3"/>
    </row>
    <row r="57" spans="2:85" ht="15" customHeight="1" x14ac:dyDescent="0.2">
      <c r="B57" s="7"/>
      <c r="C57" s="53"/>
      <c r="D57" s="53"/>
      <c r="E57" s="53"/>
      <c r="F57" s="52" t="str">
        <f>IF(H53&lt;&gt;"",VLOOKUP(H53,'Team Setup'!$B$5:$D$36,3,FALSE),"")</f>
        <v>England</v>
      </c>
      <c r="G57" s="53"/>
      <c r="H57" s="17"/>
      <c r="I57" s="17"/>
      <c r="J57" s="17"/>
      <c r="K57" s="217"/>
      <c r="L57" s="17"/>
      <c r="M57" s="17"/>
      <c r="N57" s="17" t="s">
        <v>190</v>
      </c>
      <c r="O57" s="17" t="s">
        <v>24</v>
      </c>
      <c r="P57" s="19" t="str">
        <f>IF(AND(P58&lt;&gt;"",R58&lt;&gt;""),IF(AND(V55&lt;&gt;"",X55&lt;&gt;"",V55&gt;X55),N58&amp;" win on Penalty Kick",IF(AND(V55&lt;&gt;"",X55&lt;&gt;"",V55&lt;X55),T58&amp;" win on Penalty Kick",IF(P58&gt;R58,N58&amp;" win",IF(R58&gt;P58,T58&amp;" win",IF(AND(P58=R58,L53&gt;V53),T58&amp;" win on away goals",IF(AND(P58=R58,L53&lt;V53+V54),N58&amp;" win on away goals","")))))),"")</f>
        <v>Liverpool win</v>
      </c>
      <c r="Q57" s="19"/>
      <c r="R57" s="19"/>
      <c r="S57" s="17"/>
      <c r="T57" s="17"/>
      <c r="U57" s="17"/>
      <c r="V57" s="17"/>
      <c r="W57" s="17"/>
      <c r="X57" s="17"/>
      <c r="Y57" s="17"/>
      <c r="Z57" s="17"/>
      <c r="AA57" s="57"/>
      <c r="AB57" s="57"/>
      <c r="AC57" s="57"/>
      <c r="AD57" s="57"/>
      <c r="AE57" s="58" t="str">
        <f>IF(Z53&lt;&gt;"",VLOOKUP(Z53,'Team Setup'!$B$5:$D$36,3,FALSE),"")</f>
        <v>Germany</v>
      </c>
      <c r="AF57" s="9"/>
      <c r="CF57" s="3"/>
      <c r="CG57" s="3"/>
    </row>
    <row r="58" spans="2:85" ht="15" customHeight="1" x14ac:dyDescent="0.2">
      <c r="B58" s="7"/>
      <c r="C58" s="53"/>
      <c r="D58" s="53"/>
      <c r="E58" s="53"/>
      <c r="F58" s="53"/>
      <c r="G58" s="53"/>
      <c r="H58" s="6"/>
      <c r="I58" s="6"/>
      <c r="J58" s="218"/>
      <c r="K58" s="20"/>
      <c r="L58" s="21"/>
      <c r="M58" s="218"/>
      <c r="N58" s="22" t="str">
        <f>H53</f>
        <v>Liverpool</v>
      </c>
      <c r="O58" s="4"/>
      <c r="P58" s="23">
        <f>IF(AND(L53&lt;&gt;"",V53&lt;&gt;"",X53&lt;&gt;"",J53&lt;&gt;""),J53+V53+V54,"")</f>
        <v>3</v>
      </c>
      <c r="Q58" s="24" t="s">
        <v>4</v>
      </c>
      <c r="R58" s="23">
        <f>IF(AND(L53&lt;&gt;"",V53&lt;&gt;"",X53&lt;&gt;"",J53&lt;&gt;""),L53+X53+X54,"")</f>
        <v>1</v>
      </c>
      <c r="S58" s="4"/>
      <c r="T58" s="4" t="str">
        <f>Z53</f>
        <v>Bayern Munich</v>
      </c>
      <c r="U58" s="6"/>
      <c r="V58" s="6"/>
      <c r="W58" s="6"/>
      <c r="X58" s="6"/>
      <c r="Y58" s="6"/>
      <c r="Z58" s="6"/>
      <c r="AA58" s="57"/>
      <c r="AB58" s="57"/>
      <c r="AC58" s="57"/>
      <c r="AD58" s="57"/>
      <c r="AE58" s="57"/>
      <c r="AF58" s="9"/>
      <c r="CF58" s="3"/>
      <c r="CG58" s="3"/>
    </row>
    <row r="59" spans="2:85" ht="15" customHeight="1" x14ac:dyDescent="0.2">
      <c r="B59" s="7"/>
      <c r="G59" s="6"/>
      <c r="H59" s="6"/>
      <c r="I59" s="6"/>
      <c r="J59" s="6"/>
      <c r="K59" s="8"/>
      <c r="L59" s="6"/>
      <c r="M59" s="6"/>
      <c r="N59" s="6"/>
      <c r="O59" s="6"/>
      <c r="P59" s="6"/>
      <c r="Q59" s="6"/>
      <c r="R59" s="6"/>
      <c r="S59" s="6"/>
      <c r="T59" s="6"/>
      <c r="U59" s="6"/>
      <c r="V59" s="6"/>
      <c r="W59" s="6"/>
      <c r="X59" s="6"/>
      <c r="Y59" s="6"/>
      <c r="Z59" s="6"/>
      <c r="AA59" s="6"/>
      <c r="AD59" s="6"/>
      <c r="AE59" s="6"/>
      <c r="AF59" s="9"/>
      <c r="CF59" s="3"/>
      <c r="CG59" s="3"/>
    </row>
    <row r="60" spans="2:85" ht="15" customHeight="1" x14ac:dyDescent="0.2">
      <c r="B60" s="7"/>
      <c r="C60" s="279" t="s">
        <v>189</v>
      </c>
      <c r="D60" s="279"/>
      <c r="E60" s="279"/>
      <c r="F60" s="279"/>
      <c r="G60" s="279"/>
      <c r="H60" s="279"/>
      <c r="I60" s="279"/>
      <c r="J60" s="279"/>
      <c r="K60" s="279"/>
      <c r="L60" s="279"/>
      <c r="M60" s="279"/>
      <c r="N60" s="279"/>
      <c r="O60" s="279"/>
      <c r="P60" s="279"/>
      <c r="Q60" s="6"/>
      <c r="R60" s="280" t="s">
        <v>188</v>
      </c>
      <c r="S60" s="280"/>
      <c r="T60" s="280"/>
      <c r="U60" s="280"/>
      <c r="V60" s="280"/>
      <c r="W60" s="280"/>
      <c r="X60" s="280"/>
      <c r="Y60" s="280"/>
      <c r="Z60" s="280"/>
      <c r="AA60" s="280"/>
      <c r="AB60" s="280"/>
      <c r="AC60" s="280"/>
      <c r="AD60" s="280"/>
      <c r="AE60" s="280"/>
      <c r="AF60" s="9"/>
      <c r="CF60" s="3"/>
      <c r="CG60" s="3"/>
    </row>
    <row r="61" spans="2:85" ht="15" customHeight="1" x14ac:dyDescent="0.2">
      <c r="B61" s="7"/>
      <c r="C61" s="51"/>
      <c r="D61" s="51"/>
      <c r="E61" s="51"/>
      <c r="F61" s="51"/>
      <c r="G61" s="51"/>
      <c r="H61" s="51"/>
      <c r="I61" s="51"/>
      <c r="J61" s="51"/>
      <c r="K61" s="51"/>
      <c r="L61" s="51"/>
      <c r="M61" s="51"/>
      <c r="N61" s="51"/>
      <c r="O61" s="51"/>
      <c r="P61" s="51"/>
      <c r="Q61" s="4"/>
      <c r="R61" s="57"/>
      <c r="S61" s="57"/>
      <c r="T61" s="57"/>
      <c r="U61" s="57"/>
      <c r="V61" s="57"/>
      <c r="W61" s="57"/>
      <c r="X61" s="57"/>
      <c r="Y61" s="57"/>
      <c r="Z61" s="57"/>
      <c r="AA61" s="57"/>
      <c r="AB61" s="57"/>
      <c r="AC61" s="57"/>
      <c r="AD61" s="57"/>
      <c r="AE61" s="57"/>
      <c r="AF61" s="9"/>
      <c r="CF61" s="3"/>
      <c r="CG61" s="3"/>
    </row>
    <row r="62" spans="2:85" ht="15" customHeight="1" x14ac:dyDescent="0.2">
      <c r="B62" s="7"/>
      <c r="C62" s="53"/>
      <c r="D62" s="53" t="s">
        <v>16</v>
      </c>
      <c r="E62" s="53" t="s">
        <v>24</v>
      </c>
      <c r="F62" s="54">
        <v>7</v>
      </c>
      <c r="G62" s="55"/>
      <c r="H62" s="69" t="str">
        <f>IF(ISNA(VLOOKUP(F62,'Group Stages'!$V$93:$X$100,3,FALSE)),"",VLOOKUP(F62,'Group Stages'!$V$93:$X$100,3,FALSE))</f>
        <v>Atletico Madrid</v>
      </c>
      <c r="I62" s="53"/>
      <c r="J62" s="52">
        <v>2</v>
      </c>
      <c r="K62" s="52" t="s">
        <v>4</v>
      </c>
      <c r="L62" s="52">
        <v>0</v>
      </c>
      <c r="M62" s="53"/>
      <c r="N62" s="70" t="str">
        <f>Z62</f>
        <v>Juventus</v>
      </c>
      <c r="O62" s="53"/>
      <c r="P62" s="53"/>
      <c r="Q62" s="6"/>
      <c r="R62" s="57"/>
      <c r="S62" s="57"/>
      <c r="T62" s="67" t="str">
        <f>H62</f>
        <v>Atletico Madrid</v>
      </c>
      <c r="U62" s="57"/>
      <c r="V62" s="58">
        <v>0</v>
      </c>
      <c r="W62" s="58" t="s">
        <v>4</v>
      </c>
      <c r="X62" s="58">
        <v>3</v>
      </c>
      <c r="Y62" s="57"/>
      <c r="Z62" s="68" t="str">
        <f>IF(ISNA(VLOOKUP(AE62,'Group Stages'!$V$83:$X$90,3,FALSE)),"",VLOOKUP(AE62,'Group Stages'!$V$83:$X$90,3,FALSE))</f>
        <v>Juventus</v>
      </c>
      <c r="AA62" s="57"/>
      <c r="AB62" s="57"/>
      <c r="AC62" s="57" t="s">
        <v>16</v>
      </c>
      <c r="AD62" s="57" t="s">
        <v>24</v>
      </c>
      <c r="AE62" s="59">
        <f>F62</f>
        <v>7</v>
      </c>
      <c r="AF62" s="9"/>
      <c r="CF62" s="3"/>
      <c r="CG62" s="3"/>
    </row>
    <row r="63" spans="2:85" ht="15" customHeight="1" x14ac:dyDescent="0.2">
      <c r="B63" s="7"/>
      <c r="C63" s="53"/>
      <c r="D63" s="53" t="s">
        <v>1</v>
      </c>
      <c r="E63" s="53" t="s">
        <v>24</v>
      </c>
      <c r="F63" s="56">
        <v>43516</v>
      </c>
      <c r="G63" s="53"/>
      <c r="H63" s="53"/>
      <c r="I63" s="53"/>
      <c r="J63" s="53"/>
      <c r="K63" s="52"/>
      <c r="L63" s="53"/>
      <c r="M63" s="53"/>
      <c r="N63" s="53"/>
      <c r="O63" s="53"/>
      <c r="P63" s="53"/>
      <c r="Q63" s="6"/>
      <c r="R63" s="57"/>
      <c r="S63" s="57"/>
      <c r="T63" s="57"/>
      <c r="U63" s="223" t="s">
        <v>288</v>
      </c>
      <c r="V63" s="58"/>
      <c r="W63" s="223" t="s">
        <v>4</v>
      </c>
      <c r="X63" s="58"/>
      <c r="Y63" s="57"/>
      <c r="Z63" s="57"/>
      <c r="AA63" s="57"/>
      <c r="AB63" s="57"/>
      <c r="AC63" s="57" t="s">
        <v>1</v>
      </c>
      <c r="AD63" s="57" t="s">
        <v>24</v>
      </c>
      <c r="AE63" s="263">
        <v>43536</v>
      </c>
      <c r="AF63" s="9"/>
      <c r="CF63" s="3"/>
      <c r="CG63" s="3"/>
    </row>
    <row r="64" spans="2:85" ht="15" customHeight="1" x14ac:dyDescent="0.2">
      <c r="B64" s="7"/>
      <c r="C64" s="53"/>
      <c r="D64" s="53" t="s">
        <v>2</v>
      </c>
      <c r="E64" s="53" t="s">
        <v>24</v>
      </c>
      <c r="F64" s="262">
        <v>0.83333333333333337</v>
      </c>
      <c r="G64" s="53"/>
      <c r="H64" s="221"/>
      <c r="I64" s="221"/>
      <c r="J64" s="221"/>
      <c r="K64" s="222"/>
      <c r="L64" s="221"/>
      <c r="M64" s="221"/>
      <c r="N64" s="221"/>
      <c r="O64" s="221"/>
      <c r="P64" s="221"/>
      <c r="R64" s="219"/>
      <c r="S64" s="219"/>
      <c r="T64" s="219"/>
      <c r="U64" s="224" t="s">
        <v>287</v>
      </c>
      <c r="V64" s="220"/>
      <c r="W64" s="223" t="s">
        <v>4</v>
      </c>
      <c r="X64" s="220"/>
      <c r="Y64" s="219"/>
      <c r="Z64" s="219"/>
      <c r="AA64" s="57"/>
      <c r="AB64" s="57"/>
      <c r="AC64" s="57" t="s">
        <v>2</v>
      </c>
      <c r="AD64" s="57" t="s">
        <v>24</v>
      </c>
      <c r="AE64" s="264">
        <v>0.83333333333333337</v>
      </c>
      <c r="AF64" s="9"/>
      <c r="CF64" s="3"/>
      <c r="CG64" s="3"/>
    </row>
    <row r="65" spans="2:85" ht="15" customHeight="1" x14ac:dyDescent="0.2">
      <c r="B65" s="7"/>
      <c r="C65" s="53"/>
      <c r="D65" s="53" t="s">
        <v>191</v>
      </c>
      <c r="E65" s="53" t="s">
        <v>24</v>
      </c>
      <c r="F65" s="52" t="str">
        <f>IF(H62&lt;&gt;"",VLOOKUP(H62,'Team Setup'!$B$5:$C$36,2,FALSE),"")</f>
        <v>Vicente Calderon</v>
      </c>
      <c r="G65" s="53"/>
      <c r="H65" s="221"/>
      <c r="I65" s="221"/>
      <c r="J65" s="221"/>
      <c r="K65" s="222"/>
      <c r="L65" s="221"/>
      <c r="M65" s="221"/>
      <c r="N65" s="221"/>
      <c r="O65" s="221"/>
      <c r="P65" s="221"/>
      <c r="R65" s="219"/>
      <c r="S65" s="219"/>
      <c r="T65" s="219"/>
      <c r="U65" s="219"/>
      <c r="V65" s="219"/>
      <c r="W65" s="219"/>
      <c r="X65" s="219"/>
      <c r="Y65" s="219"/>
      <c r="Z65" s="219"/>
      <c r="AA65" s="57"/>
      <c r="AB65" s="57"/>
      <c r="AC65" s="57" t="s">
        <v>191</v>
      </c>
      <c r="AD65" s="57" t="s">
        <v>24</v>
      </c>
      <c r="AE65" s="58" t="str">
        <f>IF(Z62&lt;&gt;"",VLOOKUP(Z62,'Team Setup'!$B$5:$C$36,2,FALSE),"")</f>
        <v>Juventus Stadium</v>
      </c>
      <c r="AF65" s="9"/>
      <c r="CF65" s="3"/>
      <c r="CG65" s="3"/>
    </row>
    <row r="66" spans="2:85" ht="15" customHeight="1" x14ac:dyDescent="0.2">
      <c r="B66" s="7"/>
      <c r="C66" s="53"/>
      <c r="D66" s="53"/>
      <c r="E66" s="53"/>
      <c r="F66" s="52" t="str">
        <f>IF(H62&lt;&gt;"",VLOOKUP(H62,'Team Setup'!$B$5:$D$36,3,FALSE),"")</f>
        <v>Spain</v>
      </c>
      <c r="G66" s="53"/>
      <c r="H66" s="17"/>
      <c r="I66" s="17"/>
      <c r="J66" s="17"/>
      <c r="K66" s="217"/>
      <c r="L66" s="17"/>
      <c r="M66" s="17"/>
      <c r="N66" s="17" t="s">
        <v>190</v>
      </c>
      <c r="O66" s="17" t="s">
        <v>24</v>
      </c>
      <c r="P66" s="19" t="str">
        <f>IF(AND(P67&lt;&gt;"",R67&lt;&gt;""),IF(AND(V64&lt;&gt;"",X64&lt;&gt;"",V64&gt;X64),N67&amp;" win on Penalty Kick",IF(AND(V64&lt;&gt;"",X64&lt;&gt;"",V64&lt;X64),T67&amp;" win on Penalty Kick",IF(P67&gt;R67,N67&amp;" win",IF(R67&gt;P67,T67&amp;" win",IF(AND(P67=R67,L62&gt;V62),T67&amp;" win on away goals",IF(AND(P67=R67,L62&lt;V62+V63),N67&amp;" win on away goals","")))))),"")</f>
        <v>Juventus win</v>
      </c>
      <c r="Q66" s="19"/>
      <c r="R66" s="19"/>
      <c r="S66" s="17"/>
      <c r="T66" s="17"/>
      <c r="U66" s="17"/>
      <c r="V66" s="17"/>
      <c r="W66" s="17"/>
      <c r="X66" s="17"/>
      <c r="Y66" s="17"/>
      <c r="Z66" s="17"/>
      <c r="AA66" s="57"/>
      <c r="AB66" s="57"/>
      <c r="AC66" s="57"/>
      <c r="AD66" s="57"/>
      <c r="AE66" s="58" t="str">
        <f>IF(Z62&lt;&gt;"",VLOOKUP(Z62,'Team Setup'!$B$5:$D$36,3,FALSE),"")</f>
        <v>Italy</v>
      </c>
      <c r="AF66" s="9"/>
      <c r="CF66" s="3"/>
      <c r="CG66" s="3"/>
    </row>
    <row r="67" spans="2:85" ht="15" customHeight="1" x14ac:dyDescent="0.2">
      <c r="B67" s="7"/>
      <c r="C67" s="53"/>
      <c r="D67" s="53"/>
      <c r="E67" s="53"/>
      <c r="F67" s="53"/>
      <c r="G67" s="53"/>
      <c r="H67" s="6"/>
      <c r="I67" s="6"/>
      <c r="J67" s="218"/>
      <c r="K67" s="20"/>
      <c r="L67" s="21"/>
      <c r="M67" s="218"/>
      <c r="N67" s="22" t="str">
        <f>H62</f>
        <v>Atletico Madrid</v>
      </c>
      <c r="O67" s="4"/>
      <c r="P67" s="23">
        <f>IF(AND(L62&lt;&gt;"",V62&lt;&gt;"",X62&lt;&gt;"",J62&lt;&gt;""),J62+V62+V63,"")</f>
        <v>2</v>
      </c>
      <c r="Q67" s="24" t="s">
        <v>4</v>
      </c>
      <c r="R67" s="23">
        <f>IF(AND(L62&lt;&gt;"",V62&lt;&gt;"",X62&lt;&gt;"",J62&lt;&gt;""),L62+X62+X63,"")</f>
        <v>3</v>
      </c>
      <c r="S67" s="4"/>
      <c r="T67" s="4" t="str">
        <f>Z62</f>
        <v>Juventus</v>
      </c>
      <c r="U67" s="6"/>
      <c r="V67" s="6"/>
      <c r="W67" s="6"/>
      <c r="X67" s="6"/>
      <c r="Y67" s="6"/>
      <c r="Z67" s="6"/>
      <c r="AA67" s="57"/>
      <c r="AB67" s="57"/>
      <c r="AC67" s="57"/>
      <c r="AD67" s="57"/>
      <c r="AE67" s="57"/>
      <c r="AF67" s="9"/>
      <c r="CF67" s="3"/>
      <c r="CG67" s="3"/>
    </row>
    <row r="68" spans="2:85" ht="15" customHeight="1" x14ac:dyDescent="0.2">
      <c r="B68" s="7"/>
      <c r="G68" s="6"/>
      <c r="H68" s="6"/>
      <c r="I68" s="6"/>
      <c r="J68" s="6"/>
      <c r="K68" s="8"/>
      <c r="L68" s="6"/>
      <c r="M68" s="6"/>
      <c r="N68" s="6"/>
      <c r="O68" s="6"/>
      <c r="P68" s="6"/>
      <c r="Q68" s="6"/>
      <c r="R68" s="6"/>
      <c r="S68" s="6"/>
      <c r="T68" s="6"/>
      <c r="U68" s="6"/>
      <c r="V68" s="6"/>
      <c r="W68" s="6"/>
      <c r="X68" s="6"/>
      <c r="Y68" s="6"/>
      <c r="Z68" s="6"/>
      <c r="AA68" s="6"/>
      <c r="AD68" s="6"/>
      <c r="AE68" s="6"/>
      <c r="AF68" s="9"/>
      <c r="CF68" s="3"/>
      <c r="CG68" s="3"/>
    </row>
    <row r="69" spans="2:85" ht="15" customHeight="1" x14ac:dyDescent="0.2">
      <c r="B69" s="7"/>
      <c r="C69" s="279" t="s">
        <v>189</v>
      </c>
      <c r="D69" s="279"/>
      <c r="E69" s="279"/>
      <c r="F69" s="279"/>
      <c r="G69" s="279"/>
      <c r="H69" s="279"/>
      <c r="I69" s="279"/>
      <c r="J69" s="279"/>
      <c r="K69" s="279"/>
      <c r="L69" s="279"/>
      <c r="M69" s="279"/>
      <c r="N69" s="279"/>
      <c r="O69" s="279"/>
      <c r="P69" s="279"/>
      <c r="Q69" s="6"/>
      <c r="R69" s="280" t="s">
        <v>188</v>
      </c>
      <c r="S69" s="280"/>
      <c r="T69" s="280"/>
      <c r="U69" s="280"/>
      <c r="V69" s="280"/>
      <c r="W69" s="280"/>
      <c r="X69" s="280"/>
      <c r="Y69" s="280"/>
      <c r="Z69" s="280"/>
      <c r="AA69" s="280"/>
      <c r="AB69" s="280"/>
      <c r="AC69" s="280"/>
      <c r="AD69" s="280"/>
      <c r="AE69" s="280"/>
      <c r="AF69" s="9"/>
      <c r="CF69" s="3"/>
      <c r="CG69" s="3"/>
    </row>
    <row r="70" spans="2:85" ht="15" customHeight="1" x14ac:dyDescent="0.2">
      <c r="B70" s="7"/>
      <c r="C70" s="51"/>
      <c r="D70" s="51"/>
      <c r="E70" s="51"/>
      <c r="F70" s="51"/>
      <c r="G70" s="51"/>
      <c r="H70" s="51"/>
      <c r="I70" s="51"/>
      <c r="J70" s="51"/>
      <c r="K70" s="51"/>
      <c r="L70" s="51"/>
      <c r="M70" s="51"/>
      <c r="N70" s="51"/>
      <c r="O70" s="51"/>
      <c r="P70" s="51"/>
      <c r="Q70" s="4"/>
      <c r="R70" s="57"/>
      <c r="S70" s="57"/>
      <c r="T70" s="57"/>
      <c r="U70" s="57"/>
      <c r="V70" s="57"/>
      <c r="W70" s="57"/>
      <c r="X70" s="57"/>
      <c r="Y70" s="57"/>
      <c r="Z70" s="57"/>
      <c r="AA70" s="57"/>
      <c r="AB70" s="57"/>
      <c r="AC70" s="57"/>
      <c r="AD70" s="57"/>
      <c r="AE70" s="57"/>
      <c r="AF70" s="9"/>
      <c r="CF70" s="3"/>
      <c r="CG70" s="3"/>
    </row>
    <row r="71" spans="2:85" ht="15" customHeight="1" x14ac:dyDescent="0.2">
      <c r="B71" s="7"/>
      <c r="C71" s="53"/>
      <c r="D71" s="53" t="s">
        <v>16</v>
      </c>
      <c r="E71" s="53" t="s">
        <v>24</v>
      </c>
      <c r="F71" s="54">
        <v>8</v>
      </c>
      <c r="G71" s="55"/>
      <c r="H71" s="69" t="str">
        <f>IF(ISNA(VLOOKUP(F71,'Group Stages'!$V$93:$X$100,3,FALSE)),"",VLOOKUP(F71,'Group Stages'!$V$93:$X$100,3,FALSE))</f>
        <v>Schalke 04</v>
      </c>
      <c r="I71" s="53"/>
      <c r="J71" s="52">
        <v>2</v>
      </c>
      <c r="K71" s="52" t="s">
        <v>4</v>
      </c>
      <c r="L71" s="52">
        <v>3</v>
      </c>
      <c r="M71" s="53"/>
      <c r="N71" s="70" t="str">
        <f>Z71</f>
        <v>Manchester City</v>
      </c>
      <c r="O71" s="53"/>
      <c r="P71" s="53"/>
      <c r="Q71" s="6"/>
      <c r="R71" s="57"/>
      <c r="S71" s="57"/>
      <c r="T71" s="67" t="str">
        <f>H71</f>
        <v>Schalke 04</v>
      </c>
      <c r="U71" s="57"/>
      <c r="V71" s="58">
        <v>0</v>
      </c>
      <c r="W71" s="58" t="s">
        <v>4</v>
      </c>
      <c r="X71" s="58">
        <v>7</v>
      </c>
      <c r="Y71" s="57"/>
      <c r="Z71" s="68" t="str">
        <f>IF(ISNA(VLOOKUP(AE71,'Group Stages'!$V$83:$X$90,3,FALSE)),"",VLOOKUP(AE71,'Group Stages'!$V$83:$X$90,3,FALSE))</f>
        <v>Manchester City</v>
      </c>
      <c r="AA71" s="57"/>
      <c r="AB71" s="57"/>
      <c r="AC71" s="57" t="s">
        <v>16</v>
      </c>
      <c r="AD71" s="57" t="s">
        <v>24</v>
      </c>
      <c r="AE71" s="59">
        <f>F71</f>
        <v>8</v>
      </c>
      <c r="AF71" s="9"/>
      <c r="CF71" s="3"/>
      <c r="CG71" s="3"/>
    </row>
    <row r="72" spans="2:85" ht="15" customHeight="1" x14ac:dyDescent="0.2">
      <c r="B72" s="7"/>
      <c r="C72" s="53"/>
      <c r="D72" s="53" t="s">
        <v>1</v>
      </c>
      <c r="E72" s="53" t="s">
        <v>24</v>
      </c>
      <c r="F72" s="56">
        <v>43516</v>
      </c>
      <c r="G72" s="53"/>
      <c r="H72" s="53"/>
      <c r="I72" s="53"/>
      <c r="J72" s="53"/>
      <c r="K72" s="52"/>
      <c r="L72" s="53"/>
      <c r="M72" s="53"/>
      <c r="N72" s="53"/>
      <c r="O72" s="53"/>
      <c r="P72" s="53"/>
      <c r="Q72" s="6"/>
      <c r="R72" s="57"/>
      <c r="S72" s="57"/>
      <c r="T72" s="57"/>
      <c r="U72" s="223" t="s">
        <v>288</v>
      </c>
      <c r="V72" s="58"/>
      <c r="W72" s="223" t="s">
        <v>4</v>
      </c>
      <c r="X72" s="58"/>
      <c r="Y72" s="57"/>
      <c r="Z72" s="57"/>
      <c r="AA72" s="57"/>
      <c r="AB72" s="57"/>
      <c r="AC72" s="57" t="s">
        <v>1</v>
      </c>
      <c r="AD72" s="57" t="s">
        <v>24</v>
      </c>
      <c r="AE72" s="263">
        <v>43536</v>
      </c>
      <c r="AF72" s="9"/>
      <c r="CF72" s="3"/>
      <c r="CG72" s="3"/>
    </row>
    <row r="73" spans="2:85" ht="15" customHeight="1" x14ac:dyDescent="0.2">
      <c r="B73" s="7"/>
      <c r="C73" s="53"/>
      <c r="D73" s="53" t="s">
        <v>2</v>
      </c>
      <c r="E73" s="53" t="s">
        <v>24</v>
      </c>
      <c r="F73" s="262">
        <v>0.83333333333333337</v>
      </c>
      <c r="G73" s="53"/>
      <c r="H73" s="221"/>
      <c r="I73" s="221"/>
      <c r="J73" s="221"/>
      <c r="K73" s="222"/>
      <c r="L73" s="221"/>
      <c r="M73" s="221"/>
      <c r="N73" s="221"/>
      <c r="O73" s="221"/>
      <c r="P73" s="221"/>
      <c r="R73" s="219"/>
      <c r="S73" s="219"/>
      <c r="T73" s="219"/>
      <c r="U73" s="224" t="s">
        <v>287</v>
      </c>
      <c r="V73" s="220"/>
      <c r="W73" s="223" t="s">
        <v>4</v>
      </c>
      <c r="X73" s="220"/>
      <c r="Y73" s="219"/>
      <c r="Z73" s="219"/>
      <c r="AA73" s="57"/>
      <c r="AB73" s="57"/>
      <c r="AC73" s="57" t="s">
        <v>2</v>
      </c>
      <c r="AD73" s="57" t="s">
        <v>24</v>
      </c>
      <c r="AE73" s="264">
        <v>0.83333333333333337</v>
      </c>
      <c r="AF73" s="9"/>
      <c r="CF73" s="3"/>
      <c r="CG73" s="3"/>
    </row>
    <row r="74" spans="2:85" ht="15" customHeight="1" x14ac:dyDescent="0.2">
      <c r="B74" s="7"/>
      <c r="C74" s="53"/>
      <c r="D74" s="53" t="s">
        <v>191</v>
      </c>
      <c r="E74" s="53" t="s">
        <v>24</v>
      </c>
      <c r="F74" s="52" t="str">
        <f>IF(H71&lt;&gt;"",VLOOKUP(H71,'Team Setup'!$B$5:$C$36,2,FALSE),"")</f>
        <v>Veltins-Arena</v>
      </c>
      <c r="G74" s="53"/>
      <c r="H74" s="221"/>
      <c r="I74" s="221"/>
      <c r="J74" s="221"/>
      <c r="K74" s="222"/>
      <c r="L74" s="221"/>
      <c r="M74" s="221"/>
      <c r="N74" s="221"/>
      <c r="O74" s="221"/>
      <c r="P74" s="221"/>
      <c r="R74" s="219"/>
      <c r="S74" s="219"/>
      <c r="T74" s="219"/>
      <c r="U74" s="219"/>
      <c r="V74" s="219"/>
      <c r="W74" s="219"/>
      <c r="X74" s="219"/>
      <c r="Y74" s="219"/>
      <c r="Z74" s="219"/>
      <c r="AA74" s="57"/>
      <c r="AB74" s="57"/>
      <c r="AC74" s="57" t="s">
        <v>191</v>
      </c>
      <c r="AD74" s="57" t="s">
        <v>24</v>
      </c>
      <c r="AE74" s="58" t="str">
        <f>IF(Z71&lt;&gt;"",VLOOKUP(Z71,'Team Setup'!$B$5:$C$36,2,FALSE),"")</f>
        <v>City of Manchester</v>
      </c>
      <c r="AF74" s="9"/>
      <c r="CF74" s="3"/>
      <c r="CG74" s="3"/>
    </row>
    <row r="75" spans="2:85" ht="15" customHeight="1" x14ac:dyDescent="0.2">
      <c r="B75" s="7"/>
      <c r="C75" s="53"/>
      <c r="D75" s="53"/>
      <c r="E75" s="53"/>
      <c r="F75" s="52" t="str">
        <f>IF(H71&lt;&gt;"",VLOOKUP(H71,'Team Setup'!$B$5:$D$36,3,FALSE),"")</f>
        <v>Germany</v>
      </c>
      <c r="G75" s="53"/>
      <c r="H75" s="17"/>
      <c r="I75" s="17"/>
      <c r="J75" s="17"/>
      <c r="K75" s="217"/>
      <c r="L75" s="17"/>
      <c r="M75" s="17"/>
      <c r="N75" s="17" t="s">
        <v>190</v>
      </c>
      <c r="O75" s="17" t="s">
        <v>24</v>
      </c>
      <c r="P75" s="19" t="str">
        <f>IF(AND(P76&lt;&gt;"",R76&lt;&gt;""),IF(AND(V73&lt;&gt;"",X73&lt;&gt;"",V73&gt;X73),N76&amp;" win on Penalty Kick",IF(AND(V73&lt;&gt;"",X73&lt;&gt;"",V73&lt;X73),T76&amp;" win on Penalty Kick",IF(P76&gt;R76,N76&amp;" win",IF(R76&gt;P76,T76&amp;" win",IF(AND(P76=R76,L71&gt;V71),T76&amp;" win on away goals",IF(AND(P76=R76,L71&lt;V71+V72),N76&amp;" win on away goals","")))))),"")</f>
        <v>Manchester City win</v>
      </c>
      <c r="Q75" s="19"/>
      <c r="R75" s="19"/>
      <c r="S75" s="17"/>
      <c r="T75" s="17"/>
      <c r="U75" s="17"/>
      <c r="V75" s="17"/>
      <c r="W75" s="17"/>
      <c r="X75" s="17"/>
      <c r="Y75" s="17"/>
      <c r="Z75" s="17"/>
      <c r="AA75" s="57"/>
      <c r="AB75" s="57"/>
      <c r="AC75" s="57"/>
      <c r="AD75" s="57"/>
      <c r="AE75" s="58" t="str">
        <f>IF(Z71&lt;&gt;"",VLOOKUP(Z71,'Team Setup'!$B$5:$D$36,3,FALSE),"")</f>
        <v>England</v>
      </c>
      <c r="AF75" s="9"/>
      <c r="CF75" s="3"/>
      <c r="CG75" s="3"/>
    </row>
    <row r="76" spans="2:85" ht="15" customHeight="1" x14ac:dyDescent="0.2">
      <c r="B76" s="7"/>
      <c r="C76" s="53"/>
      <c r="D76" s="53"/>
      <c r="E76" s="53"/>
      <c r="F76" s="53"/>
      <c r="G76" s="53"/>
      <c r="H76" s="6"/>
      <c r="I76" s="6"/>
      <c r="J76" s="218"/>
      <c r="K76" s="20"/>
      <c r="L76" s="21"/>
      <c r="M76" s="218"/>
      <c r="N76" s="22" t="str">
        <f>H71</f>
        <v>Schalke 04</v>
      </c>
      <c r="O76" s="4"/>
      <c r="P76" s="23">
        <f>IF(AND(L71&lt;&gt;"",V71&lt;&gt;"",X71&lt;&gt;"",J71&lt;&gt;""),J71+V71+V72,"")</f>
        <v>2</v>
      </c>
      <c r="Q76" s="24" t="s">
        <v>4</v>
      </c>
      <c r="R76" s="23">
        <f>IF(AND(L71&lt;&gt;"",V71&lt;&gt;"",X71&lt;&gt;"",J71&lt;&gt;""),L71+X71+X72,"")</f>
        <v>10</v>
      </c>
      <c r="S76" s="4"/>
      <c r="T76" s="4" t="str">
        <f>Z71</f>
        <v>Manchester City</v>
      </c>
      <c r="U76" s="6"/>
      <c r="V76" s="6"/>
      <c r="W76" s="6"/>
      <c r="X76" s="6"/>
      <c r="Y76" s="6"/>
      <c r="Z76" s="6"/>
      <c r="AA76" s="57"/>
      <c r="AB76" s="57"/>
      <c r="AC76" s="57"/>
      <c r="AD76" s="57"/>
      <c r="AE76" s="57"/>
      <c r="AF76" s="9"/>
      <c r="CF76" s="3"/>
      <c r="CG76" s="3"/>
    </row>
    <row r="77" spans="2:85" ht="15" customHeight="1" x14ac:dyDescent="0.2">
      <c r="B77" s="7"/>
      <c r="G77" s="6"/>
      <c r="H77" s="6"/>
      <c r="I77" s="6"/>
      <c r="J77" s="6"/>
      <c r="K77" s="8"/>
      <c r="L77" s="6"/>
      <c r="M77" s="6"/>
      <c r="N77" s="6"/>
      <c r="O77" s="6"/>
      <c r="P77" s="6"/>
      <c r="Q77" s="6"/>
      <c r="R77" s="6"/>
      <c r="S77" s="6"/>
      <c r="T77" s="6"/>
      <c r="U77" s="6"/>
      <c r="V77" s="6"/>
      <c r="W77" s="6"/>
      <c r="X77" s="6"/>
      <c r="Y77" s="6"/>
      <c r="Z77" s="6"/>
      <c r="AA77" s="6"/>
      <c r="AD77" s="6"/>
      <c r="AE77" s="6"/>
      <c r="AF77" s="9"/>
      <c r="CF77" s="3"/>
      <c r="CG77" s="3"/>
    </row>
    <row r="78" spans="2:85" ht="15" customHeight="1" x14ac:dyDescent="0.2">
      <c r="B78" s="7"/>
      <c r="C78" s="287" t="s">
        <v>443</v>
      </c>
      <c r="D78" s="287"/>
      <c r="E78" s="287"/>
      <c r="F78" s="287"/>
      <c r="G78" s="287"/>
      <c r="H78" s="287"/>
      <c r="I78" s="287"/>
      <c r="J78" s="287"/>
      <c r="K78" s="287"/>
      <c r="L78" s="287"/>
      <c r="M78" s="287"/>
      <c r="N78" s="287"/>
      <c r="O78" s="287"/>
      <c r="P78" s="287"/>
      <c r="R78" s="287" t="s">
        <v>444</v>
      </c>
      <c r="S78" s="287"/>
      <c r="T78" s="287"/>
      <c r="U78" s="287"/>
      <c r="V78" s="287"/>
      <c r="W78" s="287"/>
      <c r="X78" s="287"/>
      <c r="Y78" s="287"/>
      <c r="Z78" s="287"/>
      <c r="AA78" s="287"/>
      <c r="AB78" s="287"/>
      <c r="AC78" s="287"/>
      <c r="AD78" s="287"/>
      <c r="AE78" s="287"/>
      <c r="AF78" s="9"/>
      <c r="CF78" s="3"/>
      <c r="CG78" s="3"/>
    </row>
    <row r="79" spans="2:85" ht="15" customHeight="1" x14ac:dyDescent="0.2">
      <c r="B79" s="7"/>
      <c r="C79" s="5"/>
      <c r="D79" s="5"/>
      <c r="E79" s="5"/>
      <c r="F79" s="5"/>
      <c r="G79" s="5"/>
      <c r="H79" s="5"/>
      <c r="I79" s="5"/>
      <c r="J79" s="5"/>
      <c r="K79" s="28"/>
      <c r="L79" s="5"/>
      <c r="M79" s="5"/>
      <c r="N79" s="5"/>
      <c r="O79" s="5"/>
      <c r="P79" s="5"/>
      <c r="Q79" s="5"/>
      <c r="R79" s="5"/>
      <c r="S79" s="5"/>
      <c r="T79" s="29"/>
      <c r="U79" s="29"/>
      <c r="V79" s="29"/>
      <c r="W79" s="28"/>
      <c r="X79" s="29"/>
      <c r="Y79" s="29"/>
      <c r="Z79" s="29"/>
      <c r="AA79" s="5"/>
      <c r="AB79" s="5"/>
      <c r="AC79" s="5"/>
      <c r="AD79" s="5"/>
      <c r="AE79" s="5"/>
      <c r="AF79" s="9"/>
      <c r="CF79" s="3"/>
      <c r="CG79" s="3"/>
    </row>
    <row r="80" spans="2:85" ht="15" customHeight="1" x14ac:dyDescent="0.2">
      <c r="B80" s="7"/>
      <c r="H80" s="2" t="s">
        <v>214</v>
      </c>
      <c r="J80" s="5"/>
      <c r="K80" s="28"/>
      <c r="L80" s="5"/>
      <c r="M80" s="5"/>
      <c r="N80" s="2" t="s">
        <v>215</v>
      </c>
      <c r="O80" s="5"/>
      <c r="P80" s="5"/>
      <c r="Q80" s="30"/>
      <c r="R80" s="5"/>
      <c r="S80" s="5"/>
      <c r="T80" s="2" t="s">
        <v>214</v>
      </c>
      <c r="V80" s="5"/>
      <c r="W80" s="28"/>
      <c r="X80" s="5"/>
      <c r="Y80" s="5"/>
      <c r="Z80" s="2" t="s">
        <v>215</v>
      </c>
      <c r="AA80" s="5"/>
      <c r="AB80" s="5"/>
      <c r="AC80" s="5"/>
      <c r="AD80" s="5"/>
      <c r="AE80" s="5"/>
      <c r="AF80" s="9"/>
      <c r="CF80" s="3"/>
      <c r="CG80" s="3"/>
    </row>
    <row r="81" spans="2:85" ht="15" customHeight="1" x14ac:dyDescent="0.2">
      <c r="B81" s="7"/>
      <c r="C81" s="5"/>
      <c r="D81" s="5"/>
      <c r="E81" s="4" t="s">
        <v>204</v>
      </c>
      <c r="G81" s="5"/>
      <c r="H81" s="31"/>
      <c r="I81" s="32"/>
      <c r="J81" s="32"/>
      <c r="K81" s="33" t="s">
        <v>208</v>
      </c>
      <c r="L81" s="32"/>
      <c r="M81" s="32"/>
      <c r="N81" s="31"/>
      <c r="O81" s="5"/>
      <c r="P81" s="5"/>
      <c r="Q81" s="30"/>
      <c r="R81" s="5"/>
      <c r="S81" s="5"/>
      <c r="T81" s="29"/>
      <c r="U81" s="29"/>
      <c r="V81" s="29"/>
      <c r="X81" s="29"/>
      <c r="Y81" s="29"/>
      <c r="Z81" s="29"/>
      <c r="AA81" s="5"/>
      <c r="AB81" s="5"/>
      <c r="AC81" s="5"/>
      <c r="AD81" s="5"/>
      <c r="AE81" s="5"/>
      <c r="AF81" s="9"/>
      <c r="CF81" s="3"/>
      <c r="CG81" s="3"/>
    </row>
    <row r="82" spans="2:85" ht="15" customHeight="1" x14ac:dyDescent="0.2">
      <c r="B82" s="7"/>
      <c r="C82" s="5"/>
      <c r="D82" s="5"/>
      <c r="E82" s="4" t="s">
        <v>205</v>
      </c>
      <c r="G82" s="5"/>
      <c r="H82" s="31"/>
      <c r="I82" s="32"/>
      <c r="J82" s="32"/>
      <c r="K82" s="33" t="s">
        <v>208</v>
      </c>
      <c r="L82" s="32"/>
      <c r="M82" s="32"/>
      <c r="N82" s="31"/>
      <c r="O82" s="5"/>
      <c r="P82" s="5"/>
      <c r="Q82" s="30"/>
      <c r="R82" s="5"/>
      <c r="S82" s="5"/>
      <c r="T82" s="31"/>
      <c r="U82" s="32"/>
      <c r="V82" s="32"/>
      <c r="W82" s="32"/>
      <c r="X82" s="33" t="s">
        <v>208</v>
      </c>
      <c r="Y82" s="32"/>
      <c r="Z82" s="31"/>
      <c r="AA82" s="32"/>
      <c r="AB82" s="32"/>
      <c r="AC82" s="32"/>
      <c r="AD82" s="5"/>
      <c r="AE82" s="4" t="s">
        <v>350</v>
      </c>
      <c r="AF82" s="9"/>
      <c r="CF82" s="3"/>
      <c r="CG82" s="3"/>
    </row>
    <row r="83" spans="2:85" ht="15" customHeight="1" x14ac:dyDescent="0.2">
      <c r="B83" s="7"/>
      <c r="C83" s="5"/>
      <c r="D83" s="5"/>
      <c r="E83" s="4" t="s">
        <v>206</v>
      </c>
      <c r="G83" s="5"/>
      <c r="H83" s="31"/>
      <c r="I83" s="32"/>
      <c r="J83" s="32"/>
      <c r="K83" s="33" t="s">
        <v>208</v>
      </c>
      <c r="L83" s="32"/>
      <c r="M83" s="32"/>
      <c r="N83" s="31"/>
      <c r="O83" s="5"/>
      <c r="P83" s="5"/>
      <c r="Q83" s="30"/>
      <c r="R83" s="5"/>
      <c r="S83" s="5"/>
      <c r="T83" s="200"/>
      <c r="U83" s="32"/>
      <c r="V83" s="32"/>
      <c r="W83" s="32"/>
      <c r="X83" s="33" t="s">
        <v>208</v>
      </c>
      <c r="Y83" s="32"/>
      <c r="Z83" s="31"/>
      <c r="AA83" s="32"/>
      <c r="AB83" s="32"/>
      <c r="AC83" s="32"/>
      <c r="AD83" s="5"/>
      <c r="AE83" s="4" t="s">
        <v>351</v>
      </c>
      <c r="AF83" s="9"/>
      <c r="CF83" s="3"/>
      <c r="CG83" s="3"/>
    </row>
    <row r="84" spans="2:85" ht="15" customHeight="1" x14ac:dyDescent="0.2">
      <c r="B84" s="7"/>
      <c r="C84" s="5"/>
      <c r="D84" s="5"/>
      <c r="E84" s="4" t="s">
        <v>207</v>
      </c>
      <c r="G84" s="5"/>
      <c r="H84" s="31"/>
      <c r="I84" s="32"/>
      <c r="J84" s="32"/>
      <c r="K84" s="33" t="s">
        <v>208</v>
      </c>
      <c r="L84" s="32"/>
      <c r="M84" s="32"/>
      <c r="N84" s="31"/>
      <c r="O84" s="5"/>
      <c r="P84" s="5"/>
      <c r="Q84" s="30"/>
      <c r="R84" s="5"/>
      <c r="S84" s="5"/>
      <c r="T84" s="5"/>
      <c r="U84" s="5"/>
      <c r="V84" s="5"/>
      <c r="W84" s="28"/>
      <c r="X84" s="5"/>
      <c r="Y84" s="5"/>
      <c r="Z84" s="5"/>
      <c r="AA84" s="5"/>
      <c r="AB84" s="5"/>
      <c r="AC84" s="5"/>
      <c r="AD84" s="5"/>
      <c r="AE84" s="5"/>
      <c r="AF84" s="9"/>
      <c r="CF84" s="3"/>
      <c r="CG84" s="3"/>
    </row>
    <row r="85" spans="2:85" ht="15" customHeight="1" x14ac:dyDescent="0.2">
      <c r="B85" s="7"/>
      <c r="C85" s="5"/>
      <c r="D85" s="5"/>
      <c r="E85" s="5"/>
      <c r="G85" s="5"/>
      <c r="H85" s="5"/>
      <c r="I85" s="5"/>
      <c r="J85" s="5"/>
      <c r="K85" s="33"/>
      <c r="L85" s="5"/>
      <c r="M85" s="5"/>
      <c r="N85" s="5"/>
      <c r="O85" s="5"/>
      <c r="P85" s="5"/>
      <c r="Q85" s="30"/>
      <c r="R85" s="5"/>
      <c r="S85" s="5"/>
      <c r="T85" s="6"/>
      <c r="U85" s="6"/>
      <c r="V85" s="6"/>
      <c r="W85" s="6"/>
      <c r="X85" s="6"/>
      <c r="Y85" s="5"/>
      <c r="Z85" s="5"/>
      <c r="AA85" s="5"/>
      <c r="AB85" s="5"/>
      <c r="AC85" s="5"/>
      <c r="AD85" s="5"/>
      <c r="AE85" s="5"/>
      <c r="AF85" s="9"/>
      <c r="CF85" s="3"/>
      <c r="CG85" s="3"/>
    </row>
    <row r="86" spans="2:85" ht="15" customHeight="1" x14ac:dyDescent="0.2">
      <c r="B86" s="7"/>
      <c r="C86" s="5"/>
      <c r="D86" s="5"/>
      <c r="E86" s="34" t="s">
        <v>216</v>
      </c>
      <c r="G86" s="5"/>
      <c r="H86" s="35" t="str">
        <f>IF(AND(P13&lt;&gt;"",R13&lt;&gt;""),IF(AND(V10&lt;&gt;"",X10&lt;&gt;"",V10&gt;X10),N13,IF(AND(V10&lt;&gt;"",X10&lt;&gt;"",V10&lt;X10),T13,IF(P13&gt;R13,N13,IF(R13&gt;P13,T13,IF(AND(P13=R13,L8&gt;V8),T13,IF(AND(P13=R13,L8&lt;V8+V9),N13,"")))))),"")</f>
        <v>Porto</v>
      </c>
      <c r="I86" s="6"/>
      <c r="J86" s="5"/>
      <c r="K86" s="8"/>
      <c r="L86" s="6"/>
      <c r="M86" s="5"/>
      <c r="N86" s="5"/>
      <c r="O86" s="5"/>
      <c r="P86" s="5"/>
      <c r="Q86" s="30"/>
      <c r="R86" s="5"/>
      <c r="S86" s="5"/>
      <c r="T86" s="6" t="s">
        <v>210</v>
      </c>
      <c r="U86" s="6"/>
      <c r="V86" s="6"/>
      <c r="W86" s="278" t="str">
        <f>IF(AND(P105&lt;&gt;"",R105&lt;&gt;""),IF(AND(V102&lt;&gt;"",X102&lt;&gt;"",V102&gt;X102),N105,IF(AND(V102&lt;&gt;"",X102&lt;&gt;"",V102&lt;X102),T105,IF(P105&gt;R105,N105,IF(R105&gt;P105,T105,IF(AND(P105=R105,L100&gt;V100),T105,IF(AND(P105=R105,L100&lt;V100+V101),N105,"")))))),"")</f>
        <v/>
      </c>
      <c r="X86" s="278"/>
      <c r="Y86" s="278"/>
      <c r="Z86" s="278"/>
      <c r="AA86" s="5"/>
      <c r="AB86" s="5"/>
      <c r="AC86" s="5"/>
      <c r="AD86" s="5"/>
      <c r="AE86" s="5"/>
      <c r="AF86" s="9"/>
      <c r="CF86" s="3"/>
      <c r="CG86" s="3"/>
    </row>
    <row r="87" spans="2:85" ht="15" customHeight="1" x14ac:dyDescent="0.2">
      <c r="B87" s="7"/>
      <c r="C87" s="5"/>
      <c r="D87" s="5"/>
      <c r="E87" s="34" t="s">
        <v>217</v>
      </c>
      <c r="G87" s="5"/>
      <c r="H87" s="35" t="str">
        <f>IF(AND(P22&lt;&gt;"",R22&lt;&gt;""),IF(AND(V19&lt;&gt;"",X19&lt;&gt;"",V19&gt;X19),N22,IF(AND(V19&lt;&gt;"",X19&lt;&gt;"",V19&lt;X19),T22,IF(P22&gt;R22,N22,IF(R22&gt;P22,T22,IF(AND(P22=R22,L17&gt;V17),T22,IF(AND(P22=R22,L17&lt;V17+V18),N22,"")))))),"")</f>
        <v>Manchester United</v>
      </c>
      <c r="I87" s="6"/>
      <c r="J87" s="5"/>
      <c r="K87" s="8"/>
      <c r="L87" s="6"/>
      <c r="M87" s="5"/>
      <c r="N87" s="5"/>
      <c r="O87" s="5"/>
      <c r="P87" s="5"/>
      <c r="Q87" s="30"/>
      <c r="R87" s="5"/>
      <c r="S87" s="5"/>
      <c r="T87" s="6" t="s">
        <v>209</v>
      </c>
      <c r="U87" s="6"/>
      <c r="V87" s="6"/>
      <c r="W87" s="278" t="str">
        <f>IF(AND(P114&lt;&gt;"",R114&lt;&gt;""),IF(AND(V111&lt;&gt;"",X111&lt;&gt;"",V111&gt;X111),N114,IF(AND(V111&lt;&gt;"",X111&lt;&gt;"",V111&lt;X111),T114,IF(P114&gt;R114,N114,IF(R114&gt;P114,T114,IF(AND(P114=R114,L109&gt;V109),T114,IF(AND(P114=R114,L109&lt;V109+V110),N114,"")))))),"")</f>
        <v/>
      </c>
      <c r="X87" s="278"/>
      <c r="Y87" s="278"/>
      <c r="Z87" s="278"/>
      <c r="AA87" s="5"/>
      <c r="AB87" s="5"/>
      <c r="AC87" s="5"/>
      <c r="AD87" s="5"/>
      <c r="AE87" s="5"/>
      <c r="AF87" s="9"/>
      <c r="CF87" s="3"/>
      <c r="CG87" s="3"/>
    </row>
    <row r="88" spans="2:85" ht="15" customHeight="1" x14ac:dyDescent="0.2">
      <c r="B88" s="7"/>
      <c r="C88" s="5"/>
      <c r="D88" s="5"/>
      <c r="E88" s="34" t="s">
        <v>218</v>
      </c>
      <c r="G88" s="5"/>
      <c r="H88" s="36" t="str">
        <f>IF(AND(P31&lt;&gt;"",R31&lt;&gt;""),IF(AND(V28&lt;&gt;"",X28&lt;&gt;"",V28&gt;X28),N31,IF(AND(V28&lt;&gt;"",X28&lt;&gt;"",V28&lt;X28),T31,IF(P31&gt;R31,N31,IF(R31&gt;P31,T31,IF(AND(P31=R31,L26&gt;V26),T31,IF(AND(P31=R31,L26&lt;V26+V27),N31,"")))))),"")</f>
        <v>Tottenham Hotspur</v>
      </c>
      <c r="I88" s="6"/>
      <c r="J88" s="5"/>
      <c r="K88" s="8"/>
      <c r="L88" s="6"/>
      <c r="M88" s="5"/>
      <c r="N88" s="5"/>
      <c r="O88" s="5"/>
      <c r="P88" s="5"/>
      <c r="Q88" s="30"/>
      <c r="R88" s="5"/>
      <c r="S88" s="5"/>
      <c r="T88" s="6" t="s">
        <v>211</v>
      </c>
      <c r="U88" s="6"/>
      <c r="V88" s="6"/>
      <c r="W88" s="278" t="str">
        <f>IF(AND(P123&lt;&gt;"",R123&lt;&gt;""),IF(AND(V120&lt;&gt;"",X120&lt;&gt;"",V120&gt;X120),N123,IF(AND(V120&lt;&gt;"",X120&lt;&gt;"",V120&lt;X120),T123,IF(P123&gt;R123,N123,IF(R123&gt;P123,T123,IF(AND(P123=R123,L118&gt;V118),T123,IF(AND(P123=R123,L118&lt;V118+V119),N123,"")))))),"")</f>
        <v/>
      </c>
      <c r="X88" s="278"/>
      <c r="Y88" s="278"/>
      <c r="Z88" s="278"/>
      <c r="AA88" s="5"/>
      <c r="AB88" s="5"/>
      <c r="AC88" s="5"/>
      <c r="AD88" s="5"/>
      <c r="AE88" s="5"/>
      <c r="AF88" s="9"/>
      <c r="CF88" s="3"/>
      <c r="CG88" s="3"/>
    </row>
    <row r="89" spans="2:85" ht="15" customHeight="1" x14ac:dyDescent="0.2">
      <c r="B89" s="7"/>
      <c r="C89" s="5"/>
      <c r="D89" s="5"/>
      <c r="E89" s="34" t="s">
        <v>220</v>
      </c>
      <c r="G89" s="5"/>
      <c r="H89" s="36" t="str">
        <f>IF(AND(P40&lt;&gt;"",R40&lt;&gt;""),IF(AND(V37&lt;&gt;"",X37&lt;&gt;"",V37&gt;X37),N40,IF(AND(V37&lt;&gt;"",X37&lt;&gt;"",V37&lt;X37),T40,IF(P40&gt;R40,N40,IF(R40&gt;P40,T40,IF(AND(P40=R40,L35&gt;V35),T40,IF(AND(P40=R40,L35&lt;V35+V36),N40,"")))))),"")</f>
        <v>Ajax</v>
      </c>
      <c r="I89" s="6"/>
      <c r="J89" s="5"/>
      <c r="K89" s="8"/>
      <c r="L89" s="6"/>
      <c r="M89" s="5"/>
      <c r="N89" s="5"/>
      <c r="O89" s="5"/>
      <c r="P89" s="5"/>
      <c r="Q89" s="30"/>
      <c r="R89" s="5"/>
      <c r="S89" s="5"/>
      <c r="T89" s="6" t="s">
        <v>212</v>
      </c>
      <c r="U89" s="6"/>
      <c r="V89" s="6"/>
      <c r="W89" s="278" t="str">
        <f>IF(AND(P132&lt;&gt;"",R132&lt;&gt;""),IF(AND(V129&lt;&gt;"",X129&lt;&gt;"",V129&gt;X129),N132,IF(AND(V129&lt;&gt;"",X129&lt;&gt;"",V129&lt;X129),T132,IF(P132&gt;R132,N132,IF(R132&gt;P132,T132,IF(AND(P132=R132,L127&gt;V127),T132,IF(AND(P132=R132,L127&lt;V127+V128),N132,"")))))),"")</f>
        <v/>
      </c>
      <c r="X89" s="278"/>
      <c r="Y89" s="278"/>
      <c r="Z89" s="278"/>
      <c r="AA89" s="5"/>
      <c r="AB89" s="5"/>
      <c r="AC89" s="5"/>
      <c r="AD89" s="5"/>
      <c r="AE89" s="5"/>
      <c r="AF89" s="9"/>
      <c r="CF89" s="3"/>
      <c r="CG89" s="3"/>
    </row>
    <row r="90" spans="2:85" ht="15" customHeight="1" x14ac:dyDescent="0.2">
      <c r="B90" s="7"/>
      <c r="C90" s="5"/>
      <c r="E90" s="34" t="s">
        <v>219</v>
      </c>
      <c r="G90" s="5"/>
      <c r="H90" s="36" t="str">
        <f>IF(AND(P49&lt;&gt;"",R49&lt;&gt;""),IF(AND(V46&lt;&gt;"",X46&lt;&gt;"",V46&gt;X46),N49,IF(AND(V46&lt;&gt;"",X46&lt;&gt;"",V46&lt;X46),T49,IF(P49&gt;R49,N49,IF(R49&gt;P49,T49,IF(AND(P49=R49,L44&gt;V44),T49,IF(AND(P49=R49,L44&lt;V44+V45),N49,"")))))),"")</f>
        <v>Barcelona</v>
      </c>
      <c r="I90" s="6"/>
      <c r="J90" s="5"/>
      <c r="K90" s="8"/>
      <c r="L90" s="6"/>
      <c r="M90" s="5"/>
      <c r="N90" s="5"/>
      <c r="O90" s="5"/>
      <c r="P90" s="5"/>
      <c r="Q90" s="30"/>
      <c r="R90" s="5"/>
      <c r="S90" s="5"/>
      <c r="T90" s="5"/>
      <c r="U90" s="5"/>
      <c r="V90" s="5"/>
      <c r="W90" s="28"/>
      <c r="X90" s="5"/>
      <c r="Y90" s="5"/>
      <c r="Z90" s="5"/>
      <c r="AA90" s="5"/>
      <c r="AB90" s="5"/>
      <c r="AC90" s="5"/>
      <c r="AD90" s="5"/>
      <c r="AE90" s="5"/>
      <c r="AF90" s="9"/>
      <c r="CF90" s="3"/>
      <c r="CG90" s="3"/>
    </row>
    <row r="91" spans="2:85" ht="15" customHeight="1" x14ac:dyDescent="0.2">
      <c r="B91" s="7"/>
      <c r="E91" s="34" t="s">
        <v>221</v>
      </c>
      <c r="G91" s="6"/>
      <c r="H91" s="35" t="str">
        <f>IF(AND(P58&lt;&gt;"",R58&lt;&gt;""),IF(AND(V55&lt;&gt;"",X55&lt;&gt;"",V55&gt;X55),N58,IF(AND(V55&lt;&gt;"",X55&lt;&gt;"",V55&lt;X55),T58,IF(P58&gt;R58,N58,IF(R58&gt;P58,T58,IF(AND(P58=R58,L53&gt;V53),T58,IF(AND(P58=R58,L53&lt;V53+V54),N58,"")))))),"")</f>
        <v>Liverpool</v>
      </c>
      <c r="I91" s="6"/>
      <c r="J91" s="6"/>
      <c r="K91" s="8"/>
      <c r="L91" s="6"/>
      <c r="M91" s="6"/>
      <c r="N91" s="6"/>
      <c r="O91" s="6"/>
      <c r="P91" s="6"/>
      <c r="Q91" s="16"/>
      <c r="R91" s="6"/>
      <c r="S91" s="6"/>
      <c r="T91" s="6"/>
      <c r="U91" s="6"/>
      <c r="V91" s="6"/>
      <c r="W91" s="6"/>
      <c r="X91" s="6"/>
      <c r="Y91" s="6"/>
      <c r="Z91" s="6"/>
      <c r="AA91" s="6"/>
      <c r="AB91" s="4"/>
      <c r="AC91" s="4"/>
      <c r="AD91" s="4"/>
      <c r="AE91" s="4"/>
      <c r="AF91" s="9"/>
      <c r="CF91" s="3"/>
      <c r="CG91" s="3"/>
    </row>
    <row r="92" spans="2:85" ht="15" customHeight="1" x14ac:dyDescent="0.2">
      <c r="B92" s="7"/>
      <c r="E92" s="34" t="s">
        <v>222</v>
      </c>
      <c r="G92" s="6"/>
      <c r="H92" s="35" t="str">
        <f>IF(AND(P67&lt;&gt;"",R67&lt;&gt;""),IF(AND(V64&lt;&gt;"",X64&lt;&gt;"",V64&gt;X64),N67,IF(AND(V64&lt;&gt;"",X64&lt;&gt;"",V64&lt;X64),T67,IF(P67&gt;R67,N67,IF(R67&gt;P67,T67,IF(AND(P67=R67,L62&gt;V62),T67,IF(AND(P67=R67,L62&lt;V62+V63),N67,"")))))),"")</f>
        <v>Juventus</v>
      </c>
      <c r="I92" s="6"/>
      <c r="J92" s="8"/>
      <c r="K92" s="8"/>
      <c r="L92" s="6"/>
      <c r="M92" s="8"/>
      <c r="N92" s="8"/>
      <c r="O92" s="6"/>
      <c r="P92" s="6"/>
      <c r="Q92" s="16"/>
      <c r="R92" s="6"/>
      <c r="S92" s="6"/>
      <c r="T92" s="26"/>
      <c r="U92" s="26"/>
      <c r="V92" s="6"/>
      <c r="W92" s="6"/>
      <c r="X92" s="6"/>
      <c r="Y92" s="6"/>
      <c r="Z92" s="6"/>
      <c r="AA92" s="6"/>
      <c r="AB92" s="4"/>
      <c r="AC92" s="4"/>
      <c r="AD92" s="4"/>
      <c r="AE92" s="4"/>
      <c r="AF92" s="9"/>
      <c r="CF92" s="3"/>
      <c r="CG92" s="3"/>
    </row>
    <row r="93" spans="2:85" ht="15" customHeight="1" x14ac:dyDescent="0.2">
      <c r="B93" s="7"/>
      <c r="E93" s="34" t="s">
        <v>223</v>
      </c>
      <c r="G93" s="6"/>
      <c r="H93" s="35" t="str">
        <f>IF(AND(P76&lt;&gt;"",R76&lt;&gt;""),IF(AND(V73&lt;&gt;"",X73&lt;&gt;"",V73&gt;X73),N76,IF(AND(V73&lt;&gt;"",X73&lt;&gt;"",V73&lt;X73),T76,IF(P76&gt;R76,N76,IF(R76&gt;P76,T76,IF(AND(P76=R76,L71&gt;V71),T76,IF(AND(P76=R76,L71&lt;V71+V72),N76,"")))))),"")</f>
        <v>Manchester City</v>
      </c>
      <c r="I93" s="6"/>
      <c r="J93" s="8"/>
      <c r="K93" s="8"/>
      <c r="L93" s="6"/>
      <c r="M93" s="8"/>
      <c r="N93" s="8"/>
      <c r="O93" s="37"/>
      <c r="P93" s="6"/>
      <c r="Q93" s="16"/>
      <c r="R93" s="6"/>
      <c r="S93" s="6"/>
      <c r="T93" s="6"/>
      <c r="U93" s="6"/>
      <c r="V93" s="6"/>
      <c r="W93" s="6"/>
      <c r="X93" s="6"/>
      <c r="Y93" s="6"/>
      <c r="Z93" s="6"/>
      <c r="AA93" s="6"/>
      <c r="AB93" s="4"/>
      <c r="AC93" s="4"/>
      <c r="AD93" s="4"/>
      <c r="AE93" s="4"/>
      <c r="AF93" s="9"/>
      <c r="CF93" s="3"/>
      <c r="CG93" s="3"/>
    </row>
    <row r="94" spans="2:85" ht="15" customHeight="1" x14ac:dyDescent="0.2">
      <c r="B94" s="7"/>
      <c r="G94" s="6"/>
      <c r="H94" s="6"/>
      <c r="I94" s="6"/>
      <c r="J94" s="285"/>
      <c r="K94" s="285"/>
      <c r="L94" s="285"/>
      <c r="M94" s="285"/>
      <c r="N94" s="285"/>
      <c r="O94" s="37"/>
      <c r="P94" s="6"/>
      <c r="Q94" s="6"/>
      <c r="R94" s="6"/>
      <c r="S94" s="6"/>
      <c r="T94" s="6"/>
      <c r="U94" s="6"/>
      <c r="V94" s="6"/>
      <c r="W94" s="6"/>
      <c r="X94" s="6"/>
      <c r="Y94" s="6"/>
      <c r="Z94" s="6"/>
      <c r="AA94" s="6"/>
      <c r="AB94" s="4"/>
      <c r="AC94" s="4"/>
      <c r="AD94" s="38"/>
      <c r="AE94" s="38"/>
      <c r="AF94" s="9"/>
      <c r="CF94" s="3"/>
      <c r="CG94" s="3"/>
    </row>
    <row r="95" spans="2:85" ht="15" customHeight="1" x14ac:dyDescent="0.2">
      <c r="B95" s="7"/>
      <c r="G95" s="6"/>
      <c r="H95" s="6"/>
      <c r="I95" s="6"/>
      <c r="J95" s="6"/>
      <c r="K95" s="8"/>
      <c r="L95" s="6"/>
      <c r="M95" s="6"/>
      <c r="N95" s="6"/>
      <c r="O95" s="6"/>
      <c r="P95" s="6"/>
      <c r="Q95" s="6"/>
      <c r="R95" s="6"/>
      <c r="S95" s="6"/>
      <c r="T95" s="6"/>
      <c r="U95" s="6"/>
      <c r="V95" s="6"/>
      <c r="W95" s="6"/>
      <c r="X95" s="6"/>
      <c r="Y95" s="6"/>
      <c r="Z95" s="6"/>
      <c r="AA95" s="6"/>
      <c r="AD95" s="6"/>
      <c r="AE95" s="6"/>
      <c r="AF95" s="9"/>
      <c r="CF95" s="3"/>
      <c r="CG95" s="3"/>
    </row>
    <row r="96" spans="2:85" ht="15" customHeight="1" x14ac:dyDescent="0.2">
      <c r="B96" s="282" t="s">
        <v>201</v>
      </c>
      <c r="C96" s="283"/>
      <c r="D96" s="283"/>
      <c r="E96" s="283"/>
      <c r="F96" s="283"/>
      <c r="G96" s="283"/>
      <c r="H96" s="283"/>
      <c r="I96" s="283"/>
      <c r="J96" s="283"/>
      <c r="K96" s="283"/>
      <c r="L96" s="283"/>
      <c r="M96" s="283"/>
      <c r="N96" s="283"/>
      <c r="O96" s="283"/>
      <c r="P96" s="283"/>
      <c r="Q96" s="283"/>
      <c r="R96" s="283"/>
      <c r="S96" s="283"/>
      <c r="T96" s="283"/>
      <c r="U96" s="283"/>
      <c r="V96" s="283"/>
      <c r="W96" s="283"/>
      <c r="X96" s="283"/>
      <c r="Y96" s="283"/>
      <c r="Z96" s="283"/>
      <c r="AA96" s="283"/>
      <c r="AB96" s="283"/>
      <c r="AC96" s="283"/>
      <c r="AD96" s="283"/>
      <c r="AE96" s="283"/>
      <c r="AF96" s="284"/>
      <c r="CF96" s="3"/>
      <c r="CG96" s="3"/>
    </row>
    <row r="97" spans="2:85" ht="15" customHeight="1" x14ac:dyDescent="0.2">
      <c r="B97" s="7"/>
      <c r="G97" s="6"/>
      <c r="H97" s="6"/>
      <c r="I97" s="6"/>
      <c r="J97" s="6"/>
      <c r="K97" s="8"/>
      <c r="L97" s="6"/>
      <c r="M97" s="6"/>
      <c r="N97" s="6"/>
      <c r="O97" s="6"/>
      <c r="P97" s="6"/>
      <c r="Q97" s="6"/>
      <c r="R97" s="6"/>
      <c r="S97" s="6"/>
      <c r="T97" s="6"/>
      <c r="U97" s="6"/>
      <c r="V97" s="6"/>
      <c r="W97" s="6"/>
      <c r="X97" s="6"/>
      <c r="Y97" s="6"/>
      <c r="Z97" s="6"/>
      <c r="AA97" s="6"/>
      <c r="AD97" s="6"/>
      <c r="AE97" s="6"/>
      <c r="AF97" s="9"/>
      <c r="CF97" s="3"/>
      <c r="CG97" s="3"/>
    </row>
    <row r="98" spans="2:85" ht="15" customHeight="1" x14ac:dyDescent="0.2">
      <c r="B98" s="7"/>
      <c r="C98" s="281" t="s">
        <v>189</v>
      </c>
      <c r="D98" s="281"/>
      <c r="E98" s="281"/>
      <c r="F98" s="281"/>
      <c r="G98" s="281"/>
      <c r="H98" s="281"/>
      <c r="I98" s="281"/>
      <c r="J98" s="281"/>
      <c r="K98" s="281"/>
      <c r="L98" s="281"/>
      <c r="M98" s="281"/>
      <c r="N98" s="281"/>
      <c r="O98" s="281"/>
      <c r="P98" s="281"/>
      <c r="Q98" s="6"/>
      <c r="R98" s="280" t="s">
        <v>188</v>
      </c>
      <c r="S98" s="280"/>
      <c r="T98" s="280"/>
      <c r="U98" s="280"/>
      <c r="V98" s="280"/>
      <c r="W98" s="280"/>
      <c r="X98" s="280"/>
      <c r="Y98" s="280"/>
      <c r="Z98" s="280"/>
      <c r="AA98" s="280"/>
      <c r="AB98" s="280"/>
      <c r="AC98" s="280"/>
      <c r="AD98" s="280"/>
      <c r="AE98" s="280"/>
      <c r="AF98" s="9"/>
      <c r="CF98" s="3"/>
      <c r="CG98" s="3"/>
    </row>
    <row r="99" spans="2:85" ht="15" customHeight="1" x14ac:dyDescent="0.2">
      <c r="B99" s="7"/>
      <c r="C99" s="51"/>
      <c r="D99" s="51"/>
      <c r="E99" s="51"/>
      <c r="F99" s="51"/>
      <c r="G99" s="51"/>
      <c r="H99" s="71"/>
      <c r="I99" s="51"/>
      <c r="J99" s="51"/>
      <c r="K99" s="51"/>
      <c r="L99" s="51"/>
      <c r="M99" s="51"/>
      <c r="N99" s="51"/>
      <c r="O99" s="51"/>
      <c r="P99" s="51"/>
      <c r="Q99" s="4"/>
      <c r="R99" s="57"/>
      <c r="S99" s="57"/>
      <c r="T99" s="57"/>
      <c r="U99" s="57"/>
      <c r="V99" s="57"/>
      <c r="W99" s="57"/>
      <c r="X99" s="57"/>
      <c r="Y99" s="57"/>
      <c r="Z99" s="57"/>
      <c r="AA99" s="57"/>
      <c r="AB99" s="57"/>
      <c r="AC99" s="57"/>
      <c r="AD99" s="57"/>
      <c r="AE99" s="57"/>
      <c r="AF99" s="9"/>
      <c r="CF99" s="3"/>
      <c r="CG99" s="3"/>
    </row>
    <row r="100" spans="2:85" ht="15" customHeight="1" x14ac:dyDescent="0.2">
      <c r="B100" s="7"/>
      <c r="C100" s="53"/>
      <c r="D100" s="53" t="s">
        <v>204</v>
      </c>
      <c r="E100" s="53"/>
      <c r="F100" s="54"/>
      <c r="G100" s="55"/>
      <c r="H100" s="69" t="str">
        <f>IF(H81&lt;&gt;"",H81,"")</f>
        <v/>
      </c>
      <c r="I100" s="53"/>
      <c r="J100" s="52"/>
      <c r="K100" s="52" t="s">
        <v>4</v>
      </c>
      <c r="L100" s="52"/>
      <c r="M100" s="53"/>
      <c r="N100" s="70" t="str">
        <f>Z100</f>
        <v/>
      </c>
      <c r="O100" s="53"/>
      <c r="P100" s="53"/>
      <c r="Q100" s="6"/>
      <c r="R100" s="57"/>
      <c r="S100" s="57"/>
      <c r="T100" s="67" t="str">
        <f>H100</f>
        <v/>
      </c>
      <c r="U100" s="57"/>
      <c r="V100" s="58"/>
      <c r="W100" s="58" t="s">
        <v>4</v>
      </c>
      <c r="X100" s="58"/>
      <c r="Y100" s="57"/>
      <c r="Z100" s="68" t="str">
        <f>IF(N81&lt;&gt;"",N81,"")</f>
        <v/>
      </c>
      <c r="AA100" s="57"/>
      <c r="AB100" s="57"/>
      <c r="AC100" s="57" t="str">
        <f>D100</f>
        <v>Quarter Final 1</v>
      </c>
      <c r="AD100" s="57"/>
      <c r="AE100" s="59"/>
      <c r="AF100" s="9"/>
      <c r="CF100" s="3"/>
      <c r="CG100" s="3"/>
    </row>
    <row r="101" spans="2:85" ht="15" customHeight="1" x14ac:dyDescent="0.2">
      <c r="B101" s="7"/>
      <c r="C101" s="53"/>
      <c r="D101" s="53" t="s">
        <v>1</v>
      </c>
      <c r="E101" s="53" t="s">
        <v>24</v>
      </c>
      <c r="F101" s="56"/>
      <c r="G101" s="53"/>
      <c r="H101" s="53"/>
      <c r="I101" s="53"/>
      <c r="J101" s="53"/>
      <c r="K101" s="52"/>
      <c r="L101" s="53"/>
      <c r="M101" s="53"/>
      <c r="N101" s="53"/>
      <c r="O101" s="53"/>
      <c r="P101" s="53"/>
      <c r="Q101" s="6"/>
      <c r="R101" s="57"/>
      <c r="S101" s="57"/>
      <c r="T101" s="57"/>
      <c r="U101" s="223" t="s">
        <v>288</v>
      </c>
      <c r="V101" s="58"/>
      <c r="W101" s="223" t="s">
        <v>4</v>
      </c>
      <c r="X101" s="58"/>
      <c r="Y101" s="57"/>
      <c r="Z101" s="57"/>
      <c r="AA101" s="57"/>
      <c r="AB101" s="57"/>
      <c r="AC101" s="57" t="s">
        <v>1</v>
      </c>
      <c r="AD101" s="57" t="s">
        <v>24</v>
      </c>
      <c r="AE101" s="60"/>
      <c r="AF101" s="9"/>
      <c r="CF101" s="3"/>
      <c r="CG101" s="3"/>
    </row>
    <row r="102" spans="2:85" ht="15" customHeight="1" x14ac:dyDescent="0.2">
      <c r="B102" s="7"/>
      <c r="C102" s="53"/>
      <c r="D102" s="53" t="s">
        <v>2</v>
      </c>
      <c r="E102" s="53" t="s">
        <v>24</v>
      </c>
      <c r="F102" s="53"/>
      <c r="G102" s="53"/>
      <c r="H102" s="221"/>
      <c r="I102" s="221"/>
      <c r="J102" s="221"/>
      <c r="K102" s="222"/>
      <c r="L102" s="221"/>
      <c r="M102" s="221"/>
      <c r="N102" s="221"/>
      <c r="O102" s="221"/>
      <c r="P102" s="221"/>
      <c r="R102" s="219"/>
      <c r="S102" s="219"/>
      <c r="T102" s="219"/>
      <c r="U102" s="224" t="s">
        <v>287</v>
      </c>
      <c r="V102" s="220"/>
      <c r="W102" s="223" t="s">
        <v>4</v>
      </c>
      <c r="X102" s="220"/>
      <c r="Y102" s="219"/>
      <c r="Z102" s="219"/>
      <c r="AA102" s="57"/>
      <c r="AB102" s="57"/>
      <c r="AC102" s="57" t="s">
        <v>2</v>
      </c>
      <c r="AD102" s="57" t="s">
        <v>24</v>
      </c>
      <c r="AE102" s="58"/>
      <c r="AF102" s="9"/>
      <c r="CF102" s="3"/>
      <c r="CG102" s="3"/>
    </row>
    <row r="103" spans="2:85" ht="15" customHeight="1" x14ac:dyDescent="0.2">
      <c r="B103" s="7"/>
      <c r="C103" s="53"/>
      <c r="D103" s="53" t="s">
        <v>191</v>
      </c>
      <c r="E103" s="53" t="s">
        <v>24</v>
      </c>
      <c r="F103" s="52" t="str">
        <f>IF(H100&lt;&gt;"",VLOOKUP(H100,'Team Setup'!$B$5:$C$36,2,FALSE),"")</f>
        <v/>
      </c>
      <c r="G103" s="53"/>
      <c r="H103" s="221"/>
      <c r="I103" s="221"/>
      <c r="J103" s="221"/>
      <c r="K103" s="222"/>
      <c r="L103" s="221"/>
      <c r="M103" s="221"/>
      <c r="N103" s="221"/>
      <c r="O103" s="221"/>
      <c r="P103" s="221"/>
      <c r="R103" s="219"/>
      <c r="S103" s="219"/>
      <c r="T103" s="219"/>
      <c r="U103" s="219"/>
      <c r="V103" s="219"/>
      <c r="W103" s="219"/>
      <c r="X103" s="219"/>
      <c r="Y103" s="219"/>
      <c r="Z103" s="219"/>
      <c r="AA103" s="57"/>
      <c r="AB103" s="57"/>
      <c r="AC103" s="57" t="s">
        <v>191</v>
      </c>
      <c r="AD103" s="57" t="s">
        <v>24</v>
      </c>
      <c r="AE103" s="58" t="str">
        <f>IF(Z100&lt;&gt;"",VLOOKUP(Z100,'Team Setup'!$B$5:$C$36,2,FALSE),"")</f>
        <v/>
      </c>
      <c r="AF103" s="9"/>
      <c r="CF103" s="3"/>
      <c r="CG103" s="3"/>
    </row>
    <row r="104" spans="2:85" ht="15" customHeight="1" x14ac:dyDescent="0.2">
      <c r="B104" s="7"/>
      <c r="C104" s="53"/>
      <c r="D104" s="53"/>
      <c r="E104" s="53"/>
      <c r="F104" s="52" t="str">
        <f>IF(H100&lt;&gt;"",VLOOKUP(H100,'Team Setup'!$B$5:$D$36,3,FALSE),"")</f>
        <v/>
      </c>
      <c r="G104" s="53"/>
      <c r="H104" s="17"/>
      <c r="I104" s="17"/>
      <c r="J104" s="17"/>
      <c r="K104" s="217"/>
      <c r="L104" s="17"/>
      <c r="M104" s="17"/>
      <c r="N104" s="17" t="s">
        <v>190</v>
      </c>
      <c r="O104" s="17" t="s">
        <v>24</v>
      </c>
      <c r="P104" s="19" t="str">
        <f>IF(AND(P105&lt;&gt;"",R105&lt;&gt;""),IF(AND(V102&lt;&gt;"",X102&lt;&gt;"",V102&gt;X102),N105&amp;" win on Penalty Kick",IF(AND(V102&lt;&gt;"",X102&lt;&gt;"",V102&lt;X102),T105&amp;" win on Penalty Kick",IF(P105&gt;R105,N105&amp;" win",IF(R105&gt;P105,T105&amp;" win",IF(AND(P105=R105,L100&gt;V100),T105&amp;" win on away goals",IF(AND(P105=R105,L100&lt;V100+V101),N105&amp;" win on away goals","")))))),"")</f>
        <v/>
      </c>
      <c r="Q104" s="19"/>
      <c r="R104" s="19"/>
      <c r="S104" s="17"/>
      <c r="T104" s="17"/>
      <c r="U104" s="17"/>
      <c r="V104" s="17"/>
      <c r="W104" s="17"/>
      <c r="X104" s="17"/>
      <c r="Y104" s="17"/>
      <c r="Z104" s="17"/>
      <c r="AA104" s="57"/>
      <c r="AB104" s="57"/>
      <c r="AC104" s="57"/>
      <c r="AD104" s="57"/>
      <c r="AE104" s="58" t="str">
        <f>IF(Z100&lt;&gt;"",VLOOKUP(Z100,'Team Setup'!$B$5:$D$36,3,FALSE),"")</f>
        <v/>
      </c>
      <c r="AF104" s="9"/>
      <c r="CF104" s="3"/>
      <c r="CG104" s="3"/>
    </row>
    <row r="105" spans="2:85" ht="15" customHeight="1" x14ac:dyDescent="0.2">
      <c r="B105" s="7"/>
      <c r="C105" s="53"/>
      <c r="D105" s="53"/>
      <c r="E105" s="53"/>
      <c r="F105" s="53"/>
      <c r="G105" s="53"/>
      <c r="H105" s="6"/>
      <c r="I105" s="6"/>
      <c r="J105" s="218"/>
      <c r="K105" s="20"/>
      <c r="L105" s="21"/>
      <c r="M105" s="218"/>
      <c r="N105" s="22" t="str">
        <f>H100</f>
        <v/>
      </c>
      <c r="O105" s="4"/>
      <c r="P105" s="23" t="str">
        <f>IF(AND(L100&lt;&gt;"",V100&lt;&gt;"",X100&lt;&gt;"",J100&lt;&gt;""),J100+V100+V101,"")</f>
        <v/>
      </c>
      <c r="Q105" s="24" t="s">
        <v>4</v>
      </c>
      <c r="R105" s="23" t="str">
        <f>IF(AND(L100&lt;&gt;"",V100&lt;&gt;"",X100&lt;&gt;"",J100&lt;&gt;""),L100+X100+X101,"")</f>
        <v/>
      </c>
      <c r="S105" s="4"/>
      <c r="T105" s="4" t="str">
        <f>Z100</f>
        <v/>
      </c>
      <c r="U105" s="6"/>
      <c r="V105" s="6"/>
      <c r="W105" s="6"/>
      <c r="X105" s="6"/>
      <c r="Y105" s="6"/>
      <c r="Z105" s="6"/>
      <c r="AA105" s="57"/>
      <c r="AB105" s="57"/>
      <c r="AC105" s="57"/>
      <c r="AD105" s="57"/>
      <c r="AE105" s="57"/>
      <c r="AF105" s="9"/>
      <c r="CF105" s="3"/>
      <c r="CG105" s="3"/>
    </row>
    <row r="106" spans="2:85" ht="15" customHeight="1" x14ac:dyDescent="0.2">
      <c r="B106" s="7"/>
      <c r="G106" s="6"/>
      <c r="H106" s="6"/>
      <c r="I106" s="6"/>
      <c r="J106" s="6"/>
      <c r="K106" s="8"/>
      <c r="L106" s="6"/>
      <c r="M106" s="6"/>
      <c r="N106" s="6"/>
      <c r="O106" s="6"/>
      <c r="P106" s="6"/>
      <c r="Q106" s="6"/>
      <c r="R106" s="6"/>
      <c r="S106" s="6"/>
      <c r="T106" s="6"/>
      <c r="U106" s="6"/>
      <c r="V106" s="6"/>
      <c r="W106" s="6"/>
      <c r="X106" s="6"/>
      <c r="Y106" s="6"/>
      <c r="Z106" s="6"/>
      <c r="AA106" s="6"/>
      <c r="AD106" s="6"/>
      <c r="AE106" s="6"/>
      <c r="AF106" s="9"/>
      <c r="CF106" s="3"/>
      <c r="CG106" s="3"/>
    </row>
    <row r="107" spans="2:85" ht="15" customHeight="1" x14ac:dyDescent="0.2">
      <c r="B107" s="7"/>
      <c r="C107" s="279" t="s">
        <v>189</v>
      </c>
      <c r="D107" s="279"/>
      <c r="E107" s="279"/>
      <c r="F107" s="279"/>
      <c r="G107" s="279"/>
      <c r="H107" s="279"/>
      <c r="I107" s="279"/>
      <c r="J107" s="279"/>
      <c r="K107" s="279"/>
      <c r="L107" s="279"/>
      <c r="M107" s="279"/>
      <c r="N107" s="279"/>
      <c r="O107" s="279"/>
      <c r="P107" s="279"/>
      <c r="Q107" s="6"/>
      <c r="R107" s="280" t="s">
        <v>188</v>
      </c>
      <c r="S107" s="280"/>
      <c r="T107" s="280"/>
      <c r="U107" s="280"/>
      <c r="V107" s="280"/>
      <c r="W107" s="280"/>
      <c r="X107" s="280"/>
      <c r="Y107" s="280"/>
      <c r="Z107" s="280"/>
      <c r="AA107" s="280"/>
      <c r="AB107" s="280"/>
      <c r="AC107" s="280"/>
      <c r="AD107" s="280"/>
      <c r="AE107" s="280"/>
      <c r="AF107" s="9"/>
      <c r="CF107" s="3"/>
      <c r="CG107" s="3"/>
    </row>
    <row r="108" spans="2:85" ht="15" customHeight="1" x14ac:dyDescent="0.2">
      <c r="B108" s="7"/>
      <c r="C108" s="51"/>
      <c r="D108" s="51"/>
      <c r="E108" s="51"/>
      <c r="F108" s="51"/>
      <c r="G108" s="51"/>
      <c r="H108" s="51"/>
      <c r="I108" s="51"/>
      <c r="J108" s="51"/>
      <c r="K108" s="51"/>
      <c r="L108" s="51"/>
      <c r="M108" s="51"/>
      <c r="N108" s="51"/>
      <c r="O108" s="51"/>
      <c r="P108" s="51"/>
      <c r="Q108" s="4"/>
      <c r="R108" s="57"/>
      <c r="S108" s="57"/>
      <c r="T108" s="57"/>
      <c r="U108" s="57"/>
      <c r="V108" s="57"/>
      <c r="W108" s="57"/>
      <c r="X108" s="57"/>
      <c r="Y108" s="57"/>
      <c r="Z108" s="57"/>
      <c r="AA108" s="57"/>
      <c r="AB108" s="57"/>
      <c r="AC108" s="57"/>
      <c r="AD108" s="57"/>
      <c r="AE108" s="57"/>
      <c r="AF108" s="9"/>
      <c r="CF108" s="3"/>
      <c r="CG108" s="3"/>
    </row>
    <row r="109" spans="2:85" ht="15" customHeight="1" x14ac:dyDescent="0.2">
      <c r="B109" s="7"/>
      <c r="C109" s="53"/>
      <c r="D109" s="53" t="s">
        <v>205</v>
      </c>
      <c r="E109" s="53"/>
      <c r="F109" s="54"/>
      <c r="G109" s="55"/>
      <c r="H109" s="69" t="str">
        <f>IF(H82&lt;&gt;"",H82,"")</f>
        <v/>
      </c>
      <c r="I109" s="53"/>
      <c r="J109" s="52"/>
      <c r="K109" s="52" t="s">
        <v>4</v>
      </c>
      <c r="L109" s="52"/>
      <c r="M109" s="53"/>
      <c r="N109" s="70" t="str">
        <f>Z109</f>
        <v/>
      </c>
      <c r="O109" s="53"/>
      <c r="P109" s="53"/>
      <c r="Q109" s="6"/>
      <c r="R109" s="57"/>
      <c r="S109" s="57"/>
      <c r="T109" s="67" t="str">
        <f>H109</f>
        <v/>
      </c>
      <c r="U109" s="57"/>
      <c r="V109" s="58"/>
      <c r="W109" s="58" t="s">
        <v>4</v>
      </c>
      <c r="X109" s="58"/>
      <c r="Y109" s="57"/>
      <c r="Z109" s="68" t="str">
        <f>IF(N82&lt;&gt;"",N82,"")</f>
        <v/>
      </c>
      <c r="AA109" s="57"/>
      <c r="AB109" s="57"/>
      <c r="AC109" s="57" t="str">
        <f>D109</f>
        <v>Quarter Final 2</v>
      </c>
      <c r="AD109" s="57"/>
      <c r="AE109" s="59"/>
      <c r="AF109" s="9"/>
      <c r="CF109" s="3"/>
      <c r="CG109" s="3"/>
    </row>
    <row r="110" spans="2:85" ht="15" customHeight="1" x14ac:dyDescent="0.2">
      <c r="B110" s="7"/>
      <c r="C110" s="53"/>
      <c r="D110" s="53" t="s">
        <v>1</v>
      </c>
      <c r="E110" s="53" t="s">
        <v>24</v>
      </c>
      <c r="F110" s="56"/>
      <c r="G110" s="53"/>
      <c r="H110" s="53"/>
      <c r="I110" s="53"/>
      <c r="J110" s="53"/>
      <c r="K110" s="52"/>
      <c r="L110" s="53"/>
      <c r="M110" s="53"/>
      <c r="N110" s="53"/>
      <c r="O110" s="53"/>
      <c r="P110" s="53"/>
      <c r="Q110" s="6"/>
      <c r="R110" s="57"/>
      <c r="S110" s="57"/>
      <c r="T110" s="57"/>
      <c r="U110" s="223" t="s">
        <v>288</v>
      </c>
      <c r="V110" s="58"/>
      <c r="W110" s="223" t="s">
        <v>4</v>
      </c>
      <c r="X110" s="58"/>
      <c r="Y110" s="57"/>
      <c r="Z110" s="57"/>
      <c r="AA110" s="57"/>
      <c r="AB110" s="57"/>
      <c r="AC110" s="57" t="s">
        <v>1</v>
      </c>
      <c r="AD110" s="57" t="s">
        <v>24</v>
      </c>
      <c r="AE110" s="60"/>
      <c r="AF110" s="9"/>
      <c r="CF110" s="3"/>
      <c r="CG110" s="3"/>
    </row>
    <row r="111" spans="2:85" ht="15" customHeight="1" x14ac:dyDescent="0.2">
      <c r="B111" s="7"/>
      <c r="C111" s="53"/>
      <c r="D111" s="53" t="s">
        <v>2</v>
      </c>
      <c r="E111" s="53" t="s">
        <v>24</v>
      </c>
      <c r="F111" s="53"/>
      <c r="G111" s="53"/>
      <c r="H111" s="221"/>
      <c r="I111" s="221"/>
      <c r="J111" s="221"/>
      <c r="K111" s="222"/>
      <c r="L111" s="221"/>
      <c r="M111" s="221"/>
      <c r="N111" s="221"/>
      <c r="O111" s="221"/>
      <c r="P111" s="221"/>
      <c r="R111" s="219"/>
      <c r="S111" s="219"/>
      <c r="T111" s="219"/>
      <c r="U111" s="224" t="s">
        <v>287</v>
      </c>
      <c r="V111" s="220"/>
      <c r="W111" s="223" t="s">
        <v>4</v>
      </c>
      <c r="X111" s="220"/>
      <c r="Y111" s="219"/>
      <c r="Z111" s="219"/>
      <c r="AA111" s="57"/>
      <c r="AB111" s="57"/>
      <c r="AC111" s="57" t="s">
        <v>2</v>
      </c>
      <c r="AD111" s="57" t="s">
        <v>24</v>
      </c>
      <c r="AE111" s="58"/>
      <c r="AF111" s="9"/>
      <c r="CF111" s="3"/>
      <c r="CG111" s="3"/>
    </row>
    <row r="112" spans="2:85" ht="15" customHeight="1" x14ac:dyDescent="0.2">
      <c r="B112" s="7"/>
      <c r="C112" s="53"/>
      <c r="D112" s="53" t="s">
        <v>191</v>
      </c>
      <c r="E112" s="53" t="s">
        <v>24</v>
      </c>
      <c r="F112" s="52" t="str">
        <f>IF(H109&lt;&gt;"",VLOOKUP(H109,'Team Setup'!$B$5:$C$36,2,FALSE),"")</f>
        <v/>
      </c>
      <c r="G112" s="53"/>
      <c r="H112" s="221"/>
      <c r="I112" s="221"/>
      <c r="J112" s="221"/>
      <c r="K112" s="222"/>
      <c r="L112" s="221"/>
      <c r="M112" s="221"/>
      <c r="N112" s="221"/>
      <c r="O112" s="221"/>
      <c r="P112" s="221"/>
      <c r="R112" s="219"/>
      <c r="S112" s="219"/>
      <c r="T112" s="219"/>
      <c r="U112" s="219"/>
      <c r="V112" s="219"/>
      <c r="W112" s="219"/>
      <c r="X112" s="219"/>
      <c r="Y112" s="219"/>
      <c r="Z112" s="219"/>
      <c r="AA112" s="57"/>
      <c r="AB112" s="57"/>
      <c r="AC112" s="57" t="s">
        <v>191</v>
      </c>
      <c r="AD112" s="57" t="s">
        <v>24</v>
      </c>
      <c r="AE112" s="58" t="str">
        <f>IF(Z109&lt;&gt;"",VLOOKUP(Z109,'Team Setup'!$B$5:$C$36,2,FALSE),"")</f>
        <v/>
      </c>
      <c r="AF112" s="9"/>
      <c r="CF112" s="3"/>
      <c r="CG112" s="3"/>
    </row>
    <row r="113" spans="2:85" ht="15" customHeight="1" x14ac:dyDescent="0.2">
      <c r="B113" s="7"/>
      <c r="C113" s="53"/>
      <c r="D113" s="53"/>
      <c r="E113" s="53"/>
      <c r="F113" s="52" t="str">
        <f>IF(H109&lt;&gt;"",VLOOKUP(H109,'Team Setup'!$B$5:$D$36,3,FALSE),"")</f>
        <v/>
      </c>
      <c r="G113" s="53"/>
      <c r="H113" s="17"/>
      <c r="I113" s="17"/>
      <c r="J113" s="17"/>
      <c r="K113" s="217"/>
      <c r="L113" s="17"/>
      <c r="M113" s="17"/>
      <c r="N113" s="17" t="s">
        <v>190</v>
      </c>
      <c r="O113" s="17" t="s">
        <v>24</v>
      </c>
      <c r="P113" s="19" t="str">
        <f>IF(AND(P114&lt;&gt;"",R114&lt;&gt;""),IF(AND(V111&lt;&gt;"",X111&lt;&gt;"",V111&gt;X111),N114&amp;" win on Penalty Kick",IF(AND(V111&lt;&gt;"",X111&lt;&gt;"",V111&lt;X111),T114&amp;" win on Penalty Kick",IF(P114&gt;R114,N114&amp;" win",IF(R114&gt;P114,T114&amp;" win",IF(AND(P114=R114,L109&gt;V109),T114&amp;" win on away goals",IF(AND(P114=R114,L109&lt;V109+V110),N114&amp;" win on away goals","")))))),"")</f>
        <v/>
      </c>
      <c r="Q113" s="19"/>
      <c r="R113" s="19"/>
      <c r="S113" s="17"/>
      <c r="T113" s="17"/>
      <c r="U113" s="17"/>
      <c r="V113" s="17"/>
      <c r="W113" s="17"/>
      <c r="X113" s="17"/>
      <c r="Y113" s="17"/>
      <c r="Z113" s="17"/>
      <c r="AA113" s="57"/>
      <c r="AB113" s="57"/>
      <c r="AC113" s="57"/>
      <c r="AD113" s="57"/>
      <c r="AE113" s="58" t="str">
        <f>IF(Z109&lt;&gt;"",VLOOKUP(Z109,'Team Setup'!$B$5:$D$36,3,FALSE),"")</f>
        <v/>
      </c>
      <c r="AF113" s="9"/>
      <c r="CF113" s="3"/>
      <c r="CG113" s="3"/>
    </row>
    <row r="114" spans="2:85" ht="15" customHeight="1" x14ac:dyDescent="0.2">
      <c r="B114" s="7"/>
      <c r="C114" s="53"/>
      <c r="D114" s="53"/>
      <c r="E114" s="53"/>
      <c r="F114" s="53"/>
      <c r="G114" s="53"/>
      <c r="H114" s="6"/>
      <c r="I114" s="6"/>
      <c r="J114" s="218"/>
      <c r="K114" s="20"/>
      <c r="L114" s="21"/>
      <c r="M114" s="218"/>
      <c r="N114" s="22" t="str">
        <f>H109</f>
        <v/>
      </c>
      <c r="O114" s="4"/>
      <c r="P114" s="23" t="str">
        <f>IF(AND(L109&lt;&gt;"",V109&lt;&gt;"",X109&lt;&gt;"",J109&lt;&gt;""),J109+V109+V110,"")</f>
        <v/>
      </c>
      <c r="Q114" s="24" t="s">
        <v>4</v>
      </c>
      <c r="R114" s="23" t="str">
        <f>IF(AND(L109&lt;&gt;"",V109&lt;&gt;"",X109&lt;&gt;"",J109&lt;&gt;""),L109+X109+X110,"")</f>
        <v/>
      </c>
      <c r="S114" s="4"/>
      <c r="T114" s="4" t="str">
        <f>Z109</f>
        <v/>
      </c>
      <c r="U114" s="6"/>
      <c r="V114" s="6"/>
      <c r="W114" s="6"/>
      <c r="X114" s="6"/>
      <c r="Y114" s="6"/>
      <c r="Z114" s="6"/>
      <c r="AA114" s="57"/>
      <c r="AB114" s="57"/>
      <c r="AC114" s="57"/>
      <c r="AD114" s="57"/>
      <c r="AE114" s="57"/>
      <c r="AF114" s="9"/>
      <c r="CF114" s="3"/>
      <c r="CG114" s="3"/>
    </row>
    <row r="115" spans="2:85" ht="15" customHeight="1" x14ac:dyDescent="0.2">
      <c r="B115" s="7"/>
      <c r="G115" s="6"/>
      <c r="H115" s="6"/>
      <c r="I115" s="6"/>
      <c r="J115" s="6"/>
      <c r="K115" s="8"/>
      <c r="L115" s="6"/>
      <c r="M115" s="6"/>
      <c r="N115" s="6"/>
      <c r="O115" s="6"/>
      <c r="P115" s="6"/>
      <c r="Q115" s="6"/>
      <c r="R115" s="6"/>
      <c r="S115" s="6"/>
      <c r="T115" s="6"/>
      <c r="U115" s="6"/>
      <c r="V115" s="6"/>
      <c r="W115" s="6"/>
      <c r="X115" s="6"/>
      <c r="Y115" s="6"/>
      <c r="Z115" s="6"/>
      <c r="AA115" s="6"/>
      <c r="AD115" s="6"/>
      <c r="AE115" s="6"/>
      <c r="AF115" s="9"/>
      <c r="CF115" s="3"/>
      <c r="CG115" s="3"/>
    </row>
    <row r="116" spans="2:85" ht="15" customHeight="1" x14ac:dyDescent="0.2">
      <c r="B116" s="7"/>
      <c r="C116" s="279" t="s">
        <v>189</v>
      </c>
      <c r="D116" s="279"/>
      <c r="E116" s="279"/>
      <c r="F116" s="279"/>
      <c r="G116" s="279"/>
      <c r="H116" s="279"/>
      <c r="I116" s="279"/>
      <c r="J116" s="279"/>
      <c r="K116" s="279"/>
      <c r="L116" s="279"/>
      <c r="M116" s="279"/>
      <c r="N116" s="279"/>
      <c r="O116" s="279"/>
      <c r="P116" s="279"/>
      <c r="Q116" s="6"/>
      <c r="R116" s="280" t="s">
        <v>188</v>
      </c>
      <c r="S116" s="280"/>
      <c r="T116" s="280"/>
      <c r="U116" s="280"/>
      <c r="V116" s="280"/>
      <c r="W116" s="280"/>
      <c r="X116" s="280"/>
      <c r="Y116" s="280"/>
      <c r="Z116" s="280"/>
      <c r="AA116" s="280"/>
      <c r="AB116" s="280"/>
      <c r="AC116" s="280"/>
      <c r="AD116" s="280"/>
      <c r="AE116" s="280"/>
      <c r="AF116" s="9"/>
      <c r="CF116" s="3"/>
      <c r="CG116" s="3"/>
    </row>
    <row r="117" spans="2:85" ht="15" customHeight="1" x14ac:dyDescent="0.2">
      <c r="B117" s="7"/>
      <c r="C117" s="51"/>
      <c r="D117" s="51"/>
      <c r="E117" s="51"/>
      <c r="F117" s="51"/>
      <c r="G117" s="51"/>
      <c r="H117" s="51"/>
      <c r="I117" s="51"/>
      <c r="J117" s="51"/>
      <c r="K117" s="51"/>
      <c r="L117" s="51"/>
      <c r="M117" s="51"/>
      <c r="N117" s="51"/>
      <c r="O117" s="51"/>
      <c r="P117" s="51"/>
      <c r="Q117" s="4"/>
      <c r="R117" s="57"/>
      <c r="S117" s="57"/>
      <c r="T117" s="57"/>
      <c r="U117" s="57"/>
      <c r="V117" s="57"/>
      <c r="W117" s="57"/>
      <c r="X117" s="57"/>
      <c r="Y117" s="57"/>
      <c r="Z117" s="57"/>
      <c r="AA117" s="57"/>
      <c r="AB117" s="57"/>
      <c r="AC117" s="57"/>
      <c r="AD117" s="57"/>
      <c r="AE117" s="57"/>
      <c r="AF117" s="9"/>
      <c r="CF117" s="3"/>
      <c r="CG117" s="3"/>
    </row>
    <row r="118" spans="2:85" ht="15" customHeight="1" x14ac:dyDescent="0.2">
      <c r="B118" s="7"/>
      <c r="C118" s="53"/>
      <c r="D118" s="53" t="s">
        <v>206</v>
      </c>
      <c r="E118" s="53"/>
      <c r="F118" s="54"/>
      <c r="G118" s="55"/>
      <c r="H118" s="69" t="str">
        <f>IF(H83&lt;&gt;"",H83,"")</f>
        <v/>
      </c>
      <c r="I118" s="53"/>
      <c r="J118" s="52"/>
      <c r="K118" s="52" t="s">
        <v>4</v>
      </c>
      <c r="L118" s="52"/>
      <c r="M118" s="53"/>
      <c r="N118" s="70" t="str">
        <f>Z118</f>
        <v/>
      </c>
      <c r="O118" s="53"/>
      <c r="P118" s="53"/>
      <c r="Q118" s="6"/>
      <c r="R118" s="57"/>
      <c r="S118" s="57"/>
      <c r="T118" s="67" t="str">
        <f>H118</f>
        <v/>
      </c>
      <c r="U118" s="57"/>
      <c r="V118" s="58"/>
      <c r="W118" s="58" t="s">
        <v>4</v>
      </c>
      <c r="X118" s="58"/>
      <c r="Y118" s="57"/>
      <c r="Z118" s="68" t="str">
        <f>IF(N83&lt;&gt;"",N83,"")</f>
        <v/>
      </c>
      <c r="AA118" s="57"/>
      <c r="AB118" s="57"/>
      <c r="AC118" s="57" t="str">
        <f>D118</f>
        <v>Quarter Final 3</v>
      </c>
      <c r="AD118" s="57"/>
      <c r="AE118" s="59"/>
      <c r="AF118" s="9"/>
      <c r="CF118" s="3"/>
      <c r="CG118" s="3"/>
    </row>
    <row r="119" spans="2:85" ht="15" customHeight="1" x14ac:dyDescent="0.2">
      <c r="B119" s="7"/>
      <c r="C119" s="53"/>
      <c r="D119" s="53" t="s">
        <v>1</v>
      </c>
      <c r="E119" s="53" t="s">
        <v>24</v>
      </c>
      <c r="F119" s="56"/>
      <c r="G119" s="53"/>
      <c r="H119" s="53"/>
      <c r="I119" s="53"/>
      <c r="J119" s="53"/>
      <c r="K119" s="52"/>
      <c r="L119" s="53"/>
      <c r="M119" s="53"/>
      <c r="N119" s="53"/>
      <c r="O119" s="53"/>
      <c r="P119" s="53"/>
      <c r="Q119" s="6"/>
      <c r="R119" s="57"/>
      <c r="S119" s="57"/>
      <c r="T119" s="57"/>
      <c r="U119" s="223" t="s">
        <v>288</v>
      </c>
      <c r="V119" s="58"/>
      <c r="W119" s="223" t="s">
        <v>4</v>
      </c>
      <c r="X119" s="58"/>
      <c r="Y119" s="57"/>
      <c r="Z119" s="57"/>
      <c r="AA119" s="57"/>
      <c r="AB119" s="57"/>
      <c r="AC119" s="57" t="s">
        <v>1</v>
      </c>
      <c r="AD119" s="57" t="s">
        <v>24</v>
      </c>
      <c r="AE119" s="60"/>
      <c r="AF119" s="9"/>
      <c r="CF119" s="3"/>
      <c r="CG119" s="3"/>
    </row>
    <row r="120" spans="2:85" ht="15" customHeight="1" x14ac:dyDescent="0.2">
      <c r="B120" s="7"/>
      <c r="C120" s="53"/>
      <c r="D120" s="53" t="s">
        <v>2</v>
      </c>
      <c r="E120" s="53" t="s">
        <v>24</v>
      </c>
      <c r="F120" s="53"/>
      <c r="G120" s="53"/>
      <c r="H120" s="221"/>
      <c r="I120" s="221"/>
      <c r="J120" s="221"/>
      <c r="K120" s="222"/>
      <c r="L120" s="221"/>
      <c r="M120" s="221"/>
      <c r="N120" s="221"/>
      <c r="O120" s="221"/>
      <c r="P120" s="221"/>
      <c r="R120" s="219"/>
      <c r="S120" s="219"/>
      <c r="T120" s="219"/>
      <c r="U120" s="224" t="s">
        <v>287</v>
      </c>
      <c r="V120" s="220"/>
      <c r="W120" s="223" t="s">
        <v>4</v>
      </c>
      <c r="X120" s="220"/>
      <c r="Y120" s="219"/>
      <c r="Z120" s="219"/>
      <c r="AA120" s="57"/>
      <c r="AB120" s="57"/>
      <c r="AC120" s="57" t="s">
        <v>2</v>
      </c>
      <c r="AD120" s="57" t="s">
        <v>24</v>
      </c>
      <c r="AE120" s="58"/>
      <c r="AF120" s="9"/>
      <c r="CF120" s="3"/>
      <c r="CG120" s="3"/>
    </row>
    <row r="121" spans="2:85" ht="15" customHeight="1" x14ac:dyDescent="0.2">
      <c r="B121" s="7"/>
      <c r="C121" s="53"/>
      <c r="D121" s="53" t="s">
        <v>191</v>
      </c>
      <c r="E121" s="53" t="s">
        <v>24</v>
      </c>
      <c r="F121" s="52" t="str">
        <f>IF(H118&lt;&gt;"",VLOOKUP(H118,'Team Setup'!$B$5:$C$36,2,FALSE),"")</f>
        <v/>
      </c>
      <c r="G121" s="53"/>
      <c r="H121" s="221"/>
      <c r="I121" s="221"/>
      <c r="J121" s="221"/>
      <c r="K121" s="222"/>
      <c r="L121" s="221"/>
      <c r="M121" s="221"/>
      <c r="N121" s="221"/>
      <c r="O121" s="221"/>
      <c r="P121" s="221"/>
      <c r="R121" s="219"/>
      <c r="S121" s="219"/>
      <c r="T121" s="219"/>
      <c r="U121" s="219"/>
      <c r="V121" s="219"/>
      <c r="W121" s="219"/>
      <c r="X121" s="219"/>
      <c r="Y121" s="219"/>
      <c r="Z121" s="219"/>
      <c r="AA121" s="57"/>
      <c r="AB121" s="57"/>
      <c r="AC121" s="57" t="s">
        <v>191</v>
      </c>
      <c r="AD121" s="57" t="s">
        <v>24</v>
      </c>
      <c r="AE121" s="58" t="str">
        <f>IF(Z118&lt;&gt;"",VLOOKUP(Z118,'Team Setup'!$B$5:$C$36,2,FALSE),"")</f>
        <v/>
      </c>
      <c r="AF121" s="9"/>
      <c r="CF121" s="3"/>
      <c r="CG121" s="3"/>
    </row>
    <row r="122" spans="2:85" ht="15" customHeight="1" x14ac:dyDescent="0.2">
      <c r="B122" s="7"/>
      <c r="C122" s="53"/>
      <c r="D122" s="53"/>
      <c r="E122" s="53"/>
      <c r="F122" s="52" t="str">
        <f>IF(H118&lt;&gt;"",VLOOKUP(H118,'Team Setup'!$B$5:$D$36,3,FALSE),"")</f>
        <v/>
      </c>
      <c r="G122" s="53"/>
      <c r="H122" s="17"/>
      <c r="I122" s="17"/>
      <c r="J122" s="17"/>
      <c r="K122" s="217"/>
      <c r="L122" s="17"/>
      <c r="M122" s="17"/>
      <c r="N122" s="17" t="s">
        <v>190</v>
      </c>
      <c r="O122" s="17" t="s">
        <v>24</v>
      </c>
      <c r="P122" s="19" t="str">
        <f>IF(AND(P123&lt;&gt;"",R123&lt;&gt;""),IF(AND(V120&lt;&gt;"",X120&lt;&gt;"",V120&gt;X120),N123&amp;" win on Penalty Kick",IF(AND(V120&lt;&gt;"",X120&lt;&gt;"",V120&lt;X120),T123&amp;" win on Penalty Kick",IF(P123&gt;R123,N123&amp;" win",IF(R123&gt;P123,T123&amp;" win",IF(AND(P123=R123,L118&gt;V118),T123&amp;" win on away goals",IF(AND(P123=R123,L118&lt;V118+V119),N123&amp;" win on away goals","")))))),"")</f>
        <v/>
      </c>
      <c r="Q122" s="19"/>
      <c r="R122" s="19"/>
      <c r="S122" s="17"/>
      <c r="T122" s="17"/>
      <c r="U122" s="17"/>
      <c r="V122" s="17"/>
      <c r="W122" s="17"/>
      <c r="X122" s="17"/>
      <c r="Y122" s="17"/>
      <c r="Z122" s="17"/>
      <c r="AA122" s="57"/>
      <c r="AB122" s="57"/>
      <c r="AC122" s="57"/>
      <c r="AD122" s="57"/>
      <c r="AE122" s="58" t="str">
        <f>IF(Z118&lt;&gt;"",VLOOKUP(Z118,'Team Setup'!$B$5:$D$36,3,FALSE),"")</f>
        <v/>
      </c>
      <c r="AF122" s="9"/>
      <c r="CF122" s="3"/>
      <c r="CG122" s="3"/>
    </row>
    <row r="123" spans="2:85" ht="15" customHeight="1" x14ac:dyDescent="0.2">
      <c r="B123" s="7"/>
      <c r="C123" s="53"/>
      <c r="D123" s="53"/>
      <c r="E123" s="53"/>
      <c r="F123" s="53"/>
      <c r="G123" s="53"/>
      <c r="H123" s="6"/>
      <c r="I123" s="6"/>
      <c r="J123" s="218"/>
      <c r="K123" s="20"/>
      <c r="L123" s="21"/>
      <c r="M123" s="218"/>
      <c r="N123" s="22" t="str">
        <f>H118</f>
        <v/>
      </c>
      <c r="O123" s="4"/>
      <c r="P123" s="23" t="str">
        <f>IF(AND(L118&lt;&gt;"",V118&lt;&gt;"",X118&lt;&gt;"",J118&lt;&gt;""),J118+V118+V119,"")</f>
        <v/>
      </c>
      <c r="Q123" s="24" t="s">
        <v>4</v>
      </c>
      <c r="R123" s="23" t="str">
        <f>IF(AND(L118&lt;&gt;"",V118&lt;&gt;"",X118&lt;&gt;"",J118&lt;&gt;""),L118+X118+X119,"")</f>
        <v/>
      </c>
      <c r="S123" s="4"/>
      <c r="T123" s="4" t="str">
        <f>Z118</f>
        <v/>
      </c>
      <c r="U123" s="6"/>
      <c r="V123" s="6"/>
      <c r="W123" s="6"/>
      <c r="X123" s="6"/>
      <c r="Y123" s="6"/>
      <c r="Z123" s="6"/>
      <c r="AA123" s="57"/>
      <c r="AB123" s="57"/>
      <c r="AC123" s="57"/>
      <c r="AD123" s="57"/>
      <c r="AE123" s="57"/>
      <c r="AF123" s="9"/>
      <c r="CF123" s="3"/>
      <c r="CG123" s="3"/>
    </row>
    <row r="124" spans="2:85" ht="15" customHeight="1" x14ac:dyDescent="0.2">
      <c r="B124" s="7"/>
      <c r="G124" s="6"/>
      <c r="H124" s="6"/>
      <c r="I124" s="6"/>
      <c r="J124" s="6"/>
      <c r="K124" s="8"/>
      <c r="L124" s="6"/>
      <c r="M124" s="6"/>
      <c r="N124" s="6"/>
      <c r="O124" s="6"/>
      <c r="P124" s="6"/>
      <c r="Q124" s="6"/>
      <c r="R124" s="6"/>
      <c r="S124" s="6"/>
      <c r="T124" s="6"/>
      <c r="U124" s="6"/>
      <c r="V124" s="6"/>
      <c r="W124" s="6"/>
      <c r="X124" s="6"/>
      <c r="Y124" s="6"/>
      <c r="Z124" s="6"/>
      <c r="AA124" s="6"/>
      <c r="AD124" s="6"/>
      <c r="AE124" s="6"/>
      <c r="AF124" s="9"/>
      <c r="CF124" s="3"/>
      <c r="CG124" s="3"/>
    </row>
    <row r="125" spans="2:85" ht="15" customHeight="1" x14ac:dyDescent="0.2">
      <c r="B125" s="7"/>
      <c r="C125" s="279" t="s">
        <v>189</v>
      </c>
      <c r="D125" s="279"/>
      <c r="E125" s="279"/>
      <c r="F125" s="279"/>
      <c r="G125" s="279"/>
      <c r="H125" s="279"/>
      <c r="I125" s="279"/>
      <c r="J125" s="279"/>
      <c r="K125" s="279"/>
      <c r="L125" s="279"/>
      <c r="M125" s="279"/>
      <c r="N125" s="279"/>
      <c r="O125" s="279"/>
      <c r="P125" s="279"/>
      <c r="Q125" s="6"/>
      <c r="R125" s="280" t="s">
        <v>188</v>
      </c>
      <c r="S125" s="280"/>
      <c r="T125" s="280"/>
      <c r="U125" s="280"/>
      <c r="V125" s="280"/>
      <c r="W125" s="280"/>
      <c r="X125" s="280"/>
      <c r="Y125" s="280"/>
      <c r="Z125" s="280"/>
      <c r="AA125" s="280"/>
      <c r="AB125" s="280"/>
      <c r="AC125" s="280"/>
      <c r="AD125" s="280"/>
      <c r="AE125" s="280"/>
      <c r="AF125" s="9"/>
      <c r="CF125" s="3"/>
      <c r="CG125" s="3"/>
    </row>
    <row r="126" spans="2:85" ht="15" customHeight="1" x14ac:dyDescent="0.2">
      <c r="B126" s="7"/>
      <c r="C126" s="51"/>
      <c r="D126" s="51"/>
      <c r="E126" s="51"/>
      <c r="F126" s="51"/>
      <c r="G126" s="51"/>
      <c r="H126" s="51"/>
      <c r="I126" s="51"/>
      <c r="J126" s="51"/>
      <c r="K126" s="51"/>
      <c r="L126" s="51"/>
      <c r="M126" s="51"/>
      <c r="N126" s="51"/>
      <c r="O126" s="51"/>
      <c r="P126" s="51"/>
      <c r="Q126" s="4"/>
      <c r="R126" s="57"/>
      <c r="S126" s="57"/>
      <c r="T126" s="57"/>
      <c r="U126" s="57"/>
      <c r="V126" s="57"/>
      <c r="W126" s="57"/>
      <c r="X126" s="57"/>
      <c r="Y126" s="57"/>
      <c r="Z126" s="57"/>
      <c r="AA126" s="57"/>
      <c r="AB126" s="57"/>
      <c r="AC126" s="57"/>
      <c r="AD126" s="57"/>
      <c r="AE126" s="57"/>
      <c r="AF126" s="9"/>
      <c r="CF126" s="3"/>
      <c r="CG126" s="3"/>
    </row>
    <row r="127" spans="2:85" ht="15" customHeight="1" x14ac:dyDescent="0.2">
      <c r="B127" s="7"/>
      <c r="C127" s="53"/>
      <c r="D127" s="53" t="s">
        <v>207</v>
      </c>
      <c r="E127" s="53"/>
      <c r="F127" s="54"/>
      <c r="G127" s="55"/>
      <c r="H127" s="69" t="str">
        <f>IF(H84&lt;&gt;"",H84,"")</f>
        <v/>
      </c>
      <c r="I127" s="53"/>
      <c r="J127" s="52"/>
      <c r="K127" s="52" t="s">
        <v>4</v>
      </c>
      <c r="L127" s="52"/>
      <c r="M127" s="53"/>
      <c r="N127" s="70" t="str">
        <f>Z127</f>
        <v/>
      </c>
      <c r="O127" s="53"/>
      <c r="P127" s="53"/>
      <c r="Q127" s="6"/>
      <c r="R127" s="57"/>
      <c r="S127" s="57"/>
      <c r="T127" s="67" t="str">
        <f>H127</f>
        <v/>
      </c>
      <c r="U127" s="57"/>
      <c r="V127" s="58"/>
      <c r="W127" s="58" t="s">
        <v>4</v>
      </c>
      <c r="X127" s="58"/>
      <c r="Y127" s="57"/>
      <c r="Z127" s="68" t="str">
        <f>IF(N84&lt;&gt;"",N84,"")</f>
        <v/>
      </c>
      <c r="AA127" s="57"/>
      <c r="AB127" s="57"/>
      <c r="AC127" s="57" t="str">
        <f>D127</f>
        <v>Quarter Final 4</v>
      </c>
      <c r="AD127" s="57"/>
      <c r="AE127" s="59"/>
      <c r="AF127" s="9"/>
      <c r="CF127" s="3"/>
      <c r="CG127" s="3"/>
    </row>
    <row r="128" spans="2:85" ht="15" customHeight="1" x14ac:dyDescent="0.2">
      <c r="B128" s="7"/>
      <c r="C128" s="53"/>
      <c r="D128" s="53" t="s">
        <v>1</v>
      </c>
      <c r="E128" s="53" t="s">
        <v>24</v>
      </c>
      <c r="F128" s="56"/>
      <c r="G128" s="53"/>
      <c r="H128" s="53"/>
      <c r="I128" s="53"/>
      <c r="J128" s="53"/>
      <c r="K128" s="52"/>
      <c r="L128" s="53"/>
      <c r="M128" s="53"/>
      <c r="N128" s="53"/>
      <c r="O128" s="53"/>
      <c r="P128" s="53"/>
      <c r="Q128" s="6"/>
      <c r="R128" s="57"/>
      <c r="S128" s="57"/>
      <c r="T128" s="57"/>
      <c r="U128" s="223" t="s">
        <v>288</v>
      </c>
      <c r="V128" s="58"/>
      <c r="W128" s="223" t="s">
        <v>4</v>
      </c>
      <c r="X128" s="58"/>
      <c r="Y128" s="57"/>
      <c r="Z128" s="57"/>
      <c r="AA128" s="57"/>
      <c r="AB128" s="57"/>
      <c r="AC128" s="57" t="s">
        <v>1</v>
      </c>
      <c r="AD128" s="57" t="s">
        <v>24</v>
      </c>
      <c r="AE128" s="60"/>
      <c r="AF128" s="9"/>
      <c r="CF128" s="3"/>
      <c r="CG128" s="3"/>
    </row>
    <row r="129" spans="2:108" ht="15" customHeight="1" x14ac:dyDescent="0.2">
      <c r="B129" s="7"/>
      <c r="C129" s="53"/>
      <c r="D129" s="53" t="s">
        <v>2</v>
      </c>
      <c r="E129" s="53" t="s">
        <v>24</v>
      </c>
      <c r="F129" s="53"/>
      <c r="G129" s="53"/>
      <c r="H129" s="221"/>
      <c r="I129" s="221"/>
      <c r="J129" s="221"/>
      <c r="K129" s="222"/>
      <c r="L129" s="221"/>
      <c r="M129" s="221"/>
      <c r="N129" s="221"/>
      <c r="O129" s="221"/>
      <c r="P129" s="221"/>
      <c r="R129" s="219"/>
      <c r="S129" s="219"/>
      <c r="T129" s="219"/>
      <c r="U129" s="224" t="s">
        <v>287</v>
      </c>
      <c r="V129" s="220"/>
      <c r="W129" s="223" t="s">
        <v>4</v>
      </c>
      <c r="X129" s="220"/>
      <c r="Y129" s="219"/>
      <c r="Z129" s="219"/>
      <c r="AA129" s="57"/>
      <c r="AB129" s="57"/>
      <c r="AC129" s="57" t="s">
        <v>2</v>
      </c>
      <c r="AD129" s="57" t="s">
        <v>24</v>
      </c>
      <c r="AE129" s="58"/>
      <c r="AF129" s="9"/>
      <c r="CF129" s="3"/>
      <c r="CG129" s="3"/>
    </row>
    <row r="130" spans="2:108" ht="15" customHeight="1" x14ac:dyDescent="0.2">
      <c r="B130" s="7"/>
      <c r="C130" s="53"/>
      <c r="D130" s="53" t="s">
        <v>191</v>
      </c>
      <c r="E130" s="53" t="s">
        <v>24</v>
      </c>
      <c r="F130" s="52" t="str">
        <f>IF(H127&lt;&gt;"",VLOOKUP(H127,'Team Setup'!$B$5:$C$36,2,FALSE),"")</f>
        <v/>
      </c>
      <c r="G130" s="53"/>
      <c r="H130" s="221"/>
      <c r="I130" s="221"/>
      <c r="J130" s="221"/>
      <c r="K130" s="222"/>
      <c r="L130" s="221"/>
      <c r="M130" s="221"/>
      <c r="N130" s="221"/>
      <c r="O130" s="221"/>
      <c r="P130" s="221"/>
      <c r="R130" s="219"/>
      <c r="S130" s="219"/>
      <c r="T130" s="219"/>
      <c r="U130" s="219"/>
      <c r="V130" s="219"/>
      <c r="W130" s="219"/>
      <c r="X130" s="219"/>
      <c r="Y130" s="219"/>
      <c r="Z130" s="219"/>
      <c r="AA130" s="57"/>
      <c r="AB130" s="57"/>
      <c r="AC130" s="57" t="s">
        <v>191</v>
      </c>
      <c r="AD130" s="57" t="s">
        <v>24</v>
      </c>
      <c r="AE130" s="58" t="str">
        <f>IF(Z127&lt;&gt;"",VLOOKUP(Z127,'Team Setup'!$B$5:$C$36,2,FALSE),"")</f>
        <v/>
      </c>
      <c r="AF130" s="9"/>
      <c r="CF130" s="3"/>
      <c r="CG130" s="3"/>
    </row>
    <row r="131" spans="2:108" ht="15" customHeight="1" x14ac:dyDescent="0.2">
      <c r="B131" s="7"/>
      <c r="C131" s="53"/>
      <c r="D131" s="53"/>
      <c r="E131" s="53"/>
      <c r="F131" s="52" t="str">
        <f>IF(H127&lt;&gt;"",VLOOKUP(H127,'Team Setup'!$B$5:$D$36,3,FALSE),"")</f>
        <v/>
      </c>
      <c r="G131" s="53"/>
      <c r="H131" s="17"/>
      <c r="I131" s="17"/>
      <c r="J131" s="17"/>
      <c r="K131" s="217"/>
      <c r="L131" s="17"/>
      <c r="M131" s="17"/>
      <c r="N131" s="17" t="s">
        <v>190</v>
      </c>
      <c r="O131" s="17" t="s">
        <v>24</v>
      </c>
      <c r="P131" s="19" t="str">
        <f>IF(AND(P132&lt;&gt;"",R132&lt;&gt;""),IF(AND(V129&lt;&gt;"",X129&lt;&gt;"",V129&gt;X129),N132&amp;" win on Penalty Kick",IF(AND(V129&lt;&gt;"",X129&lt;&gt;"",V129&lt;X129),T132&amp;" win on Penalty Kick",IF(P132&gt;R132,N132&amp;" win",IF(R132&gt;P132,T132&amp;" win",IF(AND(P132=R132,L127&gt;V127),T132&amp;" win on away goals",IF(AND(P132=R132,L127&lt;V127+V128),N132&amp;" win on away goals","")))))),"")</f>
        <v/>
      </c>
      <c r="Q131" s="19"/>
      <c r="R131" s="19"/>
      <c r="S131" s="17"/>
      <c r="T131" s="17"/>
      <c r="U131" s="17"/>
      <c r="V131" s="17"/>
      <c r="W131" s="17"/>
      <c r="X131" s="17"/>
      <c r="Y131" s="17"/>
      <c r="Z131" s="17"/>
      <c r="AA131" s="57"/>
      <c r="AB131" s="57"/>
      <c r="AC131" s="57"/>
      <c r="AD131" s="57"/>
      <c r="AE131" s="58" t="str">
        <f>IF(Z127&lt;&gt;"",VLOOKUP(Z127,'Team Setup'!$B$5:$D$36,3,FALSE),"")</f>
        <v/>
      </c>
      <c r="AF131" s="9"/>
      <c r="CF131" s="37" t="s">
        <v>39</v>
      </c>
      <c r="CG131" s="37" t="s">
        <v>55</v>
      </c>
    </row>
    <row r="132" spans="2:108" ht="15" customHeight="1" x14ac:dyDescent="0.2">
      <c r="B132" s="7"/>
      <c r="C132" s="53"/>
      <c r="D132" s="53"/>
      <c r="E132" s="53"/>
      <c r="F132" s="53"/>
      <c r="G132" s="53"/>
      <c r="H132" s="6"/>
      <c r="I132" s="6"/>
      <c r="J132" s="218"/>
      <c r="K132" s="20"/>
      <c r="L132" s="21"/>
      <c r="M132" s="218"/>
      <c r="N132" s="22" t="str">
        <f>H127</f>
        <v/>
      </c>
      <c r="O132" s="4"/>
      <c r="P132" s="23" t="str">
        <f>IF(AND(L127&lt;&gt;"",V127&lt;&gt;"",X127&lt;&gt;"",J127&lt;&gt;""),J127+V127+V128,"")</f>
        <v/>
      </c>
      <c r="Q132" s="24" t="s">
        <v>4</v>
      </c>
      <c r="R132" s="23" t="str">
        <f>IF(AND(L127&lt;&gt;"",V127&lt;&gt;"",X127&lt;&gt;"",J127&lt;&gt;""),L127+X127+X128,"")</f>
        <v/>
      </c>
      <c r="S132" s="4"/>
      <c r="T132" s="4" t="str">
        <f>Z127</f>
        <v/>
      </c>
      <c r="U132" s="6"/>
      <c r="V132" s="6"/>
      <c r="W132" s="6"/>
      <c r="X132" s="6"/>
      <c r="Y132" s="6"/>
      <c r="Z132" s="6"/>
      <c r="AA132" s="57"/>
      <c r="AB132" s="57"/>
      <c r="AC132" s="57"/>
      <c r="AD132" s="57"/>
      <c r="AE132" s="57"/>
      <c r="AF132" s="9"/>
      <c r="CF132" s="37" t="s">
        <v>48</v>
      </c>
      <c r="CG132" s="37" t="s">
        <v>56</v>
      </c>
    </row>
    <row r="133" spans="2:108" ht="15" customHeight="1" x14ac:dyDescent="0.2">
      <c r="B133" s="7"/>
      <c r="G133" s="6"/>
      <c r="H133" s="6"/>
      <c r="I133" s="6"/>
      <c r="J133" s="6"/>
      <c r="K133" s="8"/>
      <c r="L133" s="6"/>
      <c r="M133" s="6"/>
      <c r="N133" s="6"/>
      <c r="O133" s="6"/>
      <c r="P133" s="6"/>
      <c r="Q133" s="6"/>
      <c r="R133" s="6"/>
      <c r="S133" s="6"/>
      <c r="T133" s="6"/>
      <c r="U133" s="6"/>
      <c r="V133" s="6"/>
      <c r="W133" s="6"/>
      <c r="X133" s="6"/>
      <c r="Y133" s="6"/>
      <c r="Z133" s="6"/>
      <c r="AA133" s="6"/>
      <c r="AD133" s="6"/>
      <c r="AE133" s="6"/>
      <c r="AF133" s="9"/>
      <c r="CF133" s="37" t="s">
        <v>40</v>
      </c>
      <c r="CG133" s="37" t="s">
        <v>58</v>
      </c>
    </row>
    <row r="134" spans="2:108" ht="15" customHeight="1" x14ac:dyDescent="0.2">
      <c r="B134" s="289" t="s">
        <v>22</v>
      </c>
      <c r="C134" s="290"/>
      <c r="D134" s="290"/>
      <c r="E134" s="290"/>
      <c r="F134" s="290"/>
      <c r="G134" s="290"/>
      <c r="H134" s="290"/>
      <c r="I134" s="290"/>
      <c r="J134" s="290"/>
      <c r="K134" s="290"/>
      <c r="L134" s="290"/>
      <c r="M134" s="290"/>
      <c r="N134" s="290"/>
      <c r="O134" s="290"/>
      <c r="P134" s="290"/>
      <c r="Q134" s="290"/>
      <c r="R134" s="290"/>
      <c r="S134" s="290"/>
      <c r="T134" s="290"/>
      <c r="U134" s="290"/>
      <c r="V134" s="290"/>
      <c r="W134" s="290"/>
      <c r="X134" s="290"/>
      <c r="Y134" s="290"/>
      <c r="Z134" s="290"/>
      <c r="AA134" s="290"/>
      <c r="AB134" s="290"/>
      <c r="AC134" s="290"/>
      <c r="AD134" s="290"/>
      <c r="AE134" s="290"/>
      <c r="AF134" s="291"/>
      <c r="DC134" s="3"/>
      <c r="DD134" s="37"/>
    </row>
    <row r="135" spans="2:108" ht="15" customHeight="1" x14ac:dyDescent="0.2">
      <c r="B135" s="7"/>
      <c r="G135" s="6"/>
      <c r="H135" s="6"/>
      <c r="I135" s="6"/>
      <c r="J135" s="6"/>
      <c r="K135" s="8"/>
      <c r="L135" s="6"/>
      <c r="M135" s="6"/>
      <c r="N135" s="6"/>
      <c r="O135" s="6"/>
      <c r="P135" s="6"/>
      <c r="Q135" s="6"/>
      <c r="R135" s="6"/>
      <c r="S135" s="6"/>
      <c r="T135" s="6"/>
      <c r="U135" s="6"/>
      <c r="V135" s="6"/>
      <c r="W135" s="6"/>
      <c r="X135" s="6"/>
      <c r="Y135" s="6"/>
      <c r="Z135" s="6"/>
      <c r="AA135" s="6"/>
      <c r="AD135" s="6"/>
      <c r="AE135" s="6"/>
      <c r="AF135" s="9"/>
      <c r="DC135" s="3"/>
      <c r="DD135" s="37"/>
    </row>
    <row r="136" spans="2:108" ht="15" customHeight="1" x14ac:dyDescent="0.2">
      <c r="B136" s="7"/>
      <c r="C136" s="279" t="s">
        <v>189</v>
      </c>
      <c r="D136" s="279"/>
      <c r="E136" s="279"/>
      <c r="F136" s="279"/>
      <c r="G136" s="279"/>
      <c r="H136" s="279"/>
      <c r="I136" s="279"/>
      <c r="J136" s="279"/>
      <c r="K136" s="279"/>
      <c r="L136" s="279"/>
      <c r="M136" s="279"/>
      <c r="N136" s="279"/>
      <c r="O136" s="279"/>
      <c r="P136" s="279"/>
      <c r="Q136" s="6"/>
      <c r="R136" s="280" t="s">
        <v>188</v>
      </c>
      <c r="S136" s="280"/>
      <c r="T136" s="280"/>
      <c r="U136" s="280"/>
      <c r="V136" s="280"/>
      <c r="W136" s="280"/>
      <c r="X136" s="280"/>
      <c r="Y136" s="280"/>
      <c r="Z136" s="280"/>
      <c r="AA136" s="280"/>
      <c r="AB136" s="280"/>
      <c r="AC136" s="280"/>
      <c r="AD136" s="280"/>
      <c r="AE136" s="280"/>
      <c r="AF136" s="9"/>
      <c r="DC136" s="3"/>
      <c r="DD136" s="37"/>
    </row>
    <row r="137" spans="2:108" ht="15" customHeight="1" x14ac:dyDescent="0.2">
      <c r="B137" s="7"/>
      <c r="C137" s="51"/>
      <c r="D137" s="51"/>
      <c r="E137" s="51"/>
      <c r="F137" s="51"/>
      <c r="G137" s="51"/>
      <c r="H137" s="51"/>
      <c r="I137" s="51"/>
      <c r="J137" s="51"/>
      <c r="K137" s="51"/>
      <c r="L137" s="51"/>
      <c r="M137" s="51"/>
      <c r="N137" s="51"/>
      <c r="O137" s="51"/>
      <c r="P137" s="51"/>
      <c r="Q137" s="4"/>
      <c r="R137" s="57"/>
      <c r="S137" s="57"/>
      <c r="T137" s="57"/>
      <c r="U137" s="57"/>
      <c r="V137" s="57"/>
      <c r="W137" s="57"/>
      <c r="X137" s="57"/>
      <c r="Y137" s="57"/>
      <c r="Z137" s="57"/>
      <c r="AA137" s="57"/>
      <c r="AB137" s="57"/>
      <c r="AC137" s="57"/>
      <c r="AD137" s="57"/>
      <c r="AE137" s="57"/>
      <c r="AF137" s="9"/>
      <c r="DC137" s="3"/>
      <c r="DD137" s="37"/>
    </row>
    <row r="138" spans="2:108" ht="15" customHeight="1" x14ac:dyDescent="0.2">
      <c r="B138" s="7"/>
      <c r="C138" s="53"/>
      <c r="D138" s="53" t="s">
        <v>224</v>
      </c>
      <c r="E138" s="53"/>
      <c r="F138" s="54"/>
      <c r="G138" s="55"/>
      <c r="H138" s="69" t="str">
        <f>IF(T82&lt;&gt;"",T82,"")</f>
        <v/>
      </c>
      <c r="I138" s="53"/>
      <c r="J138" s="52"/>
      <c r="K138" s="52" t="s">
        <v>4</v>
      </c>
      <c r="L138" s="52"/>
      <c r="M138" s="53"/>
      <c r="N138" s="70" t="str">
        <f>Z138</f>
        <v/>
      </c>
      <c r="O138" s="53"/>
      <c r="P138" s="53"/>
      <c r="Q138" s="6"/>
      <c r="R138" s="57"/>
      <c r="S138" s="57"/>
      <c r="T138" s="67" t="str">
        <f>H138</f>
        <v/>
      </c>
      <c r="U138" s="57"/>
      <c r="V138" s="58"/>
      <c r="W138" s="58" t="s">
        <v>4</v>
      </c>
      <c r="X138" s="58"/>
      <c r="Y138" s="57"/>
      <c r="Z138" s="68" t="str">
        <f>IF(Z82&lt;&gt;"",Z82,"")</f>
        <v/>
      </c>
      <c r="AA138" s="57"/>
      <c r="AB138" s="57"/>
      <c r="AC138" s="57" t="str">
        <f>D138</f>
        <v>Semi Final 1</v>
      </c>
      <c r="AD138" s="57"/>
      <c r="AE138" s="59"/>
      <c r="AF138" s="9"/>
      <c r="DC138" s="3"/>
      <c r="DD138" s="37"/>
    </row>
    <row r="139" spans="2:108" ht="15" customHeight="1" x14ac:dyDescent="0.2">
      <c r="B139" s="7"/>
      <c r="C139" s="53"/>
      <c r="D139" s="53" t="s">
        <v>1</v>
      </c>
      <c r="E139" s="53" t="s">
        <v>24</v>
      </c>
      <c r="F139" s="56"/>
      <c r="G139" s="53"/>
      <c r="H139" s="53"/>
      <c r="I139" s="53"/>
      <c r="J139" s="53"/>
      <c r="K139" s="52"/>
      <c r="L139" s="53"/>
      <c r="M139" s="53"/>
      <c r="N139" s="53"/>
      <c r="O139" s="53"/>
      <c r="P139" s="53"/>
      <c r="Q139" s="6"/>
      <c r="R139" s="57"/>
      <c r="S139" s="57"/>
      <c r="T139" s="57"/>
      <c r="U139" s="223" t="s">
        <v>288</v>
      </c>
      <c r="V139" s="58"/>
      <c r="W139" s="223" t="s">
        <v>4</v>
      </c>
      <c r="X139" s="58"/>
      <c r="Y139" s="57"/>
      <c r="Z139" s="57"/>
      <c r="AA139" s="57"/>
      <c r="AB139" s="57"/>
      <c r="AC139" s="57" t="s">
        <v>1</v>
      </c>
      <c r="AD139" s="57" t="s">
        <v>24</v>
      </c>
      <c r="AE139" s="60"/>
      <c r="AF139" s="9"/>
      <c r="DC139" s="3"/>
      <c r="DD139" s="37"/>
    </row>
    <row r="140" spans="2:108" ht="15" customHeight="1" x14ac:dyDescent="0.2">
      <c r="B140" s="7"/>
      <c r="C140" s="53"/>
      <c r="D140" s="53" t="s">
        <v>2</v>
      </c>
      <c r="E140" s="53" t="s">
        <v>24</v>
      </c>
      <c r="F140" s="53"/>
      <c r="G140" s="53"/>
      <c r="H140" s="221"/>
      <c r="I140" s="221"/>
      <c r="J140" s="221"/>
      <c r="K140" s="222"/>
      <c r="L140" s="221"/>
      <c r="M140" s="221"/>
      <c r="N140" s="221"/>
      <c r="O140" s="221"/>
      <c r="P140" s="221"/>
      <c r="R140" s="219"/>
      <c r="S140" s="219"/>
      <c r="T140" s="219"/>
      <c r="U140" s="224" t="s">
        <v>287</v>
      </c>
      <c r="V140" s="220"/>
      <c r="W140" s="223" t="s">
        <v>4</v>
      </c>
      <c r="X140" s="220"/>
      <c r="Y140" s="219"/>
      <c r="Z140" s="219"/>
      <c r="AA140" s="57"/>
      <c r="AB140" s="57"/>
      <c r="AC140" s="57" t="s">
        <v>2</v>
      </c>
      <c r="AD140" s="57" t="s">
        <v>24</v>
      </c>
      <c r="AE140" s="58"/>
      <c r="AF140" s="9"/>
      <c r="DC140" s="3"/>
      <c r="DD140" s="37"/>
    </row>
    <row r="141" spans="2:108" ht="15" customHeight="1" x14ac:dyDescent="0.2">
      <c r="B141" s="7"/>
      <c r="C141" s="53"/>
      <c r="D141" s="53" t="s">
        <v>191</v>
      </c>
      <c r="E141" s="53" t="s">
        <v>24</v>
      </c>
      <c r="F141" s="52" t="str">
        <f>IF(H138&lt;&gt;"",VLOOKUP(H138,'Team Setup'!$B$5:$C$36,2,FALSE),"")</f>
        <v/>
      </c>
      <c r="G141" s="53"/>
      <c r="H141" s="221"/>
      <c r="I141" s="221"/>
      <c r="J141" s="221"/>
      <c r="K141" s="222"/>
      <c r="L141" s="221"/>
      <c r="M141" s="221"/>
      <c r="N141" s="221"/>
      <c r="O141" s="221"/>
      <c r="P141" s="221"/>
      <c r="R141" s="219"/>
      <c r="S141" s="219"/>
      <c r="T141" s="219"/>
      <c r="U141" s="219"/>
      <c r="V141" s="219"/>
      <c r="W141" s="219"/>
      <c r="X141" s="219"/>
      <c r="Y141" s="219"/>
      <c r="Z141" s="219"/>
      <c r="AA141" s="57"/>
      <c r="AB141" s="57"/>
      <c r="AC141" s="57" t="s">
        <v>191</v>
      </c>
      <c r="AD141" s="57" t="s">
        <v>24</v>
      </c>
      <c r="AE141" s="58" t="str">
        <f>IF(Z138&lt;&gt;"",VLOOKUP(Z138,'Team Setup'!$B$5:$C$36,2,FALSE),"")</f>
        <v/>
      </c>
      <c r="AF141" s="9"/>
      <c r="DC141" s="3"/>
      <c r="DD141" s="37"/>
    </row>
    <row r="142" spans="2:108" ht="15" customHeight="1" x14ac:dyDescent="0.2">
      <c r="B142" s="7"/>
      <c r="C142" s="53"/>
      <c r="D142" s="53"/>
      <c r="E142" s="53"/>
      <c r="F142" s="52" t="str">
        <f>IF(H138&lt;&gt;"",VLOOKUP(H138,'Team Setup'!$B$5:$D$36,3,FALSE),"")</f>
        <v/>
      </c>
      <c r="G142" s="53"/>
      <c r="H142" s="17"/>
      <c r="I142" s="17"/>
      <c r="J142" s="17"/>
      <c r="K142" s="217"/>
      <c r="L142" s="17"/>
      <c r="M142" s="17"/>
      <c r="N142" s="17" t="s">
        <v>190</v>
      </c>
      <c r="O142" s="17" t="s">
        <v>24</v>
      </c>
      <c r="P142" s="19" t="str">
        <f>IF(AND(P143&lt;&gt;"",R143&lt;&gt;""),IF(AND(V140&lt;&gt;"",X140&lt;&gt;"",V140&gt;X140),N143&amp;" win on Penalty Kick",IF(AND(V140&lt;&gt;"",X140&lt;&gt;"",V140&lt;X140),T143&amp;" win on Penalty Kick",IF(P143&gt;R143,N143&amp;" win",IF(R143&gt;P143,T143&amp;" win",IF(AND(P143=R143,L138&gt;V138),T143&amp;" win on away goals",IF(AND(P143=R143,L138&lt;V138+V139),N143&amp;" win on away goals","")))))),"")</f>
        <v/>
      </c>
      <c r="Q142" s="19"/>
      <c r="R142" s="19"/>
      <c r="S142" s="17"/>
      <c r="T142" s="17"/>
      <c r="U142" s="17"/>
      <c r="V142" s="17"/>
      <c r="W142" s="17"/>
      <c r="X142" s="17"/>
      <c r="Y142" s="17"/>
      <c r="Z142" s="17"/>
      <c r="AA142" s="57"/>
      <c r="AB142" s="57"/>
      <c r="AC142" s="57"/>
      <c r="AD142" s="57"/>
      <c r="AE142" s="58" t="str">
        <f>IF(Z138&lt;&gt;"",VLOOKUP(Z138,'Team Setup'!$B$5:$D$36,3,FALSE),"")</f>
        <v/>
      </c>
      <c r="AF142" s="9"/>
      <c r="DC142" s="3"/>
      <c r="DD142" s="37"/>
    </row>
    <row r="143" spans="2:108" ht="15" customHeight="1" x14ac:dyDescent="0.2">
      <c r="B143" s="7"/>
      <c r="C143" s="53"/>
      <c r="D143" s="53"/>
      <c r="E143" s="53"/>
      <c r="F143" s="53"/>
      <c r="G143" s="53"/>
      <c r="H143" s="6"/>
      <c r="I143" s="6"/>
      <c r="J143" s="218"/>
      <c r="K143" s="20"/>
      <c r="L143" s="21"/>
      <c r="M143" s="218"/>
      <c r="N143" s="22" t="str">
        <f>H138</f>
        <v/>
      </c>
      <c r="O143" s="4"/>
      <c r="P143" s="23" t="str">
        <f>IF(AND(L138&lt;&gt;"",V138&lt;&gt;"",X138&lt;&gt;"",J138&lt;&gt;""),J138+V138+V139,"")</f>
        <v/>
      </c>
      <c r="Q143" s="24" t="s">
        <v>4</v>
      </c>
      <c r="R143" s="23" t="str">
        <f>IF(AND(L138&lt;&gt;"",V138&lt;&gt;"",X138&lt;&gt;"",J138&lt;&gt;""),L138+X138+X139,"")</f>
        <v/>
      </c>
      <c r="S143" s="4"/>
      <c r="T143" s="4" t="str">
        <f>Z138</f>
        <v/>
      </c>
      <c r="U143" s="6"/>
      <c r="V143" s="6"/>
      <c r="W143" s="6"/>
      <c r="X143" s="6"/>
      <c r="Y143" s="6"/>
      <c r="Z143" s="6"/>
      <c r="AA143" s="57"/>
      <c r="AB143" s="57"/>
      <c r="AC143" s="57"/>
      <c r="AD143" s="57"/>
      <c r="AE143" s="57"/>
      <c r="AF143" s="9"/>
      <c r="DC143" s="3"/>
      <c r="DD143" s="37"/>
    </row>
    <row r="144" spans="2:108" ht="15" customHeight="1" x14ac:dyDescent="0.2">
      <c r="B144" s="7"/>
      <c r="G144" s="6"/>
      <c r="H144" s="6"/>
      <c r="I144" s="6"/>
      <c r="J144" s="6"/>
      <c r="K144" s="8"/>
      <c r="L144" s="6"/>
      <c r="M144" s="6"/>
      <c r="N144" s="6"/>
      <c r="O144" s="6"/>
      <c r="P144" s="6"/>
      <c r="Q144" s="6"/>
      <c r="R144" s="6"/>
      <c r="S144" s="6"/>
      <c r="T144" s="6"/>
      <c r="U144" s="6"/>
      <c r="V144" s="6"/>
      <c r="W144" s="6"/>
      <c r="X144" s="6"/>
      <c r="Y144" s="6"/>
      <c r="Z144" s="6"/>
      <c r="AA144" s="6"/>
      <c r="AD144" s="6"/>
      <c r="AE144" s="6"/>
      <c r="AF144" s="9"/>
      <c r="DC144" s="3"/>
      <c r="DD144" s="37"/>
    </row>
    <row r="145" spans="2:108" ht="15" customHeight="1" x14ac:dyDescent="0.2">
      <c r="B145" s="7"/>
      <c r="C145" s="279" t="s">
        <v>189</v>
      </c>
      <c r="D145" s="279"/>
      <c r="E145" s="279"/>
      <c r="F145" s="279"/>
      <c r="G145" s="279"/>
      <c r="H145" s="279"/>
      <c r="I145" s="279"/>
      <c r="J145" s="279"/>
      <c r="K145" s="279"/>
      <c r="L145" s="279"/>
      <c r="M145" s="279"/>
      <c r="N145" s="279"/>
      <c r="O145" s="279"/>
      <c r="P145" s="279"/>
      <c r="Q145" s="6"/>
      <c r="R145" s="280" t="s">
        <v>188</v>
      </c>
      <c r="S145" s="280"/>
      <c r="T145" s="280"/>
      <c r="U145" s="280"/>
      <c r="V145" s="280"/>
      <c r="W145" s="280"/>
      <c r="X145" s="280"/>
      <c r="Y145" s="280"/>
      <c r="Z145" s="280"/>
      <c r="AA145" s="280"/>
      <c r="AB145" s="280"/>
      <c r="AC145" s="280"/>
      <c r="AD145" s="280"/>
      <c r="AE145" s="280"/>
      <c r="AF145" s="9"/>
      <c r="DC145" s="3"/>
      <c r="DD145" s="37"/>
    </row>
    <row r="146" spans="2:108" ht="15" customHeight="1" x14ac:dyDescent="0.2">
      <c r="B146" s="7"/>
      <c r="C146" s="51"/>
      <c r="D146" s="51"/>
      <c r="E146" s="51"/>
      <c r="F146" s="51"/>
      <c r="G146" s="51"/>
      <c r="H146" s="51"/>
      <c r="I146" s="51"/>
      <c r="J146" s="51"/>
      <c r="K146" s="51"/>
      <c r="L146" s="51"/>
      <c r="M146" s="51"/>
      <c r="N146" s="51"/>
      <c r="O146" s="51"/>
      <c r="P146" s="51"/>
      <c r="Q146" s="4"/>
      <c r="R146" s="57"/>
      <c r="S146" s="57"/>
      <c r="T146" s="57"/>
      <c r="U146" s="57"/>
      <c r="V146" s="57"/>
      <c r="W146" s="57"/>
      <c r="X146" s="57"/>
      <c r="Y146" s="57"/>
      <c r="Z146" s="57"/>
      <c r="AA146" s="57"/>
      <c r="AB146" s="57"/>
      <c r="AC146" s="57"/>
      <c r="AD146" s="57"/>
      <c r="AE146" s="57"/>
      <c r="AF146" s="9"/>
      <c r="DC146" s="3"/>
      <c r="DD146" s="37"/>
    </row>
    <row r="147" spans="2:108" ht="15" customHeight="1" x14ac:dyDescent="0.2">
      <c r="B147" s="7"/>
      <c r="C147" s="53"/>
      <c r="D147" s="53" t="s">
        <v>225</v>
      </c>
      <c r="E147" s="53"/>
      <c r="F147" s="54"/>
      <c r="G147" s="55"/>
      <c r="H147" s="69" t="str">
        <f>IF(T83&lt;&gt;"",T83,"")</f>
        <v/>
      </c>
      <c r="I147" s="53"/>
      <c r="J147" s="52"/>
      <c r="K147" s="52" t="s">
        <v>4</v>
      </c>
      <c r="L147" s="52"/>
      <c r="M147" s="53"/>
      <c r="N147" s="70" t="str">
        <f>Z147</f>
        <v/>
      </c>
      <c r="O147" s="53"/>
      <c r="P147" s="53"/>
      <c r="Q147" s="6"/>
      <c r="R147" s="57"/>
      <c r="S147" s="57"/>
      <c r="T147" s="67" t="str">
        <f>H147</f>
        <v/>
      </c>
      <c r="U147" s="57"/>
      <c r="V147" s="58"/>
      <c r="W147" s="58" t="s">
        <v>4</v>
      </c>
      <c r="X147" s="58"/>
      <c r="Y147" s="57"/>
      <c r="Z147" s="68" t="str">
        <f>IF(Z83&lt;&gt;"",Z83,"")</f>
        <v/>
      </c>
      <c r="AA147" s="57"/>
      <c r="AB147" s="57"/>
      <c r="AC147" s="57" t="str">
        <f>D147</f>
        <v>Semi Final 2</v>
      </c>
      <c r="AD147" s="57"/>
      <c r="AE147" s="59"/>
      <c r="AF147" s="9"/>
      <c r="DC147" s="3"/>
      <c r="DD147" s="37"/>
    </row>
    <row r="148" spans="2:108" ht="15" customHeight="1" x14ac:dyDescent="0.2">
      <c r="B148" s="7"/>
      <c r="C148" s="53"/>
      <c r="D148" s="53" t="s">
        <v>1</v>
      </c>
      <c r="E148" s="53" t="s">
        <v>24</v>
      </c>
      <c r="F148" s="56"/>
      <c r="G148" s="53"/>
      <c r="H148" s="53"/>
      <c r="I148" s="53"/>
      <c r="J148" s="53"/>
      <c r="K148" s="52"/>
      <c r="L148" s="53"/>
      <c r="M148" s="53"/>
      <c r="N148" s="53"/>
      <c r="O148" s="53"/>
      <c r="P148" s="53"/>
      <c r="Q148" s="6"/>
      <c r="R148" s="57"/>
      <c r="S148" s="57"/>
      <c r="T148" s="57"/>
      <c r="U148" s="223" t="s">
        <v>288</v>
      </c>
      <c r="V148" s="58"/>
      <c r="W148" s="223" t="s">
        <v>4</v>
      </c>
      <c r="X148" s="58"/>
      <c r="Y148" s="57"/>
      <c r="Z148" s="57"/>
      <c r="AA148" s="57"/>
      <c r="AB148" s="57"/>
      <c r="AC148" s="57" t="s">
        <v>1</v>
      </c>
      <c r="AD148" s="57" t="s">
        <v>24</v>
      </c>
      <c r="AE148" s="60"/>
      <c r="AF148" s="9"/>
      <c r="DC148" s="3"/>
      <c r="DD148" s="37"/>
    </row>
    <row r="149" spans="2:108" ht="15" customHeight="1" x14ac:dyDescent="0.2">
      <c r="B149" s="7"/>
      <c r="C149" s="53"/>
      <c r="D149" s="53" t="s">
        <v>2</v>
      </c>
      <c r="E149" s="53" t="s">
        <v>24</v>
      </c>
      <c r="F149" s="53"/>
      <c r="G149" s="53"/>
      <c r="H149" s="221"/>
      <c r="I149" s="221"/>
      <c r="J149" s="221"/>
      <c r="K149" s="222"/>
      <c r="L149" s="221"/>
      <c r="M149" s="221"/>
      <c r="N149" s="221"/>
      <c r="O149" s="221"/>
      <c r="P149" s="221"/>
      <c r="R149" s="219"/>
      <c r="S149" s="219"/>
      <c r="T149" s="219"/>
      <c r="U149" s="224" t="s">
        <v>287</v>
      </c>
      <c r="V149" s="220"/>
      <c r="W149" s="223" t="s">
        <v>4</v>
      </c>
      <c r="X149" s="220"/>
      <c r="Y149" s="219"/>
      <c r="Z149" s="219"/>
      <c r="AA149" s="57"/>
      <c r="AB149" s="57"/>
      <c r="AC149" s="57" t="s">
        <v>2</v>
      </c>
      <c r="AD149" s="57" t="s">
        <v>24</v>
      </c>
      <c r="AE149" s="58"/>
      <c r="AF149" s="9"/>
      <c r="DC149" s="3"/>
      <c r="DD149" s="37"/>
    </row>
    <row r="150" spans="2:108" ht="15" customHeight="1" x14ac:dyDescent="0.2">
      <c r="B150" s="7"/>
      <c r="C150" s="53"/>
      <c r="D150" s="53" t="s">
        <v>191</v>
      </c>
      <c r="E150" s="53" t="s">
        <v>24</v>
      </c>
      <c r="F150" s="52" t="str">
        <f>IF(H147&lt;&gt;"",VLOOKUP(H147,'Team Setup'!$B$5:$C$36,2,FALSE),"")</f>
        <v/>
      </c>
      <c r="G150" s="53"/>
      <c r="H150" s="221"/>
      <c r="I150" s="221"/>
      <c r="J150" s="221"/>
      <c r="K150" s="222"/>
      <c r="L150" s="221"/>
      <c r="M150" s="221"/>
      <c r="N150" s="221"/>
      <c r="O150" s="221"/>
      <c r="P150" s="221"/>
      <c r="R150" s="219"/>
      <c r="S150" s="219"/>
      <c r="T150" s="219"/>
      <c r="U150" s="219"/>
      <c r="V150" s="219"/>
      <c r="W150" s="219"/>
      <c r="X150" s="219"/>
      <c r="Y150" s="219"/>
      <c r="Z150" s="219"/>
      <c r="AA150" s="57"/>
      <c r="AB150" s="57"/>
      <c r="AC150" s="57" t="s">
        <v>191</v>
      </c>
      <c r="AD150" s="57" t="s">
        <v>24</v>
      </c>
      <c r="AE150" s="58" t="str">
        <f>IF(Z147&lt;&gt;"",VLOOKUP(Z147,'Team Setup'!$B$5:$C$36,2,FALSE),"")</f>
        <v/>
      </c>
      <c r="AF150" s="9"/>
      <c r="DC150" s="3"/>
      <c r="DD150" s="37"/>
    </row>
    <row r="151" spans="2:108" ht="15" customHeight="1" x14ac:dyDescent="0.2">
      <c r="B151" s="7"/>
      <c r="C151" s="53"/>
      <c r="D151" s="53"/>
      <c r="E151" s="53"/>
      <c r="F151" s="52" t="str">
        <f>IF(H147&lt;&gt;"",VLOOKUP(H147,'Team Setup'!$B$5:$D$36,3,FALSE),"")</f>
        <v/>
      </c>
      <c r="G151" s="53"/>
      <c r="H151" s="17"/>
      <c r="I151" s="17"/>
      <c r="J151" s="17"/>
      <c r="K151" s="217"/>
      <c r="L151" s="17"/>
      <c r="M151" s="17"/>
      <c r="N151" s="17" t="s">
        <v>190</v>
      </c>
      <c r="O151" s="17" t="s">
        <v>24</v>
      </c>
      <c r="P151" s="19" t="str">
        <f>IF(AND(P152&lt;&gt;"",R152&lt;&gt;""),IF(AND(V149&lt;&gt;"",X149&lt;&gt;"",V149&gt;X149),N152&amp;" win on Penalty Kick",IF(AND(V149&lt;&gt;"",X149&lt;&gt;"",V149&lt;X149),T152&amp;" win on Penalty Kick",IF(P152&gt;R152,N152&amp;" win",IF(R152&gt;P152,T152&amp;" win",IF(AND(P152=R152,L147&gt;V147),T152&amp;" win on away goals",IF(AND(P152=R152,L147&lt;V147+V148),N152&amp;" win on away goals","")))))),"")</f>
        <v/>
      </c>
      <c r="Q151" s="19"/>
      <c r="R151" s="19"/>
      <c r="S151" s="17"/>
      <c r="T151" s="17"/>
      <c r="U151" s="17"/>
      <c r="V151" s="17"/>
      <c r="W151" s="17"/>
      <c r="X151" s="17"/>
      <c r="Y151" s="17"/>
      <c r="Z151" s="17"/>
      <c r="AA151" s="57"/>
      <c r="AB151" s="57"/>
      <c r="AC151" s="57"/>
      <c r="AD151" s="57"/>
      <c r="AE151" s="58" t="str">
        <f>IF(Z147&lt;&gt;"",VLOOKUP(Z147,'Team Setup'!$B$5:$D$36,3,FALSE),"")</f>
        <v/>
      </c>
      <c r="AF151" s="9"/>
      <c r="DC151" s="3"/>
      <c r="DD151" s="37"/>
    </row>
    <row r="152" spans="2:108" ht="15" customHeight="1" x14ac:dyDescent="0.2">
      <c r="B152" s="7"/>
      <c r="C152" s="53"/>
      <c r="D152" s="53"/>
      <c r="E152" s="53"/>
      <c r="F152" s="53"/>
      <c r="G152" s="53"/>
      <c r="H152" s="6"/>
      <c r="I152" s="6"/>
      <c r="J152" s="218"/>
      <c r="K152" s="20"/>
      <c r="L152" s="21"/>
      <c r="M152" s="218"/>
      <c r="N152" s="22" t="str">
        <f>H147</f>
        <v/>
      </c>
      <c r="O152" s="4"/>
      <c r="P152" s="23" t="str">
        <f>IF(AND(L147&lt;&gt;"",V147&lt;&gt;"",X147&lt;&gt;"",J147&lt;&gt;""),J147+V147+V148,"")</f>
        <v/>
      </c>
      <c r="Q152" s="24" t="s">
        <v>4</v>
      </c>
      <c r="R152" s="23" t="str">
        <f>IF(AND(L147&lt;&gt;"",V147&lt;&gt;"",X147&lt;&gt;"",J147&lt;&gt;""),L147+X147+X148,"")</f>
        <v/>
      </c>
      <c r="S152" s="4"/>
      <c r="T152" s="4" t="str">
        <f>Z147</f>
        <v/>
      </c>
      <c r="U152" s="6"/>
      <c r="V152" s="6"/>
      <c r="W152" s="6"/>
      <c r="X152" s="6"/>
      <c r="Y152" s="6"/>
      <c r="Z152" s="6"/>
      <c r="AA152" s="57"/>
      <c r="AB152" s="57"/>
      <c r="AC152" s="57"/>
      <c r="AD152" s="57"/>
      <c r="AE152" s="57"/>
      <c r="AF152" s="9"/>
      <c r="DC152" s="3"/>
      <c r="DD152" s="37"/>
    </row>
    <row r="153" spans="2:108" ht="15" customHeight="1" x14ac:dyDescent="0.2">
      <c r="B153" s="7"/>
      <c r="G153" s="6"/>
      <c r="H153" s="6"/>
      <c r="I153" s="6"/>
      <c r="J153" s="6"/>
      <c r="K153" s="8"/>
      <c r="L153" s="6"/>
      <c r="M153" s="6"/>
      <c r="N153" s="6"/>
      <c r="O153" s="6"/>
      <c r="P153" s="6"/>
      <c r="Q153" s="6"/>
      <c r="R153" s="6"/>
      <c r="S153" s="6"/>
      <c r="T153" s="6"/>
      <c r="U153" s="6"/>
      <c r="V153" s="6"/>
      <c r="W153" s="6"/>
      <c r="X153" s="6"/>
      <c r="Y153" s="6"/>
      <c r="Z153" s="6"/>
      <c r="AA153" s="6"/>
      <c r="AD153" s="6"/>
      <c r="AE153" s="6"/>
      <c r="AF153" s="9"/>
      <c r="DC153" s="3"/>
      <c r="DD153" s="37"/>
    </row>
    <row r="154" spans="2:108" ht="15" customHeight="1" x14ac:dyDescent="0.2">
      <c r="B154" s="286" t="s">
        <v>23</v>
      </c>
      <c r="C154" s="287"/>
      <c r="D154" s="287"/>
      <c r="E154" s="287"/>
      <c r="F154" s="287"/>
      <c r="G154" s="287"/>
      <c r="H154" s="287"/>
      <c r="I154" s="287"/>
      <c r="J154" s="287"/>
      <c r="K154" s="287"/>
      <c r="L154" s="287"/>
      <c r="M154" s="287"/>
      <c r="N154" s="287"/>
      <c r="O154" s="287"/>
      <c r="P154" s="287"/>
      <c r="Q154" s="287"/>
      <c r="R154" s="287"/>
      <c r="S154" s="287"/>
      <c r="T154" s="287"/>
      <c r="U154" s="287"/>
      <c r="V154" s="287"/>
      <c r="W154" s="287"/>
      <c r="X154" s="287"/>
      <c r="Y154" s="287"/>
      <c r="Z154" s="287"/>
      <c r="AA154" s="287"/>
      <c r="AB154" s="287"/>
      <c r="AC154" s="287"/>
      <c r="AD154" s="287"/>
      <c r="AE154" s="287"/>
      <c r="AF154" s="288"/>
      <c r="DC154" s="3"/>
      <c r="DD154" s="37"/>
    </row>
    <row r="155" spans="2:108" ht="15" customHeight="1" x14ac:dyDescent="0.2">
      <c r="B155" s="7"/>
      <c r="G155" s="6"/>
      <c r="H155" s="6"/>
      <c r="I155" s="6"/>
      <c r="J155" s="6"/>
      <c r="K155" s="8"/>
      <c r="L155" s="6"/>
      <c r="M155" s="6"/>
      <c r="N155" s="6"/>
      <c r="O155" s="6"/>
      <c r="P155" s="6"/>
      <c r="Q155" s="6"/>
      <c r="R155" s="6"/>
      <c r="S155" s="6"/>
      <c r="T155" s="6"/>
      <c r="U155" s="6"/>
      <c r="V155" s="6"/>
      <c r="W155" s="6"/>
      <c r="X155" s="6"/>
      <c r="Y155" s="6"/>
      <c r="Z155" s="6"/>
      <c r="AA155" s="6"/>
      <c r="AE155" s="6"/>
      <c r="AF155" s="9"/>
      <c r="DC155" s="3"/>
      <c r="DD155" s="37"/>
    </row>
    <row r="156" spans="2:108" ht="21.75" customHeight="1" x14ac:dyDescent="0.2">
      <c r="B156" s="7"/>
      <c r="G156" s="6"/>
      <c r="H156" s="40"/>
      <c r="I156" s="41"/>
      <c r="J156" s="41"/>
      <c r="K156" s="42"/>
      <c r="L156" s="41"/>
      <c r="M156" s="41"/>
      <c r="N156" s="41"/>
      <c r="O156" s="41"/>
      <c r="P156" s="41"/>
      <c r="Q156" s="42" t="s">
        <v>446</v>
      </c>
      <c r="R156" s="41"/>
      <c r="S156" s="41"/>
      <c r="T156" s="41"/>
      <c r="U156" s="41"/>
      <c r="V156" s="41"/>
      <c r="W156" s="41"/>
      <c r="X156" s="41"/>
      <c r="Y156" s="41"/>
      <c r="Z156" s="43"/>
      <c r="AA156" s="6"/>
      <c r="AE156" s="6"/>
      <c r="AF156" s="9"/>
      <c r="DC156" s="3"/>
      <c r="DD156" s="37" t="s">
        <v>111</v>
      </c>
    </row>
    <row r="157" spans="2:108" ht="18" customHeight="1" x14ac:dyDescent="0.2">
      <c r="B157" s="7"/>
      <c r="G157" s="6"/>
      <c r="H157" s="7"/>
      <c r="I157" s="6"/>
      <c r="J157" s="8"/>
      <c r="K157" s="20"/>
      <c r="L157" s="21"/>
      <c r="M157" s="8"/>
      <c r="N157" s="44" t="str">
        <f>IF(AND(P143&lt;&gt;"",R143&lt;&gt;""),IF(AND(V140&lt;&gt;"",X140&lt;&gt;"",V140&gt;X140),N143,IF(AND(V140&lt;&gt;"",X140&lt;&gt;"",V140&lt;X140),T143,IF(P143&gt;R143,N143,IF(R143&gt;P143,T143,IF(AND(P143=R143,L138&gt;V138),T143,IF(AND(P143=R143,L138&lt;V138+V139),N143,"")))))),"")</f>
        <v/>
      </c>
      <c r="O157" s="8"/>
      <c r="P157" s="225" t="str">
        <f>IF(P158="","",IF(AND(P158=R158,P158&lt;&gt;"",R158&lt;&gt;""),IF(AND(L154=V154,J154=X154),IF(AND(P159=R159,P159&lt;&gt;"",R159&lt;&gt;""),IF(AND(P160=R160,P160&lt;&gt;"",R160&lt;&gt;""),"",P158+P159),P158+P159),P158),P158))</f>
        <v/>
      </c>
      <c r="Q157" s="24" t="s">
        <v>4</v>
      </c>
      <c r="R157" s="225" t="str">
        <f>IF(R158="","",IF(AND(P158=R158,P158&lt;&gt;"",R158&lt;&gt;""),IF(AND(L154=V154,J154=X154),IF(AND(P159=R159,P159&lt;&gt;"",R159&lt;&gt;""),IF(AND(P160=R160,P160&lt;&gt;"",R160&lt;&gt;""),"",R158+R159),R158+R159),R158),R158))</f>
        <v/>
      </c>
      <c r="S157" s="8"/>
      <c r="T157" s="45" t="str">
        <f>IF(AND(P152&lt;&gt;"",R152&lt;&gt;""),IF(AND(V149&lt;&gt;"",X149&lt;&gt;"",V149&gt;X149),N152,IF(AND(V149&lt;&gt;"",X149&lt;&gt;"",V149&lt;X149),T152,IF(P152&gt;R152,N152,IF(R152&gt;P152,T152,IF(AND(P152=R152,L147&gt;V147),T152,IF(AND(P152=R152,L147&lt;V147+V148),N152,"")))))),"")</f>
        <v/>
      </c>
      <c r="U157" s="6"/>
      <c r="V157" s="6"/>
      <c r="W157" s="6"/>
      <c r="X157" s="6"/>
      <c r="Y157" s="6"/>
      <c r="Z157" s="9"/>
      <c r="AA157" s="6"/>
      <c r="AF157" s="9"/>
      <c r="DC157" s="3"/>
      <c r="DD157" s="37" t="s">
        <v>112</v>
      </c>
    </row>
    <row r="158" spans="2:108" ht="18" customHeight="1" x14ac:dyDescent="0.2">
      <c r="B158" s="7"/>
      <c r="G158" s="6"/>
      <c r="H158" s="7"/>
      <c r="I158" s="6"/>
      <c r="J158" s="6"/>
      <c r="K158" s="25"/>
      <c r="L158" s="21"/>
      <c r="M158" s="6"/>
      <c r="N158" s="26" t="s">
        <v>50</v>
      </c>
      <c r="O158" s="26"/>
      <c r="P158" s="14"/>
      <c r="Q158" s="14" t="s">
        <v>4</v>
      </c>
      <c r="R158" s="14"/>
      <c r="S158" s="6"/>
      <c r="T158" s="6"/>
      <c r="U158" s="6"/>
      <c r="V158" s="6"/>
      <c r="W158" s="6"/>
      <c r="X158" s="6"/>
      <c r="Y158" s="6"/>
      <c r="Z158" s="9"/>
      <c r="AA158" s="6"/>
      <c r="AF158" s="9"/>
      <c r="DC158" s="3"/>
      <c r="DD158" s="37" t="s">
        <v>113</v>
      </c>
    </row>
    <row r="159" spans="2:108" ht="18" customHeight="1" x14ac:dyDescent="0.2">
      <c r="B159" s="7"/>
      <c r="G159" s="6"/>
      <c r="H159" s="7"/>
      <c r="I159" s="6"/>
      <c r="J159" s="6"/>
      <c r="K159" s="25"/>
      <c r="L159" s="21"/>
      <c r="M159" s="6"/>
      <c r="N159" s="26" t="s">
        <v>51</v>
      </c>
      <c r="O159" s="26"/>
      <c r="P159" s="14"/>
      <c r="Q159" s="14" t="s">
        <v>4</v>
      </c>
      <c r="R159" s="14"/>
      <c r="S159" s="6"/>
      <c r="T159" s="6"/>
      <c r="U159" s="6"/>
      <c r="V159" s="6"/>
      <c r="W159" s="6"/>
      <c r="X159" s="6"/>
      <c r="Y159" s="6"/>
      <c r="Z159" s="9"/>
      <c r="AA159" s="6"/>
      <c r="AF159" s="9"/>
      <c r="DC159" s="3"/>
      <c r="DD159" s="37" t="s">
        <v>114</v>
      </c>
    </row>
    <row r="160" spans="2:108" ht="18" customHeight="1" x14ac:dyDescent="0.2">
      <c r="B160" s="7"/>
      <c r="G160" s="6"/>
      <c r="H160" s="7"/>
      <c r="I160" s="6"/>
      <c r="J160" s="6"/>
      <c r="K160" s="25"/>
      <c r="L160" s="21"/>
      <c r="M160" s="6"/>
      <c r="N160" s="26" t="s">
        <v>52</v>
      </c>
      <c r="O160" s="26"/>
      <c r="P160" s="14"/>
      <c r="Q160" s="14" t="s">
        <v>4</v>
      </c>
      <c r="R160" s="14"/>
      <c r="S160" s="6"/>
      <c r="T160" s="6"/>
      <c r="U160" s="6"/>
      <c r="V160" s="6"/>
      <c r="W160" s="6"/>
      <c r="X160" s="6"/>
      <c r="Y160" s="6"/>
      <c r="Z160" s="9"/>
      <c r="AA160" s="6"/>
      <c r="AF160" s="9"/>
      <c r="DC160" s="3"/>
      <c r="DD160" s="37" t="s">
        <v>115</v>
      </c>
    </row>
    <row r="161" spans="1:108" ht="6" customHeight="1" x14ac:dyDescent="0.2">
      <c r="B161" s="7"/>
      <c r="G161" s="6"/>
      <c r="H161" s="46"/>
      <c r="I161" s="47"/>
      <c r="J161" s="47"/>
      <c r="K161" s="48"/>
      <c r="L161" s="47"/>
      <c r="M161" s="47"/>
      <c r="N161" s="47"/>
      <c r="O161" s="47"/>
      <c r="P161" s="47"/>
      <c r="Q161" s="47"/>
      <c r="R161" s="47"/>
      <c r="S161" s="47"/>
      <c r="T161" s="47"/>
      <c r="U161" s="47"/>
      <c r="V161" s="47"/>
      <c r="W161" s="47"/>
      <c r="X161" s="47"/>
      <c r="Y161" s="47"/>
      <c r="Z161" s="49"/>
      <c r="AA161" s="6"/>
      <c r="AF161" s="9"/>
      <c r="DC161" s="3"/>
      <c r="DD161" s="37" t="s">
        <v>116</v>
      </c>
    </row>
    <row r="162" spans="1:108" x14ac:dyDescent="0.2">
      <c r="B162" s="7"/>
      <c r="G162" s="6"/>
      <c r="H162" s="6"/>
      <c r="I162" s="6"/>
      <c r="J162" s="6"/>
      <c r="K162" s="8"/>
      <c r="L162" s="6"/>
      <c r="M162" s="6"/>
      <c r="N162" s="6"/>
      <c r="O162" s="6"/>
      <c r="P162" s="6"/>
      <c r="Q162" s="6"/>
      <c r="R162" s="6"/>
      <c r="S162" s="6"/>
      <c r="T162" s="6"/>
      <c r="U162" s="6"/>
      <c r="V162" s="6"/>
      <c r="W162" s="6"/>
      <c r="X162" s="6"/>
      <c r="Y162" s="6"/>
      <c r="Z162" s="6"/>
      <c r="AA162" s="6"/>
      <c r="AF162" s="9"/>
      <c r="DC162" s="3"/>
      <c r="DD162" s="37" t="s">
        <v>117</v>
      </c>
    </row>
    <row r="163" spans="1:108" x14ac:dyDescent="0.2">
      <c r="B163" s="7"/>
      <c r="G163" s="6"/>
      <c r="H163" s="6"/>
      <c r="I163" s="6"/>
      <c r="J163" s="6"/>
      <c r="K163" s="6"/>
      <c r="L163" s="6"/>
      <c r="M163" s="6"/>
      <c r="N163" s="6"/>
      <c r="O163" s="6"/>
      <c r="P163" s="94" t="s">
        <v>445</v>
      </c>
      <c r="Q163" s="6"/>
      <c r="R163" s="6"/>
      <c r="S163" s="6"/>
      <c r="T163" s="6"/>
      <c r="U163" s="6"/>
      <c r="V163" s="6"/>
      <c r="W163" s="6"/>
      <c r="X163" s="6"/>
      <c r="Y163" s="6"/>
      <c r="Z163" s="6"/>
      <c r="AA163" s="6"/>
      <c r="AF163" s="9"/>
      <c r="DC163" s="3"/>
      <c r="DD163" s="37" t="s">
        <v>118</v>
      </c>
    </row>
    <row r="164" spans="1:108" ht="46.5" x14ac:dyDescent="0.2">
      <c r="B164" s="7"/>
      <c r="F164" s="76"/>
      <c r="G164" s="6"/>
      <c r="H164" s="6"/>
      <c r="I164" s="6"/>
      <c r="J164" s="6"/>
      <c r="K164" s="6"/>
      <c r="L164" s="6"/>
      <c r="M164" s="6"/>
      <c r="N164" s="6"/>
      <c r="O164" s="6"/>
      <c r="P164" s="75" t="str">
        <f>IF(AND(P157&lt;&gt;"",R157&lt;&gt;""),IF(P158+P159+P160&gt;R158+R159+R160,UPPER(N157),IF(P158+P159+P160&lt;R158+R159+R160,UPPER(T157),"")),"")</f>
        <v/>
      </c>
      <c r="Q164" s="6"/>
      <c r="R164" s="6"/>
      <c r="S164" s="6"/>
      <c r="T164" s="6"/>
      <c r="U164" s="6"/>
      <c r="V164" s="6"/>
      <c r="W164" s="6"/>
      <c r="X164" s="6"/>
      <c r="Y164" s="6"/>
      <c r="Z164" s="6"/>
      <c r="AA164" s="6"/>
      <c r="AF164" s="9"/>
      <c r="DC164" s="3"/>
      <c r="DD164" s="37" t="s">
        <v>119</v>
      </c>
    </row>
    <row r="165" spans="1:108" x14ac:dyDescent="0.2">
      <c r="A165" s="9"/>
      <c r="B165" s="164" t="s">
        <v>394</v>
      </c>
      <c r="G165" s="6"/>
      <c r="H165" s="6"/>
      <c r="I165" s="6"/>
      <c r="J165" s="6"/>
      <c r="K165" s="6"/>
      <c r="L165" s="6"/>
      <c r="M165" s="6"/>
      <c r="N165" s="6"/>
      <c r="O165" s="6"/>
      <c r="P165" s="6"/>
      <c r="Q165" s="6"/>
      <c r="R165" s="6"/>
      <c r="S165" s="6"/>
      <c r="T165" s="6"/>
      <c r="U165" s="6"/>
      <c r="V165" s="6"/>
      <c r="W165" s="6"/>
      <c r="X165" s="6"/>
      <c r="Y165" s="6"/>
      <c r="Z165" s="6"/>
      <c r="AA165" s="6"/>
      <c r="AF165" s="9"/>
      <c r="DC165" s="3"/>
      <c r="DD165" s="37" t="s">
        <v>120</v>
      </c>
    </row>
    <row r="166" spans="1:108" x14ac:dyDescent="0.2">
      <c r="B166" s="161"/>
      <c r="C166" s="161"/>
      <c r="D166" s="161"/>
      <c r="E166" s="161"/>
      <c r="F166" s="161"/>
      <c r="G166" s="161"/>
      <c r="H166" s="161"/>
      <c r="I166" s="161"/>
      <c r="J166" s="161"/>
      <c r="K166" s="161"/>
      <c r="L166" s="161"/>
      <c r="M166" s="161"/>
      <c r="N166" s="161"/>
      <c r="O166" s="161"/>
      <c r="P166" s="161"/>
      <c r="Q166" s="161"/>
      <c r="R166" s="161"/>
      <c r="S166" s="161"/>
      <c r="T166" s="161"/>
      <c r="U166" s="161"/>
      <c r="V166" s="161"/>
      <c r="W166" s="161"/>
      <c r="X166" s="161"/>
      <c r="Y166" s="161"/>
      <c r="Z166" s="161"/>
      <c r="AA166" s="161"/>
      <c r="AB166" s="161"/>
      <c r="AC166" s="161"/>
      <c r="AD166" s="162"/>
      <c r="AE166" s="162"/>
      <c r="AF166" s="161"/>
      <c r="DC166" s="3"/>
      <c r="DD166" s="37" t="s">
        <v>121</v>
      </c>
    </row>
    <row r="167" spans="1:108" x14ac:dyDescent="0.2">
      <c r="K167" s="1"/>
      <c r="DC167" s="3"/>
      <c r="DD167" s="37" t="s">
        <v>122</v>
      </c>
    </row>
    <row r="168" spans="1:108" x14ac:dyDescent="0.2">
      <c r="DC168" s="3"/>
      <c r="DD168" s="37" t="s">
        <v>123</v>
      </c>
    </row>
    <row r="169" spans="1:108" x14ac:dyDescent="0.2">
      <c r="DC169" s="3"/>
      <c r="DD169" s="37" t="s">
        <v>124</v>
      </c>
    </row>
    <row r="170" spans="1:108" x14ac:dyDescent="0.2">
      <c r="DC170" s="3"/>
      <c r="DD170" s="37" t="s">
        <v>125</v>
      </c>
    </row>
    <row r="171" spans="1:108" x14ac:dyDescent="0.2">
      <c r="DC171" s="3"/>
      <c r="DD171" s="37" t="s">
        <v>126</v>
      </c>
    </row>
    <row r="172" spans="1:108" x14ac:dyDescent="0.2">
      <c r="DC172" s="3"/>
      <c r="DD172" s="37" t="s">
        <v>127</v>
      </c>
    </row>
    <row r="173" spans="1:108" x14ac:dyDescent="0.2">
      <c r="DC173" s="3"/>
      <c r="DD173" s="37" t="s">
        <v>128</v>
      </c>
    </row>
    <row r="174" spans="1:108" x14ac:dyDescent="0.2">
      <c r="H174" s="1" t="str">
        <f t="shared" ref="H174:H175" si="0">IF(AND(P32&lt;&gt;"",R32&lt;&gt;""),IF(AND(V29&lt;&gt;"",X29&lt;&gt;"",V29&gt;X29),N32,IF(AND(V29&lt;&gt;"",X29&lt;&gt;"",V29&lt;X29),T32,IF(P32&gt;R32,N32,IF(R32&gt;P32,T32,IF(AND(P32=R32,L27&gt;V27),T32,IF(AND(P32=R32,L27&lt;V27+V28),N32,"")))))),"")</f>
        <v/>
      </c>
      <c r="DC174" s="3"/>
      <c r="DD174" s="37" t="s">
        <v>129</v>
      </c>
    </row>
    <row r="175" spans="1:108" x14ac:dyDescent="0.2">
      <c r="H175" s="1" t="str">
        <f t="shared" si="0"/>
        <v/>
      </c>
      <c r="DC175" s="3"/>
      <c r="DD175" s="37" t="s">
        <v>130</v>
      </c>
    </row>
    <row r="176" spans="1:108" x14ac:dyDescent="0.2">
      <c r="H176" s="1" t="str">
        <f t="shared" ref="H176" si="1">IF(AND(P25&lt;&gt;"",R25&lt;&gt;""),IF(AND(V22&lt;&gt;"",X22&lt;&gt;"",V22&gt;X22),N25,IF(AND(V22&lt;&gt;"",X22&lt;&gt;"",V22&lt;X22),T25,IF(P25&gt;R25,N25,IF(R25&gt;P25,T25,IF(AND(P25=R25,L20&gt;V20),T25,IF(AND(P25=R25,L20&lt;V20+V21),N25,"")))))),"")</f>
        <v/>
      </c>
      <c r="DC176" s="3"/>
      <c r="DD176" s="37" t="s">
        <v>131</v>
      </c>
    </row>
    <row r="177" spans="8:108" x14ac:dyDescent="0.2">
      <c r="H177" s="1" t="str">
        <f t="shared" ref="H177:H178" si="2">IF(AND(P17&lt;&gt;"",R17&lt;&gt;""),IF(AND(V14&lt;&gt;"",X14&lt;&gt;"",V14&gt;X14),N17,IF(AND(V14&lt;&gt;"",X14&lt;&gt;"",V14&lt;X14),T17,IF(P17&gt;R17,N17,IF(R17&gt;P17,T17,IF(AND(P17=R17,L12&gt;V12),T17,IF(AND(P17=R17,L12&lt;V12+V13),N17,"")))))),"")</f>
        <v/>
      </c>
      <c r="DC177" s="3"/>
      <c r="DD177" s="37" t="s">
        <v>132</v>
      </c>
    </row>
    <row r="178" spans="8:108" x14ac:dyDescent="0.2">
      <c r="H178" s="1" t="str">
        <f t="shared" si="2"/>
        <v/>
      </c>
      <c r="DC178" s="3"/>
      <c r="DD178" s="37" t="s">
        <v>133</v>
      </c>
    </row>
    <row r="179" spans="8:108" x14ac:dyDescent="0.2">
      <c r="H179" s="1" t="str">
        <f t="shared" ref="H179:H181" si="3">IF(AND(P10&lt;&gt;"",R10&lt;&gt;""),IF(AND(V7&lt;&gt;"",X7&lt;&gt;"",V7&gt;X7),N10,IF(AND(V7&lt;&gt;"",X7&lt;&gt;"",V7&lt;X7),T10,IF(P10&gt;R10,N10,IF(R10&gt;P10,T10,IF(AND(P10=R10,L5&gt;V5),T10,IF(AND(P10=R10,L5&lt;V5+V6),N10,"")))))),"")</f>
        <v/>
      </c>
      <c r="DC179" s="3"/>
      <c r="DD179" s="37" t="s">
        <v>134</v>
      </c>
    </row>
    <row r="180" spans="8:108" x14ac:dyDescent="0.2">
      <c r="H180" s="1" t="str">
        <f t="shared" si="3"/>
        <v/>
      </c>
      <c r="DC180" s="3"/>
      <c r="DD180" s="37" t="s">
        <v>135</v>
      </c>
    </row>
    <row r="181" spans="8:108" x14ac:dyDescent="0.2">
      <c r="H181" s="1" t="str">
        <f t="shared" si="3"/>
        <v/>
      </c>
      <c r="DC181" s="3"/>
      <c r="DD181" s="37" t="s">
        <v>136</v>
      </c>
    </row>
    <row r="182" spans="8:108" x14ac:dyDescent="0.2">
      <c r="DC182" s="3"/>
      <c r="DD182" s="37" t="s">
        <v>137</v>
      </c>
    </row>
    <row r="183" spans="8:108" x14ac:dyDescent="0.2">
      <c r="DC183" s="3"/>
      <c r="DD183" s="37" t="s">
        <v>138</v>
      </c>
    </row>
    <row r="184" spans="8:108" x14ac:dyDescent="0.2">
      <c r="DC184" s="3"/>
      <c r="DD184" s="37" t="s">
        <v>139</v>
      </c>
    </row>
    <row r="185" spans="8:108" x14ac:dyDescent="0.2">
      <c r="DC185" s="3"/>
      <c r="DD185" s="37" t="s">
        <v>140</v>
      </c>
    </row>
    <row r="186" spans="8:108" x14ac:dyDescent="0.2">
      <c r="DC186" s="3"/>
      <c r="DD186" s="37" t="s">
        <v>141</v>
      </c>
    </row>
    <row r="187" spans="8:108" x14ac:dyDescent="0.2">
      <c r="DC187" s="3"/>
      <c r="DD187" s="37" t="s">
        <v>142</v>
      </c>
    </row>
    <row r="188" spans="8:108" x14ac:dyDescent="0.2">
      <c r="DC188" s="3"/>
      <c r="DD188" s="37" t="s">
        <v>143</v>
      </c>
    </row>
    <row r="189" spans="8:108" x14ac:dyDescent="0.2">
      <c r="DC189" s="3"/>
      <c r="DD189" s="37" t="s">
        <v>144</v>
      </c>
    </row>
    <row r="190" spans="8:108" x14ac:dyDescent="0.2">
      <c r="DC190" s="3"/>
      <c r="DD190" s="37" t="s">
        <v>145</v>
      </c>
    </row>
    <row r="191" spans="8:108" x14ac:dyDescent="0.2">
      <c r="DC191" s="3"/>
      <c r="DD191" s="37" t="s">
        <v>146</v>
      </c>
    </row>
    <row r="192" spans="8:108" x14ac:dyDescent="0.2">
      <c r="DC192" s="3"/>
      <c r="DD192" s="37" t="s">
        <v>147</v>
      </c>
    </row>
    <row r="193" spans="107:108" x14ac:dyDescent="0.2">
      <c r="DC193" s="3"/>
      <c r="DD193" s="37" t="s">
        <v>148</v>
      </c>
    </row>
    <row r="194" spans="107:108" x14ac:dyDescent="0.2">
      <c r="DC194" s="3"/>
      <c r="DD194" s="37" t="s">
        <v>149</v>
      </c>
    </row>
    <row r="195" spans="107:108" x14ac:dyDescent="0.2">
      <c r="DC195" s="3"/>
      <c r="DD195" s="37" t="s">
        <v>150</v>
      </c>
    </row>
    <row r="196" spans="107:108" x14ac:dyDescent="0.2">
      <c r="DC196" s="3"/>
      <c r="DD196" s="37" t="s">
        <v>151</v>
      </c>
    </row>
    <row r="197" spans="107:108" x14ac:dyDescent="0.2">
      <c r="DC197" s="3"/>
      <c r="DD197" s="37" t="s">
        <v>152</v>
      </c>
    </row>
    <row r="198" spans="107:108" x14ac:dyDescent="0.2">
      <c r="DC198" s="3"/>
      <c r="DD198" s="37" t="s">
        <v>153</v>
      </c>
    </row>
    <row r="199" spans="107:108" x14ac:dyDescent="0.2">
      <c r="DC199" s="3"/>
      <c r="DD199" s="37" t="s">
        <v>154</v>
      </c>
    </row>
    <row r="200" spans="107:108" x14ac:dyDescent="0.2">
      <c r="DC200" s="3"/>
      <c r="DD200" s="37" t="s">
        <v>155</v>
      </c>
    </row>
    <row r="201" spans="107:108" x14ac:dyDescent="0.2">
      <c r="DC201" s="3"/>
      <c r="DD201" s="37" t="s">
        <v>156</v>
      </c>
    </row>
    <row r="202" spans="107:108" x14ac:dyDescent="0.2">
      <c r="DC202" s="3"/>
      <c r="DD202" s="37" t="s">
        <v>157</v>
      </c>
    </row>
    <row r="203" spans="107:108" x14ac:dyDescent="0.2">
      <c r="DC203" s="3"/>
      <c r="DD203" s="37" t="s">
        <v>158</v>
      </c>
    </row>
    <row r="204" spans="107:108" x14ac:dyDescent="0.2">
      <c r="DC204" s="3"/>
      <c r="DD204" s="37" t="s">
        <v>159</v>
      </c>
    </row>
    <row r="205" spans="107:108" x14ac:dyDescent="0.2">
      <c r="DC205" s="3"/>
      <c r="DD205" s="37" t="s">
        <v>160</v>
      </c>
    </row>
    <row r="206" spans="107:108" x14ac:dyDescent="0.2">
      <c r="DC206" s="3"/>
      <c r="DD206" s="37" t="s">
        <v>161</v>
      </c>
    </row>
    <row r="207" spans="107:108" x14ac:dyDescent="0.2">
      <c r="DC207" s="3"/>
      <c r="DD207" s="37" t="s">
        <v>162</v>
      </c>
    </row>
    <row r="208" spans="107:108" x14ac:dyDescent="0.2">
      <c r="DC208" s="3"/>
      <c r="DD208" s="3"/>
    </row>
    <row r="209" spans="31:108" x14ac:dyDescent="0.2">
      <c r="DC209" s="3"/>
      <c r="DD209" s="3"/>
    </row>
    <row r="210" spans="31:108" x14ac:dyDescent="0.2">
      <c r="DC210" s="3"/>
      <c r="DD210" s="3"/>
    </row>
    <row r="211" spans="31:108" x14ac:dyDescent="0.2">
      <c r="DC211" s="3"/>
      <c r="DD211" s="3"/>
    </row>
    <row r="212" spans="31:108" x14ac:dyDescent="0.2">
      <c r="DC212" s="3"/>
      <c r="DD212" s="3"/>
    </row>
    <row r="213" spans="31:108" x14ac:dyDescent="0.2">
      <c r="DC213" s="3"/>
      <c r="DD213" s="3"/>
    </row>
    <row r="214" spans="31:108" x14ac:dyDescent="0.2">
      <c r="DC214" s="3"/>
      <c r="DD214" s="3"/>
    </row>
    <row r="215" spans="31:108" x14ac:dyDescent="0.2">
      <c r="DC215" s="3"/>
      <c r="DD215" s="3"/>
    </row>
    <row r="216" spans="31:108" x14ac:dyDescent="0.2">
      <c r="DC216" s="3"/>
      <c r="DD216" s="3"/>
    </row>
    <row r="217" spans="31:108" x14ac:dyDescent="0.2">
      <c r="DC217" s="3"/>
      <c r="DD217" s="3"/>
    </row>
    <row r="218" spans="31:108" x14ac:dyDescent="0.2">
      <c r="DC218" s="3"/>
      <c r="DD218" s="3"/>
    </row>
    <row r="219" spans="31:108" x14ac:dyDescent="0.2">
      <c r="DC219" s="3"/>
      <c r="DD219" s="3"/>
    </row>
    <row r="220" spans="31:108" x14ac:dyDescent="0.2">
      <c r="AE220" s="37"/>
      <c r="AF220" s="3"/>
    </row>
  </sheetData>
  <sheetProtection password="CE6F" sheet="1" objects="1" scenarios="1"/>
  <mergeCells count="40">
    <mergeCell ref="B4:AF4"/>
    <mergeCell ref="B2:AF2"/>
    <mergeCell ref="C6:P6"/>
    <mergeCell ref="R6:AE6"/>
    <mergeCell ref="C51:P51"/>
    <mergeCell ref="R51:AE51"/>
    <mergeCell ref="C15:P15"/>
    <mergeCell ref="R15:AE15"/>
    <mergeCell ref="C33:P33"/>
    <mergeCell ref="R33:AE33"/>
    <mergeCell ref="C24:P24"/>
    <mergeCell ref="R24:AE24"/>
    <mergeCell ref="C42:P42"/>
    <mergeCell ref="R42:AE42"/>
    <mergeCell ref="C60:P60"/>
    <mergeCell ref="C69:P69"/>
    <mergeCell ref="R69:AE69"/>
    <mergeCell ref="C78:P78"/>
    <mergeCell ref="R78:AE78"/>
    <mergeCell ref="R60:AE60"/>
    <mergeCell ref="C145:P145"/>
    <mergeCell ref="R145:AE145"/>
    <mergeCell ref="B154:AF154"/>
    <mergeCell ref="C125:P125"/>
    <mergeCell ref="R125:AE125"/>
    <mergeCell ref="B134:AF134"/>
    <mergeCell ref="C136:P136"/>
    <mergeCell ref="R136:AE136"/>
    <mergeCell ref="W86:Z86"/>
    <mergeCell ref="W87:Z87"/>
    <mergeCell ref="W88:Z88"/>
    <mergeCell ref="W89:Z89"/>
    <mergeCell ref="C116:P116"/>
    <mergeCell ref="R116:AE116"/>
    <mergeCell ref="C107:P107"/>
    <mergeCell ref="R107:AE107"/>
    <mergeCell ref="C98:P98"/>
    <mergeCell ref="R98:AE98"/>
    <mergeCell ref="B96:AF96"/>
    <mergeCell ref="J94:N94"/>
  </mergeCells>
  <phoneticPr fontId="1" type="noConversion"/>
  <conditionalFormatting sqref="M13 M157">
    <cfRule type="expression" dxfId="259" priority="362" stopIfTrue="1">
      <formula>AND(ISNUMBER(P13),ISNUMBER(R13),P13&gt;R13)</formula>
    </cfRule>
  </conditionalFormatting>
  <conditionalFormatting sqref="N8 Z8 N17 N26 N44 Z44 Z26 N53 Z53 N35 N147 Z147 Z35 Z17 N62 Z62 N100 Z100 N109 Z109 N118 Z118 N127 Z127 N138 Z138 N71 Z71">
    <cfRule type="expression" dxfId="258" priority="363" stopIfTrue="1">
      <formula>J8&gt;L8</formula>
    </cfRule>
    <cfRule type="expression" dxfId="257" priority="364" stopIfTrue="1">
      <formula>J8&lt;L8</formula>
    </cfRule>
  </conditionalFormatting>
  <conditionalFormatting sqref="H8 T8 H17 H26 H44 T44 T26 H53 T53 H35 H147 T147 T35 T17 H62 T62 H100 T100 H109 T109 H118 T118 H127 T127 H138 T138 H71 T71">
    <cfRule type="expression" dxfId="256" priority="365" stopIfTrue="1">
      <formula>J8&gt;L8</formula>
    </cfRule>
    <cfRule type="expression" dxfId="255" priority="366" stopIfTrue="1">
      <formula>J8&lt;L8</formula>
    </cfRule>
  </conditionalFormatting>
  <conditionalFormatting sqref="N13">
    <cfRule type="expression" dxfId="254" priority="367" stopIfTrue="1">
      <formula>OR(P13&gt;R13,N13&amp;" win on away goals"=P12)</formula>
    </cfRule>
    <cfRule type="expression" dxfId="253" priority="368" stopIfTrue="1">
      <formula>OR(P13&lt;R13,T13&amp;" win on away goals"=P12)</formula>
    </cfRule>
  </conditionalFormatting>
  <conditionalFormatting sqref="T13">
    <cfRule type="expression" dxfId="252" priority="369" stopIfTrue="1">
      <formula>OR(P13&gt;R13,N13&amp;" win on away goals"=P12)</formula>
    </cfRule>
    <cfRule type="expression" dxfId="251" priority="370" stopIfTrue="1">
      <formula>OR(P13&lt;R13,T13&amp;" win on away goals"=P12)</formula>
    </cfRule>
  </conditionalFormatting>
  <conditionalFormatting sqref="P158:P160 R158:R160 J138 L138 V138 X138 J118 L118 V118 X118 J62 L62 V62 X62 J100 L100 V100 X100 J109 L109 V109 X109 J127 L127 V127 X127 J35 L35 J8 L8 J44 L44 V44 X44 J53 L53 V53 X53 V147 X147 J17 L17 V17 X17 J26 L26 V26 X26 V35 X35 V8 X8 J147 L147 J71 L71 V71 X71">
    <cfRule type="expression" dxfId="250" priority="371" stopIfTrue="1">
      <formula>ISBLANK(J8)</formula>
    </cfRule>
  </conditionalFormatting>
  <conditionalFormatting sqref="N81:N84 H81:H84 T82:T83 Z82:Z83">
    <cfRule type="cellIs" dxfId="249" priority="372" stopIfTrue="1" operator="notEqual">
      <formula>""</formula>
    </cfRule>
  </conditionalFormatting>
  <conditionalFormatting sqref="N157">
    <cfRule type="expression" dxfId="248" priority="373" stopIfTrue="1">
      <formula>$P$157&gt;$R$157</formula>
    </cfRule>
    <cfRule type="expression" dxfId="247" priority="374" stopIfTrue="1">
      <formula>$P$157&lt;$R$157</formula>
    </cfRule>
  </conditionalFormatting>
  <conditionalFormatting sqref="T157">
    <cfRule type="expression" dxfId="246" priority="375" stopIfTrue="1">
      <formula>$R$157&gt;$P$157</formula>
    </cfRule>
    <cfRule type="expression" dxfId="245" priority="376" stopIfTrue="1">
      <formula>$R$157&lt;$P$157</formula>
    </cfRule>
  </conditionalFormatting>
  <conditionalFormatting sqref="V9">
    <cfRule type="expression" dxfId="244" priority="357">
      <formula>V9&lt;&gt;""</formula>
    </cfRule>
    <cfRule type="expression" dxfId="243" priority="361">
      <formula>AND(J8=X8,L8=V8,V8&lt;&gt;"",X8&lt;&gt;"")</formula>
    </cfRule>
  </conditionalFormatting>
  <conditionalFormatting sqref="X9">
    <cfRule type="expression" dxfId="242" priority="356">
      <formula>X9&lt;&gt;""</formula>
    </cfRule>
    <cfRule type="expression" dxfId="241" priority="360">
      <formula>AND(J8=X8,L8=V8,V8&lt;&gt;"",X8&lt;&gt;"")</formula>
    </cfRule>
  </conditionalFormatting>
  <conditionalFormatting sqref="V10">
    <cfRule type="expression" dxfId="240" priority="355">
      <formula>V10&lt;&gt;""</formula>
    </cfRule>
    <cfRule type="expression" dxfId="239" priority="359">
      <formula>AND(V9=X9,V9=0,X9=0,V9&lt;&gt;"",X9&lt;&gt;"")</formula>
    </cfRule>
  </conditionalFormatting>
  <conditionalFormatting sqref="X10">
    <cfRule type="expression" dxfId="238" priority="354">
      <formula>X10&lt;&gt;""</formula>
    </cfRule>
    <cfRule type="expression" dxfId="237" priority="358">
      <formula>AND(V9=X9,V9=0,X9=0,V9&lt;&gt;"",X9&lt;&gt;"")</formula>
    </cfRule>
  </conditionalFormatting>
  <conditionalFormatting sqref="U9:U10">
    <cfRule type="expression" dxfId="236" priority="353">
      <formula>AND(V8&lt;&gt;"",X8&lt;&gt;"",J8=X8,L8=V8)</formula>
    </cfRule>
  </conditionalFormatting>
  <conditionalFormatting sqref="W9:W10">
    <cfRule type="expression" dxfId="235" priority="352">
      <formula>AND(V8&lt;&gt;"",X8&lt;&gt;"",J8=X8,L8=V8)</formula>
    </cfRule>
  </conditionalFormatting>
  <conditionalFormatting sqref="M22">
    <cfRule type="expression" dxfId="234" priority="347" stopIfTrue="1">
      <formula>AND(ISNUMBER(P22),ISNUMBER(R22),P22&gt;R22)</formula>
    </cfRule>
  </conditionalFormatting>
  <conditionalFormatting sqref="N22">
    <cfRule type="expression" dxfId="233" priority="348" stopIfTrue="1">
      <formula>OR(P22&gt;R22,N22&amp;" win on away goals"=P21)</formula>
    </cfRule>
    <cfRule type="expression" dxfId="232" priority="349" stopIfTrue="1">
      <formula>OR(P22&lt;R22,T22&amp;" win on away goals"=P21)</formula>
    </cfRule>
  </conditionalFormatting>
  <conditionalFormatting sqref="T22">
    <cfRule type="expression" dxfId="231" priority="350" stopIfTrue="1">
      <formula>OR(P22&gt;R22,N22&amp;" win on away goals"=P21)</formula>
    </cfRule>
    <cfRule type="expression" dxfId="230" priority="351" stopIfTrue="1">
      <formula>OR(P22&lt;R22,T22&amp;" win on away goals"=P21)</formula>
    </cfRule>
  </conditionalFormatting>
  <conditionalFormatting sqref="M31">
    <cfRule type="expression" dxfId="229" priority="332" stopIfTrue="1">
      <formula>AND(ISNUMBER(P31),ISNUMBER(R31),P31&gt;R31)</formula>
    </cfRule>
  </conditionalFormatting>
  <conditionalFormatting sqref="N31">
    <cfRule type="expression" dxfId="228" priority="333" stopIfTrue="1">
      <formula>OR(P31&gt;R31,N31&amp;" win on away goals"=P30)</formula>
    </cfRule>
    <cfRule type="expression" dxfId="227" priority="334" stopIfTrue="1">
      <formula>OR(P31&lt;R31,T31&amp;" win on away goals"=P30)</formula>
    </cfRule>
  </conditionalFormatting>
  <conditionalFormatting sqref="T31">
    <cfRule type="expression" dxfId="226" priority="335" stopIfTrue="1">
      <formula>OR(P31&gt;R31,N31&amp;" win on away goals"=P30)</formula>
    </cfRule>
    <cfRule type="expression" dxfId="225" priority="336" stopIfTrue="1">
      <formula>OR(P31&lt;R31,T31&amp;" win on away goals"=P30)</formula>
    </cfRule>
  </conditionalFormatting>
  <conditionalFormatting sqref="M40">
    <cfRule type="expression" dxfId="224" priority="317" stopIfTrue="1">
      <formula>AND(ISNUMBER(P40),ISNUMBER(R40),P40&gt;R40)</formula>
    </cfRule>
  </conditionalFormatting>
  <conditionalFormatting sqref="N40">
    <cfRule type="expression" dxfId="223" priority="318" stopIfTrue="1">
      <formula>OR(P40&gt;R40,N40&amp;" win on away goals"=P39)</formula>
    </cfRule>
    <cfRule type="expression" dxfId="222" priority="319" stopIfTrue="1">
      <formula>OR(P40&lt;R40,T40&amp;" win on away goals"=P39)</formula>
    </cfRule>
  </conditionalFormatting>
  <conditionalFormatting sqref="T40">
    <cfRule type="expression" dxfId="221" priority="320" stopIfTrue="1">
      <formula>OR(P40&gt;R40,N40&amp;" win on away goals"=P39)</formula>
    </cfRule>
    <cfRule type="expression" dxfId="220" priority="321" stopIfTrue="1">
      <formula>OR(P40&lt;R40,T40&amp;" win on away goals"=P39)</formula>
    </cfRule>
  </conditionalFormatting>
  <conditionalFormatting sqref="M49">
    <cfRule type="expression" dxfId="219" priority="302" stopIfTrue="1">
      <formula>AND(ISNUMBER(P49),ISNUMBER(R49),P49&gt;R49)</formula>
    </cfRule>
  </conditionalFormatting>
  <conditionalFormatting sqref="N49">
    <cfRule type="expression" dxfId="218" priority="303" stopIfTrue="1">
      <formula>OR(P49&gt;R49,N49&amp;" win on away goals"=P48)</formula>
    </cfRule>
    <cfRule type="expression" dxfId="217" priority="304" stopIfTrue="1">
      <formula>OR(P49&lt;R49,T49&amp;" win on away goals"=P48)</formula>
    </cfRule>
  </conditionalFormatting>
  <conditionalFormatting sqref="T49">
    <cfRule type="expression" dxfId="216" priority="305" stopIfTrue="1">
      <formula>OR(P49&gt;R49,N49&amp;" win on away goals"=P48)</formula>
    </cfRule>
    <cfRule type="expression" dxfId="215" priority="306" stopIfTrue="1">
      <formula>OR(P49&lt;R49,T49&amp;" win on away goals"=P48)</formula>
    </cfRule>
  </conditionalFormatting>
  <conditionalFormatting sqref="M58">
    <cfRule type="expression" dxfId="214" priority="287" stopIfTrue="1">
      <formula>AND(ISNUMBER(P58),ISNUMBER(R58),P58&gt;R58)</formula>
    </cfRule>
  </conditionalFormatting>
  <conditionalFormatting sqref="N58">
    <cfRule type="expression" dxfId="213" priority="288" stopIfTrue="1">
      <formula>OR(P58&gt;R58,N58&amp;" win on away goals"=P57)</formula>
    </cfRule>
    <cfRule type="expression" dxfId="212" priority="289" stopIfTrue="1">
      <formula>OR(P58&lt;R58,T58&amp;" win on away goals"=P57)</formula>
    </cfRule>
  </conditionalFormatting>
  <conditionalFormatting sqref="T58">
    <cfRule type="expression" dxfId="211" priority="290" stopIfTrue="1">
      <formula>OR(P58&gt;R58,N58&amp;" win on away goals"=P57)</formula>
    </cfRule>
    <cfRule type="expression" dxfId="210" priority="291" stopIfTrue="1">
      <formula>OR(P58&lt;R58,T58&amp;" win on away goals"=P57)</formula>
    </cfRule>
  </conditionalFormatting>
  <conditionalFormatting sqref="M67">
    <cfRule type="expression" dxfId="209" priority="272" stopIfTrue="1">
      <formula>AND(ISNUMBER(P67),ISNUMBER(R67),P67&gt;R67)</formula>
    </cfRule>
  </conditionalFormatting>
  <conditionalFormatting sqref="N67">
    <cfRule type="expression" dxfId="208" priority="273" stopIfTrue="1">
      <formula>OR(P67&gt;R67,N67&amp;" win on away goals"=P66)</formula>
    </cfRule>
    <cfRule type="expression" dxfId="207" priority="274" stopIfTrue="1">
      <formula>OR(P67&lt;R67,T67&amp;" win on away goals"=P66)</formula>
    </cfRule>
  </conditionalFormatting>
  <conditionalFormatting sqref="T67">
    <cfRule type="expression" dxfId="206" priority="275" stopIfTrue="1">
      <formula>OR(P67&gt;R67,N67&amp;" win on away goals"=P66)</formula>
    </cfRule>
    <cfRule type="expression" dxfId="205" priority="276" stopIfTrue="1">
      <formula>OR(P67&lt;R67,T67&amp;" win on away goals"=P66)</formula>
    </cfRule>
  </conditionalFormatting>
  <conditionalFormatting sqref="M76">
    <cfRule type="expression" dxfId="204" priority="257" stopIfTrue="1">
      <formula>AND(ISNUMBER(P76),ISNUMBER(R76),P76&gt;R76)</formula>
    </cfRule>
  </conditionalFormatting>
  <conditionalFormatting sqref="N76">
    <cfRule type="expression" dxfId="203" priority="258" stopIfTrue="1">
      <formula>OR(P76&gt;R76,N76&amp;" win on away goals"=P75)</formula>
    </cfRule>
    <cfRule type="expression" dxfId="202" priority="259" stopIfTrue="1">
      <formula>OR(P76&lt;R76,T76&amp;" win on away goals"=P75)</formula>
    </cfRule>
  </conditionalFormatting>
  <conditionalFormatting sqref="T76">
    <cfRule type="expression" dxfId="201" priority="260" stopIfTrue="1">
      <formula>OR(P76&gt;R76,N76&amp;" win on away goals"=P75)</formula>
    </cfRule>
    <cfRule type="expression" dxfId="200" priority="261" stopIfTrue="1">
      <formula>OR(P76&lt;R76,T76&amp;" win on away goals"=P75)</formula>
    </cfRule>
  </conditionalFormatting>
  <conditionalFormatting sqref="M105">
    <cfRule type="expression" dxfId="199" priority="242" stopIfTrue="1">
      <formula>AND(ISNUMBER(P105),ISNUMBER(R105),P105&gt;R105)</formula>
    </cfRule>
  </conditionalFormatting>
  <conditionalFormatting sqref="N105">
    <cfRule type="expression" dxfId="198" priority="243" stopIfTrue="1">
      <formula>OR(P105&gt;R105,N105&amp;" win on away goals"=P104)</formula>
    </cfRule>
    <cfRule type="expression" dxfId="197" priority="244" stopIfTrue="1">
      <formula>OR(P105&lt;R105,T105&amp;" win on away goals"=P104)</formula>
    </cfRule>
  </conditionalFormatting>
  <conditionalFormatting sqref="T105">
    <cfRule type="expression" dxfId="196" priority="245" stopIfTrue="1">
      <formula>OR(P105&gt;R105,N105&amp;" win on away goals"=P104)</formula>
    </cfRule>
    <cfRule type="expression" dxfId="195" priority="246" stopIfTrue="1">
      <formula>OR(P105&lt;R105,T105&amp;" win on away goals"=P104)</formula>
    </cfRule>
  </conditionalFormatting>
  <conditionalFormatting sqref="M114">
    <cfRule type="expression" dxfId="194" priority="227" stopIfTrue="1">
      <formula>AND(ISNUMBER(P114),ISNUMBER(R114),P114&gt;R114)</formula>
    </cfRule>
  </conditionalFormatting>
  <conditionalFormatting sqref="N114">
    <cfRule type="expression" dxfId="193" priority="228" stopIfTrue="1">
      <formula>OR(P114&gt;R114,N114&amp;" win on away goals"=P113)</formula>
    </cfRule>
    <cfRule type="expression" dxfId="192" priority="229" stopIfTrue="1">
      <formula>OR(P114&lt;R114,T114&amp;" win on away goals"=P113)</formula>
    </cfRule>
  </conditionalFormatting>
  <conditionalFormatting sqref="T114">
    <cfRule type="expression" dxfId="191" priority="230" stopIfTrue="1">
      <formula>OR(P114&gt;R114,N114&amp;" win on away goals"=P113)</formula>
    </cfRule>
    <cfRule type="expression" dxfId="190" priority="231" stopIfTrue="1">
      <formula>OR(P114&lt;R114,T114&amp;" win on away goals"=P113)</formula>
    </cfRule>
  </conditionalFormatting>
  <conditionalFormatting sqref="M123">
    <cfRule type="expression" dxfId="189" priority="212" stopIfTrue="1">
      <formula>AND(ISNUMBER(P123),ISNUMBER(R123),P123&gt;R123)</formula>
    </cfRule>
  </conditionalFormatting>
  <conditionalFormatting sqref="N123">
    <cfRule type="expression" dxfId="188" priority="213" stopIfTrue="1">
      <formula>OR(P123&gt;R123,N123&amp;" win on away goals"=P122)</formula>
    </cfRule>
    <cfRule type="expression" dxfId="187" priority="214" stopIfTrue="1">
      <formula>OR(P123&lt;R123,T123&amp;" win on away goals"=P122)</formula>
    </cfRule>
  </conditionalFormatting>
  <conditionalFormatting sqref="T123">
    <cfRule type="expression" dxfId="186" priority="215" stopIfTrue="1">
      <formula>OR(P123&gt;R123,N123&amp;" win on away goals"=P122)</formula>
    </cfRule>
    <cfRule type="expression" dxfId="185" priority="216" stopIfTrue="1">
      <formula>OR(P123&lt;R123,T123&amp;" win on away goals"=P122)</formula>
    </cfRule>
  </conditionalFormatting>
  <conditionalFormatting sqref="M132">
    <cfRule type="expression" dxfId="184" priority="197" stopIfTrue="1">
      <formula>AND(ISNUMBER(P132),ISNUMBER(R132),P132&gt;R132)</formula>
    </cfRule>
  </conditionalFormatting>
  <conditionalFormatting sqref="N132">
    <cfRule type="expression" dxfId="183" priority="198" stopIfTrue="1">
      <formula>OR(P132&gt;R132,N132&amp;" win on away goals"=P131)</formula>
    </cfRule>
    <cfRule type="expression" dxfId="182" priority="199" stopIfTrue="1">
      <formula>OR(P132&lt;R132,T132&amp;" win on away goals"=P131)</formula>
    </cfRule>
  </conditionalFormatting>
  <conditionalFormatting sqref="T132">
    <cfRule type="expression" dxfId="181" priority="200" stopIfTrue="1">
      <formula>OR(P132&gt;R132,N132&amp;" win on away goals"=P131)</formula>
    </cfRule>
    <cfRule type="expression" dxfId="180" priority="201" stopIfTrue="1">
      <formula>OR(P132&lt;R132,T132&amp;" win on away goals"=P131)</formula>
    </cfRule>
  </conditionalFormatting>
  <conditionalFormatting sqref="M143">
    <cfRule type="expression" dxfId="179" priority="182" stopIfTrue="1">
      <formula>AND(ISNUMBER(P143),ISNUMBER(R143),P143&gt;R143)</formula>
    </cfRule>
  </conditionalFormatting>
  <conditionalFormatting sqref="N143">
    <cfRule type="expression" dxfId="178" priority="183" stopIfTrue="1">
      <formula>OR(P143&gt;R143,N143&amp;" win on away goals"=P142)</formula>
    </cfRule>
    <cfRule type="expression" dxfId="177" priority="184" stopIfTrue="1">
      <formula>OR(P143&lt;R143,T143&amp;" win on away goals"=P142)</formula>
    </cfRule>
  </conditionalFormatting>
  <conditionalFormatting sqref="T143">
    <cfRule type="expression" dxfId="176" priority="185" stopIfTrue="1">
      <formula>OR(P143&gt;R143,N143&amp;" win on away goals"=P142)</formula>
    </cfRule>
    <cfRule type="expression" dxfId="175" priority="186" stopIfTrue="1">
      <formula>OR(P143&lt;R143,T143&amp;" win on away goals"=P142)</formula>
    </cfRule>
  </conditionalFormatting>
  <conditionalFormatting sqref="M152">
    <cfRule type="expression" dxfId="174" priority="167" stopIfTrue="1">
      <formula>AND(ISNUMBER(P152),ISNUMBER(R152),P152&gt;R152)</formula>
    </cfRule>
  </conditionalFormatting>
  <conditionalFormatting sqref="N152">
    <cfRule type="expression" dxfId="173" priority="168" stopIfTrue="1">
      <formula>OR(P152&gt;R152,N152&amp;" win on away goals"=P151)</formula>
    </cfRule>
    <cfRule type="expression" dxfId="172" priority="169" stopIfTrue="1">
      <formula>OR(P152&lt;R152,T152&amp;" win on away goals"=P151)</formula>
    </cfRule>
  </conditionalFormatting>
  <conditionalFormatting sqref="T152">
    <cfRule type="expression" dxfId="171" priority="170" stopIfTrue="1">
      <formula>OR(P152&gt;R152,N152&amp;" win on away goals"=P151)</formula>
    </cfRule>
    <cfRule type="expression" dxfId="170" priority="171" stopIfTrue="1">
      <formula>OR(P152&lt;R152,T152&amp;" win on away goals"=P151)</formula>
    </cfRule>
  </conditionalFormatting>
  <conditionalFormatting sqref="V18">
    <cfRule type="expression" dxfId="169" priority="154">
      <formula>V18&lt;&gt;""</formula>
    </cfRule>
    <cfRule type="expression" dxfId="168" priority="156">
      <formula>AND(J17=X17,L17=V17,V17&lt;&gt;"",X17&lt;&gt;"")</formula>
    </cfRule>
  </conditionalFormatting>
  <conditionalFormatting sqref="X18">
    <cfRule type="expression" dxfId="167" priority="153">
      <formula>X18&lt;&gt;""</formula>
    </cfRule>
    <cfRule type="expression" dxfId="166" priority="155">
      <formula>AND(J17=X17,L17=V17,V17&lt;&gt;"",X17&lt;&gt;"")</formula>
    </cfRule>
  </conditionalFormatting>
  <conditionalFormatting sqref="U18">
    <cfRule type="expression" dxfId="165" priority="152">
      <formula>AND(V17&lt;&gt;"",X17&lt;&gt;"",J17=X17,L17=V17)</formula>
    </cfRule>
  </conditionalFormatting>
  <conditionalFormatting sqref="W18">
    <cfRule type="expression" dxfId="164" priority="151">
      <formula>AND(V17&lt;&gt;"",X17&lt;&gt;"",J17=X17,L17=V17)</formula>
    </cfRule>
  </conditionalFormatting>
  <conditionalFormatting sqref="V27">
    <cfRule type="expression" dxfId="163" priority="148">
      <formula>V27&lt;&gt;""</formula>
    </cfRule>
    <cfRule type="expression" dxfId="162" priority="150">
      <formula>AND(J26=X26,L26=V26,V26&lt;&gt;"",X26&lt;&gt;"")</formula>
    </cfRule>
  </conditionalFormatting>
  <conditionalFormatting sqref="X27">
    <cfRule type="expression" dxfId="161" priority="147">
      <formula>X27&lt;&gt;""</formula>
    </cfRule>
    <cfRule type="expression" dxfId="160" priority="149">
      <formula>AND(J26=X26,L26=V26,V26&lt;&gt;"",X26&lt;&gt;"")</formula>
    </cfRule>
  </conditionalFormatting>
  <conditionalFormatting sqref="U27">
    <cfRule type="expression" dxfId="159" priority="146">
      <formula>AND(V26&lt;&gt;"",X26&lt;&gt;"",J26=X26,L26=V26)</formula>
    </cfRule>
  </conditionalFormatting>
  <conditionalFormatting sqref="W27">
    <cfRule type="expression" dxfId="158" priority="145">
      <formula>AND(V26&lt;&gt;"",X26&lt;&gt;"",J26=X26,L26=V26)</formula>
    </cfRule>
  </conditionalFormatting>
  <conditionalFormatting sqref="V36">
    <cfRule type="expression" dxfId="157" priority="142">
      <formula>V36&lt;&gt;""</formula>
    </cfRule>
    <cfRule type="expression" dxfId="156" priority="144">
      <formula>AND(J35=X35,L35=V35,V35&lt;&gt;"",X35&lt;&gt;"")</formula>
    </cfRule>
  </conditionalFormatting>
  <conditionalFormatting sqref="X36">
    <cfRule type="expression" dxfId="155" priority="141">
      <formula>X36&lt;&gt;""</formula>
    </cfRule>
    <cfRule type="expression" dxfId="154" priority="143">
      <formula>AND(J35=X35,L35=V35,V35&lt;&gt;"",X35&lt;&gt;"")</formula>
    </cfRule>
  </conditionalFormatting>
  <conditionalFormatting sqref="U36">
    <cfRule type="expression" dxfId="153" priority="140">
      <formula>AND(V35&lt;&gt;"",X35&lt;&gt;"",J35=X35,L35=V35)</formula>
    </cfRule>
  </conditionalFormatting>
  <conditionalFormatting sqref="W36">
    <cfRule type="expression" dxfId="152" priority="139">
      <formula>AND(V35&lt;&gt;"",X35&lt;&gt;"",J35=X35,L35=V35)</formula>
    </cfRule>
  </conditionalFormatting>
  <conditionalFormatting sqref="V45">
    <cfRule type="expression" dxfId="151" priority="136">
      <formula>V45&lt;&gt;""</formula>
    </cfRule>
    <cfRule type="expression" dxfId="150" priority="138">
      <formula>AND(J44=X44,L44=V44,V44&lt;&gt;"",X44&lt;&gt;"")</formula>
    </cfRule>
  </conditionalFormatting>
  <conditionalFormatting sqref="X45">
    <cfRule type="expression" dxfId="149" priority="135">
      <formula>X45&lt;&gt;""</formula>
    </cfRule>
    <cfRule type="expression" dxfId="148" priority="137">
      <formula>AND(J44=X44,L44=V44,V44&lt;&gt;"",X44&lt;&gt;"")</formula>
    </cfRule>
  </conditionalFormatting>
  <conditionalFormatting sqref="U45">
    <cfRule type="expression" dxfId="147" priority="134">
      <formula>AND(V44&lt;&gt;"",X44&lt;&gt;"",J44=X44,L44=V44)</formula>
    </cfRule>
  </conditionalFormatting>
  <conditionalFormatting sqref="W45">
    <cfRule type="expression" dxfId="146" priority="133">
      <formula>AND(V44&lt;&gt;"",X44&lt;&gt;"",J44=X44,L44=V44)</formula>
    </cfRule>
  </conditionalFormatting>
  <conditionalFormatting sqref="V54">
    <cfRule type="expression" dxfId="145" priority="130">
      <formula>V54&lt;&gt;""</formula>
    </cfRule>
    <cfRule type="expression" dxfId="144" priority="132">
      <formula>AND(J53=X53,L53=V53,V53&lt;&gt;"",X53&lt;&gt;"")</formula>
    </cfRule>
  </conditionalFormatting>
  <conditionalFormatting sqref="X54">
    <cfRule type="expression" dxfId="143" priority="129">
      <formula>X54&lt;&gt;""</formula>
    </cfRule>
    <cfRule type="expression" dxfId="142" priority="131">
      <formula>AND(J53=X53,L53=V53,V53&lt;&gt;"",X53&lt;&gt;"")</formula>
    </cfRule>
  </conditionalFormatting>
  <conditionalFormatting sqref="U54">
    <cfRule type="expression" dxfId="141" priority="128">
      <formula>AND(V53&lt;&gt;"",X53&lt;&gt;"",J53=X53,L53=V53)</formula>
    </cfRule>
  </conditionalFormatting>
  <conditionalFormatting sqref="W54">
    <cfRule type="expression" dxfId="140" priority="127">
      <formula>AND(V53&lt;&gt;"",X53&lt;&gt;"",J53=X53,L53=V53)</formula>
    </cfRule>
  </conditionalFormatting>
  <conditionalFormatting sqref="V63">
    <cfRule type="expression" dxfId="139" priority="124">
      <formula>V63&lt;&gt;""</formula>
    </cfRule>
    <cfRule type="expression" dxfId="138" priority="126">
      <formula>AND(J62=X62,L62=V62,V62&lt;&gt;"",X62&lt;&gt;"")</formula>
    </cfRule>
  </conditionalFormatting>
  <conditionalFormatting sqref="X63">
    <cfRule type="expression" dxfId="137" priority="123">
      <formula>X63&lt;&gt;""</formula>
    </cfRule>
    <cfRule type="expression" dxfId="136" priority="125">
      <formula>AND(J62=X62,L62=V62,V62&lt;&gt;"",X62&lt;&gt;"")</formula>
    </cfRule>
  </conditionalFormatting>
  <conditionalFormatting sqref="U63">
    <cfRule type="expression" dxfId="135" priority="122">
      <formula>AND(V62&lt;&gt;"",X62&lt;&gt;"",J62=X62,L62=V62)</formula>
    </cfRule>
  </conditionalFormatting>
  <conditionalFormatting sqref="W63">
    <cfRule type="expression" dxfId="134" priority="121">
      <formula>AND(V62&lt;&gt;"",X62&lt;&gt;"",J62=X62,L62=V62)</formula>
    </cfRule>
  </conditionalFormatting>
  <conditionalFormatting sqref="V72">
    <cfRule type="expression" dxfId="133" priority="118">
      <formula>V72&lt;&gt;""</formula>
    </cfRule>
    <cfRule type="expression" dxfId="132" priority="120">
      <formula>AND(J71=X71,L71=V71,V71&lt;&gt;"",X71&lt;&gt;"")</formula>
    </cfRule>
  </conditionalFormatting>
  <conditionalFormatting sqref="X72">
    <cfRule type="expression" dxfId="131" priority="117">
      <formula>X72&lt;&gt;""</formula>
    </cfRule>
    <cfRule type="expression" dxfId="130" priority="119">
      <formula>AND(J71=X71,L71=V71,V71&lt;&gt;"",X71&lt;&gt;"")</formula>
    </cfRule>
  </conditionalFormatting>
  <conditionalFormatting sqref="U72">
    <cfRule type="expression" dxfId="129" priority="116">
      <formula>AND(V71&lt;&gt;"",X71&lt;&gt;"",J71=X71,L71=V71)</formula>
    </cfRule>
  </conditionalFormatting>
  <conditionalFormatting sqref="W72">
    <cfRule type="expression" dxfId="128" priority="115">
      <formula>AND(V71&lt;&gt;"",X71&lt;&gt;"",J71=X71,L71=V71)</formula>
    </cfRule>
  </conditionalFormatting>
  <conditionalFormatting sqref="V101">
    <cfRule type="expression" dxfId="127" priority="112">
      <formula>V101&lt;&gt;""</formula>
    </cfRule>
    <cfRule type="expression" dxfId="126" priority="114">
      <formula>AND(J100=X100,L100=V100,V100&lt;&gt;"",X100&lt;&gt;"")</formula>
    </cfRule>
  </conditionalFormatting>
  <conditionalFormatting sqref="X101">
    <cfRule type="expression" dxfId="125" priority="111">
      <formula>X101&lt;&gt;""</formula>
    </cfRule>
    <cfRule type="expression" dxfId="124" priority="113">
      <formula>AND(J100=X100,L100=V100,V100&lt;&gt;"",X100&lt;&gt;"")</formula>
    </cfRule>
  </conditionalFormatting>
  <conditionalFormatting sqref="U101">
    <cfRule type="expression" dxfId="123" priority="110">
      <formula>AND(V100&lt;&gt;"",X100&lt;&gt;"",J100=X100,L100=V100)</formula>
    </cfRule>
  </conditionalFormatting>
  <conditionalFormatting sqref="W101">
    <cfRule type="expression" dxfId="122" priority="109">
      <formula>AND(V100&lt;&gt;"",X100&lt;&gt;"",J100=X100,L100=V100)</formula>
    </cfRule>
  </conditionalFormatting>
  <conditionalFormatting sqref="V110">
    <cfRule type="expression" dxfId="121" priority="106">
      <formula>V110&lt;&gt;""</formula>
    </cfRule>
    <cfRule type="expression" dxfId="120" priority="108">
      <formula>AND(J109=X109,L109=V109,V109&lt;&gt;"",X109&lt;&gt;"")</formula>
    </cfRule>
  </conditionalFormatting>
  <conditionalFormatting sqref="X110">
    <cfRule type="expression" dxfId="119" priority="105">
      <formula>X110&lt;&gt;""</formula>
    </cfRule>
    <cfRule type="expression" dxfId="118" priority="107">
      <formula>AND(J109=X109,L109=V109,V109&lt;&gt;"",X109&lt;&gt;"")</formula>
    </cfRule>
  </conditionalFormatting>
  <conditionalFormatting sqref="U110">
    <cfRule type="expression" dxfId="117" priority="104">
      <formula>AND(V109&lt;&gt;"",X109&lt;&gt;"",J109=X109,L109=V109)</formula>
    </cfRule>
  </conditionalFormatting>
  <conditionalFormatting sqref="W110">
    <cfRule type="expression" dxfId="116" priority="103">
      <formula>AND(V109&lt;&gt;"",X109&lt;&gt;"",J109=X109,L109=V109)</formula>
    </cfRule>
  </conditionalFormatting>
  <conditionalFormatting sqref="V119">
    <cfRule type="expression" dxfId="115" priority="100">
      <formula>V119&lt;&gt;""</formula>
    </cfRule>
    <cfRule type="expression" dxfId="114" priority="102">
      <formula>AND(J118=X118,L118=V118,V118&lt;&gt;"",X118&lt;&gt;"")</formula>
    </cfRule>
  </conditionalFormatting>
  <conditionalFormatting sqref="X119">
    <cfRule type="expression" dxfId="113" priority="99">
      <formula>X119&lt;&gt;""</formula>
    </cfRule>
    <cfRule type="expression" dxfId="112" priority="101">
      <formula>AND(J118=X118,L118=V118,V118&lt;&gt;"",X118&lt;&gt;"")</formula>
    </cfRule>
  </conditionalFormatting>
  <conditionalFormatting sqref="U119">
    <cfRule type="expression" dxfId="111" priority="98">
      <formula>AND(V118&lt;&gt;"",X118&lt;&gt;"",J118=X118,L118=V118)</formula>
    </cfRule>
  </conditionalFormatting>
  <conditionalFormatting sqref="W119">
    <cfRule type="expression" dxfId="110" priority="97">
      <formula>AND(V118&lt;&gt;"",X118&lt;&gt;"",J118=X118,L118=V118)</formula>
    </cfRule>
  </conditionalFormatting>
  <conditionalFormatting sqref="V128">
    <cfRule type="expression" dxfId="109" priority="94">
      <formula>V128&lt;&gt;""</formula>
    </cfRule>
    <cfRule type="expression" dxfId="108" priority="96">
      <formula>AND(J127=X127,L127=V127,V127&lt;&gt;"",X127&lt;&gt;"")</formula>
    </cfRule>
  </conditionalFormatting>
  <conditionalFormatting sqref="X128">
    <cfRule type="expression" dxfId="107" priority="93">
      <formula>X128&lt;&gt;""</formula>
    </cfRule>
    <cfRule type="expression" dxfId="106" priority="95">
      <formula>AND(J127=X127,L127=V127,V127&lt;&gt;"",X127&lt;&gt;"")</formula>
    </cfRule>
  </conditionalFormatting>
  <conditionalFormatting sqref="U128">
    <cfRule type="expression" dxfId="105" priority="92">
      <formula>AND(V127&lt;&gt;"",X127&lt;&gt;"",J127=X127,L127=V127)</formula>
    </cfRule>
  </conditionalFormatting>
  <conditionalFormatting sqref="W128">
    <cfRule type="expression" dxfId="104" priority="91">
      <formula>AND(V127&lt;&gt;"",X127&lt;&gt;"",J127=X127,L127=V127)</formula>
    </cfRule>
  </conditionalFormatting>
  <conditionalFormatting sqref="V139">
    <cfRule type="expression" dxfId="103" priority="88">
      <formula>V139&lt;&gt;""</formula>
    </cfRule>
    <cfRule type="expression" dxfId="102" priority="90">
      <formula>AND(J138=X138,L138=V138,V138&lt;&gt;"",X138&lt;&gt;"")</formula>
    </cfRule>
  </conditionalFormatting>
  <conditionalFormatting sqref="X139">
    <cfRule type="expression" dxfId="101" priority="87">
      <formula>X139&lt;&gt;""</formula>
    </cfRule>
    <cfRule type="expression" dxfId="100" priority="89">
      <formula>AND(J138=X138,L138=V138,V138&lt;&gt;"",X138&lt;&gt;"")</formula>
    </cfRule>
  </conditionalFormatting>
  <conditionalFormatting sqref="U139">
    <cfRule type="expression" dxfId="99" priority="86">
      <formula>AND(V138&lt;&gt;"",X138&lt;&gt;"",J138=X138,L138=V138)</formula>
    </cfRule>
  </conditionalFormatting>
  <conditionalFormatting sqref="W139">
    <cfRule type="expression" dxfId="98" priority="85">
      <formula>AND(V138&lt;&gt;"",X138&lt;&gt;"",J138=X138,L138=V138)</formula>
    </cfRule>
  </conditionalFormatting>
  <conditionalFormatting sqref="V148">
    <cfRule type="expression" dxfId="97" priority="82">
      <formula>V148&lt;&gt;""</formula>
    </cfRule>
    <cfRule type="expression" dxfId="96" priority="84">
      <formula>AND(J147=X147,L147=V147,V147&lt;&gt;"",X147&lt;&gt;"")</formula>
    </cfRule>
  </conditionalFormatting>
  <conditionalFormatting sqref="X148">
    <cfRule type="expression" dxfId="95" priority="81">
      <formula>X148&lt;&gt;""</formula>
    </cfRule>
    <cfRule type="expression" dxfId="94" priority="83">
      <formula>AND(J147=X147,L147=V147,V147&lt;&gt;"",X147&lt;&gt;"")</formula>
    </cfRule>
  </conditionalFormatting>
  <conditionalFormatting sqref="U148">
    <cfRule type="expression" dxfId="93" priority="80">
      <formula>AND(V147&lt;&gt;"",X147&lt;&gt;"",J147=X147,L147=V147)</formula>
    </cfRule>
  </conditionalFormatting>
  <conditionalFormatting sqref="W148">
    <cfRule type="expression" dxfId="92" priority="79">
      <formula>AND(V147&lt;&gt;"",X147&lt;&gt;"",J147=X147,L147=V147)</formula>
    </cfRule>
  </conditionalFormatting>
  <conditionalFormatting sqref="V19">
    <cfRule type="expression" dxfId="91" priority="76">
      <formula>V19&lt;&gt;""</formula>
    </cfRule>
    <cfRule type="expression" dxfId="90" priority="78">
      <formula>AND(V18=X18,V18=0,X18=0,V18&lt;&gt;"",X18&lt;&gt;"")</formula>
    </cfRule>
  </conditionalFormatting>
  <conditionalFormatting sqref="X19">
    <cfRule type="expression" dxfId="89" priority="75">
      <formula>X19&lt;&gt;""</formula>
    </cfRule>
    <cfRule type="expression" dxfId="88" priority="77">
      <formula>AND(V18=X18,V18=0,X18=0,V18&lt;&gt;"",X18&lt;&gt;"")</formula>
    </cfRule>
  </conditionalFormatting>
  <conditionalFormatting sqref="U19">
    <cfRule type="expression" dxfId="87" priority="74">
      <formula>AND(V18&lt;&gt;"",X18&lt;&gt;"",J18=X18,L18=V18)</formula>
    </cfRule>
  </conditionalFormatting>
  <conditionalFormatting sqref="W19">
    <cfRule type="expression" dxfId="86" priority="73">
      <formula>AND(V18&lt;&gt;"",X18&lt;&gt;"",J18=X18,L18=V18)</formula>
    </cfRule>
  </conditionalFormatting>
  <conditionalFormatting sqref="V28">
    <cfRule type="expression" dxfId="85" priority="70">
      <formula>V28&lt;&gt;""</formula>
    </cfRule>
    <cfRule type="expression" dxfId="84" priority="72">
      <formula>AND(V27=X27,V27=0,X27=0,V27&lt;&gt;"",X27&lt;&gt;"")</formula>
    </cfRule>
  </conditionalFormatting>
  <conditionalFormatting sqref="X28">
    <cfRule type="expression" dxfId="83" priority="69">
      <formula>X28&lt;&gt;""</formula>
    </cfRule>
    <cfRule type="expression" dxfId="82" priority="71">
      <formula>AND(V27=X27,V27=0,X27=0,V27&lt;&gt;"",X27&lt;&gt;"")</formula>
    </cfRule>
  </conditionalFormatting>
  <conditionalFormatting sqref="U28">
    <cfRule type="expression" dxfId="81" priority="68">
      <formula>AND(V27&lt;&gt;"",X27&lt;&gt;"",J27=X27,L27=V27)</formula>
    </cfRule>
  </conditionalFormatting>
  <conditionalFormatting sqref="W28">
    <cfRule type="expression" dxfId="80" priority="67">
      <formula>AND(V27&lt;&gt;"",X27&lt;&gt;"",J27=X27,L27=V27)</formula>
    </cfRule>
  </conditionalFormatting>
  <conditionalFormatting sqref="V37">
    <cfRule type="expression" dxfId="79" priority="64">
      <formula>V37&lt;&gt;""</formula>
    </cfRule>
    <cfRule type="expression" dxfId="78" priority="66">
      <formula>AND(V36=X36,V36=0,X36=0,V36&lt;&gt;"",X36&lt;&gt;"")</formula>
    </cfRule>
  </conditionalFormatting>
  <conditionalFormatting sqref="X37">
    <cfRule type="expression" dxfId="77" priority="63">
      <formula>X37&lt;&gt;""</formula>
    </cfRule>
    <cfRule type="expression" dxfId="76" priority="65">
      <formula>AND(V36=X36,V36=0,X36=0,V36&lt;&gt;"",X36&lt;&gt;"")</formula>
    </cfRule>
  </conditionalFormatting>
  <conditionalFormatting sqref="U37">
    <cfRule type="expression" dxfId="75" priority="62">
      <formula>AND(V36&lt;&gt;"",X36&lt;&gt;"",J36=X36,L36=V36)</formula>
    </cfRule>
  </conditionalFormatting>
  <conditionalFormatting sqref="W37">
    <cfRule type="expression" dxfId="74" priority="61">
      <formula>AND(V36&lt;&gt;"",X36&lt;&gt;"",J36=X36,L36=V36)</formula>
    </cfRule>
  </conditionalFormatting>
  <conditionalFormatting sqref="V46">
    <cfRule type="expression" dxfId="73" priority="58">
      <formula>V46&lt;&gt;""</formula>
    </cfRule>
    <cfRule type="expression" dxfId="72" priority="60">
      <formula>AND(V45=X45,V45=0,X45=0,V45&lt;&gt;"",X45&lt;&gt;"")</formula>
    </cfRule>
  </conditionalFormatting>
  <conditionalFormatting sqref="X46">
    <cfRule type="expression" dxfId="71" priority="57">
      <formula>X46&lt;&gt;""</formula>
    </cfRule>
    <cfRule type="expression" dxfId="70" priority="59">
      <formula>AND(V45=X45,V45=0,X45=0,V45&lt;&gt;"",X45&lt;&gt;"")</formula>
    </cfRule>
  </conditionalFormatting>
  <conditionalFormatting sqref="U46">
    <cfRule type="expression" dxfId="69" priority="56">
      <formula>AND(V45&lt;&gt;"",X45&lt;&gt;"",J45=X45,L45=V45)</formula>
    </cfRule>
  </conditionalFormatting>
  <conditionalFormatting sqref="W46">
    <cfRule type="expression" dxfId="68" priority="55">
      <formula>AND(V45&lt;&gt;"",X45&lt;&gt;"",J45=X45,L45=V45)</formula>
    </cfRule>
  </conditionalFormatting>
  <conditionalFormatting sqref="V55">
    <cfRule type="expression" dxfId="67" priority="52">
      <formula>V55&lt;&gt;""</formula>
    </cfRule>
    <cfRule type="expression" dxfId="66" priority="54">
      <formula>AND(V54=X54,V54=0,X54=0,V54&lt;&gt;"",X54&lt;&gt;"")</formula>
    </cfRule>
  </conditionalFormatting>
  <conditionalFormatting sqref="X55">
    <cfRule type="expression" dxfId="65" priority="51">
      <formula>X55&lt;&gt;""</formula>
    </cfRule>
    <cfRule type="expression" dxfId="64" priority="53">
      <formula>AND(V54=X54,V54=0,X54=0,V54&lt;&gt;"",X54&lt;&gt;"")</formula>
    </cfRule>
  </conditionalFormatting>
  <conditionalFormatting sqref="U55">
    <cfRule type="expression" dxfId="63" priority="50">
      <formula>AND(V54&lt;&gt;"",X54&lt;&gt;"",J54=X54,L54=V54)</formula>
    </cfRule>
  </conditionalFormatting>
  <conditionalFormatting sqref="W55">
    <cfRule type="expression" dxfId="62" priority="49">
      <formula>AND(V54&lt;&gt;"",X54&lt;&gt;"",J54=X54,L54=V54)</formula>
    </cfRule>
  </conditionalFormatting>
  <conditionalFormatting sqref="V64">
    <cfRule type="expression" dxfId="61" priority="46">
      <formula>V64&lt;&gt;""</formula>
    </cfRule>
    <cfRule type="expression" dxfId="60" priority="48">
      <formula>AND(V63=X63,V63=0,X63=0,V63&lt;&gt;"",X63&lt;&gt;"")</formula>
    </cfRule>
  </conditionalFormatting>
  <conditionalFormatting sqref="X64">
    <cfRule type="expression" dxfId="59" priority="45">
      <formula>X64&lt;&gt;""</formula>
    </cfRule>
    <cfRule type="expression" dxfId="58" priority="47">
      <formula>AND(V63=X63,V63=0,X63=0,V63&lt;&gt;"",X63&lt;&gt;"")</formula>
    </cfRule>
  </conditionalFormatting>
  <conditionalFormatting sqref="U64">
    <cfRule type="expression" dxfId="57" priority="44">
      <formula>AND(V63&lt;&gt;"",X63&lt;&gt;"",J63=X63,L63=V63)</formula>
    </cfRule>
  </conditionalFormatting>
  <conditionalFormatting sqref="W64">
    <cfRule type="expression" dxfId="56" priority="43">
      <formula>AND(V63&lt;&gt;"",X63&lt;&gt;"",J63=X63,L63=V63)</formula>
    </cfRule>
  </conditionalFormatting>
  <conditionalFormatting sqref="V73">
    <cfRule type="expression" dxfId="55" priority="40">
      <formula>V73&lt;&gt;""</formula>
    </cfRule>
    <cfRule type="expression" dxfId="54" priority="42">
      <formula>AND(V72=X72,V72=0,X72=0,V72&lt;&gt;"",X72&lt;&gt;"")</formula>
    </cfRule>
  </conditionalFormatting>
  <conditionalFormatting sqref="X73">
    <cfRule type="expression" dxfId="53" priority="39">
      <formula>X73&lt;&gt;""</formula>
    </cfRule>
    <cfRule type="expression" dxfId="52" priority="41">
      <formula>AND(V72=X72,V72=0,X72=0,V72&lt;&gt;"",X72&lt;&gt;"")</formula>
    </cfRule>
  </conditionalFormatting>
  <conditionalFormatting sqref="U73">
    <cfRule type="expression" dxfId="51" priority="38">
      <formula>AND(V72&lt;&gt;"",X72&lt;&gt;"",J72=X72,L72=V72)</formula>
    </cfRule>
  </conditionalFormatting>
  <conditionalFormatting sqref="W73">
    <cfRule type="expression" dxfId="50" priority="37">
      <formula>AND(V72&lt;&gt;"",X72&lt;&gt;"",J72=X72,L72=V72)</formula>
    </cfRule>
  </conditionalFormatting>
  <conditionalFormatting sqref="V102">
    <cfRule type="expression" dxfId="49" priority="34">
      <formula>V102&lt;&gt;""</formula>
    </cfRule>
    <cfRule type="expression" dxfId="48" priority="36">
      <formula>AND(V101=X101,V101=0,X101=0,V101&lt;&gt;"",X101&lt;&gt;"")</formula>
    </cfRule>
  </conditionalFormatting>
  <conditionalFormatting sqref="X102">
    <cfRule type="expression" dxfId="47" priority="33">
      <formula>X102&lt;&gt;""</formula>
    </cfRule>
    <cfRule type="expression" dxfId="46" priority="35">
      <formula>AND(V101=X101,V101=0,X101=0,V101&lt;&gt;"",X101&lt;&gt;"")</formula>
    </cfRule>
  </conditionalFormatting>
  <conditionalFormatting sqref="U102">
    <cfRule type="expression" dxfId="45" priority="32">
      <formula>AND(V101&lt;&gt;"",X101&lt;&gt;"",J101=X101,L101=V101)</formula>
    </cfRule>
  </conditionalFormatting>
  <conditionalFormatting sqref="W102">
    <cfRule type="expression" dxfId="44" priority="31">
      <formula>AND(V101&lt;&gt;"",X101&lt;&gt;"",J101=X101,L101=V101)</formula>
    </cfRule>
  </conditionalFormatting>
  <conditionalFormatting sqref="V111">
    <cfRule type="expression" dxfId="43" priority="28">
      <formula>V111&lt;&gt;""</formula>
    </cfRule>
    <cfRule type="expression" dxfId="42" priority="30">
      <formula>AND(V110=X110,V110=0,X110=0,V110&lt;&gt;"",X110&lt;&gt;"")</formula>
    </cfRule>
  </conditionalFormatting>
  <conditionalFormatting sqref="X111">
    <cfRule type="expression" dxfId="41" priority="27">
      <formula>X111&lt;&gt;""</formula>
    </cfRule>
    <cfRule type="expression" dxfId="40" priority="29">
      <formula>AND(V110=X110,V110=0,X110=0,V110&lt;&gt;"",X110&lt;&gt;"")</formula>
    </cfRule>
  </conditionalFormatting>
  <conditionalFormatting sqref="U111">
    <cfRule type="expression" dxfId="39" priority="26">
      <formula>AND(V110&lt;&gt;"",X110&lt;&gt;"",J110=X110,L110=V110)</formula>
    </cfRule>
  </conditionalFormatting>
  <conditionalFormatting sqref="W111">
    <cfRule type="expression" dxfId="38" priority="25">
      <formula>AND(V110&lt;&gt;"",X110&lt;&gt;"",J110=X110,L110=V110)</formula>
    </cfRule>
  </conditionalFormatting>
  <conditionalFormatting sqref="V120">
    <cfRule type="expression" dxfId="37" priority="22">
      <formula>V120&lt;&gt;""</formula>
    </cfRule>
    <cfRule type="expression" dxfId="36" priority="24">
      <formula>AND(V119=X119,V119=0,X119=0,V119&lt;&gt;"",X119&lt;&gt;"")</formula>
    </cfRule>
  </conditionalFormatting>
  <conditionalFormatting sqref="X120">
    <cfRule type="expression" dxfId="35" priority="21">
      <formula>X120&lt;&gt;""</formula>
    </cfRule>
    <cfRule type="expression" dxfId="34" priority="23">
      <formula>AND(V119=X119,V119=0,X119=0,V119&lt;&gt;"",X119&lt;&gt;"")</formula>
    </cfRule>
  </conditionalFormatting>
  <conditionalFormatting sqref="U120">
    <cfRule type="expression" dxfId="33" priority="20">
      <formula>AND(V119&lt;&gt;"",X119&lt;&gt;"",J119=X119,L119=V119)</formula>
    </cfRule>
  </conditionalFormatting>
  <conditionalFormatting sqref="W120">
    <cfRule type="expression" dxfId="32" priority="19">
      <formula>AND(V119&lt;&gt;"",X119&lt;&gt;"",J119=X119,L119=V119)</formula>
    </cfRule>
  </conditionalFormatting>
  <conditionalFormatting sqref="V129">
    <cfRule type="expression" dxfId="31" priority="16">
      <formula>V129&lt;&gt;""</formula>
    </cfRule>
    <cfRule type="expression" dxfId="30" priority="18">
      <formula>AND(V128=X128,V128=0,X128=0,V128&lt;&gt;"",X128&lt;&gt;"")</formula>
    </cfRule>
  </conditionalFormatting>
  <conditionalFormatting sqref="X129">
    <cfRule type="expression" dxfId="29" priority="15">
      <formula>X129&lt;&gt;""</formula>
    </cfRule>
    <cfRule type="expression" dxfId="28" priority="17">
      <formula>AND(V128=X128,V128=0,X128=0,V128&lt;&gt;"",X128&lt;&gt;"")</formula>
    </cfRule>
  </conditionalFormatting>
  <conditionalFormatting sqref="U129">
    <cfRule type="expression" dxfId="27" priority="14">
      <formula>AND(V128&lt;&gt;"",X128&lt;&gt;"",J128=X128,L128=V128)</formula>
    </cfRule>
  </conditionalFormatting>
  <conditionalFormatting sqref="W129">
    <cfRule type="expression" dxfId="26" priority="13">
      <formula>AND(V128&lt;&gt;"",X128&lt;&gt;"",J128=X128,L128=V128)</formula>
    </cfRule>
  </conditionalFormatting>
  <conditionalFormatting sqref="V140">
    <cfRule type="expression" dxfId="25" priority="10">
      <formula>V140&lt;&gt;""</formula>
    </cfRule>
    <cfRule type="expression" dxfId="24" priority="12">
      <formula>AND(V139=X139,V139=0,X139=0,V139&lt;&gt;"",X139&lt;&gt;"")</formula>
    </cfRule>
  </conditionalFormatting>
  <conditionalFormatting sqref="X140">
    <cfRule type="expression" dxfId="23" priority="9">
      <formula>X140&lt;&gt;""</formula>
    </cfRule>
    <cfRule type="expression" dxfId="22" priority="11">
      <formula>AND(V139=X139,V139=0,X139=0,V139&lt;&gt;"",X139&lt;&gt;"")</formula>
    </cfRule>
  </conditionalFormatting>
  <conditionalFormatting sqref="U140">
    <cfRule type="expression" dxfId="21" priority="8">
      <formula>AND(V139&lt;&gt;"",X139&lt;&gt;"",J139=X139,L139=V139)</formula>
    </cfRule>
  </conditionalFormatting>
  <conditionalFormatting sqref="W140">
    <cfRule type="expression" dxfId="20" priority="7">
      <formula>AND(V139&lt;&gt;"",X139&lt;&gt;"",J139=X139,L139=V139)</formula>
    </cfRule>
  </conditionalFormatting>
  <conditionalFormatting sqref="V149">
    <cfRule type="expression" dxfId="19" priority="4">
      <formula>V149&lt;&gt;""</formula>
    </cfRule>
    <cfRule type="expression" dxfId="18" priority="6">
      <formula>AND(V148=X148,V148=0,X148=0,V148&lt;&gt;"",X148&lt;&gt;"")</formula>
    </cfRule>
  </conditionalFormatting>
  <conditionalFormatting sqref="X149">
    <cfRule type="expression" dxfId="17" priority="3">
      <formula>X149&lt;&gt;""</formula>
    </cfRule>
    <cfRule type="expression" dxfId="16" priority="5">
      <formula>AND(V148=X148,V148=0,X148=0,V148&lt;&gt;"",X148&lt;&gt;"")</formula>
    </cfRule>
  </conditionalFormatting>
  <conditionalFormatting sqref="U149">
    <cfRule type="expression" dxfId="15" priority="2">
      <formula>AND(V148&lt;&gt;"",X148&lt;&gt;"",J148=X148,L148=V148)</formula>
    </cfRule>
  </conditionalFormatting>
  <conditionalFormatting sqref="W149">
    <cfRule type="expression" dxfId="14" priority="1">
      <formula>AND(V148&lt;&gt;"",X148&lt;&gt;"",J148=X148,L148=V148)</formula>
    </cfRule>
  </conditionalFormatting>
  <dataValidations count="2">
    <dataValidation type="list" allowBlank="1" showInputMessage="1" showErrorMessage="1" sqref="N81:N84 H81:H84">
      <formula1>$H$86:$H$93</formula1>
    </dataValidation>
    <dataValidation type="list" allowBlank="1" showInputMessage="1" showErrorMessage="1" sqref="T82:T83 Z82:Z83">
      <formula1>$W$86:$W$89</formula1>
    </dataValidation>
  </dataValidations>
  <printOptions horizontalCentered="1" verticalCentered="1"/>
  <pageMargins left="0.39370078740157483" right="0.31496062992125984" top="0.43307086614173229" bottom="0.23622047244094491" header="0.23622047244094491" footer="0.19685039370078741"/>
  <pageSetup scale="31" orientation="portrait" horizontalDpi="300" verticalDpi="300" r:id="rId1"/>
  <headerFooter alignWithMargins="0">
    <oddHeader>&amp;C&amp;"Arial,Bold"&amp;16UEFA CHAMPIONS LEAGUE 2016/2017 KNOCK OUT PHASE</oddHeader>
    <oddFooter>&amp;C
copyright (c) 2016 exceltemplate.net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B52"/>
  <sheetViews>
    <sheetView showGridLines="0" workbookViewId="0">
      <selection activeCell="Q13" sqref="Q13:S13"/>
    </sheetView>
  </sheetViews>
  <sheetFormatPr defaultColWidth="0" defaultRowHeight="12.75" zeroHeight="1" x14ac:dyDescent="0.2"/>
  <cols>
    <col min="1" max="1" width="2" style="164" customWidth="1"/>
    <col min="2" max="4" width="3.5703125" style="164" customWidth="1"/>
    <col min="5" max="5" width="3.5703125" style="165" customWidth="1"/>
    <col min="6" max="9" width="3.5703125" style="164" customWidth="1"/>
    <col min="10" max="10" width="3.5703125" style="165" customWidth="1"/>
    <col min="11" max="16" width="3.5703125" style="164" customWidth="1"/>
    <col min="17" max="17" width="3.5703125" style="165" customWidth="1"/>
    <col min="18" max="20" width="3.5703125" style="164" customWidth="1"/>
    <col min="21" max="43" width="3.5703125" style="165" customWidth="1"/>
    <col min="44" max="44" width="2.5703125" style="164" customWidth="1"/>
    <col min="45" max="45" width="2.85546875" style="164" hidden="1" customWidth="1"/>
    <col min="46" max="46" width="9.42578125" style="166" hidden="1" customWidth="1"/>
    <col min="47" max="47" width="13.140625" style="166" hidden="1" customWidth="1"/>
    <col min="48" max="48" width="9.140625" style="166" hidden="1" customWidth="1"/>
    <col min="49" max="49" width="11.5703125" style="166" hidden="1" customWidth="1"/>
    <col min="50" max="50" width="9.5703125" style="166" hidden="1" customWidth="1"/>
    <col min="51" max="51" width="16.42578125" style="166" hidden="1" customWidth="1"/>
    <col min="52" max="53" width="2" style="166" hidden="1" customWidth="1"/>
    <col min="54" max="54" width="17" style="166" hidden="1" customWidth="1"/>
    <col min="55" max="55" width="7.5703125" style="166" hidden="1" customWidth="1"/>
    <col min="56" max="56" width="16.42578125" style="166" hidden="1" customWidth="1"/>
    <col min="57" max="57" width="9.42578125" style="166" hidden="1" customWidth="1"/>
    <col min="58" max="58" width="2" style="166" hidden="1" customWidth="1"/>
    <col min="59" max="59" width="17" style="166" hidden="1" customWidth="1"/>
    <col min="60" max="63" width="5.42578125" style="166" hidden="1" customWidth="1"/>
    <col min="64" max="65" width="7.5703125" style="166" hidden="1" customWidth="1"/>
    <col min="66" max="67" width="5.42578125" style="166" hidden="1" customWidth="1"/>
    <col min="68" max="77" width="9.140625" style="164" hidden="1" customWidth="1"/>
    <col min="78" max="80" width="9.140625" style="166" hidden="1" customWidth="1"/>
    <col min="81" max="16384" width="9.140625" style="164" hidden="1"/>
  </cols>
  <sheetData>
    <row r="1" spans="2:67" ht="15" customHeight="1" x14ac:dyDescent="0.2"/>
    <row r="2" spans="2:67" ht="22.5" customHeight="1" x14ac:dyDescent="0.2">
      <c r="B2" s="300" t="s">
        <v>285</v>
      </c>
      <c r="C2" s="300"/>
      <c r="D2" s="300"/>
      <c r="E2" s="300"/>
      <c r="F2" s="300"/>
      <c r="G2" s="300"/>
      <c r="H2" s="300"/>
      <c r="I2" s="300"/>
      <c r="J2" s="300"/>
      <c r="K2" s="300"/>
      <c r="L2" s="300"/>
      <c r="M2" s="300"/>
      <c r="N2" s="300"/>
      <c r="O2" s="300"/>
      <c r="P2" s="300"/>
      <c r="Q2" s="300"/>
      <c r="R2" s="300"/>
      <c r="S2" s="300"/>
      <c r="T2" s="300"/>
      <c r="U2" s="300"/>
      <c r="V2" s="300"/>
      <c r="W2" s="300"/>
      <c r="X2" s="300"/>
      <c r="Y2" s="300"/>
      <c r="Z2" s="300"/>
      <c r="AA2" s="300"/>
      <c r="AB2" s="300"/>
      <c r="AC2" s="300"/>
      <c r="AD2" s="300"/>
      <c r="AE2" s="300"/>
      <c r="AF2" s="300"/>
      <c r="AG2" s="300"/>
      <c r="AH2" s="300"/>
      <c r="AI2" s="300"/>
      <c r="AJ2" s="300"/>
      <c r="AK2" s="300"/>
      <c r="AL2" s="300"/>
      <c r="AM2" s="300"/>
      <c r="AN2" s="300"/>
      <c r="AO2" s="300"/>
      <c r="AP2" s="300"/>
      <c r="AQ2" s="300"/>
    </row>
    <row r="3" spans="2:67" ht="15" customHeight="1" thickBot="1" x14ac:dyDescent="0.25">
      <c r="B3" s="167"/>
      <c r="C3" s="167"/>
      <c r="D3" s="167"/>
      <c r="F3" s="168"/>
      <c r="G3" s="168"/>
      <c r="H3" s="168"/>
      <c r="K3" s="167"/>
      <c r="L3" s="167"/>
      <c r="M3" s="167"/>
      <c r="N3" s="167"/>
      <c r="O3" s="167"/>
      <c r="P3" s="167"/>
      <c r="R3" s="167"/>
      <c r="S3" s="167"/>
    </row>
    <row r="4" spans="2:67" ht="15" customHeight="1" thickTop="1" thickBot="1" x14ac:dyDescent="0.25">
      <c r="B4" s="306" t="s">
        <v>291</v>
      </c>
      <c r="C4" s="306"/>
      <c r="D4" s="306"/>
      <c r="E4" s="307"/>
      <c r="F4" s="303" t="s">
        <v>171</v>
      </c>
      <c r="G4" s="304"/>
      <c r="H4" s="304"/>
      <c r="I4" s="304"/>
      <c r="J4" s="305"/>
      <c r="K4" s="169" t="s">
        <v>316</v>
      </c>
      <c r="L4" s="169"/>
      <c r="M4" s="169"/>
      <c r="N4" s="170" t="s">
        <v>24</v>
      </c>
      <c r="O4" s="171" t="str">
        <f>VLOOKUP(F4,'Team Setup'!B5:C36,2,FALSE)</f>
        <v>Santiago Bernabeu</v>
      </c>
      <c r="P4" s="170"/>
      <c r="Q4" s="169"/>
      <c r="R4" s="169"/>
      <c r="S4" s="169"/>
      <c r="U4" s="299">
        <f>X8</f>
        <v>43327</v>
      </c>
      <c r="V4" s="299"/>
      <c r="W4" s="299"/>
      <c r="X4" s="299"/>
      <c r="Y4" s="299"/>
      <c r="Z4" s="299"/>
      <c r="AA4" s="299"/>
      <c r="AB4" s="172"/>
      <c r="AC4" s="299">
        <f>AF8</f>
        <v>43355</v>
      </c>
      <c r="AD4" s="299"/>
      <c r="AE4" s="299"/>
      <c r="AF4" s="299"/>
      <c r="AG4" s="299"/>
      <c r="AH4" s="299"/>
      <c r="AI4" s="299"/>
      <c r="AJ4" s="172"/>
      <c r="AK4" s="299">
        <f>AN8</f>
        <v>43390</v>
      </c>
      <c r="AL4" s="299"/>
      <c r="AM4" s="299"/>
      <c r="AN4" s="299"/>
      <c r="AO4" s="299"/>
      <c r="AP4" s="299"/>
      <c r="AQ4" s="299"/>
      <c r="AT4" s="166" t="s">
        <v>1</v>
      </c>
      <c r="AU4" s="166" t="s">
        <v>265</v>
      </c>
    </row>
    <row r="5" spans="2:67" ht="15" customHeight="1" thickTop="1" x14ac:dyDescent="0.2">
      <c r="U5" s="172" t="s">
        <v>255</v>
      </c>
      <c r="V5" s="172" t="s">
        <v>256</v>
      </c>
      <c r="W5" s="172" t="s">
        <v>257</v>
      </c>
      <c r="X5" s="172" t="s">
        <v>7</v>
      </c>
      <c r="Y5" s="172" t="s">
        <v>257</v>
      </c>
      <c r="Z5" s="172" t="s">
        <v>14</v>
      </c>
      <c r="AA5" s="172" t="s">
        <v>255</v>
      </c>
      <c r="AB5" s="172"/>
      <c r="AC5" s="172" t="s">
        <v>255</v>
      </c>
      <c r="AD5" s="172" t="s">
        <v>256</v>
      </c>
      <c r="AE5" s="172" t="s">
        <v>257</v>
      </c>
      <c r="AF5" s="172" t="s">
        <v>7</v>
      </c>
      <c r="AG5" s="172" t="s">
        <v>257</v>
      </c>
      <c r="AH5" s="172" t="s">
        <v>14</v>
      </c>
      <c r="AI5" s="172" t="s">
        <v>255</v>
      </c>
      <c r="AJ5" s="172"/>
      <c r="AK5" s="172" t="s">
        <v>255</v>
      </c>
      <c r="AL5" s="172" t="s">
        <v>256</v>
      </c>
      <c r="AM5" s="172" t="s">
        <v>257</v>
      </c>
      <c r="AN5" s="172" t="s">
        <v>7</v>
      </c>
      <c r="AO5" s="172" t="s">
        <v>257</v>
      </c>
      <c r="AP5" s="172" t="s">
        <v>14</v>
      </c>
      <c r="AQ5" s="172" t="s">
        <v>255</v>
      </c>
      <c r="AT5" s="173">
        <v>43343</v>
      </c>
      <c r="AU5" s="166" t="s">
        <v>259</v>
      </c>
      <c r="AX5" s="166" t="s">
        <v>1</v>
      </c>
      <c r="AY5" s="166" t="s">
        <v>283</v>
      </c>
      <c r="BD5" s="166" t="s">
        <v>1</v>
      </c>
      <c r="BE5" s="166" t="s">
        <v>284</v>
      </c>
      <c r="BH5" s="166" t="s">
        <v>289</v>
      </c>
      <c r="BJ5" s="166" t="s">
        <v>288</v>
      </c>
      <c r="BL5" s="166" t="s">
        <v>286</v>
      </c>
      <c r="BN5" s="166" t="s">
        <v>287</v>
      </c>
    </row>
    <row r="6" spans="2:67" ht="15" customHeight="1" thickBot="1" x14ac:dyDescent="0.25">
      <c r="B6" s="174" t="s">
        <v>290</v>
      </c>
      <c r="C6" s="175"/>
      <c r="D6" s="175"/>
      <c r="E6" s="175"/>
      <c r="F6" s="175"/>
      <c r="G6" s="176"/>
      <c r="H6" s="175"/>
      <c r="I6" s="175"/>
      <c r="J6" s="175"/>
      <c r="K6" s="175"/>
      <c r="L6" s="176"/>
      <c r="M6" s="176"/>
      <c r="N6" s="175"/>
      <c r="P6" s="310" t="s">
        <v>17</v>
      </c>
      <c r="Q6" s="310"/>
      <c r="R6" s="310"/>
      <c r="S6" s="310"/>
      <c r="U6" s="172" t="s">
        <v>258</v>
      </c>
      <c r="V6" s="172" t="s">
        <v>258</v>
      </c>
      <c r="W6" s="172" t="s">
        <v>258</v>
      </c>
      <c r="X6" s="172">
        <v>43313</v>
      </c>
      <c r="Y6" s="172">
        <v>43314</v>
      </c>
      <c r="Z6" s="172">
        <v>43315</v>
      </c>
      <c r="AA6" s="172">
        <v>43316</v>
      </c>
      <c r="AB6" s="172"/>
      <c r="AC6" s="172" t="s">
        <v>258</v>
      </c>
      <c r="AD6" s="172" t="s">
        <v>258</v>
      </c>
      <c r="AE6" s="172" t="s">
        <v>258</v>
      </c>
      <c r="AF6" s="172" t="s">
        <v>258</v>
      </c>
      <c r="AG6" s="172" t="s">
        <v>258</v>
      </c>
      <c r="AH6" s="172" t="s">
        <v>258</v>
      </c>
      <c r="AI6" s="172">
        <v>43344</v>
      </c>
      <c r="AJ6" s="172"/>
      <c r="AK6" s="172" t="s">
        <v>258</v>
      </c>
      <c r="AL6" s="172">
        <v>43374</v>
      </c>
      <c r="AM6" s="172">
        <v>43375</v>
      </c>
      <c r="AN6" s="172">
        <v>43376</v>
      </c>
      <c r="AO6" s="172">
        <v>43377</v>
      </c>
      <c r="AP6" s="172">
        <v>43378</v>
      </c>
      <c r="AQ6" s="172">
        <v>43379</v>
      </c>
      <c r="AT6" s="177">
        <v>43361</v>
      </c>
      <c r="AU6" s="178" t="s">
        <v>260</v>
      </c>
      <c r="AW6" s="166" t="s">
        <v>261</v>
      </c>
      <c r="AX6" s="173">
        <f>'Knock Out Phase'!F9</f>
        <v>43508</v>
      </c>
      <c r="AY6" s="166" t="str">
        <f>'Knock Out Phase'!H8</f>
        <v>AS Roma</v>
      </c>
      <c r="AZ6" s="166">
        <f>'Knock Out Phase'!J8</f>
        <v>2</v>
      </c>
      <c r="BA6" s="166">
        <f>'Knock Out Phase'!L8</f>
        <v>1</v>
      </c>
      <c r="BB6" s="166" t="str">
        <f>'Knock Out Phase'!N8</f>
        <v>Porto</v>
      </c>
      <c r="BC6" s="173">
        <f>'Knock Out Phase'!AE9</f>
        <v>43530</v>
      </c>
      <c r="BD6" s="166" t="str">
        <f>'Knock Out Phase'!T8</f>
        <v>AS Roma</v>
      </c>
      <c r="BE6" s="166">
        <f>'Knock Out Phase'!V8+'Knock Out Phase'!V9</f>
        <v>1</v>
      </c>
      <c r="BF6" s="166">
        <f>'Knock Out Phase'!X8+'Knock Out Phase'!X9</f>
        <v>3</v>
      </c>
      <c r="BG6" s="166" t="str">
        <f>'Knock Out Phase'!Z8</f>
        <v>Porto</v>
      </c>
      <c r="BN6" s="166">
        <f>'Knock Out Phase'!V10</f>
        <v>0</v>
      </c>
      <c r="BO6" s="166">
        <f>'Knock Out Phase'!X10</f>
        <v>0</v>
      </c>
    </row>
    <row r="7" spans="2:67" ht="15" customHeight="1" thickTop="1" x14ac:dyDescent="0.2">
      <c r="B7" s="179" t="str">
        <f>B14</f>
        <v>Group G</v>
      </c>
      <c r="E7" s="180"/>
      <c r="H7" s="180" t="s">
        <v>53</v>
      </c>
      <c r="I7" s="180" t="s">
        <v>7</v>
      </c>
      <c r="J7" s="180" t="s">
        <v>8</v>
      </c>
      <c r="K7" s="180" t="s">
        <v>9</v>
      </c>
      <c r="L7" s="313" t="s">
        <v>10</v>
      </c>
      <c r="M7" s="313"/>
      <c r="N7" s="180" t="s">
        <v>54</v>
      </c>
      <c r="P7" s="301" t="str">
        <f>VLOOKUP(F4,'Team Setup'!B5:D36,3,FALSE)</f>
        <v>Spain</v>
      </c>
      <c r="Q7" s="301"/>
      <c r="R7" s="301"/>
      <c r="S7" s="301"/>
      <c r="U7" s="172">
        <v>43317</v>
      </c>
      <c r="V7" s="172">
        <v>43318</v>
      </c>
      <c r="W7" s="172">
        <v>43319</v>
      </c>
      <c r="X7" s="172">
        <v>43320</v>
      </c>
      <c r="Y7" s="172">
        <v>43321</v>
      </c>
      <c r="Z7" s="172">
        <v>43322</v>
      </c>
      <c r="AA7" s="172">
        <v>43323</v>
      </c>
      <c r="AB7" s="172"/>
      <c r="AC7" s="172">
        <v>43345</v>
      </c>
      <c r="AD7" s="172">
        <v>43346</v>
      </c>
      <c r="AE7" s="172">
        <v>43347</v>
      </c>
      <c r="AF7" s="172">
        <v>43348</v>
      </c>
      <c r="AG7" s="172">
        <v>43349</v>
      </c>
      <c r="AH7" s="172">
        <v>43350</v>
      </c>
      <c r="AI7" s="172">
        <v>43351</v>
      </c>
      <c r="AJ7" s="172"/>
      <c r="AK7" s="172">
        <v>43380</v>
      </c>
      <c r="AL7" s="172">
        <v>43381</v>
      </c>
      <c r="AM7" s="172">
        <v>43382</v>
      </c>
      <c r="AN7" s="172">
        <v>43383</v>
      </c>
      <c r="AO7" s="172">
        <v>43384</v>
      </c>
      <c r="AP7" s="172">
        <v>43385</v>
      </c>
      <c r="AQ7" s="172">
        <v>43386</v>
      </c>
      <c r="AT7" s="177">
        <v>43362</v>
      </c>
      <c r="AU7" s="178" t="s">
        <v>260</v>
      </c>
      <c r="AW7" s="166" t="s">
        <v>261</v>
      </c>
      <c r="AX7" s="173">
        <f>'Knock Out Phase'!F18</f>
        <v>43508</v>
      </c>
      <c r="AY7" s="166" t="str">
        <f>'Knock Out Phase'!H17</f>
        <v>Manchester United</v>
      </c>
      <c r="AZ7" s="166">
        <f>'Knock Out Phase'!J17</f>
        <v>0</v>
      </c>
      <c r="BA7" s="166">
        <f>'Knock Out Phase'!L17</f>
        <v>2</v>
      </c>
      <c r="BB7" s="166" t="str">
        <f>'Knock Out Phase'!N17</f>
        <v>Paris Saint-Germain</v>
      </c>
      <c r="BC7" s="173">
        <f>'Knock Out Phase'!AE18</f>
        <v>43530</v>
      </c>
      <c r="BD7" s="166" t="str">
        <f>'Knock Out Phase'!T17</f>
        <v>Manchester United</v>
      </c>
      <c r="BE7" s="166">
        <f>'Knock Out Phase'!V17+'Knock Out Phase'!V18</f>
        <v>3</v>
      </c>
      <c r="BF7" s="166">
        <f>'Knock Out Phase'!X17+'Knock Out Phase'!X18</f>
        <v>1</v>
      </c>
      <c r="BG7" s="166" t="str">
        <f>'Knock Out Phase'!Z17</f>
        <v>Paris Saint-Germain</v>
      </c>
      <c r="BN7" s="166">
        <f>'Knock Out Phase'!V19</f>
        <v>0</v>
      </c>
      <c r="BO7" s="166">
        <f>'Knock Out Phase'!X19</f>
        <v>0</v>
      </c>
    </row>
    <row r="8" spans="2:67" ht="15" customHeight="1" x14ac:dyDescent="0.2">
      <c r="B8" s="180">
        <v>1</v>
      </c>
      <c r="C8" s="181" t="str">
        <f>IF($B$7="Group A",'Group Stages'!S9,IF($B$7="Group B",'Group Stages'!S16,IF($B$7="Group C",'Group Stages'!S23,IF($B$7="Group D",'Group Stages'!S30,IF($B$7="Group E",'Group Stages'!S37,IF($B$7="Group F",'Group Stages'!S44,IF($B$7="Group G",'Group Stages'!S51,'Group Stages'!S58)))))))</f>
        <v>Real Madrid</v>
      </c>
      <c r="D8" s="181"/>
      <c r="E8" s="181"/>
      <c r="F8" s="181"/>
      <c r="G8" s="181"/>
      <c r="H8" s="180">
        <f>VLOOKUP($C8,'Group Stages'!$S$9:$Y$61,2,FALSE)</f>
        <v>6</v>
      </c>
      <c r="I8" s="180">
        <f>VLOOKUP($C8,'Group Stages'!$S$9:$Y$61,3,FALSE)</f>
        <v>4</v>
      </c>
      <c r="J8" s="180">
        <f>VLOOKUP($C8,'Group Stages'!$S$9:$Y$61,4,FALSE)</f>
        <v>0</v>
      </c>
      <c r="K8" s="180">
        <f>VLOOKUP($C8,'Group Stages'!$S$9:$Y$61,5,FALSE)</f>
        <v>2</v>
      </c>
      <c r="L8" s="311" t="str">
        <f>VLOOKUP($C8,'Group Stages'!$S$9:$Y$61,6,FALSE)</f>
        <v>12 - 5</v>
      </c>
      <c r="M8" s="311"/>
      <c r="N8" s="180">
        <f>VLOOKUP($C8,'Group Stages'!$S$9:$Y$61,7,FALSE)</f>
        <v>12</v>
      </c>
      <c r="Q8" s="182"/>
      <c r="R8" s="182"/>
      <c r="S8" s="182"/>
      <c r="U8" s="172">
        <v>43324</v>
      </c>
      <c r="V8" s="172">
        <v>43325</v>
      </c>
      <c r="W8" s="172">
        <v>43326</v>
      </c>
      <c r="X8" s="172">
        <v>43327</v>
      </c>
      <c r="Y8" s="172">
        <v>43328</v>
      </c>
      <c r="Z8" s="172">
        <v>43329</v>
      </c>
      <c r="AA8" s="172">
        <v>43330</v>
      </c>
      <c r="AB8" s="172"/>
      <c r="AC8" s="172">
        <v>43352</v>
      </c>
      <c r="AD8" s="172">
        <v>43353</v>
      </c>
      <c r="AE8" s="172">
        <v>43354</v>
      </c>
      <c r="AF8" s="172">
        <v>43355</v>
      </c>
      <c r="AG8" s="172">
        <v>43356</v>
      </c>
      <c r="AH8" s="172">
        <v>43357</v>
      </c>
      <c r="AI8" s="172">
        <v>43358</v>
      </c>
      <c r="AJ8" s="172"/>
      <c r="AK8" s="172">
        <v>43387</v>
      </c>
      <c r="AL8" s="172">
        <v>43388</v>
      </c>
      <c r="AM8" s="172">
        <v>43389</v>
      </c>
      <c r="AN8" s="172">
        <v>43390</v>
      </c>
      <c r="AO8" s="172">
        <v>43391</v>
      </c>
      <c r="AP8" s="172">
        <v>43392</v>
      </c>
      <c r="AQ8" s="172">
        <v>43393</v>
      </c>
      <c r="AT8" s="177">
        <v>43375</v>
      </c>
      <c r="AU8" s="178" t="s">
        <v>260</v>
      </c>
      <c r="AW8" s="166" t="s">
        <v>261</v>
      </c>
      <c r="AX8" s="173">
        <f>'Knock Out Phase'!F27</f>
        <v>43509</v>
      </c>
      <c r="AY8" s="166" t="str">
        <f>'Knock Out Phase'!H26</f>
        <v>Tottenham Hotspur</v>
      </c>
      <c r="AZ8" s="166">
        <f>'Knock Out Phase'!J26</f>
        <v>3</v>
      </c>
      <c r="BA8" s="166">
        <f>'Knock Out Phase'!L26</f>
        <v>0</v>
      </c>
      <c r="BB8" s="166" t="str">
        <f>'Knock Out Phase'!N26</f>
        <v>Borussia Dortmund</v>
      </c>
      <c r="BC8" s="173">
        <f>'Knock Out Phase'!AE27</f>
        <v>43529</v>
      </c>
      <c r="BD8" s="166" t="str">
        <f>'Knock Out Phase'!T26</f>
        <v>Tottenham Hotspur</v>
      </c>
      <c r="BE8" s="166">
        <f>'Knock Out Phase'!V26+'Knock Out Phase'!V27</f>
        <v>1</v>
      </c>
      <c r="BF8" s="166">
        <f>'Knock Out Phase'!X26+'Knock Out Phase'!X27</f>
        <v>0</v>
      </c>
      <c r="BG8" s="166" t="str">
        <f>'Knock Out Phase'!Z26</f>
        <v>Borussia Dortmund</v>
      </c>
      <c r="BN8" s="166">
        <f>'Knock Out Phase'!V28</f>
        <v>0</v>
      </c>
      <c r="BO8" s="166">
        <f>'Knock Out Phase'!X28</f>
        <v>0</v>
      </c>
    </row>
    <row r="9" spans="2:67" ht="15" customHeight="1" x14ac:dyDescent="0.2">
      <c r="B9" s="180">
        <v>2</v>
      </c>
      <c r="C9" s="181" t="str">
        <f>IF($B$7="Group A",'Group Stages'!S10,IF($B$7="Group B",'Group Stages'!S17,IF($B$7="Group C",'Group Stages'!S24,IF($B$7="Group D",'Group Stages'!S31,IF($B$7="Group E",'Group Stages'!S38,IF($B$7="Group F",'Group Stages'!S45,IF($B$7="Group G",'Group Stages'!S52,'Group Stages'!S59)))))))</f>
        <v>AS Roma</v>
      </c>
      <c r="D9" s="181"/>
      <c r="E9" s="181"/>
      <c r="F9" s="181"/>
      <c r="G9" s="181"/>
      <c r="H9" s="180">
        <f>VLOOKUP($C9,'Group Stages'!$S$9:$Y$61,2,FALSE)</f>
        <v>6</v>
      </c>
      <c r="I9" s="180">
        <f>VLOOKUP($C9,'Group Stages'!$S$9:$Y$61,3,FALSE)</f>
        <v>3</v>
      </c>
      <c r="J9" s="180">
        <f>VLOOKUP($C9,'Group Stages'!$S$9:$Y$61,4,FALSE)</f>
        <v>0</v>
      </c>
      <c r="K9" s="180">
        <f>VLOOKUP($C9,'Group Stages'!$S$9:$Y$61,5,FALSE)</f>
        <v>3</v>
      </c>
      <c r="L9" s="311" t="str">
        <f>VLOOKUP($C9,'Group Stages'!$S$9:$Y$61,6,FALSE)</f>
        <v>11 - 8</v>
      </c>
      <c r="M9" s="311"/>
      <c r="N9" s="180">
        <f>VLOOKUP($C9,'Group Stages'!$S$9:$Y$61,7,FALSE)</f>
        <v>9</v>
      </c>
      <c r="P9" s="243" t="s">
        <v>315</v>
      </c>
      <c r="Q9" s="243"/>
      <c r="R9" s="243"/>
      <c r="S9" s="243"/>
      <c r="U9" s="172">
        <v>43331</v>
      </c>
      <c r="V9" s="172">
        <v>43332</v>
      </c>
      <c r="W9" s="172">
        <v>43333</v>
      </c>
      <c r="X9" s="172">
        <v>43334</v>
      </c>
      <c r="Y9" s="172">
        <v>43335</v>
      </c>
      <c r="Z9" s="172">
        <v>43336</v>
      </c>
      <c r="AA9" s="172">
        <v>43337</v>
      </c>
      <c r="AB9" s="172"/>
      <c r="AC9" s="172">
        <v>43359</v>
      </c>
      <c r="AD9" s="172">
        <v>43360</v>
      </c>
      <c r="AE9" s="172">
        <v>43361</v>
      </c>
      <c r="AF9" s="172">
        <v>43362</v>
      </c>
      <c r="AG9" s="172">
        <v>43363</v>
      </c>
      <c r="AH9" s="172">
        <v>43364</v>
      </c>
      <c r="AI9" s="172">
        <v>43365</v>
      </c>
      <c r="AJ9" s="172"/>
      <c r="AK9" s="172">
        <v>43394</v>
      </c>
      <c r="AL9" s="172">
        <v>43395</v>
      </c>
      <c r="AM9" s="172">
        <v>43396</v>
      </c>
      <c r="AN9" s="172">
        <v>43397</v>
      </c>
      <c r="AO9" s="172">
        <v>43398</v>
      </c>
      <c r="AP9" s="172">
        <v>43399</v>
      </c>
      <c r="AQ9" s="172">
        <v>43400</v>
      </c>
      <c r="AT9" s="177">
        <v>43376</v>
      </c>
      <c r="AU9" s="178" t="s">
        <v>260</v>
      </c>
      <c r="AW9" s="166" t="s">
        <v>261</v>
      </c>
      <c r="AX9" s="173">
        <f>'Knock Out Phase'!F36</f>
        <v>43509</v>
      </c>
      <c r="AY9" s="166" t="str">
        <f>'Knock Out Phase'!H35</f>
        <v>Ajax</v>
      </c>
      <c r="AZ9" s="166">
        <f>'Knock Out Phase'!J35</f>
        <v>1</v>
      </c>
      <c r="BA9" s="166">
        <f>'Knock Out Phase'!L35</f>
        <v>2</v>
      </c>
      <c r="BB9" s="166" t="str">
        <f>'Knock Out Phase'!N35</f>
        <v>Real Madrid</v>
      </c>
      <c r="BC9" s="173">
        <f>'Knock Out Phase'!AE36</f>
        <v>43529</v>
      </c>
      <c r="BD9" s="166" t="str">
        <f>'Knock Out Phase'!T35</f>
        <v>Ajax</v>
      </c>
      <c r="BE9" s="166">
        <f>'Knock Out Phase'!V35+'Knock Out Phase'!V36</f>
        <v>4</v>
      </c>
      <c r="BF9" s="166">
        <f>'Knock Out Phase'!X35+'Knock Out Phase'!X36</f>
        <v>1</v>
      </c>
      <c r="BG9" s="166" t="str">
        <f>'Knock Out Phase'!Z35</f>
        <v>Real Madrid</v>
      </c>
      <c r="BN9" s="166">
        <f>'Knock Out Phase'!V37</f>
        <v>0</v>
      </c>
      <c r="BO9" s="166">
        <f>'Knock Out Phase'!X37</f>
        <v>0</v>
      </c>
    </row>
    <row r="10" spans="2:67" ht="15" customHeight="1" x14ac:dyDescent="0.2">
      <c r="B10" s="180">
        <v>3</v>
      </c>
      <c r="C10" s="181" t="str">
        <f>IF($B$7="Group A",'Group Stages'!S11,IF($B$7="Group B",'Group Stages'!S18,IF($B$7="Group C",'Group Stages'!S25,IF($B$7="Group D",'Group Stages'!S32,IF($B$7="Group E",'Group Stages'!S39,IF($B$7="Group F",'Group Stages'!S46,IF($B$7="Group G",'Group Stages'!S53,'Group Stages'!S60)))))))</f>
        <v>Plzen</v>
      </c>
      <c r="D10" s="181"/>
      <c r="E10" s="181"/>
      <c r="F10" s="181"/>
      <c r="G10" s="181"/>
      <c r="H10" s="180">
        <f>VLOOKUP($C10,'Group Stages'!$S$9:$Y$61,2,FALSE)</f>
        <v>6</v>
      </c>
      <c r="I10" s="180">
        <f>VLOOKUP($C10,'Group Stages'!$S$9:$Y$61,3,FALSE)</f>
        <v>2</v>
      </c>
      <c r="J10" s="180">
        <f>VLOOKUP($C10,'Group Stages'!$S$9:$Y$61,4,FALSE)</f>
        <v>1</v>
      </c>
      <c r="K10" s="180">
        <f>VLOOKUP($C10,'Group Stages'!$S$9:$Y$61,5,FALSE)</f>
        <v>3</v>
      </c>
      <c r="L10" s="311" t="str">
        <f>VLOOKUP($C10,'Group Stages'!$S$9:$Y$61,6,FALSE)</f>
        <v>7 - 16</v>
      </c>
      <c r="M10" s="311"/>
      <c r="N10" s="180">
        <f>VLOOKUP($C10,'Group Stages'!$S$9:$Y$61,7,FALSE)</f>
        <v>7</v>
      </c>
      <c r="P10" s="312" t="str">
        <f>INDEX('Team History'!B19:AG19,0,MATCH(F4,'Team History'!B18:AG18,0))</f>
        <v>Champion (9)</v>
      </c>
      <c r="Q10" s="312"/>
      <c r="R10" s="312"/>
      <c r="S10" s="312"/>
      <c r="U10" s="172">
        <v>43338</v>
      </c>
      <c r="V10" s="172">
        <v>43339</v>
      </c>
      <c r="W10" s="172">
        <v>43340</v>
      </c>
      <c r="X10" s="172">
        <v>43341</v>
      </c>
      <c r="Y10" s="172">
        <v>43342</v>
      </c>
      <c r="Z10" s="172">
        <v>43343</v>
      </c>
      <c r="AA10" s="172" t="s">
        <v>258</v>
      </c>
      <c r="AB10" s="172"/>
      <c r="AC10" s="172">
        <v>43366</v>
      </c>
      <c r="AD10" s="172">
        <v>43367</v>
      </c>
      <c r="AE10" s="172">
        <v>43368</v>
      </c>
      <c r="AF10" s="172">
        <v>43369</v>
      </c>
      <c r="AG10" s="172">
        <v>43370</v>
      </c>
      <c r="AH10" s="172">
        <v>43371</v>
      </c>
      <c r="AI10" s="172">
        <v>43372</v>
      </c>
      <c r="AJ10" s="172"/>
      <c r="AK10" s="172">
        <v>43401</v>
      </c>
      <c r="AL10" s="172">
        <v>43402</v>
      </c>
      <c r="AM10" s="172">
        <v>43403</v>
      </c>
      <c r="AN10" s="172">
        <v>43404</v>
      </c>
      <c r="AO10" s="172" t="s">
        <v>258</v>
      </c>
      <c r="AP10" s="172" t="s">
        <v>258</v>
      </c>
      <c r="AQ10" s="172" t="s">
        <v>258</v>
      </c>
      <c r="AT10" s="177">
        <v>43396</v>
      </c>
      <c r="AU10" s="178" t="s">
        <v>260</v>
      </c>
      <c r="AW10" s="166" t="s">
        <v>261</v>
      </c>
      <c r="AX10" s="173">
        <f>'Knock Out Phase'!F45</f>
        <v>43515</v>
      </c>
      <c r="AY10" s="166" t="str">
        <f>'Knock Out Phase'!H44</f>
        <v>Lyon</v>
      </c>
      <c r="AZ10" s="166">
        <f>'Knock Out Phase'!J44</f>
        <v>0</v>
      </c>
      <c r="BA10" s="166">
        <f>'Knock Out Phase'!L44</f>
        <v>0</v>
      </c>
      <c r="BB10" s="166" t="str">
        <f>'Knock Out Phase'!N44</f>
        <v>Barcelona</v>
      </c>
      <c r="BC10" s="173">
        <f>'Knock Out Phase'!AE45</f>
        <v>43537</v>
      </c>
      <c r="BD10" s="166" t="str">
        <f>'Knock Out Phase'!T44</f>
        <v>Lyon</v>
      </c>
      <c r="BE10" s="166">
        <f>'Knock Out Phase'!V44+'Knock Out Phase'!V45</f>
        <v>1</v>
      </c>
      <c r="BF10" s="166">
        <f>'Knock Out Phase'!X44+'Knock Out Phase'!X45</f>
        <v>5</v>
      </c>
      <c r="BG10" s="166" t="str">
        <f>'Knock Out Phase'!Z44</f>
        <v>Barcelona</v>
      </c>
      <c r="BN10" s="166">
        <f>'Knock Out Phase'!V46</f>
        <v>0</v>
      </c>
      <c r="BO10" s="166">
        <f>'Knock Out Phase'!X46</f>
        <v>0</v>
      </c>
    </row>
    <row r="11" spans="2:67" ht="15" customHeight="1" x14ac:dyDescent="0.2">
      <c r="B11" s="180">
        <v>4</v>
      </c>
      <c r="C11" s="181" t="str">
        <f>IF($B$7="Group A",'Group Stages'!S12,IF($B$7="Group B",'Group Stages'!S19,IF($B$7="Group C",'Group Stages'!S26,IF($B$7="Group D",'Group Stages'!S33,IF($B$7="Group E",'Group Stages'!S40,IF($B$7="Group F",'Group Stages'!S47,IF($B$7="Group G",'Group Stages'!S54,'Group Stages'!S61)))))))</f>
        <v>CSKA Moscow</v>
      </c>
      <c r="D11" s="181"/>
      <c r="E11" s="181"/>
      <c r="F11" s="181"/>
      <c r="G11" s="181"/>
      <c r="H11" s="180">
        <f>VLOOKUP($C11,'Group Stages'!$S$9:$Y$61,2,FALSE)</f>
        <v>6</v>
      </c>
      <c r="I11" s="180">
        <f>VLOOKUP($C11,'Group Stages'!$S$9:$Y$61,3,FALSE)</f>
        <v>2</v>
      </c>
      <c r="J11" s="180">
        <f>VLOOKUP($C11,'Group Stages'!$S$9:$Y$61,4,FALSE)</f>
        <v>1</v>
      </c>
      <c r="K11" s="180">
        <f>VLOOKUP($C11,'Group Stages'!$S$9:$Y$61,5,FALSE)</f>
        <v>3</v>
      </c>
      <c r="L11" s="311" t="str">
        <f>VLOOKUP($C11,'Group Stages'!$S$9:$Y$61,6,FALSE)</f>
        <v>8 - 9</v>
      </c>
      <c r="M11" s="311"/>
      <c r="N11" s="180">
        <f>VLOOKUP($C11,'Group Stages'!$S$9:$Y$61,7,FALSE)</f>
        <v>7</v>
      </c>
      <c r="P11" s="183"/>
      <c r="Q11" s="183"/>
      <c r="R11" s="183"/>
      <c r="S11" s="183"/>
      <c r="U11" s="172" t="s">
        <v>258</v>
      </c>
      <c r="V11" s="172" t="s">
        <v>258</v>
      </c>
      <c r="W11" s="172"/>
      <c r="X11" s="172"/>
      <c r="Y11" s="172"/>
      <c r="Z11" s="172"/>
      <c r="AA11" s="172"/>
      <c r="AB11" s="172"/>
      <c r="AC11" s="172">
        <v>43373</v>
      </c>
      <c r="AD11" s="172" t="s">
        <v>258</v>
      </c>
      <c r="AE11" s="172"/>
      <c r="AF11" s="172"/>
      <c r="AG11" s="172"/>
      <c r="AH11" s="172"/>
      <c r="AI11" s="172"/>
      <c r="AJ11" s="172"/>
      <c r="AK11" s="172" t="s">
        <v>258</v>
      </c>
      <c r="AL11" s="172" t="s">
        <v>258</v>
      </c>
      <c r="AM11" s="172"/>
      <c r="AN11" s="172"/>
      <c r="AO11" s="172"/>
      <c r="AP11" s="172"/>
      <c r="AQ11" s="172"/>
      <c r="AT11" s="177">
        <v>43397</v>
      </c>
      <c r="AU11" s="178" t="s">
        <v>260</v>
      </c>
      <c r="AW11" s="166" t="s">
        <v>261</v>
      </c>
      <c r="AX11" s="173">
        <f>'Knock Out Phase'!F54</f>
        <v>43515</v>
      </c>
      <c r="AY11" s="166" t="str">
        <f>'Knock Out Phase'!H53</f>
        <v>Liverpool</v>
      </c>
      <c r="AZ11" s="166">
        <f>'Knock Out Phase'!J53</f>
        <v>0</v>
      </c>
      <c r="BA11" s="166">
        <f>'Knock Out Phase'!L53</f>
        <v>0</v>
      </c>
      <c r="BB11" s="166" t="str">
        <f>'Knock Out Phase'!N53</f>
        <v>Bayern Munich</v>
      </c>
      <c r="BC11" s="173">
        <f>'Knock Out Phase'!AE54</f>
        <v>43537</v>
      </c>
      <c r="BD11" s="166" t="str">
        <f>'Knock Out Phase'!T53</f>
        <v>Liverpool</v>
      </c>
      <c r="BE11" s="166">
        <f>'Knock Out Phase'!V53+'Knock Out Phase'!V54</f>
        <v>3</v>
      </c>
      <c r="BF11" s="166">
        <f>'Knock Out Phase'!X53+'Knock Out Phase'!X54</f>
        <v>1</v>
      </c>
      <c r="BG11" s="166" t="str">
        <f>'Knock Out Phase'!Z53</f>
        <v>Bayern Munich</v>
      </c>
      <c r="BN11" s="166">
        <f>'Knock Out Phase'!V55</f>
        <v>0</v>
      </c>
      <c r="BO11" s="166">
        <f>'Knock Out Phase'!X55</f>
        <v>0</v>
      </c>
    </row>
    <row r="12" spans="2:67" ht="15" customHeight="1" thickBot="1" x14ac:dyDescent="0.25">
      <c r="U12" s="172"/>
      <c r="V12" s="172"/>
      <c r="W12" s="172"/>
      <c r="X12" s="172"/>
      <c r="Y12" s="172"/>
      <c r="Z12" s="172"/>
      <c r="AA12" s="172"/>
      <c r="AB12" s="172"/>
      <c r="AC12" s="172"/>
      <c r="AD12" s="172"/>
      <c r="AE12" s="172"/>
      <c r="AF12" s="172"/>
      <c r="AG12" s="172"/>
      <c r="AH12" s="172"/>
      <c r="AI12" s="172"/>
      <c r="AJ12" s="172"/>
      <c r="AK12" s="172"/>
      <c r="AL12" s="172"/>
      <c r="AM12" s="172"/>
      <c r="AN12" s="172"/>
      <c r="AO12" s="172"/>
      <c r="AP12" s="172"/>
      <c r="AQ12" s="172"/>
      <c r="AT12" s="177">
        <v>43410</v>
      </c>
      <c r="AU12" s="178" t="s">
        <v>260</v>
      </c>
      <c r="AW12" s="166" t="s">
        <v>261</v>
      </c>
      <c r="AX12" s="173">
        <f>'Knock Out Phase'!F63</f>
        <v>43516</v>
      </c>
      <c r="AY12" s="166" t="str">
        <f>'Knock Out Phase'!H62</f>
        <v>Atletico Madrid</v>
      </c>
      <c r="AZ12" s="166">
        <f>'Knock Out Phase'!J62</f>
        <v>2</v>
      </c>
      <c r="BA12" s="166">
        <f>'Knock Out Phase'!L62</f>
        <v>0</v>
      </c>
      <c r="BB12" s="166" t="str">
        <f>'Knock Out Phase'!N62</f>
        <v>Juventus</v>
      </c>
      <c r="BC12" s="173">
        <f>'Knock Out Phase'!AE63</f>
        <v>43536</v>
      </c>
      <c r="BD12" s="166" t="str">
        <f>'Knock Out Phase'!T62</f>
        <v>Atletico Madrid</v>
      </c>
      <c r="BE12" s="166">
        <f>'Knock Out Phase'!V62+'Knock Out Phase'!V63</f>
        <v>0</v>
      </c>
      <c r="BF12" s="166">
        <f>'Knock Out Phase'!X62+'Knock Out Phase'!X63</f>
        <v>3</v>
      </c>
      <c r="BG12" s="166" t="str">
        <f>'Knock Out Phase'!Z62</f>
        <v>Juventus</v>
      </c>
      <c r="BN12" s="166">
        <f>'Knock Out Phase'!V64</f>
        <v>0</v>
      </c>
      <c r="BO12" s="166">
        <f>'Knock Out Phase'!X64</f>
        <v>0</v>
      </c>
    </row>
    <row r="13" spans="2:67" ht="15" customHeight="1" thickTop="1" thickBot="1" x14ac:dyDescent="0.25">
      <c r="B13" s="302" t="s">
        <v>280</v>
      </c>
      <c r="C13" s="302"/>
      <c r="D13" s="302"/>
      <c r="E13" s="302"/>
      <c r="F13" s="302" t="s">
        <v>1</v>
      </c>
      <c r="G13" s="302"/>
      <c r="H13" s="302"/>
      <c r="I13" s="184"/>
      <c r="J13" s="184" t="s">
        <v>276</v>
      </c>
      <c r="K13" s="184" t="s">
        <v>277</v>
      </c>
      <c r="L13" s="184"/>
      <c r="M13" s="184"/>
      <c r="N13" s="184"/>
      <c r="O13" s="184"/>
      <c r="P13" s="184" t="s">
        <v>278</v>
      </c>
      <c r="Q13" s="302" t="s">
        <v>279</v>
      </c>
      <c r="R13" s="302"/>
      <c r="S13" s="302"/>
      <c r="U13" s="299">
        <f>X17</f>
        <v>43418</v>
      </c>
      <c r="V13" s="299"/>
      <c r="W13" s="299"/>
      <c r="X13" s="299"/>
      <c r="Y13" s="299"/>
      <c r="Z13" s="299"/>
      <c r="AA13" s="299"/>
      <c r="AB13" s="172"/>
      <c r="AC13" s="299">
        <f>AF17</f>
        <v>43446</v>
      </c>
      <c r="AD13" s="299"/>
      <c r="AE13" s="299"/>
      <c r="AF13" s="299"/>
      <c r="AG13" s="299"/>
      <c r="AH13" s="299"/>
      <c r="AI13" s="299"/>
      <c r="AJ13" s="172"/>
      <c r="AK13" s="299">
        <f>AN17</f>
        <v>43481</v>
      </c>
      <c r="AL13" s="299"/>
      <c r="AM13" s="299"/>
      <c r="AN13" s="299"/>
      <c r="AO13" s="299"/>
      <c r="AP13" s="299"/>
      <c r="AQ13" s="299"/>
      <c r="AT13" s="177">
        <v>43411</v>
      </c>
      <c r="AU13" s="178" t="s">
        <v>260</v>
      </c>
      <c r="AW13" s="166" t="s">
        <v>261</v>
      </c>
      <c r="AX13" s="173">
        <f>'Knock Out Phase'!F72</f>
        <v>43516</v>
      </c>
      <c r="AY13" s="166" t="str">
        <f>'Knock Out Phase'!H71</f>
        <v>Schalke 04</v>
      </c>
      <c r="AZ13" s="166">
        <f>'Knock Out Phase'!J71</f>
        <v>2</v>
      </c>
      <c r="BA13" s="166">
        <f>'Knock Out Phase'!L71</f>
        <v>3</v>
      </c>
      <c r="BB13" s="166" t="str">
        <f>'Knock Out Phase'!N71</f>
        <v>Manchester City</v>
      </c>
      <c r="BC13" s="173">
        <f>'Knock Out Phase'!AE72</f>
        <v>43536</v>
      </c>
      <c r="BD13" s="166" t="str">
        <f>'Knock Out Phase'!T71</f>
        <v>Schalke 04</v>
      </c>
      <c r="BE13" s="166">
        <f>'Knock Out Phase'!V71+'Knock Out Phase'!V72</f>
        <v>0</v>
      </c>
      <c r="BF13" s="166">
        <f>'Knock Out Phase'!X71+'Knock Out Phase'!X72</f>
        <v>7</v>
      </c>
      <c r="BG13" s="166" t="str">
        <f>'Knock Out Phase'!Z71</f>
        <v>Manchester City</v>
      </c>
      <c r="BN13" s="166">
        <f>'Knock Out Phase'!V73</f>
        <v>0</v>
      </c>
      <c r="BO13" s="166">
        <f>'Knock Out Phase'!X73</f>
        <v>0</v>
      </c>
    </row>
    <row r="14" spans="2:67" ht="15" customHeight="1" thickTop="1" x14ac:dyDescent="0.2">
      <c r="B14" s="164" t="str">
        <f>"Group "&amp;VLOOKUP($F$4,'Team Setup'!$B$5:$E$36,4,FALSE)</f>
        <v>Group G</v>
      </c>
      <c r="D14" s="185" t="s">
        <v>292</v>
      </c>
      <c r="E14" s="165">
        <v>1</v>
      </c>
      <c r="F14" s="308">
        <f>INDEX('Group Stages'!$F$10:$F$105,IF(ISNA(MATCH(E14&amp;$F$4,'Group Stages'!$AC$10:$AC$105,0)),MATCH(E14&amp;$F$4,'Group Stages'!$AD$10:$AD$105,0),MATCH(E14&amp;$F$4,'Group Stages'!$AC$10:$AC$105,0)),0)</f>
        <v>43362</v>
      </c>
      <c r="G14" s="308"/>
      <c r="H14" s="308"/>
      <c r="I14" s="186"/>
      <c r="J14" s="187" t="str">
        <f>IF(ISNA(MATCH(E14&amp;$F$4,'Group Stages'!$AC$10:$AC$105,0)),"at","")</f>
        <v/>
      </c>
      <c r="K14" s="164" t="str">
        <f>IF(ISNA(MATCH(E14&amp;$F$4,'Group Stages'!$AC$10:$AC$105,0)),INDEX('Group Stages'!$G$10:$G$105,MATCH(E14&amp;$F$4,'Group Stages'!$AD$10:$AD$105,0),0),INDEX('Group Stages'!$M$10:$M$105,MATCH(E14&amp;$F$4,'Group Stages'!$AC$10:$AC$105,0),0))</f>
        <v>AS Roma</v>
      </c>
      <c r="P14" s="165" t="str">
        <f>IF(AND(Q14&lt;&gt;"",S14&lt;&gt;""),IF(Q14&gt;S14,"W",IF(Q14&lt;S14,"L","D")),"")</f>
        <v>W</v>
      </c>
      <c r="Q14" s="165">
        <f>IF(ISNA(MATCH(E14&amp;$F$4,'Group Stages'!$AC$10:$AC$105,0)),IF(INDEX('Group Stages'!$K$10:$K$105,MATCH(E14&amp;$F$4,'Group Stages'!$AD$10:$AD$105,0),0)="","",INDEX('Group Stages'!$K$10:$K$105,MATCH(E14&amp;$F$4,'Group Stages'!$AD$10:$AD$105,0),0)),IF(INDEX('Group Stages'!$I$10:$I$105,MATCH(E14&amp;$F$4,'Group Stages'!$AC$10:$AC$105,0),0)="","",INDEX('Group Stages'!$I$10:$I$105,MATCH(E14&amp;$F$4,'Group Stages'!$AC$10:$AC$105,0),0)))</f>
        <v>3</v>
      </c>
      <c r="R14" s="165" t="str">
        <f>IF(AND(Q14&lt;&gt;"",S14&lt;&gt;""),"-","")</f>
        <v>-</v>
      </c>
      <c r="S14" s="165">
        <f>IF(ISNA(MATCH(E14&amp;$F$4,'Group Stages'!$AC$10:$AC$105,0)),IF(INDEX('Group Stages'!$I$10:$I$105,MATCH(E14&amp;$F$4,'Group Stages'!$AD$10:$AD$105,0),0)="","",INDEX('Group Stages'!$I$10:$I$105,MATCH(E14&amp;$F$4,'Group Stages'!$AD$10:$AD$105,0),0)),IF(INDEX('Group Stages'!$K$10:$K$105,MATCH(E14&amp;$F$4,'Group Stages'!$AC$10:$AC$105,0),0)="","",INDEX('Group Stages'!$K$10:$K$105,MATCH(E14&amp;$F$4,'Group Stages'!$AC$10:$AC$105,0),0)))</f>
        <v>0</v>
      </c>
      <c r="U14" s="172" t="s">
        <v>255</v>
      </c>
      <c r="V14" s="172" t="s">
        <v>256</v>
      </c>
      <c r="W14" s="172" t="s">
        <v>257</v>
      </c>
      <c r="X14" s="172" t="s">
        <v>7</v>
      </c>
      <c r="Y14" s="172" t="s">
        <v>257</v>
      </c>
      <c r="Z14" s="172" t="s">
        <v>14</v>
      </c>
      <c r="AA14" s="172" t="s">
        <v>255</v>
      </c>
      <c r="AB14" s="172"/>
      <c r="AC14" s="172" t="s">
        <v>255</v>
      </c>
      <c r="AD14" s="172" t="s">
        <v>256</v>
      </c>
      <c r="AE14" s="172" t="s">
        <v>257</v>
      </c>
      <c r="AF14" s="172" t="s">
        <v>7</v>
      </c>
      <c r="AG14" s="172" t="s">
        <v>257</v>
      </c>
      <c r="AH14" s="172" t="s">
        <v>14</v>
      </c>
      <c r="AI14" s="172" t="s">
        <v>255</v>
      </c>
      <c r="AJ14" s="172"/>
      <c r="AK14" s="172" t="s">
        <v>255</v>
      </c>
      <c r="AL14" s="172" t="s">
        <v>256</v>
      </c>
      <c r="AM14" s="172" t="s">
        <v>257</v>
      </c>
      <c r="AN14" s="172" t="s">
        <v>7</v>
      </c>
      <c r="AO14" s="172" t="s">
        <v>257</v>
      </c>
      <c r="AP14" s="172" t="s">
        <v>14</v>
      </c>
      <c r="AQ14" s="172" t="s">
        <v>255</v>
      </c>
      <c r="AT14" s="177">
        <v>43431</v>
      </c>
      <c r="AU14" s="178" t="s">
        <v>260</v>
      </c>
      <c r="AW14" s="166" t="s">
        <v>281</v>
      </c>
      <c r="AX14" s="173">
        <f>'Knock Out Phase'!F101</f>
        <v>0</v>
      </c>
      <c r="AY14" s="166" t="str">
        <f>'Knock Out Phase'!H100</f>
        <v/>
      </c>
      <c r="AZ14" s="166">
        <f>'Knock Out Phase'!J100</f>
        <v>0</v>
      </c>
      <c r="BA14" s="166">
        <f>'Knock Out Phase'!L100</f>
        <v>0</v>
      </c>
      <c r="BB14" s="166" t="str">
        <f>'Knock Out Phase'!N100</f>
        <v/>
      </c>
      <c r="BC14" s="173">
        <f>'Knock Out Phase'!AE101</f>
        <v>0</v>
      </c>
      <c r="BD14" s="166" t="str">
        <f>'Knock Out Phase'!T100</f>
        <v/>
      </c>
      <c r="BE14" s="166">
        <f>'Knock Out Phase'!V100+'Knock Out Phase'!V101</f>
        <v>0</v>
      </c>
      <c r="BF14" s="166">
        <f>'Knock Out Phase'!X100+'Knock Out Phase'!X101</f>
        <v>0</v>
      </c>
      <c r="BG14" s="166" t="str">
        <f>'Knock Out Phase'!Z100</f>
        <v/>
      </c>
      <c r="BN14" s="166">
        <f>'Knock Out Phase'!V102</f>
        <v>0</v>
      </c>
      <c r="BO14" s="166">
        <f>'Knock Out Phase'!X102</f>
        <v>0</v>
      </c>
    </row>
    <row r="15" spans="2:67" ht="15" customHeight="1" x14ac:dyDescent="0.2">
      <c r="B15" s="164" t="str">
        <f>"Group "&amp;VLOOKUP($F$4,'Team Setup'!$B$5:$E$36,4,FALSE)</f>
        <v>Group G</v>
      </c>
      <c r="D15" s="185" t="s">
        <v>292</v>
      </c>
      <c r="E15" s="165">
        <v>2</v>
      </c>
      <c r="F15" s="308">
        <f>INDEX('Group Stages'!$F$10:$F$105,IF(ISNA(MATCH(E15&amp;$F$4,'Group Stages'!$AC$10:$AC$105,0)),MATCH(E15&amp;$F$4,'Group Stages'!$AD$10:$AD$105,0),MATCH(E15&amp;$F$4,'Group Stages'!$AC$10:$AC$105,0)),0)</f>
        <v>43375</v>
      </c>
      <c r="G15" s="308"/>
      <c r="H15" s="308"/>
      <c r="I15" s="186"/>
      <c r="J15" s="187" t="str">
        <f>IF(ISNA(MATCH(E15&amp;$F$4,'Group Stages'!$AC$10:$AC$105,0)),"at","")</f>
        <v>at</v>
      </c>
      <c r="K15" s="164" t="str">
        <f>IF(ISNA(MATCH(E15&amp;$F$4,'Group Stages'!$AC$10:$AC$105,0)),INDEX('Group Stages'!$G$10:$G$105,MATCH(E15&amp;$F$4,'Group Stages'!$AD$10:$AD$105,0),0),INDEX('Group Stages'!$M$10:$M$105,MATCH(E15&amp;$F$4,'Group Stages'!$AC$10:$AC$105,0),0))</f>
        <v>CSKA Moscow</v>
      </c>
      <c r="P15" s="165" t="str">
        <f t="shared" ref="P15:P19" si="0">IF(AND(Q15&lt;&gt;"",S15&lt;&gt;""),IF(Q15&gt;S15,"W",IF(Q15&lt;S15,"L","D")),"")</f>
        <v>L</v>
      </c>
      <c r="Q15" s="165">
        <f>IF(ISNA(MATCH(E15&amp;$F$4,'Group Stages'!$AC$10:$AC$105,0)),IF(INDEX('Group Stages'!$K$10:$K$105,MATCH(E15&amp;$F$4,'Group Stages'!$AD$10:$AD$105,0),0)="","",INDEX('Group Stages'!$K$10:$K$105,MATCH(E15&amp;$F$4,'Group Stages'!$AD$10:$AD$105,0),0)),IF(INDEX('Group Stages'!$I$10:$I$105,MATCH(E15&amp;$F$4,'Group Stages'!$AC$10:$AC$105,0),0)="","",INDEX('Group Stages'!$I$10:$I$105,MATCH(E15&amp;$F$4,'Group Stages'!$AC$10:$AC$105,0),0)))</f>
        <v>0</v>
      </c>
      <c r="R15" s="165" t="str">
        <f t="shared" ref="R15:R19" si="1">IF(AND(Q15&lt;&gt;"",S15&lt;&gt;""),"-","")</f>
        <v>-</v>
      </c>
      <c r="S15" s="165">
        <f>IF(ISNA(MATCH(E15&amp;$F$4,'Group Stages'!$AC$10:$AC$105,0)),IF(INDEX('Group Stages'!$I$10:$I$105,MATCH(E15&amp;$F$4,'Group Stages'!$AD$10:$AD$105,0),0)="","",INDEX('Group Stages'!$I$10:$I$105,MATCH(E15&amp;$F$4,'Group Stages'!$AD$10:$AD$105,0),0)),IF(INDEX('Group Stages'!$K$10:$K$105,MATCH(E15&amp;$F$4,'Group Stages'!$AC$10:$AC$105,0),0)="","",INDEX('Group Stages'!$K$10:$K$105,MATCH(E15&amp;$F$4,'Group Stages'!$AC$10:$AC$105,0),0)))</f>
        <v>1</v>
      </c>
      <c r="U15" s="172" t="s">
        <v>258</v>
      </c>
      <c r="V15" s="172" t="s">
        <v>258</v>
      </c>
      <c r="W15" s="172" t="s">
        <v>258</v>
      </c>
      <c r="X15" s="172" t="s">
        <v>258</v>
      </c>
      <c r="Y15" s="172">
        <v>43405</v>
      </c>
      <c r="Z15" s="172">
        <v>43406</v>
      </c>
      <c r="AA15" s="172">
        <v>43407</v>
      </c>
      <c r="AB15" s="172"/>
      <c r="AC15" s="172" t="s">
        <v>258</v>
      </c>
      <c r="AD15" s="172" t="s">
        <v>258</v>
      </c>
      <c r="AE15" s="172" t="s">
        <v>258</v>
      </c>
      <c r="AF15" s="172" t="s">
        <v>258</v>
      </c>
      <c r="AG15" s="172" t="s">
        <v>258</v>
      </c>
      <c r="AH15" s="172" t="s">
        <v>258</v>
      </c>
      <c r="AI15" s="172">
        <v>43435</v>
      </c>
      <c r="AJ15" s="172"/>
      <c r="AK15" s="172" t="s">
        <v>258</v>
      </c>
      <c r="AL15" s="172" t="s">
        <v>258</v>
      </c>
      <c r="AM15" s="172">
        <v>43466</v>
      </c>
      <c r="AN15" s="172">
        <v>43467</v>
      </c>
      <c r="AO15" s="172">
        <v>43468</v>
      </c>
      <c r="AP15" s="172">
        <v>43469</v>
      </c>
      <c r="AQ15" s="172">
        <v>43470</v>
      </c>
      <c r="AT15" s="177">
        <v>43432</v>
      </c>
      <c r="AU15" s="178" t="s">
        <v>260</v>
      </c>
      <c r="AW15" s="166" t="s">
        <v>281</v>
      </c>
      <c r="AX15" s="173">
        <f>'Knock Out Phase'!F110</f>
        <v>0</v>
      </c>
      <c r="AY15" s="166" t="str">
        <f>'Knock Out Phase'!H109</f>
        <v/>
      </c>
      <c r="AZ15" s="166">
        <f>'Knock Out Phase'!J109</f>
        <v>0</v>
      </c>
      <c r="BA15" s="166">
        <f>'Knock Out Phase'!L109</f>
        <v>0</v>
      </c>
      <c r="BB15" s="166" t="str">
        <f>'Knock Out Phase'!N109</f>
        <v/>
      </c>
      <c r="BC15" s="173">
        <f>'Knock Out Phase'!AE110</f>
        <v>0</v>
      </c>
      <c r="BD15" s="166" t="str">
        <f>'Knock Out Phase'!T109</f>
        <v/>
      </c>
      <c r="BE15" s="166">
        <f>'Knock Out Phase'!V109+'Knock Out Phase'!V110</f>
        <v>0</v>
      </c>
      <c r="BF15" s="166">
        <f>'Knock Out Phase'!X109+'Knock Out Phase'!X110</f>
        <v>0</v>
      </c>
      <c r="BG15" s="166" t="str">
        <f>'Knock Out Phase'!Z109</f>
        <v/>
      </c>
      <c r="BN15" s="166">
        <f>'Knock Out Phase'!V111</f>
        <v>0</v>
      </c>
      <c r="BO15" s="166">
        <f>'Knock Out Phase'!X111</f>
        <v>0</v>
      </c>
    </row>
    <row r="16" spans="2:67" ht="15" customHeight="1" x14ac:dyDescent="0.2">
      <c r="B16" s="164" t="str">
        <f>"Group "&amp;VLOOKUP($F$4,'Team Setup'!$B$5:$E$36,4,FALSE)</f>
        <v>Group G</v>
      </c>
      <c r="D16" s="185" t="s">
        <v>292</v>
      </c>
      <c r="E16" s="165">
        <v>3</v>
      </c>
      <c r="F16" s="308">
        <f>INDEX('Group Stages'!$F$10:$F$105,IF(ISNA(MATCH(E16&amp;$F$4,'Group Stages'!$AC$10:$AC$105,0)),MATCH(E16&amp;$F$4,'Group Stages'!$AD$10:$AD$105,0),MATCH(E16&amp;$F$4,'Group Stages'!$AC$10:$AC$105,0)),0)</f>
        <v>43396</v>
      </c>
      <c r="G16" s="308"/>
      <c r="H16" s="308"/>
      <c r="I16" s="186"/>
      <c r="J16" s="187" t="str">
        <f>IF(ISNA(MATCH(E16&amp;$F$4,'Group Stages'!$AC$10:$AC$105,0)),"at","")</f>
        <v/>
      </c>
      <c r="K16" s="164" t="str">
        <f>IF(ISNA(MATCH(E16&amp;$F$4,'Group Stages'!$AC$10:$AC$105,0)),INDEX('Group Stages'!$G$10:$G$105,MATCH(E16&amp;$F$4,'Group Stages'!$AD$10:$AD$105,0),0),INDEX('Group Stages'!$M$10:$M$105,MATCH(E16&amp;$F$4,'Group Stages'!$AC$10:$AC$105,0),0))</f>
        <v>Plzen</v>
      </c>
      <c r="P16" s="165" t="str">
        <f t="shared" si="0"/>
        <v>W</v>
      </c>
      <c r="Q16" s="165">
        <f>IF(ISNA(MATCH(E16&amp;$F$4,'Group Stages'!$AC$10:$AC$105,0)),IF(INDEX('Group Stages'!$K$10:$K$105,MATCH(E16&amp;$F$4,'Group Stages'!$AD$10:$AD$105,0),0)="","",INDEX('Group Stages'!$K$10:$K$105,MATCH(E16&amp;$F$4,'Group Stages'!$AD$10:$AD$105,0),0)),IF(INDEX('Group Stages'!$I$10:$I$105,MATCH(E16&amp;$F$4,'Group Stages'!$AC$10:$AC$105,0),0)="","",INDEX('Group Stages'!$I$10:$I$105,MATCH(E16&amp;$F$4,'Group Stages'!$AC$10:$AC$105,0),0)))</f>
        <v>2</v>
      </c>
      <c r="R16" s="165" t="str">
        <f t="shared" si="1"/>
        <v>-</v>
      </c>
      <c r="S16" s="165">
        <f>IF(ISNA(MATCH(E16&amp;$F$4,'Group Stages'!$AC$10:$AC$105,0)),IF(INDEX('Group Stages'!$I$10:$I$105,MATCH(E16&amp;$F$4,'Group Stages'!$AD$10:$AD$105,0),0)="","",INDEX('Group Stages'!$I$10:$I$105,MATCH(E16&amp;$F$4,'Group Stages'!$AD$10:$AD$105,0),0)),IF(INDEX('Group Stages'!$K$10:$K$105,MATCH(E16&amp;$F$4,'Group Stages'!$AC$10:$AC$105,0),0)="","",INDEX('Group Stages'!$K$10:$K$105,MATCH(E16&amp;$F$4,'Group Stages'!$AC$10:$AC$105,0),0)))</f>
        <v>1</v>
      </c>
      <c r="U16" s="172">
        <v>43408</v>
      </c>
      <c r="V16" s="172">
        <v>43409</v>
      </c>
      <c r="W16" s="172">
        <v>43410</v>
      </c>
      <c r="X16" s="172">
        <v>43411</v>
      </c>
      <c r="Y16" s="172">
        <v>43412</v>
      </c>
      <c r="Z16" s="172">
        <v>43413</v>
      </c>
      <c r="AA16" s="172">
        <v>43414</v>
      </c>
      <c r="AB16" s="172"/>
      <c r="AC16" s="172">
        <v>43436</v>
      </c>
      <c r="AD16" s="172">
        <v>43437</v>
      </c>
      <c r="AE16" s="172">
        <v>43438</v>
      </c>
      <c r="AF16" s="172">
        <v>43439</v>
      </c>
      <c r="AG16" s="172">
        <v>43440</v>
      </c>
      <c r="AH16" s="172">
        <v>43441</v>
      </c>
      <c r="AI16" s="172">
        <v>43442</v>
      </c>
      <c r="AJ16" s="172"/>
      <c r="AK16" s="172">
        <v>43471</v>
      </c>
      <c r="AL16" s="172">
        <v>43472</v>
      </c>
      <c r="AM16" s="172">
        <v>43473</v>
      </c>
      <c r="AN16" s="172">
        <v>43474</v>
      </c>
      <c r="AO16" s="172">
        <v>43475</v>
      </c>
      <c r="AP16" s="172">
        <v>43476</v>
      </c>
      <c r="AQ16" s="172">
        <v>43477</v>
      </c>
      <c r="AT16" s="177">
        <v>43445</v>
      </c>
      <c r="AU16" s="178" t="s">
        <v>260</v>
      </c>
      <c r="AW16" s="166" t="s">
        <v>281</v>
      </c>
      <c r="AX16" s="173">
        <f>'Knock Out Phase'!F119</f>
        <v>0</v>
      </c>
      <c r="AY16" s="166" t="str">
        <f>'Knock Out Phase'!H118</f>
        <v/>
      </c>
      <c r="AZ16" s="166">
        <f>'Knock Out Phase'!J118</f>
        <v>0</v>
      </c>
      <c r="BA16" s="166">
        <f>'Knock Out Phase'!L118</f>
        <v>0</v>
      </c>
      <c r="BB16" s="166" t="str">
        <f>'Knock Out Phase'!N118</f>
        <v/>
      </c>
      <c r="BC16" s="173">
        <f>'Knock Out Phase'!AE119</f>
        <v>0</v>
      </c>
      <c r="BD16" s="166" t="str">
        <f>'Knock Out Phase'!T118</f>
        <v/>
      </c>
      <c r="BE16" s="166">
        <f>'Knock Out Phase'!V118+'Knock Out Phase'!V119</f>
        <v>0</v>
      </c>
      <c r="BF16" s="166">
        <f>'Knock Out Phase'!X118+'Knock Out Phase'!X119</f>
        <v>0</v>
      </c>
      <c r="BG16" s="166" t="str">
        <f>'Knock Out Phase'!Z118</f>
        <v/>
      </c>
      <c r="BN16" s="166">
        <f>'Knock Out Phase'!V120</f>
        <v>0</v>
      </c>
      <c r="BO16" s="166">
        <f>'Knock Out Phase'!X120</f>
        <v>0</v>
      </c>
    </row>
    <row r="17" spans="2:67" ht="15" customHeight="1" x14ac:dyDescent="0.2">
      <c r="B17" s="164" t="str">
        <f>"Group "&amp;VLOOKUP($F$4,'Team Setup'!$B$5:$E$36,4,FALSE)</f>
        <v>Group G</v>
      </c>
      <c r="D17" s="185" t="s">
        <v>292</v>
      </c>
      <c r="E17" s="165">
        <v>4</v>
      </c>
      <c r="F17" s="308">
        <f>INDEX('Group Stages'!$F$10:$F$105,IF(ISNA(MATCH(E17&amp;$F$4,'Group Stages'!$AC$10:$AC$105,0)),MATCH(E17&amp;$F$4,'Group Stages'!$AD$10:$AD$105,0),MATCH(E17&amp;$F$4,'Group Stages'!$AC$10:$AC$105,0)),0)</f>
        <v>43411</v>
      </c>
      <c r="G17" s="308"/>
      <c r="H17" s="308"/>
      <c r="I17" s="186"/>
      <c r="J17" s="187" t="str">
        <f>IF(ISNA(MATCH(E17&amp;$F$4,'Group Stages'!$AC$10:$AC$105,0)),"at","")</f>
        <v>at</v>
      </c>
      <c r="K17" s="164" t="str">
        <f>IF(ISNA(MATCH(E17&amp;$F$4,'Group Stages'!$AC$10:$AC$105,0)),INDEX('Group Stages'!$G$10:$G$105,MATCH(E17&amp;$F$4,'Group Stages'!$AD$10:$AD$105,0),0),INDEX('Group Stages'!$M$10:$M$105,MATCH(E17&amp;$F$4,'Group Stages'!$AC$10:$AC$105,0),0))</f>
        <v>Plzen</v>
      </c>
      <c r="P17" s="165" t="str">
        <f t="shared" si="0"/>
        <v>W</v>
      </c>
      <c r="Q17" s="165">
        <f>IF(ISNA(MATCH(E17&amp;$F$4,'Group Stages'!$AC$10:$AC$105,0)),IF(INDEX('Group Stages'!$K$10:$K$105,MATCH(E17&amp;$F$4,'Group Stages'!$AD$10:$AD$105,0),0)="","",INDEX('Group Stages'!$K$10:$K$105,MATCH(E17&amp;$F$4,'Group Stages'!$AD$10:$AD$105,0),0)),IF(INDEX('Group Stages'!$I$10:$I$105,MATCH(E17&amp;$F$4,'Group Stages'!$AC$10:$AC$105,0),0)="","",INDEX('Group Stages'!$I$10:$I$105,MATCH(E17&amp;$F$4,'Group Stages'!$AC$10:$AC$105,0),0)))</f>
        <v>5</v>
      </c>
      <c r="R17" s="165" t="str">
        <f t="shared" si="1"/>
        <v>-</v>
      </c>
      <c r="S17" s="165">
        <f>IF(ISNA(MATCH(E17&amp;$F$4,'Group Stages'!$AC$10:$AC$105,0)),IF(INDEX('Group Stages'!$I$10:$I$105,MATCH(E17&amp;$F$4,'Group Stages'!$AD$10:$AD$105,0),0)="","",INDEX('Group Stages'!$I$10:$I$105,MATCH(E17&amp;$F$4,'Group Stages'!$AD$10:$AD$105,0),0)),IF(INDEX('Group Stages'!$K$10:$K$105,MATCH(E17&amp;$F$4,'Group Stages'!$AC$10:$AC$105,0),0)="","",INDEX('Group Stages'!$K$10:$K$105,MATCH(E17&amp;$F$4,'Group Stages'!$AC$10:$AC$105,0),0)))</f>
        <v>0</v>
      </c>
      <c r="U17" s="172">
        <v>43415</v>
      </c>
      <c r="V17" s="172">
        <v>43416</v>
      </c>
      <c r="W17" s="172">
        <v>43417</v>
      </c>
      <c r="X17" s="172">
        <v>43418</v>
      </c>
      <c r="Y17" s="172">
        <v>43419</v>
      </c>
      <c r="Z17" s="172">
        <v>43420</v>
      </c>
      <c r="AA17" s="172">
        <v>43421</v>
      </c>
      <c r="AB17" s="172"/>
      <c r="AC17" s="172">
        <v>43443</v>
      </c>
      <c r="AD17" s="172">
        <v>43444</v>
      </c>
      <c r="AE17" s="172">
        <v>43445</v>
      </c>
      <c r="AF17" s="172">
        <v>43446</v>
      </c>
      <c r="AG17" s="172">
        <v>43447</v>
      </c>
      <c r="AH17" s="172">
        <v>43448</v>
      </c>
      <c r="AI17" s="172">
        <v>43449</v>
      </c>
      <c r="AJ17" s="172"/>
      <c r="AK17" s="172">
        <v>43478</v>
      </c>
      <c r="AL17" s="172">
        <v>43479</v>
      </c>
      <c r="AM17" s="172">
        <v>43480</v>
      </c>
      <c r="AN17" s="172">
        <v>43481</v>
      </c>
      <c r="AO17" s="172">
        <v>43482</v>
      </c>
      <c r="AP17" s="172">
        <v>43483</v>
      </c>
      <c r="AQ17" s="172">
        <v>43484</v>
      </c>
      <c r="AT17" s="177">
        <v>43446</v>
      </c>
      <c r="AU17" s="178" t="s">
        <v>260</v>
      </c>
      <c r="AW17" s="166" t="s">
        <v>281</v>
      </c>
      <c r="AX17" s="173">
        <f>'Knock Out Phase'!F128</f>
        <v>0</v>
      </c>
      <c r="AY17" s="166" t="str">
        <f>'Knock Out Phase'!H127</f>
        <v/>
      </c>
      <c r="AZ17" s="166">
        <f>'Knock Out Phase'!J127</f>
        <v>0</v>
      </c>
      <c r="BA17" s="166">
        <f>'Knock Out Phase'!L127</f>
        <v>0</v>
      </c>
      <c r="BB17" s="166" t="str">
        <f>'Knock Out Phase'!N127</f>
        <v/>
      </c>
      <c r="BC17" s="173">
        <f>'Knock Out Phase'!AE128</f>
        <v>0</v>
      </c>
      <c r="BD17" s="166" t="str">
        <f>'Knock Out Phase'!T127</f>
        <v/>
      </c>
      <c r="BE17" s="166">
        <f>'Knock Out Phase'!V127+'Knock Out Phase'!V128</f>
        <v>0</v>
      </c>
      <c r="BF17" s="166">
        <f>'Knock Out Phase'!X127+'Knock Out Phase'!X128</f>
        <v>0</v>
      </c>
      <c r="BG17" s="166" t="str">
        <f>'Knock Out Phase'!Z127</f>
        <v/>
      </c>
      <c r="BN17" s="166">
        <f>'Knock Out Phase'!V129</f>
        <v>0</v>
      </c>
      <c r="BO17" s="166">
        <f>'Knock Out Phase'!X129</f>
        <v>0</v>
      </c>
    </row>
    <row r="18" spans="2:67" ht="15" customHeight="1" x14ac:dyDescent="0.2">
      <c r="B18" s="164" t="str">
        <f>"Group "&amp;VLOOKUP($F$4,'Team Setup'!$B$5:$E$36,4,FALSE)</f>
        <v>Group G</v>
      </c>
      <c r="D18" s="185" t="s">
        <v>292</v>
      </c>
      <c r="E18" s="165">
        <v>5</v>
      </c>
      <c r="F18" s="308">
        <f>INDEX('Group Stages'!$F$10:$F$105,IF(ISNA(MATCH(E18&amp;$F$4,'Group Stages'!$AC$10:$AC$105,0)),MATCH(E18&amp;$F$4,'Group Stages'!$AD$10:$AD$105,0),MATCH(E18&amp;$F$4,'Group Stages'!$AC$10:$AC$105,0)),0)</f>
        <v>43431</v>
      </c>
      <c r="G18" s="308"/>
      <c r="H18" s="308"/>
      <c r="I18" s="186"/>
      <c r="J18" s="187" t="str">
        <f>IF(ISNA(MATCH(E18&amp;$F$4,'Group Stages'!$AC$10:$AC$105,0)),"at","")</f>
        <v>at</v>
      </c>
      <c r="K18" s="164" t="str">
        <f>IF(ISNA(MATCH(E18&amp;$F$4,'Group Stages'!$AC$10:$AC$105,0)),INDEX('Group Stages'!$G$10:$G$105,MATCH(E18&amp;$F$4,'Group Stages'!$AD$10:$AD$105,0),0),INDEX('Group Stages'!$M$10:$M$105,MATCH(E18&amp;$F$4,'Group Stages'!$AC$10:$AC$105,0),0))</f>
        <v>AS Roma</v>
      </c>
      <c r="P18" s="165" t="str">
        <f t="shared" si="0"/>
        <v>W</v>
      </c>
      <c r="Q18" s="165">
        <f>IF(ISNA(MATCH(E18&amp;$F$4,'Group Stages'!$AC$10:$AC$105,0)),IF(INDEX('Group Stages'!$K$10:$K$105,MATCH(E18&amp;$F$4,'Group Stages'!$AD$10:$AD$105,0),0)="","",INDEX('Group Stages'!$K$10:$K$105,MATCH(E18&amp;$F$4,'Group Stages'!$AD$10:$AD$105,0),0)),IF(INDEX('Group Stages'!$I$10:$I$105,MATCH(E18&amp;$F$4,'Group Stages'!$AC$10:$AC$105,0),0)="","",INDEX('Group Stages'!$I$10:$I$105,MATCH(E18&amp;$F$4,'Group Stages'!$AC$10:$AC$105,0),0)))</f>
        <v>2</v>
      </c>
      <c r="R18" s="165" t="str">
        <f t="shared" si="1"/>
        <v>-</v>
      </c>
      <c r="S18" s="165">
        <f>IF(ISNA(MATCH(E18&amp;$F$4,'Group Stages'!$AC$10:$AC$105,0)),IF(INDEX('Group Stages'!$I$10:$I$105,MATCH(E18&amp;$F$4,'Group Stages'!$AD$10:$AD$105,0),0)="","",INDEX('Group Stages'!$I$10:$I$105,MATCH(E18&amp;$F$4,'Group Stages'!$AD$10:$AD$105,0),0)),IF(INDEX('Group Stages'!$K$10:$K$105,MATCH(E18&amp;$F$4,'Group Stages'!$AC$10:$AC$105,0),0)="","",INDEX('Group Stages'!$K$10:$K$105,MATCH(E18&amp;$F$4,'Group Stages'!$AC$10:$AC$105,0),0)))</f>
        <v>0</v>
      </c>
      <c r="U18" s="172">
        <v>43422</v>
      </c>
      <c r="V18" s="172">
        <v>43423</v>
      </c>
      <c r="W18" s="172">
        <v>43424</v>
      </c>
      <c r="X18" s="172">
        <v>43425</v>
      </c>
      <c r="Y18" s="172">
        <v>43426</v>
      </c>
      <c r="Z18" s="172">
        <v>43427</v>
      </c>
      <c r="AA18" s="172">
        <v>43428</v>
      </c>
      <c r="AB18" s="172"/>
      <c r="AC18" s="172">
        <v>43450</v>
      </c>
      <c r="AD18" s="172">
        <v>43451</v>
      </c>
      <c r="AE18" s="172">
        <v>43452</v>
      </c>
      <c r="AF18" s="172">
        <v>43453</v>
      </c>
      <c r="AG18" s="172">
        <v>43454</v>
      </c>
      <c r="AH18" s="172">
        <v>43455</v>
      </c>
      <c r="AI18" s="172">
        <v>43456</v>
      </c>
      <c r="AJ18" s="172"/>
      <c r="AK18" s="172">
        <v>43485</v>
      </c>
      <c r="AL18" s="172">
        <v>43486</v>
      </c>
      <c r="AM18" s="172">
        <v>43487</v>
      </c>
      <c r="AN18" s="172">
        <v>43488</v>
      </c>
      <c r="AO18" s="172">
        <v>43489</v>
      </c>
      <c r="AP18" s="172">
        <v>43490</v>
      </c>
      <c r="AQ18" s="172">
        <v>43491</v>
      </c>
      <c r="AT18" s="173">
        <v>43451</v>
      </c>
      <c r="AU18" s="166" t="s">
        <v>259</v>
      </c>
      <c r="AW18" s="166" t="s">
        <v>282</v>
      </c>
      <c r="AX18" s="173">
        <f>'Knock Out Phase'!F139</f>
        <v>0</v>
      </c>
      <c r="AY18" s="166" t="str">
        <f>'Knock Out Phase'!H138</f>
        <v/>
      </c>
      <c r="AZ18" s="166">
        <f>'Knock Out Phase'!J138</f>
        <v>0</v>
      </c>
      <c r="BA18" s="166">
        <f>'Knock Out Phase'!L138</f>
        <v>0</v>
      </c>
      <c r="BB18" s="166" t="str">
        <f>'Knock Out Phase'!N138</f>
        <v/>
      </c>
      <c r="BC18" s="173">
        <f>'Knock Out Phase'!AE139</f>
        <v>0</v>
      </c>
      <c r="BD18" s="166" t="str">
        <f>'Knock Out Phase'!T138</f>
        <v/>
      </c>
      <c r="BE18" s="166">
        <f>'Knock Out Phase'!V138+'Knock Out Phase'!V139</f>
        <v>0</v>
      </c>
      <c r="BF18" s="166">
        <f>'Knock Out Phase'!X138+'Knock Out Phase'!X139</f>
        <v>0</v>
      </c>
      <c r="BG18" s="166" t="str">
        <f>'Knock Out Phase'!Z138</f>
        <v/>
      </c>
      <c r="BN18" s="166">
        <f>'Knock Out Phase'!V140</f>
        <v>0</v>
      </c>
      <c r="BO18" s="166">
        <f>'Knock Out Phase'!X140</f>
        <v>0</v>
      </c>
    </row>
    <row r="19" spans="2:67" ht="15" customHeight="1" x14ac:dyDescent="0.2">
      <c r="B19" s="164" t="str">
        <f>"Group "&amp;VLOOKUP($F$4,'Team Setup'!$B$5:$E$36,4,FALSE)</f>
        <v>Group G</v>
      </c>
      <c r="D19" s="185" t="s">
        <v>292</v>
      </c>
      <c r="E19" s="165">
        <v>6</v>
      </c>
      <c r="F19" s="308">
        <f>INDEX('Group Stages'!$F$10:$F$105,IF(ISNA(MATCH(E19&amp;$F$4,'Group Stages'!$AC$10:$AC$105,0)),MATCH(E19&amp;$F$4,'Group Stages'!$AD$10:$AD$105,0),MATCH(E19&amp;$F$4,'Group Stages'!$AC$10:$AC$105,0)),0)</f>
        <v>43446</v>
      </c>
      <c r="G19" s="308"/>
      <c r="H19" s="308"/>
      <c r="I19" s="186"/>
      <c r="J19" s="187" t="str">
        <f>IF(ISNA(MATCH(E19&amp;$F$4,'Group Stages'!$AC$10:$AC$105,0)),"at","")</f>
        <v/>
      </c>
      <c r="K19" s="164" t="str">
        <f>IF(ISNA(MATCH(E19&amp;$F$4,'Group Stages'!$AC$10:$AC$105,0)),INDEX('Group Stages'!$G$10:$G$105,MATCH(E19&amp;$F$4,'Group Stages'!$AD$10:$AD$105,0),0),INDEX('Group Stages'!$M$10:$M$105,MATCH(E19&amp;$F$4,'Group Stages'!$AC$10:$AC$105,0),0))</f>
        <v>CSKA Moscow</v>
      </c>
      <c r="P19" s="165" t="str">
        <f t="shared" si="0"/>
        <v>L</v>
      </c>
      <c r="Q19" s="165">
        <f>IF(ISNA(MATCH(E19&amp;$F$4,'Group Stages'!$AC$10:$AC$105,0)),IF(INDEX('Group Stages'!$K$10:$K$105,MATCH(E19&amp;$F$4,'Group Stages'!$AD$10:$AD$105,0),0)="","",INDEX('Group Stages'!$K$10:$K$105,MATCH(E19&amp;$F$4,'Group Stages'!$AD$10:$AD$105,0),0)),IF(INDEX('Group Stages'!$I$10:$I$105,MATCH(E19&amp;$F$4,'Group Stages'!$AC$10:$AC$105,0),0)="","",INDEX('Group Stages'!$I$10:$I$105,MATCH(E19&amp;$F$4,'Group Stages'!$AC$10:$AC$105,0),0)))</f>
        <v>0</v>
      </c>
      <c r="R19" s="165" t="str">
        <f t="shared" si="1"/>
        <v>-</v>
      </c>
      <c r="S19" s="165">
        <f>IF(ISNA(MATCH(E19&amp;$F$4,'Group Stages'!$AC$10:$AC$105,0)),IF(INDEX('Group Stages'!$I$10:$I$105,MATCH(E19&amp;$F$4,'Group Stages'!$AD$10:$AD$105,0),0)="","",INDEX('Group Stages'!$I$10:$I$105,MATCH(E19&amp;$F$4,'Group Stages'!$AD$10:$AD$105,0),0)),IF(INDEX('Group Stages'!$K$10:$K$105,MATCH(E19&amp;$F$4,'Group Stages'!$AC$10:$AC$105,0),0)="","",INDEX('Group Stages'!$K$10:$K$105,MATCH(E19&amp;$F$4,'Group Stages'!$AC$10:$AC$105,0),0)))</f>
        <v>3</v>
      </c>
      <c r="U19" s="172">
        <v>43429</v>
      </c>
      <c r="V19" s="172">
        <v>43430</v>
      </c>
      <c r="W19" s="172">
        <v>43431</v>
      </c>
      <c r="X19" s="172">
        <v>43432</v>
      </c>
      <c r="Y19" s="172">
        <v>43433</v>
      </c>
      <c r="Z19" s="172">
        <v>43434</v>
      </c>
      <c r="AA19" s="172" t="s">
        <v>258</v>
      </c>
      <c r="AB19" s="172"/>
      <c r="AC19" s="172">
        <v>43457</v>
      </c>
      <c r="AD19" s="172">
        <v>43458</v>
      </c>
      <c r="AE19" s="172">
        <v>43459</v>
      </c>
      <c r="AF19" s="172">
        <v>43460</v>
      </c>
      <c r="AG19" s="172">
        <v>43461</v>
      </c>
      <c r="AH19" s="172">
        <v>43462</v>
      </c>
      <c r="AI19" s="172">
        <v>43463</v>
      </c>
      <c r="AJ19" s="172"/>
      <c r="AK19" s="172">
        <v>43492</v>
      </c>
      <c r="AL19" s="172">
        <v>43493</v>
      </c>
      <c r="AM19" s="172">
        <v>43494</v>
      </c>
      <c r="AN19" s="172">
        <v>43495</v>
      </c>
      <c r="AO19" s="172">
        <v>43496</v>
      </c>
      <c r="AP19" s="172" t="s">
        <v>258</v>
      </c>
      <c r="AQ19" s="172" t="s">
        <v>258</v>
      </c>
      <c r="AT19" s="173">
        <v>43508</v>
      </c>
      <c r="AU19" s="166" t="s">
        <v>261</v>
      </c>
      <c r="AW19" s="166" t="s">
        <v>282</v>
      </c>
      <c r="AX19" s="173">
        <f>'Knock Out Phase'!F148</f>
        <v>0</v>
      </c>
      <c r="AY19" s="166" t="str">
        <f>'Knock Out Phase'!H147</f>
        <v/>
      </c>
      <c r="AZ19" s="166">
        <f>'Knock Out Phase'!J147</f>
        <v>0</v>
      </c>
      <c r="BA19" s="166">
        <f>'Knock Out Phase'!L147</f>
        <v>0</v>
      </c>
      <c r="BB19" s="166" t="str">
        <f>'Knock Out Phase'!N147</f>
        <v/>
      </c>
      <c r="BC19" s="173">
        <f>'Knock Out Phase'!AE148</f>
        <v>0</v>
      </c>
      <c r="BD19" s="166" t="str">
        <f>'Knock Out Phase'!T147</f>
        <v/>
      </c>
      <c r="BE19" s="166">
        <f>'Knock Out Phase'!V147+'Knock Out Phase'!V148</f>
        <v>0</v>
      </c>
      <c r="BF19" s="166">
        <f>'Knock Out Phase'!X147+'Knock Out Phase'!X148</f>
        <v>0</v>
      </c>
      <c r="BG19" s="166" t="str">
        <f>'Knock Out Phase'!Z147</f>
        <v/>
      </c>
      <c r="BN19" s="166">
        <f>'Knock Out Phase'!V149</f>
        <v>0</v>
      </c>
      <c r="BO19" s="166">
        <f>'Knock Out Phase'!X149</f>
        <v>0</v>
      </c>
    </row>
    <row r="20" spans="2:67" ht="15" customHeight="1" x14ac:dyDescent="0.2">
      <c r="B20" s="301" t="str">
        <f>IF(SUM(H8:H11)=24,IF(F4=C8,"Qualify as Group Winner",IF(F4=C9,"Qualify as Group Runner Up",IF(F4=C10,"Qualify for Europe League","Eliminated from Championship"))),"")</f>
        <v>Qualify as Group Winner</v>
      </c>
      <c r="C20" s="301"/>
      <c r="D20" s="301"/>
      <c r="E20" s="301"/>
      <c r="F20" s="301"/>
      <c r="G20" s="301"/>
      <c r="H20" s="301"/>
      <c r="I20" s="301"/>
      <c r="J20" s="301"/>
      <c r="K20" s="301"/>
      <c r="L20" s="301"/>
      <c r="M20" s="301"/>
      <c r="N20" s="301"/>
      <c r="O20" s="301"/>
      <c r="P20" s="301"/>
      <c r="Q20" s="188"/>
      <c r="R20" s="188"/>
      <c r="S20" s="188"/>
      <c r="U20" s="172" t="s">
        <v>258</v>
      </c>
      <c r="V20" s="172" t="s">
        <v>258</v>
      </c>
      <c r="W20" s="172"/>
      <c r="X20" s="172"/>
      <c r="Y20" s="172"/>
      <c r="Z20" s="172"/>
      <c r="AA20" s="172"/>
      <c r="AB20" s="172"/>
      <c r="AC20" s="172">
        <v>43464</v>
      </c>
      <c r="AD20" s="172">
        <v>43465</v>
      </c>
      <c r="AE20" s="172"/>
      <c r="AF20" s="172"/>
      <c r="AG20" s="172"/>
      <c r="AH20" s="172"/>
      <c r="AI20" s="172"/>
      <c r="AJ20" s="172"/>
      <c r="AK20" s="172" t="s">
        <v>258</v>
      </c>
      <c r="AL20" s="172" t="s">
        <v>258</v>
      </c>
      <c r="AM20" s="172"/>
      <c r="AN20" s="172"/>
      <c r="AO20" s="172"/>
      <c r="AP20" s="172"/>
      <c r="AQ20" s="172"/>
      <c r="AT20" s="173">
        <v>43509</v>
      </c>
      <c r="AU20" s="166" t="s">
        <v>261</v>
      </c>
      <c r="AW20" s="166" t="s">
        <v>264</v>
      </c>
      <c r="AX20" s="173">
        <f>AT35</f>
        <v>43617</v>
      </c>
      <c r="AY20" s="166" t="str">
        <f>'Knock Out Phase'!N157</f>
        <v/>
      </c>
      <c r="AZ20" s="166">
        <f>'Knock Out Phase'!P158+'Knock Out Phase'!P159</f>
        <v>0</v>
      </c>
      <c r="BA20" s="166">
        <f>'Knock Out Phase'!R158+'Knock Out Phase'!R159</f>
        <v>0</v>
      </c>
      <c r="BB20" s="166" t="str">
        <f>'Knock Out Phase'!T157</f>
        <v/>
      </c>
      <c r="BC20" s="173"/>
      <c r="BN20" s="166">
        <f>'Knock Out Phase'!P160</f>
        <v>0</v>
      </c>
      <c r="BO20" s="166">
        <f>'Knock Out Phase'!R160</f>
        <v>0</v>
      </c>
    </row>
    <row r="21" spans="2:67" ht="15" customHeight="1" x14ac:dyDescent="0.2">
      <c r="B21" s="164" t="str">
        <f>IF(F21&lt;&gt;"","Round of 16","")</f>
        <v>Round of 16</v>
      </c>
      <c r="F21" s="308">
        <f>IF(ISNA(INDEX($AX$6:$AX$13,MATCH($F$4,$AY$6:$AY$13,0),0)),IF(ISNA(INDEX($AX$6:$AX$13,MATCH($F$4,$BB$6:$BB$13,0),0)),"",INDEX($AX$6:$AX$13,MATCH($F$4,$BB$6:$BB$13,0),0)),INDEX($AX$6:$AX$13,MATCH($F$4,$AY$6:$AY$13,0),0))</f>
        <v>43509</v>
      </c>
      <c r="G21" s="308"/>
      <c r="H21" s="308"/>
      <c r="I21" s="186"/>
      <c r="J21" s="187" t="str">
        <f>IF(F21&lt;&gt;"",IF(ISNA(INDEX($BB$6:$BB$13,MATCH($F$4,$AY$6:$AY$13,0),0)),"at",""),"")</f>
        <v>at</v>
      </c>
      <c r="K21" s="164" t="str">
        <f>IF(F21&lt;&gt;"",IF(ISNA(INDEX($BB$6:$BB$13,MATCH($F$4,$AY$6:$AY$13,0),0)),INDEX($AY$6:$AY$13,MATCH($F$4,$BB$6:$BB$13,0),0),INDEX($BB$6:$BB$13,MATCH($F$4,$AY$6:$AY$13,0),0)),"")</f>
        <v>Ajax</v>
      </c>
      <c r="P21" s="165" t="str">
        <f>IF(AND(Q21&lt;&gt;"",S21&lt;&gt;""),IF(Q21&gt;S21,"W",IF(Q21&lt;S21,"L","D")),"")</f>
        <v>W</v>
      </c>
      <c r="Q21" s="165">
        <f>IF(F21&lt;&gt;"",IF(ISNA(INDEX($AZ$6:$AZ$13,MATCH($F$4,$AY$6:$AY$13,0),0)),INDEX($BA$6:$BA$13,MATCH($F$4,$BB$6:$BB$13,0),0),INDEX($AZ$6:$AZ$13,MATCH($F$4,$AY$6:$AY$13,0),0)),"")</f>
        <v>2</v>
      </c>
      <c r="R21" s="165" t="str">
        <f>IF(AND(Q21&lt;&gt;"",S21&lt;&gt;""),"-","")</f>
        <v>-</v>
      </c>
      <c r="S21" s="165">
        <f>IF(F21&lt;&gt;"",IF(ISNA(INDEX($BA$6:$BA$13,MATCH($F$4,$AY$6:$AY$13,0),0)),INDEX($AZ$6:$AZ$13,MATCH($F$4,$BB$6:$BB$13,0),0),INDEX($BA$6:$BA$13,MATCH($F$4,$AY$6:$AY$13,0),0)),"")</f>
        <v>1</v>
      </c>
      <c r="U21" s="172"/>
      <c r="V21" s="172"/>
      <c r="W21" s="172"/>
      <c r="X21" s="172"/>
      <c r="Y21" s="172"/>
      <c r="Z21" s="172"/>
      <c r="AA21" s="172"/>
      <c r="AB21" s="172"/>
      <c r="AC21" s="172"/>
      <c r="AD21" s="172"/>
      <c r="AE21" s="172"/>
      <c r="AF21" s="172"/>
      <c r="AG21" s="172"/>
      <c r="AH21" s="172"/>
      <c r="AI21" s="172"/>
      <c r="AJ21" s="172"/>
      <c r="AK21" s="172"/>
      <c r="AL21" s="172"/>
      <c r="AM21" s="172"/>
      <c r="AN21" s="172"/>
      <c r="AO21" s="172"/>
      <c r="AP21" s="172"/>
      <c r="AQ21" s="172"/>
      <c r="AT21" s="173">
        <v>43515</v>
      </c>
      <c r="AU21" s="166" t="s">
        <v>261</v>
      </c>
      <c r="AX21" s="173"/>
      <c r="BC21" s="173"/>
    </row>
    <row r="22" spans="2:67" ht="15" customHeight="1" x14ac:dyDescent="0.2">
      <c r="B22" s="164" t="str">
        <f>IF(B21&lt;&gt;"",B21,"")</f>
        <v>Round of 16</v>
      </c>
      <c r="F22" s="308">
        <f>IF(ISNA(INDEX($BC$6:$BC$13,MATCH($F$4,$BD$6:$BD$13,0),0)),IF(ISNA(INDEX($BC$6:$BC$13,MATCH($F$4,$BG$6:$BG$13,0),0)),"",INDEX($BC$6:$BC$13,MATCH($F$4,$BG$6:$BG$13,0),0)),INDEX($BC$6:$BC$13,MATCH($F$4,$BD$6:$BD$13,0),0))</f>
        <v>43529</v>
      </c>
      <c r="G22" s="308"/>
      <c r="H22" s="308"/>
      <c r="I22" s="186"/>
      <c r="J22" s="187" t="str">
        <f>IF(F22&lt;&gt;"",IF(J21="at","","at"),"")</f>
        <v/>
      </c>
      <c r="K22" s="164" t="str">
        <f>IF(F22&lt;&gt;"",K21,"")</f>
        <v>Ajax</v>
      </c>
      <c r="P22" s="165" t="str">
        <f t="shared" ref="P22" si="2">IF(AND(Q22&lt;&gt;"",S22&lt;&gt;""),IF(Q22&gt;S22,"W",IF(Q22&lt;S22,"L","D")),"")</f>
        <v>L</v>
      </c>
      <c r="Q22" s="165">
        <f>IF(F22&lt;&gt;"",IF(ISNA(INDEX($BE$6:$BE$13,MATCH($F$4,$BD$6:$BD$13,0),0)),INDEX($BF$6:$BF$13,MATCH($F$4,$BG$6:$BG$13,0),0),INDEX($BE$6:$BE$13,MATCH($F$4,$BD$6:$BD$13,0),0)),"")</f>
        <v>1</v>
      </c>
      <c r="R22" s="165" t="str">
        <f>IF(AND(Q22&lt;&gt;"",S22&lt;&gt;""),"-","")</f>
        <v>-</v>
      </c>
      <c r="S22" s="165">
        <f>IF(F22&lt;&gt;"",IF(ISNA(INDEX($BF$6:$BF$13,MATCH($F$4,$BD$6:$BD$13,0),0)),INDEX($BE$6:$BE$13,MATCH($F$4,$BG$6:$BG$13,0),0),INDEX($BF$6:$BF$13,MATCH($F$4,$BD$6:$BD$13,0),0)),"")</f>
        <v>4</v>
      </c>
      <c r="U22" s="299">
        <f>X26</f>
        <v>43509</v>
      </c>
      <c r="V22" s="299"/>
      <c r="W22" s="299"/>
      <c r="X22" s="299"/>
      <c r="Y22" s="299"/>
      <c r="Z22" s="299"/>
      <c r="AA22" s="299"/>
      <c r="AB22" s="172"/>
      <c r="AC22" s="299">
        <f>AF26</f>
        <v>43537</v>
      </c>
      <c r="AD22" s="299"/>
      <c r="AE22" s="299"/>
      <c r="AF22" s="299"/>
      <c r="AG22" s="299"/>
      <c r="AH22" s="299"/>
      <c r="AI22" s="299"/>
      <c r="AJ22" s="172"/>
      <c r="AK22" s="299">
        <f>AN26</f>
        <v>43572</v>
      </c>
      <c r="AL22" s="299"/>
      <c r="AM22" s="299"/>
      <c r="AN22" s="299"/>
      <c r="AO22" s="299"/>
      <c r="AP22" s="299"/>
      <c r="AQ22" s="299"/>
      <c r="AT22" s="173">
        <v>43516</v>
      </c>
      <c r="AU22" s="166" t="s">
        <v>261</v>
      </c>
      <c r="AX22" s="173"/>
      <c r="BC22" s="173"/>
    </row>
    <row r="23" spans="2:67" ht="15" customHeight="1" x14ac:dyDescent="0.2">
      <c r="B23" s="301" t="str">
        <f>IF(B22&lt;&gt;"",IF(Q21-S21+Q22-S22&gt;0,"Qualify for Quarterfinals",IF(Q21-S21+Q22-S22=0,IF(AND(J21="at",Q21&gt;S22),"Qualify for Quarterfinals - Win on away goals",IF(AND(J22="at",Q22&gt;S21),"Qualify for Quarterfinals - Win on away goals",IF(Q23&gt;S23,"Qualify for Quarterfinals - Win "&amp;Q23&amp;" - "&amp;S23&amp;" on Penalty Kicks",IF(Q23&lt;S23,"Eliminated - Lose "&amp;Q23&amp;" - "&amp;S23&amp;" on Penalty Kicks","Eliminated - Lose on away goals")))),"Eliminated")),"")</f>
        <v>Eliminated</v>
      </c>
      <c r="C23" s="301"/>
      <c r="D23" s="301"/>
      <c r="E23" s="301"/>
      <c r="F23" s="301"/>
      <c r="G23" s="301"/>
      <c r="H23" s="301"/>
      <c r="I23" s="301"/>
      <c r="J23" s="301"/>
      <c r="K23" s="301"/>
      <c r="L23" s="301"/>
      <c r="M23" s="301"/>
      <c r="N23" s="301"/>
      <c r="O23" s="301"/>
      <c r="P23" s="301"/>
      <c r="Q23" s="189">
        <f>IF(F22&lt;&gt;"",IF(ISNA(INDEX($BN$6:$BN$13,MATCH($F$4,$BD$6:$BD$13,0),0)),INDEX($BO$6:$BO$13,MATCH($F$4,$BG$6:$BG$13,0),0),INDEX($BN$6:$BN$13,MATCH($F$4,$BD$6:$BD$13,0),0)),"")</f>
        <v>0</v>
      </c>
      <c r="R23" s="166"/>
      <c r="S23" s="189">
        <f>IF(F22&lt;&gt;"",IF(ISNA(INDEX($BO$6:$BO$13,MATCH($F$4,$BD$6:$BD$13,0),0)),INDEX($BN$6:$BN$13,MATCH($F$4,$BG$6:$BG$13,0),0),INDEX($BO$6:$BO$13,MATCH($F$4,$BD$6:$BD$13,0),0)),"")</f>
        <v>0</v>
      </c>
      <c r="U23" s="172" t="s">
        <v>255</v>
      </c>
      <c r="V23" s="172" t="s">
        <v>256</v>
      </c>
      <c r="W23" s="172" t="s">
        <v>257</v>
      </c>
      <c r="X23" s="172" t="s">
        <v>7</v>
      </c>
      <c r="Y23" s="172" t="s">
        <v>257</v>
      </c>
      <c r="Z23" s="172" t="s">
        <v>14</v>
      </c>
      <c r="AA23" s="172" t="s">
        <v>255</v>
      </c>
      <c r="AB23" s="172"/>
      <c r="AC23" s="172" t="s">
        <v>255</v>
      </c>
      <c r="AD23" s="172" t="s">
        <v>256</v>
      </c>
      <c r="AE23" s="172" t="s">
        <v>257</v>
      </c>
      <c r="AF23" s="172" t="s">
        <v>7</v>
      </c>
      <c r="AG23" s="172" t="s">
        <v>257</v>
      </c>
      <c r="AH23" s="172" t="s">
        <v>14</v>
      </c>
      <c r="AI23" s="172" t="s">
        <v>255</v>
      </c>
      <c r="AJ23" s="172"/>
      <c r="AK23" s="172" t="s">
        <v>255</v>
      </c>
      <c r="AL23" s="172" t="s">
        <v>256</v>
      </c>
      <c r="AM23" s="172" t="s">
        <v>257</v>
      </c>
      <c r="AN23" s="172" t="s">
        <v>7</v>
      </c>
      <c r="AO23" s="172" t="s">
        <v>257</v>
      </c>
      <c r="AP23" s="172" t="s">
        <v>14</v>
      </c>
      <c r="AQ23" s="172" t="s">
        <v>255</v>
      </c>
      <c r="AT23" s="173">
        <v>43164</v>
      </c>
      <c r="AU23" s="166" t="s">
        <v>261</v>
      </c>
      <c r="AX23" s="173"/>
      <c r="BC23" s="173"/>
    </row>
    <row r="24" spans="2:67" ht="15" customHeight="1" x14ac:dyDescent="0.2">
      <c r="B24" s="164" t="str">
        <f>IF(F24&lt;&gt;"","Quarterfinals","")</f>
        <v/>
      </c>
      <c r="F24" s="308" t="str">
        <f>IF(ISNA(INDEX($AX$14:$AX$17,MATCH($F$4,$AY$14:$AY$17,0),0)),IF(ISNA(INDEX($AX$14:$AX$17,MATCH($F$4,$BB$14:$BB$17,0),0)),"",INDEX($AX$14:$AX$17,MATCH($F$4,$BB$14:$BB$17,0),0)),INDEX($AX$14:$AX$17,MATCH($F$4,$AY$14:$AY$17,0),0))</f>
        <v/>
      </c>
      <c r="G24" s="308"/>
      <c r="H24" s="308"/>
      <c r="I24" s="186"/>
      <c r="J24" s="187" t="str">
        <f>IF(F24&lt;&gt;"",IF(ISNA(INDEX($BB$14:$BB$17,MATCH($F$4,$AY$14:$AY$17,0),0)),"at",""),"")</f>
        <v/>
      </c>
      <c r="K24" s="164" t="str">
        <f>IF(F24&lt;&gt;"",IF(ISNA(INDEX($BB$14:$BB$17,MATCH($F$4,$AY$14:$AY$17,0),0)),INDEX($AY$14:$AY$17,MATCH($F$4,$BB$14:$BB$17,0),0),INDEX($BB$14:$BB$17,MATCH($F$4,$AY$14:$AY$17,0),0)),"")</f>
        <v/>
      </c>
      <c r="P24" s="165" t="str">
        <f>IF(AND(Q24&lt;&gt;"",S24&lt;&gt;""),IF(Q24&gt;S24,"W",IF(Q24&lt;S24,"L","D")),"")</f>
        <v/>
      </c>
      <c r="Q24" s="165" t="str">
        <f>IF(F24&lt;&gt;"",IF(ISNA(INDEX($AZ$14:$AZ$17,MATCH($F$4,$AY$14:$AY$17,0),0)),INDEX($BA$14:$BA$17,MATCH($F$4,$BB$14:$BB$17,0),0),INDEX($AZ$14:$AZ$17,MATCH($F$4,$AY$14:$AY$17,0),0)),"")</f>
        <v/>
      </c>
      <c r="R24" s="165" t="str">
        <f>IF(AND(Q24&lt;&gt;"",S24&lt;&gt;""),"-","")</f>
        <v/>
      </c>
      <c r="S24" s="165" t="str">
        <f>IF(F24&lt;&gt;"",IF(ISNA(INDEX($BA$14:$BA$17,MATCH($F$4,$AY$14:$AY$17,0),0)),INDEX($AZ$14:$AZ$17,MATCH($F$4,$BB$14:$BB$17,0),0),INDEX($BA$14:$BA$17,MATCH($F$4,$AY$14:$AY$17,0),0)),"")</f>
        <v/>
      </c>
      <c r="U24" s="172" t="s">
        <v>258</v>
      </c>
      <c r="V24" s="172" t="s">
        <v>258</v>
      </c>
      <c r="W24" s="172" t="s">
        <v>258</v>
      </c>
      <c r="X24" s="172" t="s">
        <v>258</v>
      </c>
      <c r="Y24" s="172" t="s">
        <v>258</v>
      </c>
      <c r="Z24" s="172">
        <v>43497</v>
      </c>
      <c r="AA24" s="172">
        <v>43498</v>
      </c>
      <c r="AB24" s="172"/>
      <c r="AC24" s="172" t="s">
        <v>258</v>
      </c>
      <c r="AD24" s="172" t="s">
        <v>258</v>
      </c>
      <c r="AE24" s="172" t="s">
        <v>258</v>
      </c>
      <c r="AF24" s="172" t="s">
        <v>258</v>
      </c>
      <c r="AG24" s="172" t="s">
        <v>258</v>
      </c>
      <c r="AH24" s="172">
        <v>43525</v>
      </c>
      <c r="AI24" s="172">
        <v>43526</v>
      </c>
      <c r="AJ24" s="172"/>
      <c r="AK24" s="172" t="s">
        <v>258</v>
      </c>
      <c r="AL24" s="172">
        <v>43556</v>
      </c>
      <c r="AM24" s="172">
        <v>43557</v>
      </c>
      <c r="AN24" s="172">
        <v>43558</v>
      </c>
      <c r="AO24" s="172">
        <v>43559</v>
      </c>
      <c r="AP24" s="172">
        <v>43560</v>
      </c>
      <c r="AQ24" s="172">
        <v>43561</v>
      </c>
      <c r="AT24" s="173">
        <v>43165</v>
      </c>
      <c r="AU24" s="166" t="s">
        <v>261</v>
      </c>
      <c r="AX24" s="173"/>
      <c r="BC24" s="173"/>
    </row>
    <row r="25" spans="2:67" ht="15" customHeight="1" x14ac:dyDescent="0.2">
      <c r="B25" s="164" t="str">
        <f>IF(B24&lt;&gt;"",B24,"")</f>
        <v/>
      </c>
      <c r="F25" s="308" t="str">
        <f>IF(ISNA(INDEX($BC$14:$BC$17,MATCH($F$4,$BD$14:$BD$17,0),0)),IF(ISNA(INDEX($BC$14:$BC$17,MATCH($F$4,$BG$14:$BG$17,0),0)),"",INDEX($BC$14:$BC$17,MATCH($F$4,$BG$14:$BG$17,0),0)),INDEX($BC$14:$BC$17,MATCH($F$4,$BD$14:$BD$17,0),0))</f>
        <v/>
      </c>
      <c r="G25" s="308"/>
      <c r="H25" s="308"/>
      <c r="I25" s="186"/>
      <c r="J25" s="187" t="str">
        <f>IF(F25&lt;&gt;"",IF(J24="at","","at"),"")</f>
        <v/>
      </c>
      <c r="K25" s="164" t="str">
        <f>IF(F25&lt;&gt;"",K24,"")</f>
        <v/>
      </c>
      <c r="P25" s="165" t="str">
        <f t="shared" ref="P25" si="3">IF(AND(Q25&lt;&gt;"",S25&lt;&gt;""),IF(Q25&gt;S25,"W",IF(Q25&lt;S25,"L","D")),"")</f>
        <v/>
      </c>
      <c r="Q25" s="165" t="str">
        <f>IF(F25&lt;&gt;"",IF(ISNA(INDEX($BE$14:$BE$17,MATCH($F$4,$BD$14:$BD$17,0),0)),INDEX($BF$14:$BF$17,MATCH($F$4,$BG$14:$BG$17,0),0),INDEX($BE$14:$BE$17,MATCH($F$4,$BD$14:$BD$17,0),0)),"")</f>
        <v/>
      </c>
      <c r="R25" s="165" t="str">
        <f>IF(AND(Q25&lt;&gt;"",S25&lt;&gt;""),"-","")</f>
        <v/>
      </c>
      <c r="S25" s="165" t="str">
        <f>IF(F25&lt;&gt;"",IF(ISNA(INDEX($BF$14:$BF$17,MATCH($F$4,$BD$14:$BD$17,0),0)),INDEX($BE$14:$BE$17,MATCH($F$4,$BG$14:$BG$17,0),0),INDEX($BF$14:$BF$17,MATCH($F$4,$BD$14:$BD$17,0),0)),"")</f>
        <v/>
      </c>
      <c r="U25" s="172">
        <v>43499</v>
      </c>
      <c r="V25" s="172">
        <v>43500</v>
      </c>
      <c r="W25" s="172">
        <v>43501</v>
      </c>
      <c r="X25" s="172">
        <v>43502</v>
      </c>
      <c r="Y25" s="172">
        <v>43503</v>
      </c>
      <c r="Z25" s="172">
        <v>43504</v>
      </c>
      <c r="AA25" s="172">
        <v>43505</v>
      </c>
      <c r="AB25" s="172"/>
      <c r="AC25" s="172">
        <v>43527</v>
      </c>
      <c r="AD25" s="172">
        <v>43528</v>
      </c>
      <c r="AE25" s="172">
        <v>43529</v>
      </c>
      <c r="AF25" s="172">
        <v>43530</v>
      </c>
      <c r="AG25" s="172">
        <v>43531</v>
      </c>
      <c r="AH25" s="172">
        <v>43532</v>
      </c>
      <c r="AI25" s="172">
        <v>43533</v>
      </c>
      <c r="AJ25" s="172"/>
      <c r="AK25" s="172">
        <v>43562</v>
      </c>
      <c r="AL25" s="172">
        <v>43563</v>
      </c>
      <c r="AM25" s="172">
        <v>43564</v>
      </c>
      <c r="AN25" s="172">
        <v>43565</v>
      </c>
      <c r="AO25" s="172">
        <v>43566</v>
      </c>
      <c r="AP25" s="172">
        <v>43567</v>
      </c>
      <c r="AQ25" s="172">
        <v>43568</v>
      </c>
      <c r="AT25" s="173">
        <v>43536</v>
      </c>
      <c r="AU25" s="166" t="s">
        <v>261</v>
      </c>
      <c r="AX25" s="173"/>
      <c r="BC25" s="173"/>
    </row>
    <row r="26" spans="2:67" ht="15" customHeight="1" x14ac:dyDescent="0.2">
      <c r="B26" s="301" t="str">
        <f>IF(B25&lt;&gt;"",IF(Q24-S24+Q25-S25&gt;0,"Qualify for Semifinals",IF(Q24-S24+Q25-S25=0,IF(AND(J24="at",Q24&gt;S25),"Qualify for Semifinals - Win on away goals",IF(AND(J25="at",Q25&gt;S24),"Qualify for Semifinals - Win on away goals",IF(Q26&gt;S26,"Qualify for Semifinals - Win "&amp;Q26&amp;" - "&amp;S26&amp;" on Penalty Kicks",IF(Q26&lt;S26,"Eliminated - Lose "&amp;Q26&amp;" - "&amp;S26&amp;" on Penalty Kicks","Eliminated - Lose on away goals")))),"Eliminated")),"")</f>
        <v/>
      </c>
      <c r="C26" s="301"/>
      <c r="D26" s="301"/>
      <c r="E26" s="301"/>
      <c r="F26" s="301"/>
      <c r="G26" s="301"/>
      <c r="H26" s="301"/>
      <c r="I26" s="301"/>
      <c r="J26" s="301"/>
      <c r="K26" s="301"/>
      <c r="L26" s="301"/>
      <c r="M26" s="301"/>
      <c r="N26" s="301"/>
      <c r="O26" s="301"/>
      <c r="P26" s="301"/>
      <c r="Q26" s="189" t="str">
        <f>IF(F25&lt;&gt;"",IF(ISNA(INDEX($BN$14:$BN$17,MATCH($F$4,$BD$14:$BD$17,0),0)),INDEX($BO$14:$BO$17,MATCH($F$4,$BG$14:$BG$17,0),0),INDEX($BN$14:$BN$17,MATCH($F$4,$BD$14:$BD$17,0),0)),"")</f>
        <v/>
      </c>
      <c r="R26" s="166"/>
      <c r="S26" s="189" t="str">
        <f>IF(F25&lt;&gt;"",IF(ISNA(INDEX($BO$14:$BO$17,MATCH($F$4,$BD$14:$BD$17,0),0)),INDEX($BN$14:$BN$17,MATCH($F$4,$BG$14:$BG$17,0),0),INDEX($BO$14:$BO$17,MATCH($F$4,$BD$14:$BD$17,0),0)),"")</f>
        <v/>
      </c>
      <c r="U26" s="172">
        <v>43506</v>
      </c>
      <c r="V26" s="172">
        <v>43507</v>
      </c>
      <c r="W26" s="172">
        <v>43508</v>
      </c>
      <c r="X26" s="172">
        <v>43509</v>
      </c>
      <c r="Y26" s="172">
        <v>43510</v>
      </c>
      <c r="Z26" s="172">
        <v>43511</v>
      </c>
      <c r="AA26" s="172">
        <v>43512</v>
      </c>
      <c r="AB26" s="172"/>
      <c r="AC26" s="172">
        <v>43534</v>
      </c>
      <c r="AD26" s="172">
        <v>43535</v>
      </c>
      <c r="AE26" s="172">
        <v>43536</v>
      </c>
      <c r="AF26" s="172">
        <v>43537</v>
      </c>
      <c r="AG26" s="172">
        <v>43538</v>
      </c>
      <c r="AH26" s="172">
        <v>43539</v>
      </c>
      <c r="AI26" s="172">
        <v>43540</v>
      </c>
      <c r="AJ26" s="172"/>
      <c r="AK26" s="172">
        <v>43569</v>
      </c>
      <c r="AL26" s="172">
        <v>43570</v>
      </c>
      <c r="AM26" s="172">
        <v>43571</v>
      </c>
      <c r="AN26" s="172">
        <v>43572</v>
      </c>
      <c r="AO26" s="172">
        <v>43573</v>
      </c>
      <c r="AP26" s="172">
        <v>43574</v>
      </c>
      <c r="AQ26" s="172">
        <v>43575</v>
      </c>
      <c r="AT26" s="173">
        <v>43537</v>
      </c>
      <c r="AU26" s="166" t="s">
        <v>261</v>
      </c>
      <c r="AX26" s="173"/>
      <c r="BC26" s="173"/>
    </row>
    <row r="27" spans="2:67" ht="15" customHeight="1" x14ac:dyDescent="0.2">
      <c r="B27" s="164" t="str">
        <f>IF(F27&lt;&gt;"","Semifinals","")</f>
        <v/>
      </c>
      <c r="F27" s="308" t="str">
        <f>IF(ISNA(INDEX($AX$18:$AX$19,MATCH($F$4,$AY$18:$AY$19,0),0)),IF(ISNA(INDEX($AX$18:$AX$19,MATCH($F$4,$BB$18:$BB$19,0),0)),"",INDEX($AX$18:$AX$19,MATCH($F$4,$BB$18:$BB$19,0),0)),INDEX($AX$18:$AX$19,MATCH($F$4,$AY$18:$AY$19,0),0))</f>
        <v/>
      </c>
      <c r="G27" s="308"/>
      <c r="H27" s="308"/>
      <c r="I27" s="186"/>
      <c r="J27" s="187" t="str">
        <f>IF(F27&lt;&gt;"",IF(ISNA(INDEX($BB$18:$BB$19,MATCH($F$4,$AY$18:$AY$19,0),0)),"at",""),"")</f>
        <v/>
      </c>
      <c r="K27" s="164" t="str">
        <f>IF(F27&lt;&gt;"",IF(ISNA(INDEX($BB$18:$BB$19,MATCH($F$4,$AY$18:$AY$19,0),0)),INDEX($AY$18:$AY$19,MATCH($F$4,$BB$18:$BB$19,0),0),INDEX($BB$18:$BB$19,MATCH($F$4,$AY$18:$AY$19,0),0)),"")</f>
        <v/>
      </c>
      <c r="P27" s="165" t="str">
        <f>IF(AND(Q27&lt;&gt;"",S27&lt;&gt;""),IF(Q27&gt;S27,"W",IF(Q27&lt;S27,"L","D")),"")</f>
        <v/>
      </c>
      <c r="Q27" s="165" t="str">
        <f>IF(F27&lt;&gt;"",IF(ISNA(INDEX($AZ$18:$AZ$19,MATCH($F$4,$AY$18:$AY$19,0),0)),INDEX($BA$18:$BA$19,MATCH($F$4,$BB$18:$BB$19,0),0),INDEX($AZ$18:$AZ$19,MATCH($F$4,$AY$18:$AY$19,0),0)),"")</f>
        <v/>
      </c>
      <c r="R27" s="165" t="str">
        <f>IF(AND(Q27&lt;&gt;"",S27&lt;&gt;""),"-","")</f>
        <v/>
      </c>
      <c r="S27" s="165" t="str">
        <f>IF(F27&lt;&gt;"",IF(ISNA(INDEX($BA$18:$BA$19,MATCH($F$4,$AY$18:$AY$19,0),0)),INDEX($AZ$18:$AZ$19,MATCH($F$4,$BB$18:$BB$19,0),0),INDEX($BA$18:$BA$19,MATCH($F$4,$AY$18:$AY$19,0),0)),"")</f>
        <v/>
      </c>
      <c r="U27" s="172">
        <v>43513</v>
      </c>
      <c r="V27" s="172">
        <v>43514</v>
      </c>
      <c r="W27" s="172">
        <v>43515</v>
      </c>
      <c r="X27" s="172">
        <v>43516</v>
      </c>
      <c r="Y27" s="172">
        <v>43517</v>
      </c>
      <c r="Z27" s="172">
        <v>43518</v>
      </c>
      <c r="AA27" s="172">
        <v>43519</v>
      </c>
      <c r="AB27" s="172"/>
      <c r="AC27" s="172">
        <v>43541</v>
      </c>
      <c r="AD27" s="172">
        <v>43542</v>
      </c>
      <c r="AE27" s="172">
        <v>43543</v>
      </c>
      <c r="AF27" s="172">
        <v>43544</v>
      </c>
      <c r="AG27" s="172">
        <v>43545</v>
      </c>
      <c r="AH27" s="172">
        <v>43546</v>
      </c>
      <c r="AI27" s="172">
        <v>43547</v>
      </c>
      <c r="AJ27" s="172"/>
      <c r="AK27" s="172">
        <v>43576</v>
      </c>
      <c r="AL27" s="172">
        <v>43577</v>
      </c>
      <c r="AM27" s="172">
        <v>43578</v>
      </c>
      <c r="AN27" s="172">
        <v>43579</v>
      </c>
      <c r="AO27" s="172">
        <v>43580</v>
      </c>
      <c r="AP27" s="172">
        <v>43581</v>
      </c>
      <c r="AQ27" s="172">
        <v>43582</v>
      </c>
      <c r="AT27" s="173">
        <v>43564</v>
      </c>
      <c r="AU27" s="166" t="s">
        <v>262</v>
      </c>
      <c r="AX27" s="173"/>
      <c r="BC27" s="173"/>
    </row>
    <row r="28" spans="2:67" ht="15" customHeight="1" x14ac:dyDescent="0.2">
      <c r="B28" s="164" t="str">
        <f>IF(B27&lt;&gt;"",B27,"")</f>
        <v/>
      </c>
      <c r="F28" s="308" t="str">
        <f>IF(ISNA(INDEX($BC$18:$BC$19,MATCH($F$4,$BD$18:$BD$19,0),0)),IF(ISNA(INDEX($BC$18:$BC$19,MATCH($F$4,$BG$18:$BG$19,0),0)),"",INDEX($BC$18:$BC$19,MATCH($F$4,$BG$18:$BG$19,0),0)),INDEX($BC$18:$BC$19,MATCH($F$4,$BD$18:$BD$19,0),0))</f>
        <v/>
      </c>
      <c r="G28" s="308"/>
      <c r="H28" s="308"/>
      <c r="I28" s="186"/>
      <c r="J28" s="187" t="str">
        <f>IF(F28&lt;&gt;"",IF(J27="at","","at"),"")</f>
        <v/>
      </c>
      <c r="K28" s="164" t="str">
        <f>IF(F28&lt;&gt;"",K27,"")</f>
        <v/>
      </c>
      <c r="P28" s="165" t="str">
        <f t="shared" ref="P28" si="4">IF(AND(Q28&lt;&gt;"",S28&lt;&gt;""),IF(Q28&gt;S28,"W",IF(Q28&lt;S28,"L","D")),"")</f>
        <v/>
      </c>
      <c r="Q28" s="165" t="str">
        <f>IF(F28&lt;&gt;"",IF(ISNA(INDEX($BE$18:$BE$19,MATCH($F$4,$BD$18:$BD$19,0),0)),INDEX($BF$18:$BF$19,MATCH($F$4,$BG$18:$BG$19,0),0),INDEX($BE$18:$BE$19,MATCH($F$4,$BD$18:$BD$19,0),0)),"")</f>
        <v/>
      </c>
      <c r="R28" s="165" t="str">
        <f>IF(AND(Q28&lt;&gt;"",S28&lt;&gt;""),"-","")</f>
        <v/>
      </c>
      <c r="S28" s="165" t="str">
        <f>IF(F28&lt;&gt;"",IF(ISNA(INDEX($BF$18:$BF$19,MATCH($F$4,$BD$18:$BD$19,0),0)),INDEX($BE$18:$BE$19,MATCH($F$4,$BG$18:$BG$19,0),0),INDEX($BF$18:$BF$19,MATCH($F$4,$BD$18:$BD$19,0),0)),"")</f>
        <v/>
      </c>
      <c r="U28" s="172">
        <v>43520</v>
      </c>
      <c r="V28" s="172">
        <v>43521</v>
      </c>
      <c r="W28" s="172">
        <v>43522</v>
      </c>
      <c r="X28" s="172">
        <v>43523</v>
      </c>
      <c r="Y28" s="172">
        <v>43524</v>
      </c>
      <c r="Z28" s="172" t="s">
        <v>258</v>
      </c>
      <c r="AA28" s="172" t="s">
        <v>258</v>
      </c>
      <c r="AB28" s="172"/>
      <c r="AC28" s="172">
        <v>43548</v>
      </c>
      <c r="AD28" s="172">
        <v>43549</v>
      </c>
      <c r="AE28" s="172">
        <v>43550</v>
      </c>
      <c r="AF28" s="172">
        <v>43551</v>
      </c>
      <c r="AG28" s="172">
        <v>43552</v>
      </c>
      <c r="AH28" s="172">
        <v>43553</v>
      </c>
      <c r="AI28" s="172">
        <v>43554</v>
      </c>
      <c r="AJ28" s="172"/>
      <c r="AK28" s="172">
        <v>43583</v>
      </c>
      <c r="AL28" s="172">
        <v>43584</v>
      </c>
      <c r="AM28" s="172">
        <v>43585</v>
      </c>
      <c r="AN28" s="172" t="s">
        <v>258</v>
      </c>
      <c r="AO28" s="172" t="s">
        <v>258</v>
      </c>
      <c r="AP28" s="172" t="s">
        <v>258</v>
      </c>
      <c r="AQ28" s="172" t="s">
        <v>258</v>
      </c>
      <c r="AT28" s="173">
        <v>43565</v>
      </c>
      <c r="AU28" s="166" t="s">
        <v>262</v>
      </c>
      <c r="AX28" s="173"/>
      <c r="BC28" s="173"/>
    </row>
    <row r="29" spans="2:67" ht="15" customHeight="1" x14ac:dyDescent="0.2">
      <c r="B29" s="301" t="str">
        <f>IF(B28&lt;&gt;"",IF(Q27-S27+Q28-S28&gt;0,"Qualify for Final",IF(Q27-S27+Q28-S28=0,IF(AND(J27="at",Q27&gt;S28),"Qualify for Final - Win on away goals",IF(AND(J28="at",Q28&gt;S27),"Qualify for Final - Win on away goals",IF(Q29&gt;S29,"Qualify for Final - Win "&amp;Q29&amp;" - "&amp;S29&amp;" on Penalty Kicks",IF(Q29&lt;S29,"Eliminated - Lose "&amp;Q29&amp;" - "&amp;S29&amp;" on Penalty Kicks","Eliminated - Lose on away goals")))),"Eliminated")),"")</f>
        <v/>
      </c>
      <c r="C29" s="301"/>
      <c r="D29" s="301"/>
      <c r="E29" s="301"/>
      <c r="F29" s="301"/>
      <c r="G29" s="301"/>
      <c r="H29" s="301"/>
      <c r="I29" s="301"/>
      <c r="J29" s="301"/>
      <c r="K29" s="301"/>
      <c r="L29" s="301"/>
      <c r="M29" s="301"/>
      <c r="N29" s="301"/>
      <c r="O29" s="301"/>
      <c r="P29" s="301"/>
      <c r="Q29" s="189" t="str">
        <f>IF(F28&lt;&gt;"",IF(ISNA(INDEX($BN$18:$BN$19,MATCH($F$4,$BD$18:$BD$19,0),0)),INDEX($BO$18:$BO$19,MATCH($F$4,$BG$18:$BG$19,0),0),INDEX($BN$18:$BN$19,MATCH($F$4,$BD$18:$BD$19,0),0)),"")</f>
        <v/>
      </c>
      <c r="R29" s="166"/>
      <c r="S29" s="189" t="str">
        <f>IF(F28&lt;&gt;"",IF(ISNA(INDEX($BO$18:$BO$19,MATCH($F$4,$BD$18:$BD$19,0),0)),INDEX($BN$18:$BN$19,MATCH($F$4,$BG$18:$BG$19,0),0),INDEX($BO$18:$BO$19,MATCH($F$4,$BD$18:$BD$19,0),0)),"")</f>
        <v/>
      </c>
      <c r="U29" s="172" t="s">
        <v>258</v>
      </c>
      <c r="V29" s="172" t="s">
        <v>258</v>
      </c>
      <c r="W29" s="172"/>
      <c r="X29" s="172"/>
      <c r="Y29" s="172"/>
      <c r="Z29" s="172"/>
      <c r="AA29" s="172"/>
      <c r="AB29" s="172"/>
      <c r="AC29" s="172">
        <v>43555</v>
      </c>
      <c r="AD29" s="172" t="s">
        <v>258</v>
      </c>
      <c r="AE29" s="172"/>
      <c r="AF29" s="172"/>
      <c r="AG29" s="172"/>
      <c r="AH29" s="172"/>
      <c r="AI29" s="172"/>
      <c r="AJ29" s="172"/>
      <c r="AK29" s="172" t="s">
        <v>258</v>
      </c>
      <c r="AL29" s="172" t="s">
        <v>258</v>
      </c>
      <c r="AM29" s="172"/>
      <c r="AN29" s="172"/>
      <c r="AO29" s="172"/>
      <c r="AP29" s="172"/>
      <c r="AQ29" s="172"/>
      <c r="AT29" s="173">
        <v>43571</v>
      </c>
      <c r="AU29" s="166" t="s">
        <v>262</v>
      </c>
      <c r="AX29" s="173"/>
      <c r="BC29" s="173"/>
    </row>
    <row r="30" spans="2:67" ht="15" customHeight="1" x14ac:dyDescent="0.2">
      <c r="B30" s="164" t="str">
        <f>IF(F30&lt;&gt;"","Final","")</f>
        <v/>
      </c>
      <c r="F30" s="308" t="str">
        <f>IF(OR($F$4=AY20,$F$4=BB20),AX20,"")</f>
        <v/>
      </c>
      <c r="G30" s="308"/>
      <c r="H30" s="308"/>
      <c r="I30" s="186"/>
      <c r="K30" s="164" t="str">
        <f>IF(F30&lt;&gt;"",IF($F$4=AY20,BB20,AY20),"")</f>
        <v/>
      </c>
      <c r="P30" s="165" t="str">
        <f>IF(AND(Q30&lt;&gt;"",S30&lt;&gt;""),IF(Q30&gt;S30,"W",IF(Q30&lt;S30,"L","D")),"")</f>
        <v/>
      </c>
      <c r="Q30" s="165" t="str">
        <f>IF(F30&lt;&gt;"",IF(F4=AY20,AZ20,BA20),"")</f>
        <v/>
      </c>
      <c r="R30" s="165" t="str">
        <f>IF(AND(Q30&lt;&gt;"",S30&lt;&gt;""),"-","")</f>
        <v/>
      </c>
      <c r="S30" s="165" t="str">
        <f>IF(F30&lt;&gt;"",IF(F4=AY20,BA20,AZ20),"")</f>
        <v/>
      </c>
      <c r="U30" s="172"/>
      <c r="V30" s="172"/>
      <c r="W30" s="172"/>
      <c r="X30" s="172"/>
      <c r="Y30" s="172"/>
      <c r="Z30" s="172"/>
      <c r="AA30" s="172"/>
      <c r="AB30" s="172"/>
      <c r="AC30" s="172"/>
      <c r="AD30" s="172"/>
      <c r="AE30" s="172"/>
      <c r="AF30" s="172"/>
      <c r="AG30" s="172"/>
      <c r="AH30" s="172"/>
      <c r="AI30" s="172"/>
      <c r="AJ30" s="172"/>
      <c r="AK30" s="172"/>
      <c r="AL30" s="172"/>
      <c r="AM30" s="172"/>
      <c r="AN30" s="172"/>
      <c r="AO30" s="172"/>
      <c r="AP30" s="172"/>
      <c r="AQ30" s="172"/>
      <c r="AT30" s="173">
        <v>43572</v>
      </c>
      <c r="AU30" s="166" t="s">
        <v>262</v>
      </c>
      <c r="AX30" s="173"/>
      <c r="BC30" s="173"/>
    </row>
    <row r="31" spans="2:67" ht="15" customHeight="1" x14ac:dyDescent="0.2">
      <c r="B31" s="301" t="str">
        <f>IF(B30&lt;&gt;"",IF(Q30&gt;S30,"Win the UCL Championship",IF(AND(Q30=S30,Q31&gt;S31),"Win "&amp;Q31&amp;" - "&amp;S31&amp;" on Penalty Kicks",IF(AND(Q30=S30,Q31&lt;S31),"Lose "&amp;Q31&amp;" - "&amp;S31&amp;" on Penalty Kicks","Lose the UCL Championship"))),"")</f>
        <v/>
      </c>
      <c r="C31" s="301"/>
      <c r="D31" s="301"/>
      <c r="E31" s="301"/>
      <c r="F31" s="301"/>
      <c r="G31" s="301"/>
      <c r="H31" s="301"/>
      <c r="I31" s="301"/>
      <c r="J31" s="301"/>
      <c r="K31" s="301"/>
      <c r="L31" s="301"/>
      <c r="M31" s="301"/>
      <c r="N31" s="301"/>
      <c r="O31" s="301"/>
      <c r="P31" s="301"/>
      <c r="Q31" s="189" t="str">
        <f>IF(F30&lt;&gt;"",IF(F4=AY20,BN20,BO20),"")</f>
        <v/>
      </c>
      <c r="R31" s="166"/>
      <c r="S31" s="189" t="str">
        <f>IF(F30&lt;&gt;"",IF(F4=AY20,BO20,BN20),"")</f>
        <v/>
      </c>
      <c r="U31" s="299">
        <f>X35</f>
        <v>43600</v>
      </c>
      <c r="V31" s="299"/>
      <c r="W31" s="299"/>
      <c r="X31" s="299"/>
      <c r="Y31" s="299"/>
      <c r="Z31" s="299"/>
      <c r="AA31" s="299"/>
      <c r="AB31" s="172"/>
      <c r="AC31" s="299">
        <f>AF35</f>
        <v>43628</v>
      </c>
      <c r="AD31" s="299"/>
      <c r="AE31" s="299"/>
      <c r="AF31" s="299"/>
      <c r="AG31" s="299"/>
      <c r="AH31" s="299"/>
      <c r="AI31" s="299"/>
      <c r="AJ31" s="172"/>
      <c r="AK31" s="299">
        <f>AN35</f>
        <v>43663</v>
      </c>
      <c r="AL31" s="299"/>
      <c r="AM31" s="299"/>
      <c r="AN31" s="299"/>
      <c r="AO31" s="299"/>
      <c r="AP31" s="299"/>
      <c r="AQ31" s="299"/>
      <c r="AT31" s="173">
        <v>43585</v>
      </c>
      <c r="AU31" s="166" t="s">
        <v>263</v>
      </c>
      <c r="AX31" s="173"/>
      <c r="BC31" s="173"/>
    </row>
    <row r="32" spans="2:67" ht="15" customHeight="1" thickBot="1" x14ac:dyDescent="0.25">
      <c r="B32" s="244"/>
      <c r="C32" s="244"/>
      <c r="D32" s="244"/>
      <c r="E32" s="245"/>
      <c r="F32" s="244"/>
      <c r="G32" s="244"/>
      <c r="H32" s="244"/>
      <c r="I32" s="244"/>
      <c r="J32" s="245"/>
      <c r="K32" s="244"/>
      <c r="L32" s="244"/>
      <c r="M32" s="244"/>
      <c r="N32" s="244"/>
      <c r="O32" s="244"/>
      <c r="P32" s="244"/>
      <c r="Q32" s="245"/>
      <c r="R32" s="244"/>
      <c r="S32" s="244"/>
      <c r="U32" s="172" t="s">
        <v>255</v>
      </c>
      <c r="V32" s="172" t="s">
        <v>256</v>
      </c>
      <c r="W32" s="172" t="s">
        <v>257</v>
      </c>
      <c r="X32" s="172" t="s">
        <v>7</v>
      </c>
      <c r="Y32" s="172" t="s">
        <v>257</v>
      </c>
      <c r="Z32" s="172" t="s">
        <v>14</v>
      </c>
      <c r="AA32" s="172" t="s">
        <v>255</v>
      </c>
      <c r="AB32" s="172"/>
      <c r="AC32" s="172" t="s">
        <v>255</v>
      </c>
      <c r="AD32" s="172" t="s">
        <v>256</v>
      </c>
      <c r="AE32" s="172" t="s">
        <v>257</v>
      </c>
      <c r="AF32" s="172" t="s">
        <v>7</v>
      </c>
      <c r="AG32" s="172" t="s">
        <v>257</v>
      </c>
      <c r="AH32" s="172" t="s">
        <v>14</v>
      </c>
      <c r="AI32" s="172" t="s">
        <v>255</v>
      </c>
      <c r="AJ32" s="172"/>
      <c r="AK32" s="172" t="s">
        <v>255</v>
      </c>
      <c r="AL32" s="172" t="s">
        <v>256</v>
      </c>
      <c r="AM32" s="172" t="s">
        <v>257</v>
      </c>
      <c r="AN32" s="172" t="s">
        <v>7</v>
      </c>
      <c r="AO32" s="172" t="s">
        <v>257</v>
      </c>
      <c r="AP32" s="172" t="s">
        <v>14</v>
      </c>
      <c r="AQ32" s="172" t="s">
        <v>255</v>
      </c>
      <c r="AT32" s="173">
        <v>43586</v>
      </c>
      <c r="AU32" s="166" t="s">
        <v>263</v>
      </c>
      <c r="AX32" s="173"/>
      <c r="BC32" s="173"/>
    </row>
    <row r="33" spans="2:55" ht="15" customHeight="1" thickTop="1" thickBot="1" x14ac:dyDescent="0.25">
      <c r="B33" s="309" t="s">
        <v>449</v>
      </c>
      <c r="C33" s="309"/>
      <c r="D33" s="309"/>
      <c r="E33" s="309"/>
      <c r="F33" s="309"/>
      <c r="G33" s="309"/>
      <c r="H33" s="309"/>
      <c r="I33" s="309"/>
      <c r="J33" s="309"/>
      <c r="K33" s="309"/>
      <c r="L33" s="309"/>
      <c r="M33" s="309"/>
      <c r="N33" s="309"/>
      <c r="O33" s="309"/>
      <c r="P33" s="309"/>
      <c r="Q33" s="309"/>
      <c r="R33" s="309"/>
      <c r="S33" s="309"/>
      <c r="U33" s="172" t="s">
        <v>258</v>
      </c>
      <c r="V33" s="172" t="s">
        <v>258</v>
      </c>
      <c r="W33" s="172" t="s">
        <v>258</v>
      </c>
      <c r="X33" s="172">
        <v>43586</v>
      </c>
      <c r="Y33" s="172">
        <v>43587</v>
      </c>
      <c r="Z33" s="172">
        <v>43588</v>
      </c>
      <c r="AA33" s="172">
        <v>43589</v>
      </c>
      <c r="AB33" s="172"/>
      <c r="AC33" s="172" t="s">
        <v>258</v>
      </c>
      <c r="AD33" s="172" t="s">
        <v>258</v>
      </c>
      <c r="AE33" s="172" t="s">
        <v>258</v>
      </c>
      <c r="AF33" s="172" t="s">
        <v>258</v>
      </c>
      <c r="AG33" s="172" t="s">
        <v>258</v>
      </c>
      <c r="AH33" s="172" t="s">
        <v>258</v>
      </c>
      <c r="AI33" s="172">
        <v>43617</v>
      </c>
      <c r="AJ33" s="172"/>
      <c r="AK33" s="172" t="s">
        <v>258</v>
      </c>
      <c r="AL33" s="172">
        <v>43647</v>
      </c>
      <c r="AM33" s="172">
        <v>43648</v>
      </c>
      <c r="AN33" s="172">
        <v>43649</v>
      </c>
      <c r="AO33" s="172">
        <v>43650</v>
      </c>
      <c r="AP33" s="172">
        <v>43651</v>
      </c>
      <c r="AQ33" s="172">
        <v>43652</v>
      </c>
      <c r="AT33" s="173">
        <v>43592</v>
      </c>
      <c r="AU33" s="166" t="s">
        <v>263</v>
      </c>
      <c r="AX33" s="173"/>
      <c r="BC33" s="173"/>
    </row>
    <row r="34" spans="2:55" ht="15" customHeight="1" thickTop="1" thickBot="1" x14ac:dyDescent="0.25">
      <c r="B34" s="190" t="s">
        <v>296</v>
      </c>
      <c r="C34" s="190"/>
      <c r="D34" s="190"/>
      <c r="E34" s="171" t="s">
        <v>297</v>
      </c>
      <c r="F34" s="190"/>
      <c r="G34" s="190"/>
      <c r="H34" s="190"/>
      <c r="I34" s="190" t="s">
        <v>299</v>
      </c>
      <c r="J34" s="190"/>
      <c r="K34" s="190"/>
      <c r="L34" s="190"/>
      <c r="M34" s="190"/>
      <c r="N34" s="190"/>
      <c r="O34" s="190"/>
      <c r="P34" s="190"/>
      <c r="Q34" s="184"/>
      <c r="R34" s="190"/>
      <c r="S34" s="190"/>
      <c r="U34" s="172">
        <v>43590</v>
      </c>
      <c r="V34" s="172">
        <v>43591</v>
      </c>
      <c r="W34" s="172">
        <v>43592</v>
      </c>
      <c r="X34" s="172">
        <v>43593</v>
      </c>
      <c r="Y34" s="172">
        <v>43594</v>
      </c>
      <c r="Z34" s="172">
        <v>43595</v>
      </c>
      <c r="AA34" s="172">
        <v>43596</v>
      </c>
      <c r="AB34" s="172"/>
      <c r="AC34" s="172">
        <v>43618</v>
      </c>
      <c r="AD34" s="172">
        <v>43619</v>
      </c>
      <c r="AE34" s="172">
        <v>43620</v>
      </c>
      <c r="AF34" s="172">
        <v>43621</v>
      </c>
      <c r="AG34" s="172">
        <v>43622</v>
      </c>
      <c r="AH34" s="172">
        <v>43623</v>
      </c>
      <c r="AI34" s="172">
        <v>43624</v>
      </c>
      <c r="AJ34" s="172"/>
      <c r="AK34" s="172">
        <v>43653</v>
      </c>
      <c r="AL34" s="172">
        <v>43654</v>
      </c>
      <c r="AM34" s="172">
        <v>43655</v>
      </c>
      <c r="AN34" s="172">
        <v>43656</v>
      </c>
      <c r="AO34" s="172">
        <v>43657</v>
      </c>
      <c r="AP34" s="172">
        <v>43658</v>
      </c>
      <c r="AQ34" s="172">
        <v>43659</v>
      </c>
      <c r="AT34" s="173">
        <v>43593</v>
      </c>
      <c r="AU34" s="166" t="s">
        <v>263</v>
      </c>
      <c r="AX34" s="173"/>
      <c r="BC34" s="173"/>
    </row>
    <row r="35" spans="2:55" ht="15" customHeight="1" thickTop="1" x14ac:dyDescent="0.2">
      <c r="B35" s="164" t="s">
        <v>293</v>
      </c>
      <c r="E35" s="167" t="str">
        <f>INDEX('Team History'!$B5:$AG5,0,MATCH($F$4,'Team History'!$B$4:$AG$4,0))</f>
        <v>Semi-finals</v>
      </c>
      <c r="I35" s="167" t="str">
        <f>IF(INDEX('Team History'!$B12:$AG12,0,MATCH($F$4,'Team History'!$B$4:$AG$4,0))&lt;&gt;"",INDEX('Team History'!$B12:$AG12,0,MATCH($F$4,'Team History'!$B$4:$AG$4,0)),"-")</f>
        <v>-</v>
      </c>
      <c r="U35" s="172">
        <v>43597</v>
      </c>
      <c r="V35" s="172">
        <v>43598</v>
      </c>
      <c r="W35" s="172">
        <v>43599</v>
      </c>
      <c r="X35" s="172">
        <v>43600</v>
      </c>
      <c r="Y35" s="172">
        <v>43601</v>
      </c>
      <c r="Z35" s="172">
        <v>43602</v>
      </c>
      <c r="AA35" s="172">
        <v>43603</v>
      </c>
      <c r="AB35" s="172"/>
      <c r="AC35" s="172">
        <v>43625</v>
      </c>
      <c r="AD35" s="172">
        <v>43626</v>
      </c>
      <c r="AE35" s="172">
        <v>43627</v>
      </c>
      <c r="AF35" s="172">
        <v>43628</v>
      </c>
      <c r="AG35" s="172">
        <v>43629</v>
      </c>
      <c r="AH35" s="172">
        <v>43630</v>
      </c>
      <c r="AI35" s="172">
        <v>43631</v>
      </c>
      <c r="AJ35" s="172"/>
      <c r="AK35" s="172">
        <v>43660</v>
      </c>
      <c r="AL35" s="172">
        <v>43661</v>
      </c>
      <c r="AM35" s="172">
        <v>43662</v>
      </c>
      <c r="AN35" s="172">
        <v>43663</v>
      </c>
      <c r="AO35" s="172">
        <v>43664</v>
      </c>
      <c r="AP35" s="172">
        <v>43665</v>
      </c>
      <c r="AQ35" s="172">
        <v>43666</v>
      </c>
      <c r="AT35" s="173">
        <v>43617</v>
      </c>
      <c r="AU35" s="166" t="s">
        <v>264</v>
      </c>
      <c r="AX35" s="173"/>
      <c r="BC35" s="173"/>
    </row>
    <row r="36" spans="2:55" ht="15" customHeight="1" x14ac:dyDescent="0.2">
      <c r="B36" s="164" t="s">
        <v>294</v>
      </c>
      <c r="E36" s="167" t="str">
        <f>INDEX('Team History'!$B6:$AG6,0,MATCH($F$4,'Team History'!$B$4:$AG$4,0))</f>
        <v>Semi-finals</v>
      </c>
      <c r="I36" s="167" t="str">
        <f>IF(INDEX('Team History'!$B13:$AG13,0,MATCH($F$4,'Team History'!$B$4:$AG$4,0))&lt;&gt;"",INDEX('Team History'!$B13:$AG13,0,MATCH($F$4,'Team History'!$B$4:$AG$4,0)),"-")</f>
        <v>Lost to Bayern Munich PK 1-3, Agg: 3-3 Aw (1-2) Ho (2-1)</v>
      </c>
      <c r="U36" s="172">
        <v>43604</v>
      </c>
      <c r="V36" s="172">
        <v>43605</v>
      </c>
      <c r="W36" s="172">
        <v>43606</v>
      </c>
      <c r="X36" s="172">
        <v>43607</v>
      </c>
      <c r="Y36" s="172">
        <v>43608</v>
      </c>
      <c r="Z36" s="172">
        <v>43609</v>
      </c>
      <c r="AA36" s="172">
        <v>43610</v>
      </c>
      <c r="AB36" s="172"/>
      <c r="AC36" s="172">
        <v>43632</v>
      </c>
      <c r="AD36" s="172">
        <v>43633</v>
      </c>
      <c r="AE36" s="172">
        <v>43634</v>
      </c>
      <c r="AF36" s="172">
        <v>43635</v>
      </c>
      <c r="AG36" s="172">
        <v>43636</v>
      </c>
      <c r="AH36" s="172">
        <v>43637</v>
      </c>
      <c r="AI36" s="172">
        <v>43638</v>
      </c>
      <c r="AJ36" s="172"/>
      <c r="AK36" s="172">
        <v>43667</v>
      </c>
      <c r="AL36" s="172">
        <v>43668</v>
      </c>
      <c r="AM36" s="172">
        <v>43669</v>
      </c>
      <c r="AN36" s="172">
        <v>43670</v>
      </c>
      <c r="AO36" s="172">
        <v>43671</v>
      </c>
      <c r="AP36" s="172">
        <v>43672</v>
      </c>
      <c r="AQ36" s="172">
        <v>43673</v>
      </c>
      <c r="AX36" s="173"/>
      <c r="BC36" s="173"/>
    </row>
    <row r="37" spans="2:55" ht="15" customHeight="1" x14ac:dyDescent="0.2">
      <c r="B37" s="164" t="s">
        <v>305</v>
      </c>
      <c r="E37" s="167" t="str">
        <f>INDEX('Team History'!$B7:$AG7,0,MATCH($F$4,'Team History'!$B$4:$AG$4,0))</f>
        <v>Semi-finals</v>
      </c>
      <c r="I37" s="167" t="str">
        <f>IF(INDEX('Team History'!$B14:$AG14,0,MATCH($F$4,'Team History'!$B$4:$AG$4,0))&lt;&gt;"",INDEX('Team History'!$B14:$AG14,0,MATCH($F$4,'Team History'!$B$4:$AG$4,0)),"-")</f>
        <v>Lost to Barcelona, Agg: 1-3 Ho (0-2) Aw (1-1)</v>
      </c>
      <c r="U37" s="172">
        <v>43611</v>
      </c>
      <c r="V37" s="172">
        <v>43612</v>
      </c>
      <c r="W37" s="172">
        <v>43613</v>
      </c>
      <c r="X37" s="172">
        <v>43614</v>
      </c>
      <c r="Y37" s="172">
        <v>43615</v>
      </c>
      <c r="Z37" s="172">
        <v>43616</v>
      </c>
      <c r="AA37" s="172" t="s">
        <v>258</v>
      </c>
      <c r="AB37" s="172"/>
      <c r="AC37" s="172">
        <v>43639</v>
      </c>
      <c r="AD37" s="172">
        <v>43640</v>
      </c>
      <c r="AE37" s="172">
        <v>43641</v>
      </c>
      <c r="AF37" s="172">
        <v>43642</v>
      </c>
      <c r="AG37" s="172">
        <v>43643</v>
      </c>
      <c r="AH37" s="172">
        <v>43644</v>
      </c>
      <c r="AI37" s="172">
        <v>43645</v>
      </c>
      <c r="AJ37" s="172"/>
      <c r="AK37" s="172">
        <v>43674</v>
      </c>
      <c r="AL37" s="172">
        <v>43675</v>
      </c>
      <c r="AM37" s="172">
        <v>43676</v>
      </c>
      <c r="AN37" s="172">
        <v>43677</v>
      </c>
      <c r="AO37" s="172" t="s">
        <v>258</v>
      </c>
      <c r="AP37" s="172" t="s">
        <v>258</v>
      </c>
      <c r="AQ37" s="172" t="s">
        <v>258</v>
      </c>
      <c r="AX37" s="173"/>
      <c r="BC37" s="173"/>
    </row>
    <row r="38" spans="2:55" ht="15" customHeight="1" x14ac:dyDescent="0.2">
      <c r="B38" s="164" t="s">
        <v>295</v>
      </c>
      <c r="E38" s="167" t="str">
        <f>INDEX('Team History'!$B8:$AG8,0,MATCH($F$4,'Team History'!$B$4:$AG$4,0))</f>
        <v>Round of 16</v>
      </c>
      <c r="I38" s="167" t="str">
        <f>IF(INDEX('Team History'!$B15:$AG15,0,MATCH($F$4,'Team History'!$B$4:$AG$4,0))&lt;&gt;"",INDEX('Team History'!$B15:$AG15,0,MATCH($F$4,'Team History'!$B$4:$AG$4,0)),"-")</f>
        <v>Lost to Lyon, Agg: 1-2 Aw (0-1) Ho (1-1)</v>
      </c>
      <c r="U38" s="172" t="s">
        <v>258</v>
      </c>
      <c r="V38" s="172" t="s">
        <v>258</v>
      </c>
      <c r="W38" s="172"/>
      <c r="X38" s="172"/>
      <c r="Y38" s="172"/>
      <c r="Z38" s="172"/>
      <c r="AA38" s="172"/>
      <c r="AB38" s="172"/>
      <c r="AC38" s="172">
        <v>43646</v>
      </c>
      <c r="AD38" s="172" t="s">
        <v>258</v>
      </c>
      <c r="AE38" s="172"/>
      <c r="AF38" s="172"/>
      <c r="AG38" s="172"/>
      <c r="AH38" s="172"/>
      <c r="AI38" s="172"/>
      <c r="AJ38" s="172"/>
      <c r="AK38" s="172" t="s">
        <v>258</v>
      </c>
      <c r="AL38" s="172" t="s">
        <v>258</v>
      </c>
      <c r="AM38" s="172"/>
      <c r="AN38" s="172"/>
      <c r="AO38" s="172"/>
      <c r="AP38" s="172"/>
      <c r="AQ38" s="172"/>
      <c r="AX38" s="173"/>
      <c r="BC38" s="173"/>
    </row>
    <row r="39" spans="2:55" ht="15" customHeight="1" x14ac:dyDescent="0.2">
      <c r="B39" s="164" t="s">
        <v>252</v>
      </c>
      <c r="E39" s="167" t="str">
        <f>INDEX('Team History'!$B9:$AG9,0,MATCH($F$4,'Team History'!$B$4:$AG$4,0))</f>
        <v>Round of 16</v>
      </c>
      <c r="I39" s="167" t="str">
        <f>IF(INDEX('Team History'!$B16:$AG16,0,MATCH($F$4,'Team History'!$B$4:$AG$4,0))&lt;&gt;"",INDEX('Team History'!$B16:$AG16,0,MATCH($F$4,'Team History'!$B$4:$AG$4,0)),"-")</f>
        <v>Lost to Liverpool, Agg: 0-5 Ho (0-1) Aw (0-4)</v>
      </c>
    </row>
    <row r="40" spans="2:55" ht="15" customHeight="1" x14ac:dyDescent="0.2">
      <c r="U40" s="191">
        <v>0</v>
      </c>
      <c r="V40" s="167" t="s">
        <v>335</v>
      </c>
      <c r="AC40" s="164"/>
      <c r="AD40" s="164"/>
      <c r="AE40" s="164"/>
      <c r="AF40" s="164"/>
      <c r="AG40" s="192">
        <v>0</v>
      </c>
      <c r="AH40" s="167" t="str">
        <f>F4&amp;" Match Dates"</f>
        <v>Real Madrid Match Dates</v>
      </c>
    </row>
    <row r="41" spans="2:55" ht="15" customHeight="1" x14ac:dyDescent="0.2">
      <c r="U41" s="164"/>
      <c r="V41" s="164" t="s">
        <v>336</v>
      </c>
      <c r="W41" s="164"/>
      <c r="X41" s="164"/>
      <c r="Y41" s="164"/>
      <c r="AH41" s="167" t="s">
        <v>337</v>
      </c>
    </row>
    <row r="42" spans="2:55" ht="15" customHeight="1" x14ac:dyDescent="0.2">
      <c r="B42" s="164" t="s">
        <v>447</v>
      </c>
    </row>
    <row r="43" spans="2:55" ht="15" customHeight="1" x14ac:dyDescent="0.2">
      <c r="B43" s="193"/>
      <c r="C43" s="193"/>
      <c r="D43" s="193"/>
      <c r="E43" s="194"/>
      <c r="F43" s="193"/>
      <c r="G43" s="193"/>
      <c r="H43" s="193"/>
      <c r="I43" s="193"/>
      <c r="J43" s="194"/>
      <c r="K43" s="193"/>
      <c r="L43" s="193"/>
      <c r="M43" s="193"/>
      <c r="N43" s="193"/>
      <c r="O43" s="193"/>
      <c r="P43" s="193"/>
      <c r="Q43" s="194"/>
      <c r="R43" s="193"/>
      <c r="S43" s="193"/>
      <c r="T43" s="193"/>
      <c r="U43" s="194"/>
      <c r="V43" s="194"/>
      <c r="W43" s="194"/>
      <c r="X43" s="194"/>
      <c r="Y43" s="194"/>
      <c r="Z43" s="194"/>
      <c r="AA43" s="194"/>
      <c r="AB43" s="194"/>
      <c r="AC43" s="194"/>
      <c r="AD43" s="194"/>
      <c r="AE43" s="194"/>
      <c r="AF43" s="194"/>
      <c r="AG43" s="194"/>
      <c r="AH43" s="194"/>
      <c r="AI43" s="194"/>
      <c r="AJ43" s="194"/>
      <c r="AK43" s="194"/>
      <c r="AL43" s="194"/>
      <c r="AM43" s="194"/>
      <c r="AN43" s="194"/>
      <c r="AO43" s="194"/>
      <c r="AP43" s="194"/>
      <c r="AQ43" s="194"/>
      <c r="AX43" s="173"/>
      <c r="BC43" s="173"/>
    </row>
    <row r="44" spans="2:55" ht="15" customHeight="1" x14ac:dyDescent="0.2">
      <c r="AX44" s="173"/>
      <c r="BC44" s="173"/>
    </row>
    <row r="45" spans="2:55" ht="15" hidden="1" customHeight="1" x14ac:dyDescent="0.2">
      <c r="AX45" s="173"/>
      <c r="BC45" s="173"/>
    </row>
    <row r="46" spans="2:55" ht="15" hidden="1" customHeight="1" x14ac:dyDescent="0.2">
      <c r="AX46" s="173"/>
      <c r="BC46" s="173"/>
    </row>
    <row r="47" spans="2:55" ht="15" hidden="1" customHeight="1" x14ac:dyDescent="0.2">
      <c r="AX47" s="173"/>
      <c r="BC47" s="173"/>
    </row>
    <row r="48" spans="2:55" ht="15" hidden="1" customHeight="1" x14ac:dyDescent="0.2">
      <c r="AX48" s="173"/>
      <c r="BC48" s="173"/>
    </row>
    <row r="49" spans="50:55" ht="15" hidden="1" customHeight="1" x14ac:dyDescent="0.2">
      <c r="AX49" s="173"/>
      <c r="BC49" s="173"/>
    </row>
    <row r="50" spans="50:55" ht="15" hidden="1" customHeight="1" x14ac:dyDescent="0.2">
      <c r="AX50" s="173"/>
      <c r="BC50" s="173"/>
    </row>
    <row r="51" spans="50:55" ht="15" hidden="1" customHeight="1" x14ac:dyDescent="0.2">
      <c r="AX51" s="173"/>
      <c r="BC51" s="173"/>
    </row>
    <row r="52" spans="50:55" ht="15" hidden="1" customHeight="1" x14ac:dyDescent="0.2"/>
  </sheetData>
  <sheetProtection password="CE6F" sheet="1" objects="1" scenarios="1"/>
  <mergeCells count="45">
    <mergeCell ref="B33:S33"/>
    <mergeCell ref="P6:S6"/>
    <mergeCell ref="P7:S7"/>
    <mergeCell ref="L10:M10"/>
    <mergeCell ref="P10:S10"/>
    <mergeCell ref="B31:P31"/>
    <mergeCell ref="L7:M7"/>
    <mergeCell ref="L8:M8"/>
    <mergeCell ref="L9:M9"/>
    <mergeCell ref="L11:M11"/>
    <mergeCell ref="F30:H30"/>
    <mergeCell ref="B13:E13"/>
    <mergeCell ref="B26:P26"/>
    <mergeCell ref="B29:P29"/>
    <mergeCell ref="F14:H14"/>
    <mergeCell ref="F15:H15"/>
    <mergeCell ref="F16:H16"/>
    <mergeCell ref="F28:H28"/>
    <mergeCell ref="Q13:S13"/>
    <mergeCell ref="F17:H17"/>
    <mergeCell ref="F18:H18"/>
    <mergeCell ref="F19:H19"/>
    <mergeCell ref="F21:H21"/>
    <mergeCell ref="F22:H22"/>
    <mergeCell ref="AC22:AI22"/>
    <mergeCell ref="AK22:AQ22"/>
    <mergeCell ref="F24:H24"/>
    <mergeCell ref="F25:H25"/>
    <mergeCell ref="F27:H27"/>
    <mergeCell ref="U31:AA31"/>
    <mergeCell ref="AC31:AI31"/>
    <mergeCell ref="AK31:AQ31"/>
    <mergeCell ref="B2:AQ2"/>
    <mergeCell ref="B23:P23"/>
    <mergeCell ref="B20:P20"/>
    <mergeCell ref="F13:H13"/>
    <mergeCell ref="F4:J4"/>
    <mergeCell ref="B4:E4"/>
    <mergeCell ref="U4:AA4"/>
    <mergeCell ref="AC4:AI4"/>
    <mergeCell ref="AK4:AQ4"/>
    <mergeCell ref="U13:AA13"/>
    <mergeCell ref="AC13:AI13"/>
    <mergeCell ref="AK13:AQ13"/>
    <mergeCell ref="U22:AA22"/>
  </mergeCells>
  <conditionalFormatting sqref="U6:AQ12 U14:AQ21 U23:AQ30 U32:AQ38">
    <cfRule type="expression" dxfId="13" priority="3">
      <formula>AND(U6&lt;&gt;"",MATCH(U6,$F$24:$F$25,0))</formula>
    </cfRule>
    <cfRule type="expression" dxfId="12" priority="4">
      <formula>AND(U6&lt;&gt;"",MATCH(U6,$F$21:$F$22,0))</formula>
    </cfRule>
    <cfRule type="expression" dxfId="11" priority="9">
      <formula>MATCH(U6,TeamGroupMatch,0)</formula>
    </cfRule>
    <cfRule type="expression" dxfId="10" priority="10">
      <formula>U6=$AT$35</formula>
    </cfRule>
    <cfRule type="expression" dxfId="9" priority="11">
      <formula>MATCH(U6,Semis,0)</formula>
    </cfRule>
    <cfRule type="expression" dxfId="8" priority="12">
      <formula>MATCH(U6,Quarters,0)</formula>
    </cfRule>
    <cfRule type="expression" dxfId="7" priority="13">
      <formula>MATCH(U6,RoundMatch,0)</formula>
    </cfRule>
    <cfRule type="expression" dxfId="6" priority="14">
      <formula>MATCH(U6,GroupMatch,0)</formula>
    </cfRule>
  </conditionalFormatting>
  <conditionalFormatting sqref="P14:P30">
    <cfRule type="cellIs" dxfId="5" priority="5" operator="equal">
      <formula>"L"</formula>
    </cfRule>
    <cfRule type="cellIs" dxfId="4" priority="6" operator="equal">
      <formula>"W"</formula>
    </cfRule>
    <cfRule type="cellIs" dxfId="3" priority="7" operator="equal">
      <formula>"D"</formula>
    </cfRule>
  </conditionalFormatting>
  <conditionalFormatting sqref="B8:N11">
    <cfRule type="expression" dxfId="2" priority="23">
      <formula>$C8=$F$4</formula>
    </cfRule>
  </conditionalFormatting>
  <conditionalFormatting sqref="U6:AQ12 U14:AQ21 AB13 AJ13 U23:AQ30 AB22 AJ22 U32:AQ38 AB31 AJ31">
    <cfRule type="expression" dxfId="1" priority="1">
      <formula>AND($F$30&lt;&gt;"",U6=$F$30)</formula>
    </cfRule>
    <cfRule type="expression" dxfId="0" priority="2">
      <formula>AND(U6&lt;&gt;"",MATCH(U6,$F$27:$F$28,0))</formula>
    </cfRule>
  </conditionalFormatting>
  <dataValidations count="1">
    <dataValidation type="list" allowBlank="1" showInputMessage="1" showErrorMessage="1" sqref="G3:I3 F3:F4">
      <formula1>Team</formula1>
    </dataValidation>
  </dataValidations>
  <pageMargins left="0.7" right="0.7" top="0.75" bottom="0.75" header="0.3" footer="0.3"/>
  <pageSetup scale="7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39"/>
  <sheetViews>
    <sheetView showGridLines="0" workbookViewId="0">
      <pane xSplit="1" ySplit="4" topLeftCell="B5" activePane="bottomRight" state="frozen"/>
      <selection pane="topRight" activeCell="B1" sqref="B1"/>
      <selection pane="bottomLeft" activeCell="A3" sqref="A3"/>
      <selection pane="bottomRight" activeCell="B5" sqref="B5"/>
    </sheetView>
  </sheetViews>
  <sheetFormatPr defaultColWidth="9.140625" defaultRowHeight="12.75" x14ac:dyDescent="0.2"/>
  <cols>
    <col min="1" max="1" width="9.5703125" style="147" bestFit="1" customWidth="1"/>
    <col min="2" max="33" width="20.5703125" style="147" customWidth="1"/>
    <col min="34" max="16384" width="9.140625" style="147"/>
  </cols>
  <sheetData>
    <row r="2" spans="1:33" x14ac:dyDescent="0.2">
      <c r="A2" s="199" t="s">
        <v>338</v>
      </c>
    </row>
    <row r="4" spans="1:33" x14ac:dyDescent="0.2">
      <c r="A4" s="163"/>
      <c r="B4" s="163" t="s">
        <v>229</v>
      </c>
      <c r="C4" s="163" t="s">
        <v>244</v>
      </c>
      <c r="D4" s="163" t="s">
        <v>339</v>
      </c>
      <c r="E4" s="163" t="s">
        <v>340</v>
      </c>
      <c r="F4" s="163" t="s">
        <v>171</v>
      </c>
      <c r="G4" s="163" t="s">
        <v>267</v>
      </c>
      <c r="H4" s="163" t="s">
        <v>269</v>
      </c>
      <c r="I4" s="163" t="s">
        <v>341</v>
      </c>
      <c r="J4" s="163" t="s">
        <v>242</v>
      </c>
      <c r="K4" s="163" t="s">
        <v>268</v>
      </c>
      <c r="L4" s="163" t="s">
        <v>246</v>
      </c>
      <c r="M4" s="163" t="s">
        <v>266</v>
      </c>
      <c r="N4" s="163" t="s">
        <v>226</v>
      </c>
      <c r="O4" s="163" t="s">
        <v>342</v>
      </c>
      <c r="P4" s="163" t="s">
        <v>245</v>
      </c>
      <c r="Q4" s="163" t="s">
        <v>349</v>
      </c>
      <c r="R4" s="163" t="s">
        <v>168</v>
      </c>
      <c r="S4" s="163" t="s">
        <v>270</v>
      </c>
      <c r="T4" s="163" t="s">
        <v>343</v>
      </c>
      <c r="U4" s="163" t="s">
        <v>353</v>
      </c>
      <c r="V4" s="163" t="s">
        <v>170</v>
      </c>
      <c r="W4" s="163" t="s">
        <v>344</v>
      </c>
      <c r="X4" s="163" t="s">
        <v>247</v>
      </c>
      <c r="Y4" s="163" t="s">
        <v>345</v>
      </c>
      <c r="Z4" s="163" t="s">
        <v>248</v>
      </c>
      <c r="AA4" s="163" t="s">
        <v>346</v>
      </c>
      <c r="AB4" s="163" t="s">
        <v>249</v>
      </c>
      <c r="AC4" s="163" t="s">
        <v>347</v>
      </c>
      <c r="AD4" s="163" t="s">
        <v>169</v>
      </c>
      <c r="AE4" s="163" t="s">
        <v>232</v>
      </c>
      <c r="AF4" s="163" t="s">
        <v>243</v>
      </c>
      <c r="AG4" s="163" t="s">
        <v>274</v>
      </c>
    </row>
    <row r="5" spans="1:33" x14ac:dyDescent="0.2">
      <c r="A5" s="77" t="s">
        <v>354</v>
      </c>
      <c r="B5" s="163" t="s">
        <v>261</v>
      </c>
      <c r="C5" s="163" t="s">
        <v>261</v>
      </c>
      <c r="D5" s="163"/>
      <c r="E5" s="163"/>
      <c r="F5" s="163" t="s">
        <v>263</v>
      </c>
      <c r="G5" s="163" t="s">
        <v>262</v>
      </c>
      <c r="H5" s="163" t="s">
        <v>281</v>
      </c>
      <c r="I5" s="163" t="s">
        <v>359</v>
      </c>
      <c r="J5" s="163" t="s">
        <v>303</v>
      </c>
      <c r="K5" s="163" t="s">
        <v>262</v>
      </c>
      <c r="L5" s="163" t="s">
        <v>303</v>
      </c>
      <c r="M5" s="163" t="s">
        <v>303</v>
      </c>
      <c r="N5" s="163" t="s">
        <v>306</v>
      </c>
      <c r="O5" s="163" t="s">
        <v>357</v>
      </c>
      <c r="P5" s="163" t="s">
        <v>303</v>
      </c>
      <c r="Q5" s="163" t="s">
        <v>298</v>
      </c>
      <c r="R5" s="163" t="s">
        <v>303</v>
      </c>
      <c r="S5" s="163" t="s">
        <v>261</v>
      </c>
      <c r="T5" s="163" t="s">
        <v>358</v>
      </c>
      <c r="U5" s="163" t="s">
        <v>298</v>
      </c>
      <c r="V5" s="163" t="s">
        <v>261</v>
      </c>
      <c r="W5" s="163" t="s">
        <v>298</v>
      </c>
      <c r="X5" s="163" t="s">
        <v>264</v>
      </c>
      <c r="Y5" s="163" t="s">
        <v>298</v>
      </c>
      <c r="Z5" s="163" t="s">
        <v>261</v>
      </c>
      <c r="AA5" s="163" t="s">
        <v>298</v>
      </c>
      <c r="AB5" s="163" t="s">
        <v>303</v>
      </c>
      <c r="AC5" s="163" t="s">
        <v>298</v>
      </c>
      <c r="AD5" s="163" t="s">
        <v>263</v>
      </c>
      <c r="AE5" s="163" t="s">
        <v>261</v>
      </c>
      <c r="AF5" s="163" t="s">
        <v>303</v>
      </c>
      <c r="AG5" s="163" t="s">
        <v>261</v>
      </c>
    </row>
    <row r="6" spans="1:33" x14ac:dyDescent="0.2">
      <c r="A6" s="77" t="s">
        <v>293</v>
      </c>
      <c r="B6" s="163" t="s">
        <v>303</v>
      </c>
      <c r="C6" s="163" t="s">
        <v>303</v>
      </c>
      <c r="D6" s="163"/>
      <c r="E6" s="163"/>
      <c r="F6" s="163" t="s">
        <v>263</v>
      </c>
      <c r="G6" s="163" t="s">
        <v>298</v>
      </c>
      <c r="H6" s="163" t="s">
        <v>298</v>
      </c>
      <c r="I6" s="163" t="s">
        <v>359</v>
      </c>
      <c r="J6" s="163" t="s">
        <v>262</v>
      </c>
      <c r="K6" s="163" t="s">
        <v>298</v>
      </c>
      <c r="L6" s="163" t="s">
        <v>303</v>
      </c>
      <c r="M6" s="163" t="s">
        <v>298</v>
      </c>
      <c r="N6" s="163" t="s">
        <v>264</v>
      </c>
      <c r="O6" s="163" t="s">
        <v>261</v>
      </c>
      <c r="P6" s="163" t="s">
        <v>303</v>
      </c>
      <c r="Q6" s="163" t="s">
        <v>303</v>
      </c>
      <c r="R6" s="163" t="s">
        <v>306</v>
      </c>
      <c r="S6" s="163" t="s">
        <v>298</v>
      </c>
      <c r="T6" s="163" t="s">
        <v>261</v>
      </c>
      <c r="U6" s="163" t="s">
        <v>298</v>
      </c>
      <c r="V6" s="163" t="s">
        <v>261</v>
      </c>
      <c r="W6" s="163" t="s">
        <v>262</v>
      </c>
      <c r="X6" s="163" t="s">
        <v>303</v>
      </c>
      <c r="Y6" s="163" t="s">
        <v>261</v>
      </c>
      <c r="Z6" s="163" t="s">
        <v>303</v>
      </c>
      <c r="AA6" s="163" t="s">
        <v>298</v>
      </c>
      <c r="AB6" s="163" t="s">
        <v>261</v>
      </c>
      <c r="AC6" s="163" t="s">
        <v>298</v>
      </c>
      <c r="AD6" s="163" t="s">
        <v>263</v>
      </c>
      <c r="AE6" s="163" t="s">
        <v>262</v>
      </c>
      <c r="AF6" s="163" t="s">
        <v>303</v>
      </c>
      <c r="AG6" s="163" t="s">
        <v>298</v>
      </c>
    </row>
    <row r="7" spans="1:33" x14ac:dyDescent="0.2">
      <c r="A7" s="77" t="s">
        <v>294</v>
      </c>
      <c r="B7" s="163" t="s">
        <v>264</v>
      </c>
      <c r="C7" s="163" t="s">
        <v>262</v>
      </c>
      <c r="D7" s="163"/>
      <c r="E7" s="163"/>
      <c r="F7" s="163" t="s">
        <v>263</v>
      </c>
      <c r="G7" s="163" t="s">
        <v>298</v>
      </c>
      <c r="H7" s="163" t="s">
        <v>298</v>
      </c>
      <c r="I7" s="163"/>
      <c r="J7" s="163" t="s">
        <v>303</v>
      </c>
      <c r="K7" s="163" t="s">
        <v>298</v>
      </c>
      <c r="L7" s="163" t="s">
        <v>298</v>
      </c>
      <c r="M7" s="163" t="s">
        <v>358</v>
      </c>
      <c r="N7" s="163" t="s">
        <v>261</v>
      </c>
      <c r="O7" s="163"/>
      <c r="P7" s="163" t="s">
        <v>298</v>
      </c>
      <c r="Q7" s="163"/>
      <c r="R7" s="163" t="s">
        <v>262</v>
      </c>
      <c r="S7" s="163" t="s">
        <v>263</v>
      </c>
      <c r="T7" s="163"/>
      <c r="U7" s="163"/>
      <c r="V7" s="163" t="s">
        <v>261</v>
      </c>
      <c r="W7" s="163"/>
      <c r="X7" s="163" t="s">
        <v>298</v>
      </c>
      <c r="Y7" s="163"/>
      <c r="Z7" s="163" t="s">
        <v>261</v>
      </c>
      <c r="AA7" s="163"/>
      <c r="AB7" s="163" t="s">
        <v>358</v>
      </c>
      <c r="AC7" s="163"/>
      <c r="AD7" s="163" t="s">
        <v>306</v>
      </c>
      <c r="AE7" s="163" t="s">
        <v>261</v>
      </c>
      <c r="AF7" s="163" t="s">
        <v>303</v>
      </c>
      <c r="AG7" s="163" t="s">
        <v>313</v>
      </c>
    </row>
    <row r="8" spans="1:33" x14ac:dyDescent="0.2">
      <c r="A8" s="77" t="s">
        <v>305</v>
      </c>
      <c r="B8" s="163" t="s">
        <v>262</v>
      </c>
      <c r="C8" s="163" t="s">
        <v>313</v>
      </c>
      <c r="D8" s="163"/>
      <c r="E8" s="163"/>
      <c r="F8" s="163" t="s">
        <v>261</v>
      </c>
      <c r="G8" s="163" t="s">
        <v>303</v>
      </c>
      <c r="H8" s="163" t="s">
        <v>298</v>
      </c>
      <c r="I8" s="163"/>
      <c r="J8" s="163" t="s">
        <v>298</v>
      </c>
      <c r="K8" s="163" t="s">
        <v>298</v>
      </c>
      <c r="L8" s="163" t="s">
        <v>261</v>
      </c>
      <c r="M8" s="163" t="s">
        <v>358</v>
      </c>
      <c r="N8" s="163" t="s">
        <v>264</v>
      </c>
      <c r="O8" s="163"/>
      <c r="P8" s="163" t="s">
        <v>298</v>
      </c>
      <c r="Q8" s="163"/>
      <c r="R8" s="163" t="s">
        <v>261</v>
      </c>
      <c r="S8" s="163" t="s">
        <v>298</v>
      </c>
      <c r="T8" s="163"/>
      <c r="U8" s="163"/>
      <c r="V8" s="163" t="s">
        <v>262</v>
      </c>
      <c r="W8" s="163"/>
      <c r="X8" s="163" t="s">
        <v>298</v>
      </c>
      <c r="Y8" s="163"/>
      <c r="Z8" s="163" t="s">
        <v>262</v>
      </c>
      <c r="AA8" s="163"/>
      <c r="AB8" s="163" t="s">
        <v>298</v>
      </c>
      <c r="AC8" s="163"/>
      <c r="AD8" s="163" t="s">
        <v>263</v>
      </c>
      <c r="AE8" s="163" t="s">
        <v>261</v>
      </c>
      <c r="AF8" s="163" t="s">
        <v>298</v>
      </c>
      <c r="AG8" s="163" t="s">
        <v>358</v>
      </c>
    </row>
    <row r="9" spans="1:33" x14ac:dyDescent="0.2">
      <c r="A9" s="77" t="s">
        <v>295</v>
      </c>
      <c r="B9" s="163" t="s">
        <v>264</v>
      </c>
      <c r="C9" s="163" t="s">
        <v>303</v>
      </c>
      <c r="D9" s="163"/>
      <c r="E9" s="163"/>
      <c r="F9" s="163" t="s">
        <v>261</v>
      </c>
      <c r="G9" s="163" t="s">
        <v>261</v>
      </c>
      <c r="H9" s="163" t="s">
        <v>313</v>
      </c>
      <c r="I9" s="163"/>
      <c r="J9" s="163" t="s">
        <v>298</v>
      </c>
      <c r="K9" s="163" t="s">
        <v>298</v>
      </c>
      <c r="L9" s="163" t="s">
        <v>313</v>
      </c>
      <c r="M9" s="163" t="s">
        <v>304</v>
      </c>
      <c r="N9" s="163" t="s">
        <v>262</v>
      </c>
      <c r="O9" s="163"/>
      <c r="P9" s="163" t="s">
        <v>298</v>
      </c>
      <c r="Q9" s="163"/>
      <c r="R9" s="163" t="s">
        <v>263</v>
      </c>
      <c r="S9" s="163" t="s">
        <v>313</v>
      </c>
      <c r="T9" s="163"/>
      <c r="U9" s="163"/>
      <c r="V9" s="163" t="s">
        <v>263</v>
      </c>
      <c r="W9" s="163"/>
      <c r="X9" s="163" t="s">
        <v>298</v>
      </c>
      <c r="Y9" s="163"/>
      <c r="Z9" s="163" t="s">
        <v>261</v>
      </c>
      <c r="AA9" s="163"/>
      <c r="AB9" s="163" t="s">
        <v>303</v>
      </c>
      <c r="AC9" s="163"/>
      <c r="AD9" s="163" t="s">
        <v>306</v>
      </c>
      <c r="AE9" s="163" t="s">
        <v>298</v>
      </c>
      <c r="AF9" s="163" t="s">
        <v>298</v>
      </c>
      <c r="AG9" s="163" t="s">
        <v>303</v>
      </c>
    </row>
    <row r="11" spans="1:33" x14ac:dyDescent="0.2">
      <c r="A11" s="163"/>
      <c r="B11" s="163" t="s">
        <v>229</v>
      </c>
      <c r="C11" s="163" t="s">
        <v>244</v>
      </c>
      <c r="D11" s="163" t="s">
        <v>339</v>
      </c>
      <c r="E11" s="163" t="s">
        <v>340</v>
      </c>
      <c r="F11" s="163" t="s">
        <v>171</v>
      </c>
      <c r="G11" s="163" t="s">
        <v>267</v>
      </c>
      <c r="H11" s="163" t="s">
        <v>269</v>
      </c>
      <c r="I11" s="163" t="s">
        <v>341</v>
      </c>
      <c r="J11" s="163" t="s">
        <v>242</v>
      </c>
      <c r="K11" s="163" t="s">
        <v>268</v>
      </c>
      <c r="L11" s="163" t="s">
        <v>246</v>
      </c>
      <c r="M11" s="163" t="s">
        <v>266</v>
      </c>
      <c r="N11" s="163" t="s">
        <v>226</v>
      </c>
      <c r="O11" s="163" t="s">
        <v>342</v>
      </c>
      <c r="P11" s="163" t="s">
        <v>245</v>
      </c>
      <c r="Q11" s="163" t="s">
        <v>349</v>
      </c>
      <c r="R11" s="163" t="s">
        <v>168</v>
      </c>
      <c r="S11" s="163" t="s">
        <v>270</v>
      </c>
      <c r="T11" s="163" t="s">
        <v>343</v>
      </c>
      <c r="U11" s="163" t="s">
        <v>353</v>
      </c>
      <c r="V11" s="163" t="s">
        <v>170</v>
      </c>
      <c r="W11" s="163" t="s">
        <v>344</v>
      </c>
      <c r="X11" s="163" t="s">
        <v>247</v>
      </c>
      <c r="Y11" s="163" t="s">
        <v>345</v>
      </c>
      <c r="Z11" s="163" t="s">
        <v>248</v>
      </c>
      <c r="AA11" s="163" t="s">
        <v>346</v>
      </c>
      <c r="AB11" s="163" t="s">
        <v>249</v>
      </c>
      <c r="AC11" s="163" t="s">
        <v>347</v>
      </c>
      <c r="AD11" s="163" t="s">
        <v>169</v>
      </c>
      <c r="AE11" s="163" t="s">
        <v>232</v>
      </c>
      <c r="AF11" s="163" t="s">
        <v>243</v>
      </c>
      <c r="AG11" s="163" t="s">
        <v>274</v>
      </c>
    </row>
    <row r="12" spans="1:33" x14ac:dyDescent="0.2">
      <c r="A12" s="77" t="s">
        <v>354</v>
      </c>
      <c r="B12" s="163"/>
      <c r="C12" s="163"/>
      <c r="D12" s="163"/>
      <c r="E12" s="163"/>
      <c r="F12" s="163"/>
      <c r="G12" s="163"/>
      <c r="H12" s="163"/>
      <c r="I12" s="163"/>
      <c r="J12" s="163"/>
      <c r="K12" s="163"/>
      <c r="L12" s="163"/>
      <c r="M12" s="163"/>
      <c r="N12" s="163"/>
      <c r="O12" s="163"/>
      <c r="P12" s="163"/>
      <c r="Q12" s="163"/>
      <c r="R12" s="163"/>
      <c r="S12" s="163"/>
      <c r="T12" s="163"/>
      <c r="U12" s="163"/>
      <c r="V12" s="163"/>
      <c r="W12" s="163"/>
      <c r="X12" s="163"/>
      <c r="Y12" s="163"/>
      <c r="Z12" s="163"/>
      <c r="AA12" s="163"/>
      <c r="AB12" s="163"/>
      <c r="AC12" s="163"/>
      <c r="AD12" s="163"/>
      <c r="AE12" s="163"/>
      <c r="AF12" s="163"/>
      <c r="AG12" s="163"/>
    </row>
    <row r="13" spans="1:33" x14ac:dyDescent="0.2">
      <c r="A13" s="77" t="s">
        <v>293</v>
      </c>
      <c r="B13" s="163"/>
      <c r="C13" s="163"/>
      <c r="D13" s="163"/>
      <c r="E13" s="163"/>
      <c r="F13" s="163" t="s">
        <v>307</v>
      </c>
      <c r="G13" s="163"/>
      <c r="H13" s="163"/>
      <c r="I13" s="163"/>
      <c r="J13" s="163"/>
      <c r="K13" s="163"/>
      <c r="L13" s="163"/>
      <c r="M13" s="163"/>
      <c r="N13" s="163"/>
      <c r="O13" s="163"/>
      <c r="P13" s="163"/>
      <c r="Q13" s="163"/>
      <c r="R13" s="163"/>
      <c r="S13" s="163"/>
      <c r="T13" s="163"/>
      <c r="U13" s="163"/>
      <c r="V13" s="163"/>
      <c r="W13" s="163"/>
      <c r="X13" s="163"/>
      <c r="Y13" s="163"/>
      <c r="Z13" s="163"/>
      <c r="AA13" s="163"/>
      <c r="AB13" s="163"/>
      <c r="AC13" s="163"/>
      <c r="AD13" s="163"/>
      <c r="AE13" s="163"/>
      <c r="AF13" s="163"/>
      <c r="AG13" s="163"/>
    </row>
    <row r="14" spans="1:33" x14ac:dyDescent="0.2">
      <c r="A14" s="77" t="s">
        <v>294</v>
      </c>
      <c r="B14" s="163"/>
      <c r="C14" s="163" t="s">
        <v>309</v>
      </c>
      <c r="D14" s="163"/>
      <c r="E14" s="163"/>
      <c r="F14" s="163" t="s">
        <v>310</v>
      </c>
      <c r="G14" s="163"/>
      <c r="H14" s="163"/>
      <c r="I14" s="163"/>
      <c r="J14" s="163"/>
      <c r="K14" s="163"/>
      <c r="L14" s="163"/>
      <c r="M14" s="163"/>
      <c r="N14" s="163"/>
      <c r="O14" s="163"/>
      <c r="P14" s="163"/>
      <c r="Q14" s="163"/>
      <c r="R14" s="163"/>
      <c r="S14" s="163" t="s">
        <v>308</v>
      </c>
      <c r="T14" s="163"/>
      <c r="U14" s="163"/>
      <c r="V14" s="163"/>
      <c r="W14" s="163"/>
      <c r="X14" s="163"/>
      <c r="Y14" s="163"/>
      <c r="Z14" s="163"/>
      <c r="AA14" s="163"/>
      <c r="AB14" s="163"/>
      <c r="AC14" s="163"/>
      <c r="AD14" s="163"/>
      <c r="AE14" s="163"/>
      <c r="AF14" s="163"/>
      <c r="AG14" s="163"/>
    </row>
    <row r="15" spans="1:33" x14ac:dyDescent="0.2">
      <c r="A15" s="77" t="s">
        <v>305</v>
      </c>
      <c r="B15" s="163"/>
      <c r="C15" s="163"/>
      <c r="D15" s="163"/>
      <c r="E15" s="163"/>
      <c r="F15" s="163" t="s">
        <v>312</v>
      </c>
      <c r="G15" s="163"/>
      <c r="H15" s="163"/>
      <c r="I15" s="163"/>
      <c r="J15" s="163"/>
      <c r="K15" s="163"/>
      <c r="L15" s="163"/>
      <c r="M15" s="163"/>
      <c r="N15" s="163"/>
      <c r="O15" s="163"/>
      <c r="P15" s="163"/>
      <c r="Q15" s="163"/>
      <c r="R15" s="163"/>
      <c r="S15" s="163"/>
      <c r="T15" s="163"/>
      <c r="U15" s="163"/>
      <c r="V15" s="163"/>
      <c r="W15" s="163"/>
      <c r="X15" s="163"/>
      <c r="Y15" s="163"/>
      <c r="Z15" s="163"/>
      <c r="AA15" s="163"/>
      <c r="AB15" s="163"/>
      <c r="AC15" s="163"/>
      <c r="AD15" s="163"/>
      <c r="AE15" s="163"/>
      <c r="AF15" s="163"/>
      <c r="AG15" s="163"/>
    </row>
    <row r="16" spans="1:33" x14ac:dyDescent="0.2">
      <c r="A16" s="77" t="s">
        <v>295</v>
      </c>
      <c r="B16" s="163"/>
      <c r="C16" s="163"/>
      <c r="D16" s="163"/>
      <c r="E16" s="163"/>
      <c r="F16" s="163" t="s">
        <v>311</v>
      </c>
      <c r="G16" s="163"/>
      <c r="H16" s="163"/>
      <c r="I16" s="163"/>
      <c r="J16" s="163"/>
      <c r="K16" s="163"/>
      <c r="L16" s="163"/>
      <c r="M16" s="163"/>
      <c r="N16" s="163"/>
      <c r="O16" s="163"/>
      <c r="P16" s="163"/>
      <c r="Q16" s="163"/>
      <c r="R16" s="163"/>
      <c r="S16" s="163"/>
      <c r="T16" s="163"/>
      <c r="U16" s="163"/>
      <c r="V16" s="163"/>
      <c r="W16" s="163"/>
      <c r="X16" s="163"/>
      <c r="Y16" s="163"/>
      <c r="Z16" s="163"/>
      <c r="AA16" s="163"/>
      <c r="AB16" s="163"/>
      <c r="AC16" s="163"/>
      <c r="AD16" s="163"/>
      <c r="AE16" s="163"/>
      <c r="AF16" s="163"/>
      <c r="AG16" s="163"/>
    </row>
    <row r="18" spans="1:33" x14ac:dyDescent="0.2">
      <c r="A18" s="163"/>
      <c r="B18" s="163" t="s">
        <v>229</v>
      </c>
      <c r="C18" s="163" t="s">
        <v>244</v>
      </c>
      <c r="D18" s="163" t="s">
        <v>339</v>
      </c>
      <c r="E18" s="163" t="s">
        <v>340</v>
      </c>
      <c r="F18" s="163" t="s">
        <v>171</v>
      </c>
      <c r="G18" s="163" t="s">
        <v>267</v>
      </c>
      <c r="H18" s="163" t="s">
        <v>269</v>
      </c>
      <c r="I18" s="163" t="s">
        <v>341</v>
      </c>
      <c r="J18" s="163" t="s">
        <v>242</v>
      </c>
      <c r="K18" s="163" t="s">
        <v>268</v>
      </c>
      <c r="L18" s="163" t="s">
        <v>246</v>
      </c>
      <c r="M18" s="163" t="s">
        <v>266</v>
      </c>
      <c r="N18" s="163" t="s">
        <v>226</v>
      </c>
      <c r="O18" s="163" t="s">
        <v>342</v>
      </c>
      <c r="P18" s="163" t="s">
        <v>245</v>
      </c>
      <c r="Q18" s="163" t="s">
        <v>349</v>
      </c>
      <c r="R18" s="163" t="s">
        <v>168</v>
      </c>
      <c r="S18" s="163" t="s">
        <v>270</v>
      </c>
      <c r="T18" s="163" t="s">
        <v>343</v>
      </c>
      <c r="U18" s="163" t="s">
        <v>353</v>
      </c>
      <c r="V18" s="163" t="s">
        <v>170</v>
      </c>
      <c r="W18" s="163" t="s">
        <v>344</v>
      </c>
      <c r="X18" s="163" t="s">
        <v>247</v>
      </c>
      <c r="Y18" s="163" t="s">
        <v>345</v>
      </c>
      <c r="Z18" s="163" t="s">
        <v>248</v>
      </c>
      <c r="AA18" s="163" t="s">
        <v>346</v>
      </c>
      <c r="AB18" s="163" t="s">
        <v>249</v>
      </c>
      <c r="AC18" s="163" t="s">
        <v>347</v>
      </c>
      <c r="AD18" s="163" t="s">
        <v>169</v>
      </c>
      <c r="AE18" s="163" t="s">
        <v>232</v>
      </c>
      <c r="AF18" s="163" t="s">
        <v>243</v>
      </c>
      <c r="AG18" s="163" t="s">
        <v>274</v>
      </c>
    </row>
    <row r="19" spans="1:33" x14ac:dyDescent="0.2">
      <c r="A19" s="163" t="s">
        <v>317</v>
      </c>
      <c r="B19" s="163" t="s">
        <v>331</v>
      </c>
      <c r="C19" s="163"/>
      <c r="D19" s="163"/>
      <c r="E19" s="163"/>
      <c r="F19" s="163" t="s">
        <v>319</v>
      </c>
      <c r="G19" s="163" t="s">
        <v>320</v>
      </c>
      <c r="H19" s="163"/>
      <c r="I19" s="163"/>
      <c r="J19" s="163" t="s">
        <v>320</v>
      </c>
      <c r="K19" s="163"/>
      <c r="L19" s="163" t="s">
        <v>334</v>
      </c>
      <c r="M19" s="163"/>
      <c r="N19" s="163" t="s">
        <v>355</v>
      </c>
      <c r="O19" s="163"/>
      <c r="P19" s="163"/>
      <c r="Q19" s="163"/>
      <c r="R19" s="163" t="s">
        <v>327</v>
      </c>
      <c r="S19" s="163"/>
      <c r="T19" s="163"/>
      <c r="U19" s="163"/>
      <c r="V19" s="163" t="s">
        <v>333</v>
      </c>
      <c r="W19" s="163"/>
      <c r="X19" s="163" t="s">
        <v>327</v>
      </c>
      <c r="Y19" s="163"/>
      <c r="Z19" s="163" t="s">
        <v>320</v>
      </c>
      <c r="AA19" s="163"/>
      <c r="AB19" s="163"/>
      <c r="AC19" s="163"/>
      <c r="AD19" s="163" t="s">
        <v>325</v>
      </c>
      <c r="AE19" s="163" t="s">
        <v>322</v>
      </c>
      <c r="AF19" s="163" t="s">
        <v>325</v>
      </c>
      <c r="AG19" s="163" t="s">
        <v>327</v>
      </c>
    </row>
    <row r="20" spans="1:33" x14ac:dyDescent="0.2">
      <c r="A20" s="163" t="s">
        <v>318</v>
      </c>
      <c r="B20" s="163" t="s">
        <v>332</v>
      </c>
      <c r="C20" s="163"/>
      <c r="D20" s="163"/>
      <c r="E20" s="163"/>
      <c r="F20" s="163" t="s">
        <v>324</v>
      </c>
      <c r="G20" s="163" t="s">
        <v>328</v>
      </c>
      <c r="H20" s="163"/>
      <c r="I20" s="163"/>
      <c r="J20" s="163" t="s">
        <v>330</v>
      </c>
      <c r="K20" s="163"/>
      <c r="L20" s="163">
        <v>1999</v>
      </c>
      <c r="M20" s="163"/>
      <c r="N20" s="163" t="s">
        <v>356</v>
      </c>
      <c r="O20" s="163"/>
      <c r="P20" s="163"/>
      <c r="Q20" s="163"/>
      <c r="R20" s="163">
        <v>2012</v>
      </c>
      <c r="S20" s="163"/>
      <c r="T20" s="163"/>
      <c r="U20" s="163"/>
      <c r="V20" s="163">
        <v>2006</v>
      </c>
      <c r="W20" s="163"/>
      <c r="X20" s="163">
        <v>1997</v>
      </c>
      <c r="Y20" s="163"/>
      <c r="Z20" s="163" t="s">
        <v>321</v>
      </c>
      <c r="AA20" s="163"/>
      <c r="AB20" s="163"/>
      <c r="AC20" s="163"/>
      <c r="AD20" s="163" t="s">
        <v>329</v>
      </c>
      <c r="AE20" s="163" t="s">
        <v>323</v>
      </c>
      <c r="AF20" s="163" t="s">
        <v>326</v>
      </c>
      <c r="AG20" s="163">
        <v>1967</v>
      </c>
    </row>
    <row r="23" spans="1:33" x14ac:dyDescent="0.2">
      <c r="A23" s="203"/>
      <c r="B23" s="203"/>
      <c r="C23" s="203"/>
      <c r="D23" s="203"/>
      <c r="E23" s="203"/>
      <c r="F23" s="203"/>
      <c r="G23" s="203"/>
      <c r="H23" s="203"/>
      <c r="I23" s="203"/>
      <c r="J23" s="203"/>
      <c r="K23" s="203"/>
      <c r="L23" s="203"/>
      <c r="M23" s="203"/>
      <c r="N23" s="203"/>
      <c r="O23" s="203"/>
      <c r="P23" s="203"/>
      <c r="Q23" s="203"/>
      <c r="R23" s="203"/>
      <c r="S23" s="203"/>
      <c r="T23" s="203"/>
      <c r="U23" s="203"/>
      <c r="V23" s="203"/>
      <c r="W23" s="203"/>
      <c r="X23" s="203"/>
      <c r="Y23" s="203"/>
      <c r="Z23" s="203"/>
      <c r="AA23" s="203"/>
      <c r="AB23" s="203"/>
      <c r="AC23" s="203"/>
      <c r="AD23" s="203"/>
      <c r="AE23" s="203"/>
      <c r="AF23" s="203"/>
      <c r="AG23" s="203"/>
    </row>
    <row r="24" spans="1:33" x14ac:dyDescent="0.2">
      <c r="A24" s="203"/>
      <c r="B24" s="203"/>
      <c r="C24" s="203"/>
      <c r="D24" s="203"/>
      <c r="E24" s="203"/>
      <c r="F24" s="203"/>
      <c r="G24" s="203"/>
      <c r="H24" s="203"/>
      <c r="I24" s="203"/>
      <c r="J24" s="203"/>
      <c r="K24" s="203"/>
      <c r="L24" s="203"/>
      <c r="M24" s="203"/>
      <c r="N24" s="203"/>
      <c r="O24" s="203"/>
      <c r="P24" s="203"/>
      <c r="Q24" s="203"/>
      <c r="R24" s="203"/>
      <c r="S24" s="203"/>
      <c r="T24" s="203"/>
      <c r="U24" s="203"/>
      <c r="V24" s="203"/>
      <c r="W24" s="203"/>
      <c r="X24" s="203"/>
      <c r="Y24" s="203"/>
      <c r="Z24" s="203"/>
      <c r="AA24" s="203"/>
      <c r="AB24" s="203"/>
      <c r="AC24" s="203"/>
      <c r="AD24" s="203"/>
      <c r="AE24" s="203"/>
      <c r="AF24" s="203"/>
      <c r="AG24" s="203"/>
    </row>
    <row r="25" spans="1:33" x14ac:dyDescent="0.2">
      <c r="A25" s="203"/>
      <c r="B25" s="203"/>
      <c r="C25" s="203"/>
      <c r="D25" s="203"/>
      <c r="E25" s="203"/>
      <c r="F25" s="203"/>
      <c r="G25" s="203"/>
      <c r="H25" s="203"/>
      <c r="I25" s="203"/>
      <c r="J25" s="203"/>
      <c r="K25" s="203"/>
      <c r="L25" s="203"/>
      <c r="M25" s="203"/>
      <c r="N25" s="203"/>
      <c r="O25" s="203"/>
      <c r="P25" s="203"/>
      <c r="Q25" s="203"/>
      <c r="R25" s="203"/>
      <c r="S25" s="203"/>
      <c r="T25" s="203"/>
      <c r="U25" s="203"/>
      <c r="V25" s="203"/>
      <c r="W25" s="203"/>
      <c r="X25" s="203"/>
      <c r="Y25" s="203"/>
      <c r="Z25" s="203"/>
      <c r="AA25" s="203"/>
      <c r="AB25" s="203"/>
      <c r="AC25" s="203"/>
      <c r="AD25" s="203"/>
      <c r="AE25" s="203"/>
      <c r="AF25" s="203"/>
      <c r="AG25" s="203"/>
    </row>
    <row r="26" spans="1:33" x14ac:dyDescent="0.2">
      <c r="A26" s="203"/>
      <c r="B26" s="203"/>
      <c r="C26" s="203"/>
      <c r="D26" s="203"/>
      <c r="E26" s="203"/>
      <c r="F26" s="203"/>
      <c r="G26" s="203"/>
      <c r="H26" s="203"/>
      <c r="I26" s="203"/>
      <c r="J26" s="203"/>
      <c r="K26" s="203"/>
      <c r="L26" s="203"/>
      <c r="M26" s="203"/>
      <c r="N26" s="203"/>
      <c r="O26" s="203"/>
      <c r="P26" s="203"/>
      <c r="Q26" s="203"/>
      <c r="R26" s="203"/>
      <c r="S26" s="203"/>
      <c r="T26" s="203"/>
      <c r="U26" s="203"/>
      <c r="V26" s="203"/>
      <c r="W26" s="203"/>
      <c r="X26" s="203"/>
      <c r="Y26" s="203"/>
      <c r="Z26" s="203"/>
      <c r="AA26" s="203"/>
      <c r="AB26" s="203"/>
      <c r="AC26" s="203"/>
      <c r="AD26" s="203"/>
      <c r="AE26" s="203"/>
      <c r="AF26" s="203"/>
      <c r="AG26" s="203"/>
    </row>
    <row r="27" spans="1:33" x14ac:dyDescent="0.2">
      <c r="A27" s="203"/>
      <c r="B27" s="203"/>
      <c r="C27" s="203"/>
      <c r="D27" s="203"/>
      <c r="E27" s="203"/>
      <c r="F27" s="203"/>
      <c r="G27" s="203"/>
      <c r="H27" s="203"/>
      <c r="I27" s="203"/>
      <c r="J27" s="203"/>
      <c r="K27" s="203"/>
      <c r="L27" s="203"/>
      <c r="M27" s="203"/>
      <c r="N27" s="203"/>
      <c r="O27" s="203"/>
      <c r="P27" s="203"/>
      <c r="Q27" s="203"/>
      <c r="R27" s="203"/>
      <c r="S27" s="203"/>
      <c r="T27" s="203"/>
      <c r="U27" s="203"/>
      <c r="V27" s="203"/>
      <c r="W27" s="203"/>
      <c r="X27" s="203"/>
      <c r="Y27" s="203"/>
      <c r="Z27" s="203"/>
      <c r="AA27" s="203"/>
      <c r="AB27" s="203"/>
      <c r="AC27" s="203"/>
      <c r="AD27" s="203"/>
      <c r="AE27" s="203"/>
      <c r="AF27" s="203"/>
      <c r="AG27" s="203"/>
    </row>
    <row r="28" spans="1:33" x14ac:dyDescent="0.2">
      <c r="A28" s="203"/>
      <c r="B28" s="203"/>
      <c r="C28" s="203"/>
      <c r="D28" s="203"/>
      <c r="E28" s="203"/>
      <c r="F28" s="203"/>
      <c r="G28" s="203"/>
      <c r="H28" s="203"/>
      <c r="I28" s="203"/>
      <c r="J28" s="203"/>
      <c r="K28" s="203"/>
      <c r="L28" s="203"/>
      <c r="M28" s="203"/>
      <c r="N28" s="203"/>
      <c r="O28" s="203"/>
      <c r="P28" s="203"/>
      <c r="Q28" s="203"/>
      <c r="R28" s="203"/>
      <c r="S28" s="203"/>
      <c r="T28" s="203"/>
      <c r="U28" s="203"/>
      <c r="V28" s="203"/>
      <c r="W28" s="203"/>
      <c r="X28" s="203"/>
      <c r="Y28" s="203"/>
      <c r="Z28" s="203"/>
      <c r="AA28" s="203"/>
      <c r="AB28" s="203"/>
      <c r="AC28" s="203"/>
      <c r="AD28" s="203"/>
      <c r="AE28" s="203"/>
      <c r="AF28" s="203"/>
      <c r="AG28" s="203"/>
    </row>
    <row r="29" spans="1:33" x14ac:dyDescent="0.2">
      <c r="A29" s="203"/>
      <c r="B29" s="203"/>
      <c r="C29" s="203"/>
      <c r="D29" s="203"/>
      <c r="E29" s="203"/>
      <c r="F29" s="203"/>
      <c r="G29" s="203"/>
      <c r="H29" s="203"/>
      <c r="I29" s="203"/>
      <c r="J29" s="203"/>
      <c r="K29" s="203"/>
      <c r="L29" s="203"/>
      <c r="M29" s="203"/>
      <c r="N29" s="203"/>
      <c r="O29" s="203"/>
      <c r="P29" s="203"/>
      <c r="Q29" s="203"/>
      <c r="R29" s="203"/>
      <c r="S29" s="203"/>
      <c r="T29" s="203"/>
      <c r="U29" s="203"/>
      <c r="V29" s="203"/>
      <c r="W29" s="203"/>
      <c r="X29" s="203"/>
      <c r="Y29" s="203"/>
      <c r="Z29" s="203"/>
      <c r="AA29" s="203"/>
      <c r="AB29" s="203"/>
      <c r="AC29" s="203"/>
      <c r="AD29" s="203"/>
      <c r="AE29" s="203"/>
      <c r="AF29" s="203"/>
      <c r="AG29" s="203"/>
    </row>
    <row r="30" spans="1:33" x14ac:dyDescent="0.2">
      <c r="A30" s="203"/>
      <c r="B30" s="203"/>
      <c r="C30" s="203"/>
      <c r="D30" s="203"/>
      <c r="E30" s="203"/>
      <c r="F30" s="203"/>
      <c r="G30" s="203"/>
      <c r="H30" s="203"/>
      <c r="I30" s="203"/>
      <c r="J30" s="203"/>
      <c r="K30" s="203"/>
      <c r="L30" s="203"/>
      <c r="M30" s="203"/>
      <c r="N30" s="203"/>
      <c r="O30" s="203"/>
      <c r="P30" s="203"/>
      <c r="Q30" s="203"/>
      <c r="R30" s="203"/>
      <c r="S30" s="203"/>
      <c r="T30" s="203"/>
      <c r="U30" s="203"/>
      <c r="V30" s="203"/>
      <c r="W30" s="203"/>
      <c r="X30" s="203"/>
      <c r="Y30" s="203"/>
      <c r="Z30" s="203"/>
      <c r="AA30" s="203"/>
      <c r="AB30" s="203"/>
      <c r="AC30" s="203"/>
      <c r="AD30" s="203"/>
      <c r="AE30" s="203"/>
      <c r="AF30" s="203"/>
      <c r="AG30" s="203"/>
    </row>
    <row r="31" spans="1:33" x14ac:dyDescent="0.2">
      <c r="A31" s="203"/>
      <c r="B31" s="203"/>
      <c r="C31" s="203"/>
      <c r="D31" s="203"/>
      <c r="E31" s="203"/>
      <c r="F31" s="203"/>
      <c r="G31" s="203"/>
      <c r="H31" s="203"/>
      <c r="I31" s="203"/>
      <c r="J31" s="203"/>
      <c r="K31" s="203"/>
      <c r="L31" s="203"/>
      <c r="M31" s="203"/>
      <c r="N31" s="203"/>
      <c r="O31" s="203"/>
      <c r="P31" s="203"/>
      <c r="Q31" s="203"/>
      <c r="R31" s="203"/>
      <c r="S31" s="203"/>
      <c r="T31" s="203"/>
      <c r="U31" s="203"/>
      <c r="V31" s="203"/>
      <c r="W31" s="203"/>
      <c r="X31" s="203"/>
      <c r="Y31" s="203"/>
      <c r="Z31" s="203"/>
      <c r="AA31" s="203"/>
      <c r="AB31" s="203"/>
      <c r="AC31" s="203"/>
      <c r="AD31" s="203"/>
      <c r="AE31" s="203"/>
      <c r="AF31" s="203"/>
      <c r="AG31" s="203"/>
    </row>
    <row r="32" spans="1:33" x14ac:dyDescent="0.2">
      <c r="A32" s="203"/>
      <c r="B32" s="203"/>
      <c r="C32" s="203"/>
      <c r="D32" s="203"/>
      <c r="E32" s="203"/>
      <c r="F32" s="203"/>
      <c r="G32" s="203"/>
      <c r="H32" s="203"/>
      <c r="I32" s="203"/>
      <c r="J32" s="203"/>
      <c r="K32" s="203"/>
      <c r="L32" s="203"/>
      <c r="M32" s="203"/>
      <c r="N32" s="203"/>
      <c r="O32" s="203"/>
      <c r="P32" s="203"/>
      <c r="Q32" s="203"/>
      <c r="R32" s="203"/>
      <c r="S32" s="203"/>
      <c r="T32" s="203"/>
      <c r="U32" s="203"/>
      <c r="V32" s="203"/>
      <c r="W32" s="203"/>
      <c r="X32" s="203"/>
      <c r="Y32" s="203"/>
      <c r="Z32" s="203"/>
      <c r="AA32" s="203"/>
      <c r="AB32" s="203"/>
      <c r="AC32" s="203"/>
      <c r="AD32" s="203"/>
      <c r="AE32" s="203"/>
      <c r="AF32" s="203"/>
      <c r="AG32" s="203"/>
    </row>
    <row r="33" spans="1:33" x14ac:dyDescent="0.2">
      <c r="A33" s="203"/>
      <c r="B33" s="203"/>
      <c r="C33" s="203"/>
      <c r="D33" s="203"/>
      <c r="E33" s="203"/>
      <c r="F33" s="203"/>
      <c r="G33" s="203"/>
      <c r="H33" s="203"/>
      <c r="I33" s="203"/>
      <c r="J33" s="203"/>
      <c r="K33" s="203"/>
      <c r="L33" s="203"/>
      <c r="M33" s="203"/>
      <c r="N33" s="203"/>
      <c r="O33" s="203"/>
      <c r="P33" s="203"/>
      <c r="Q33" s="203"/>
      <c r="R33" s="203"/>
      <c r="S33" s="203"/>
      <c r="T33" s="203"/>
      <c r="U33" s="203"/>
      <c r="V33" s="203"/>
      <c r="W33" s="203"/>
      <c r="X33" s="203"/>
      <c r="Y33" s="203"/>
      <c r="Z33" s="203"/>
      <c r="AA33" s="203"/>
      <c r="AB33" s="203"/>
      <c r="AC33" s="203"/>
      <c r="AD33" s="203"/>
      <c r="AE33" s="203"/>
      <c r="AF33" s="203"/>
      <c r="AG33" s="203"/>
    </row>
    <row r="34" spans="1:33" x14ac:dyDescent="0.2">
      <c r="A34" s="203"/>
      <c r="B34" s="203"/>
      <c r="C34" s="203"/>
      <c r="D34" s="203"/>
      <c r="E34" s="203"/>
      <c r="F34" s="203"/>
      <c r="G34" s="203"/>
      <c r="H34" s="203"/>
      <c r="I34" s="203"/>
      <c r="J34" s="203"/>
      <c r="K34" s="203"/>
      <c r="L34" s="203"/>
      <c r="M34" s="203"/>
      <c r="N34" s="203"/>
      <c r="O34" s="203"/>
      <c r="P34" s="203"/>
      <c r="Q34" s="203"/>
      <c r="R34" s="203"/>
      <c r="S34" s="203"/>
      <c r="T34" s="203"/>
      <c r="U34" s="203"/>
      <c r="V34" s="203"/>
      <c r="W34" s="203"/>
      <c r="X34" s="203"/>
      <c r="Y34" s="203"/>
      <c r="Z34" s="203"/>
      <c r="AA34" s="203"/>
      <c r="AB34" s="203"/>
      <c r="AC34" s="203"/>
      <c r="AD34" s="203"/>
      <c r="AE34" s="203"/>
      <c r="AF34" s="203"/>
      <c r="AG34" s="203"/>
    </row>
    <row r="35" spans="1:33" x14ac:dyDescent="0.2">
      <c r="A35" s="203"/>
      <c r="B35" s="203"/>
      <c r="C35" s="203"/>
      <c r="D35" s="203"/>
      <c r="E35" s="203"/>
      <c r="F35" s="203"/>
      <c r="G35" s="203"/>
      <c r="H35" s="203"/>
      <c r="I35" s="203"/>
      <c r="J35" s="203"/>
      <c r="K35" s="203"/>
      <c r="L35" s="203"/>
      <c r="M35" s="203"/>
      <c r="N35" s="203"/>
      <c r="O35" s="203"/>
      <c r="P35" s="203"/>
      <c r="Q35" s="203"/>
      <c r="R35" s="203"/>
      <c r="S35" s="203"/>
      <c r="T35" s="203"/>
      <c r="U35" s="203"/>
      <c r="V35" s="203"/>
      <c r="W35" s="203"/>
      <c r="X35" s="203"/>
      <c r="Y35" s="203"/>
      <c r="Z35" s="203"/>
      <c r="AA35" s="203"/>
      <c r="AB35" s="203"/>
      <c r="AC35" s="203"/>
      <c r="AD35" s="203"/>
      <c r="AE35" s="203"/>
      <c r="AF35" s="203"/>
      <c r="AG35" s="203"/>
    </row>
    <row r="36" spans="1:33" x14ac:dyDescent="0.2">
      <c r="A36" s="203"/>
      <c r="B36" s="203"/>
      <c r="C36" s="203"/>
      <c r="D36" s="203"/>
      <c r="E36" s="203"/>
      <c r="F36" s="203"/>
      <c r="G36" s="203"/>
      <c r="H36" s="203"/>
      <c r="I36" s="203"/>
      <c r="J36" s="203"/>
      <c r="K36" s="203"/>
      <c r="L36" s="203"/>
      <c r="M36" s="203"/>
      <c r="N36" s="203"/>
      <c r="O36" s="203"/>
      <c r="P36" s="203"/>
      <c r="Q36" s="203"/>
      <c r="R36" s="203"/>
      <c r="S36" s="203"/>
      <c r="T36" s="203"/>
      <c r="U36" s="203"/>
      <c r="V36" s="203"/>
      <c r="W36" s="203"/>
      <c r="X36" s="203"/>
      <c r="Y36" s="203"/>
      <c r="Z36" s="203"/>
      <c r="AA36" s="203"/>
      <c r="AB36" s="203"/>
      <c r="AC36" s="203"/>
      <c r="AD36" s="203"/>
      <c r="AE36" s="203"/>
      <c r="AF36" s="203"/>
      <c r="AG36" s="203"/>
    </row>
    <row r="37" spans="1:33" x14ac:dyDescent="0.2">
      <c r="A37" s="203"/>
      <c r="B37" s="203"/>
      <c r="C37" s="203"/>
      <c r="D37" s="203"/>
      <c r="E37" s="203"/>
      <c r="F37" s="203"/>
      <c r="G37" s="203"/>
      <c r="H37" s="203"/>
      <c r="I37" s="203"/>
      <c r="J37" s="203"/>
      <c r="K37" s="203"/>
      <c r="L37" s="203"/>
      <c r="M37" s="203"/>
      <c r="N37" s="203"/>
      <c r="O37" s="203"/>
      <c r="P37" s="203"/>
      <c r="Q37" s="203"/>
      <c r="R37" s="203"/>
      <c r="S37" s="203"/>
      <c r="T37" s="203"/>
      <c r="U37" s="203"/>
      <c r="V37" s="203"/>
      <c r="W37" s="203"/>
      <c r="X37" s="203"/>
      <c r="Y37" s="203"/>
      <c r="Z37" s="203"/>
      <c r="AA37" s="203"/>
      <c r="AB37" s="203"/>
      <c r="AC37" s="203"/>
      <c r="AD37" s="203"/>
      <c r="AE37" s="203"/>
      <c r="AF37" s="203"/>
      <c r="AG37" s="203"/>
    </row>
    <row r="38" spans="1:33" x14ac:dyDescent="0.2">
      <c r="A38" s="203"/>
      <c r="B38" s="203"/>
      <c r="C38" s="203"/>
      <c r="D38" s="203"/>
      <c r="E38" s="203"/>
      <c r="F38" s="203"/>
      <c r="G38" s="203"/>
      <c r="H38" s="203"/>
      <c r="I38" s="203"/>
      <c r="J38" s="203"/>
      <c r="K38" s="203"/>
      <c r="L38" s="203"/>
      <c r="M38" s="203"/>
      <c r="N38" s="203"/>
      <c r="O38" s="203"/>
      <c r="P38" s="203"/>
      <c r="Q38" s="203"/>
      <c r="R38" s="203"/>
      <c r="S38" s="203"/>
      <c r="T38" s="203"/>
      <c r="U38" s="203"/>
      <c r="V38" s="203"/>
      <c r="W38" s="203"/>
      <c r="X38" s="203"/>
      <c r="Y38" s="203"/>
      <c r="Z38" s="203"/>
      <c r="AA38" s="203"/>
      <c r="AB38" s="203"/>
      <c r="AC38" s="203"/>
      <c r="AD38" s="203"/>
      <c r="AE38" s="203"/>
      <c r="AF38" s="203"/>
      <c r="AG38" s="203"/>
    </row>
    <row r="39" spans="1:33" x14ac:dyDescent="0.2">
      <c r="A39" s="203"/>
      <c r="B39" s="203"/>
      <c r="C39" s="203"/>
      <c r="D39" s="203"/>
      <c r="E39" s="203"/>
      <c r="F39" s="203"/>
      <c r="G39" s="203"/>
      <c r="H39" s="203"/>
      <c r="I39" s="203"/>
      <c r="J39" s="203"/>
      <c r="K39" s="203"/>
      <c r="L39" s="203"/>
      <c r="M39" s="203"/>
      <c r="N39" s="203"/>
      <c r="O39" s="203"/>
      <c r="P39" s="203"/>
      <c r="Q39" s="203"/>
      <c r="R39" s="203"/>
      <c r="S39" s="203"/>
      <c r="T39" s="203"/>
      <c r="U39" s="203"/>
      <c r="V39" s="203"/>
      <c r="W39" s="203"/>
      <c r="X39" s="203"/>
      <c r="Y39" s="203"/>
      <c r="Z39" s="203"/>
      <c r="AA39" s="203"/>
      <c r="AB39" s="203"/>
      <c r="AC39" s="203"/>
      <c r="AD39" s="203"/>
      <c r="AE39" s="203"/>
      <c r="AF39" s="203"/>
      <c r="AG39" s="203"/>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0"/>
  <sheetViews>
    <sheetView showGridLines="0" workbookViewId="0">
      <selection activeCell="Y7" sqref="Y7"/>
    </sheetView>
  </sheetViews>
  <sheetFormatPr defaultColWidth="0" defaultRowHeight="12.75" x14ac:dyDescent="0.2"/>
  <cols>
    <col min="1" max="27" width="3.5703125" customWidth="1"/>
    <col min="28" max="30" width="15.85546875" customWidth="1"/>
    <col min="31" max="31" width="3.5703125" customWidth="1"/>
    <col min="32" max="16384" width="8.85546875" hidden="1"/>
  </cols>
  <sheetData>
    <row r="1" spans="28:30" ht="15" customHeight="1" x14ac:dyDescent="0.2"/>
    <row r="2" spans="28:30" ht="15" customHeight="1" x14ac:dyDescent="0.2">
      <c r="AB2" s="230"/>
      <c r="AC2" s="231"/>
      <c r="AD2" s="232"/>
    </row>
    <row r="3" spans="28:30" ht="15" customHeight="1" x14ac:dyDescent="0.2">
      <c r="AB3" s="233"/>
      <c r="AC3" s="234"/>
      <c r="AD3" s="235"/>
    </row>
    <row r="4" spans="28:30" ht="15" customHeight="1" x14ac:dyDescent="0.2">
      <c r="AB4" s="233"/>
      <c r="AC4" s="234"/>
      <c r="AD4" s="235"/>
    </row>
    <row r="5" spans="28:30" ht="15" customHeight="1" x14ac:dyDescent="0.2">
      <c r="AB5" s="233"/>
      <c r="AC5" s="234"/>
      <c r="AD5" s="235"/>
    </row>
    <row r="6" spans="28:30" ht="15" customHeight="1" x14ac:dyDescent="0.2">
      <c r="AB6" s="233"/>
      <c r="AC6" s="234"/>
      <c r="AD6" s="235"/>
    </row>
    <row r="7" spans="28:30" ht="15" customHeight="1" x14ac:dyDescent="0.2">
      <c r="AB7" s="233"/>
      <c r="AC7" s="234"/>
      <c r="AD7" s="235"/>
    </row>
    <row r="8" spans="28:30" ht="15" customHeight="1" x14ac:dyDescent="0.2">
      <c r="AB8" s="233"/>
      <c r="AC8" s="337" t="s">
        <v>381</v>
      </c>
      <c r="AD8" s="235"/>
    </row>
    <row r="9" spans="28:30" ht="19.350000000000001" customHeight="1" x14ac:dyDescent="0.2">
      <c r="AB9" s="233"/>
      <c r="AC9" s="337"/>
      <c r="AD9" s="235"/>
    </row>
    <row r="10" spans="28:30" ht="15" customHeight="1" x14ac:dyDescent="0.2">
      <c r="AB10" s="236"/>
      <c r="AC10" s="237"/>
      <c r="AD10" s="238"/>
    </row>
    <row r="11" spans="28:30" ht="15" customHeight="1" x14ac:dyDescent="0.2">
      <c r="AB11" s="338" t="s">
        <v>406</v>
      </c>
      <c r="AC11" s="339"/>
      <c r="AD11" s="340"/>
    </row>
    <row r="12" spans="28:30" ht="15" customHeight="1" x14ac:dyDescent="0.2">
      <c r="AB12" s="341"/>
      <c r="AC12" s="342"/>
      <c r="AD12" s="343"/>
    </row>
    <row r="13" spans="28:30" ht="15" customHeight="1" x14ac:dyDescent="0.25">
      <c r="AB13" s="226"/>
      <c r="AC13" s="226"/>
      <c r="AD13" s="226"/>
    </row>
    <row r="14" spans="28:30" ht="15" customHeight="1" x14ac:dyDescent="0.25">
      <c r="AB14" s="227">
        <v>1</v>
      </c>
      <c r="AC14" s="228"/>
      <c r="AD14" s="228"/>
    </row>
    <row r="15" spans="28:30" ht="15" customHeight="1" x14ac:dyDescent="0.2">
      <c r="AB15" s="328" t="s">
        <v>407</v>
      </c>
      <c r="AC15" s="329"/>
      <c r="AD15" s="330"/>
    </row>
    <row r="16" spans="28:30" ht="15" customHeight="1" x14ac:dyDescent="0.2">
      <c r="AB16" s="331"/>
      <c r="AC16" s="332"/>
      <c r="AD16" s="333"/>
    </row>
    <row r="17" spans="2:30" ht="15" customHeight="1" x14ac:dyDescent="0.2">
      <c r="AB17" s="331"/>
      <c r="AC17" s="332"/>
      <c r="AD17" s="333"/>
    </row>
    <row r="18" spans="2:30" ht="15" customHeight="1" x14ac:dyDescent="0.2">
      <c r="AB18" s="334"/>
      <c r="AC18" s="335"/>
      <c r="AD18" s="336"/>
    </row>
    <row r="19" spans="2:30" ht="15" customHeight="1" x14ac:dyDescent="0.25">
      <c r="B19" s="204" t="s">
        <v>360</v>
      </c>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AB19" s="226"/>
      <c r="AC19" s="226"/>
      <c r="AD19" s="226"/>
    </row>
    <row r="20" spans="2:30" ht="15" customHeight="1" x14ac:dyDescent="0.25">
      <c r="B20" s="206"/>
      <c r="C20" s="147"/>
      <c r="D20" s="147"/>
      <c r="E20" s="147"/>
      <c r="F20" s="147"/>
      <c r="G20" s="147"/>
      <c r="H20" s="147"/>
      <c r="I20" s="147"/>
      <c r="J20" s="147"/>
      <c r="K20" s="147"/>
      <c r="L20" s="147"/>
      <c r="M20" s="147"/>
      <c r="N20" s="147"/>
      <c r="O20" s="147"/>
      <c r="P20" s="147"/>
      <c r="Q20" s="147"/>
      <c r="R20" s="147"/>
      <c r="S20" s="147"/>
      <c r="T20" s="147"/>
      <c r="U20" s="147"/>
      <c r="V20" s="147"/>
      <c r="W20" s="147"/>
      <c r="X20" s="147"/>
      <c r="Y20" s="147"/>
      <c r="AB20" s="227">
        <v>2</v>
      </c>
      <c r="AC20" s="228"/>
      <c r="AD20" s="228"/>
    </row>
    <row r="21" spans="2:30" ht="45" customHeight="1" x14ac:dyDescent="0.2">
      <c r="B21" s="206"/>
      <c r="C21" s="314" t="s">
        <v>361</v>
      </c>
      <c r="D21" s="315"/>
      <c r="E21" s="315"/>
      <c r="F21" s="315"/>
      <c r="G21" s="315"/>
      <c r="H21" s="315"/>
      <c r="I21" s="315"/>
      <c r="J21" s="315"/>
      <c r="K21" s="315"/>
      <c r="L21" s="315"/>
      <c r="M21" s="315"/>
      <c r="N21" s="315"/>
      <c r="O21" s="315"/>
      <c r="P21" s="315"/>
      <c r="Q21" s="315"/>
      <c r="R21" s="315"/>
      <c r="S21" s="315"/>
      <c r="T21" s="315"/>
      <c r="U21" s="315"/>
      <c r="V21" s="315"/>
      <c r="W21" s="315"/>
      <c r="X21" s="315"/>
      <c r="Y21" s="316"/>
      <c r="AB21" s="328" t="s">
        <v>408</v>
      </c>
      <c r="AC21" s="329"/>
      <c r="AD21" s="330"/>
    </row>
    <row r="22" spans="2:30" ht="15" customHeight="1" x14ac:dyDescent="0.2">
      <c r="B22" s="147"/>
      <c r="C22" s="317"/>
      <c r="D22" s="317"/>
      <c r="E22" s="317"/>
      <c r="F22" s="317"/>
      <c r="G22" s="317"/>
      <c r="H22" s="317"/>
      <c r="I22" s="317"/>
      <c r="J22" s="317"/>
      <c r="K22" s="317"/>
      <c r="L22" s="317"/>
      <c r="M22" s="317"/>
      <c r="N22" s="317"/>
      <c r="O22" s="317"/>
      <c r="P22" s="317"/>
      <c r="Q22" s="317" t="s">
        <v>362</v>
      </c>
      <c r="R22" s="317"/>
      <c r="S22" s="317"/>
      <c r="T22" s="317"/>
      <c r="U22" s="317" t="s">
        <v>363</v>
      </c>
      <c r="V22" s="317"/>
      <c r="W22" s="317"/>
      <c r="X22" s="317"/>
      <c r="Y22" s="317"/>
      <c r="AB22" s="331"/>
      <c r="AC22" s="332"/>
      <c r="AD22" s="333"/>
    </row>
    <row r="23" spans="2:30" ht="15" customHeight="1" x14ac:dyDescent="0.2">
      <c r="B23" s="147"/>
      <c r="C23" s="318" t="s">
        <v>364</v>
      </c>
      <c r="D23" s="318"/>
      <c r="E23" s="318"/>
      <c r="F23" s="318"/>
      <c r="G23" s="318"/>
      <c r="H23" s="318"/>
      <c r="I23" s="318"/>
      <c r="J23" s="318"/>
      <c r="K23" s="318"/>
      <c r="L23" s="318"/>
      <c r="M23" s="318"/>
      <c r="N23" s="318"/>
      <c r="O23" s="318"/>
      <c r="P23" s="318"/>
      <c r="Q23" s="318" t="s">
        <v>365</v>
      </c>
      <c r="R23" s="318"/>
      <c r="S23" s="318"/>
      <c r="T23" s="318"/>
      <c r="U23" s="319" t="s">
        <v>366</v>
      </c>
      <c r="V23" s="319"/>
      <c r="W23" s="319"/>
      <c r="X23" s="319"/>
      <c r="Y23" s="319"/>
      <c r="AB23" s="331"/>
      <c r="AC23" s="332"/>
      <c r="AD23" s="333"/>
    </row>
    <row r="24" spans="2:30" ht="15" customHeight="1" x14ac:dyDescent="0.2">
      <c r="B24" s="147"/>
      <c r="C24" s="318" t="s">
        <v>367</v>
      </c>
      <c r="D24" s="318"/>
      <c r="E24" s="318"/>
      <c r="F24" s="318"/>
      <c r="G24" s="318"/>
      <c r="H24" s="318"/>
      <c r="I24" s="318"/>
      <c r="J24" s="318"/>
      <c r="K24" s="318"/>
      <c r="L24" s="318"/>
      <c r="M24" s="318"/>
      <c r="N24" s="318"/>
      <c r="O24" s="318"/>
      <c r="P24" s="318"/>
      <c r="Q24" s="318" t="s">
        <v>365</v>
      </c>
      <c r="R24" s="318"/>
      <c r="S24" s="318"/>
      <c r="T24" s="318"/>
      <c r="U24" s="319" t="s">
        <v>366</v>
      </c>
      <c r="V24" s="319"/>
      <c r="W24" s="319"/>
      <c r="X24" s="319"/>
      <c r="Y24" s="319"/>
      <c r="AB24" s="334"/>
      <c r="AC24" s="335"/>
      <c r="AD24" s="336"/>
    </row>
    <row r="25" spans="2:30" ht="15" customHeight="1" x14ac:dyDescent="0.25">
      <c r="B25" s="147"/>
      <c r="C25" s="318" t="s">
        <v>368</v>
      </c>
      <c r="D25" s="318"/>
      <c r="E25" s="318"/>
      <c r="F25" s="318"/>
      <c r="G25" s="318"/>
      <c r="H25" s="318"/>
      <c r="I25" s="318"/>
      <c r="J25" s="318"/>
      <c r="K25" s="318"/>
      <c r="L25" s="318"/>
      <c r="M25" s="318"/>
      <c r="N25" s="318"/>
      <c r="O25" s="318"/>
      <c r="P25" s="318"/>
      <c r="Q25" s="320" t="s">
        <v>369</v>
      </c>
      <c r="R25" s="320"/>
      <c r="S25" s="320"/>
      <c r="T25" s="320"/>
      <c r="U25" s="321"/>
      <c r="V25" s="321"/>
      <c r="W25" s="321"/>
      <c r="X25" s="321"/>
      <c r="Y25" s="321"/>
      <c r="AB25" s="226"/>
      <c r="AC25" s="226"/>
      <c r="AD25" s="226"/>
    </row>
    <row r="26" spans="2:30" ht="15" customHeight="1" x14ac:dyDescent="0.25">
      <c r="B26" s="147"/>
      <c r="C26" s="318"/>
      <c r="D26" s="318"/>
      <c r="E26" s="318"/>
      <c r="F26" s="318"/>
      <c r="G26" s="318"/>
      <c r="H26" s="318"/>
      <c r="I26" s="318"/>
      <c r="J26" s="318"/>
      <c r="K26" s="318"/>
      <c r="L26" s="318"/>
      <c r="M26" s="318"/>
      <c r="N26" s="318"/>
      <c r="O26" s="318"/>
      <c r="P26" s="318"/>
      <c r="Q26" s="320"/>
      <c r="R26" s="320"/>
      <c r="S26" s="320"/>
      <c r="T26" s="320"/>
      <c r="U26" s="321"/>
      <c r="V26" s="321"/>
      <c r="W26" s="321"/>
      <c r="X26" s="321"/>
      <c r="Y26" s="321"/>
      <c r="AB26" s="227">
        <v>3</v>
      </c>
      <c r="AC26" s="228"/>
      <c r="AD26" s="228"/>
    </row>
    <row r="27" spans="2:30" ht="15" customHeight="1" x14ac:dyDescent="0.2">
      <c r="B27" s="147"/>
      <c r="C27" s="322" t="s">
        <v>370</v>
      </c>
      <c r="D27" s="323"/>
      <c r="E27" s="323"/>
      <c r="F27" s="323"/>
      <c r="G27" s="323"/>
      <c r="H27" s="323"/>
      <c r="I27" s="323"/>
      <c r="J27" s="323"/>
      <c r="K27" s="323"/>
      <c r="L27" s="323"/>
      <c r="M27" s="323"/>
      <c r="N27" s="323"/>
      <c r="O27" s="323"/>
      <c r="P27" s="324"/>
      <c r="Q27" s="320" t="s">
        <v>371</v>
      </c>
      <c r="R27" s="320"/>
      <c r="S27" s="320"/>
      <c r="T27" s="320"/>
      <c r="U27" s="321"/>
      <c r="V27" s="321"/>
      <c r="W27" s="321"/>
      <c r="X27" s="321"/>
      <c r="Y27" s="321"/>
      <c r="AB27" s="328" t="s">
        <v>409</v>
      </c>
      <c r="AC27" s="329"/>
      <c r="AD27" s="330"/>
    </row>
    <row r="28" spans="2:30" ht="15" customHeight="1" x14ac:dyDescent="0.2">
      <c r="B28" s="147"/>
      <c r="C28" s="325"/>
      <c r="D28" s="326"/>
      <c r="E28" s="326"/>
      <c r="F28" s="326"/>
      <c r="G28" s="326"/>
      <c r="H28" s="326"/>
      <c r="I28" s="326"/>
      <c r="J28" s="326"/>
      <c r="K28" s="326"/>
      <c r="L28" s="326"/>
      <c r="M28" s="326"/>
      <c r="N28" s="326"/>
      <c r="O28" s="326"/>
      <c r="P28" s="327"/>
      <c r="Q28" s="320"/>
      <c r="R28" s="320"/>
      <c r="S28" s="320"/>
      <c r="T28" s="320"/>
      <c r="U28" s="321"/>
      <c r="V28" s="321"/>
      <c r="W28" s="321"/>
      <c r="X28" s="321"/>
      <c r="Y28" s="321"/>
      <c r="AB28" s="331"/>
      <c r="AC28" s="332"/>
      <c r="AD28" s="333"/>
    </row>
    <row r="29" spans="2:30" ht="15" customHeight="1" x14ac:dyDescent="0.2">
      <c r="B29" s="207"/>
      <c r="C29" s="208"/>
      <c r="D29" s="207"/>
      <c r="E29" s="207"/>
      <c r="F29" s="207"/>
      <c r="G29" s="207"/>
      <c r="H29" s="207"/>
      <c r="I29" s="207"/>
      <c r="J29" s="207"/>
      <c r="K29" s="207"/>
      <c r="L29" s="207"/>
      <c r="M29" s="207"/>
      <c r="N29" s="207"/>
      <c r="O29" s="207"/>
      <c r="P29" s="209"/>
      <c r="Q29" s="209"/>
      <c r="R29" s="209"/>
      <c r="S29" s="209"/>
      <c r="T29" s="210"/>
      <c r="U29" s="210"/>
      <c r="V29" s="210"/>
      <c r="W29" s="210"/>
      <c r="X29" s="210"/>
      <c r="Y29" s="147"/>
      <c r="AB29" s="331"/>
      <c r="AC29" s="332"/>
      <c r="AD29" s="333"/>
    </row>
    <row r="30" spans="2:30" ht="15" customHeight="1" x14ac:dyDescent="0.2">
      <c r="B30" s="211" t="s">
        <v>372</v>
      </c>
      <c r="C30" s="212"/>
      <c r="D30" s="212"/>
      <c r="E30" s="212"/>
      <c r="F30" s="212"/>
      <c r="G30" s="212"/>
      <c r="H30" s="212"/>
      <c r="I30" s="212"/>
      <c r="J30" s="212"/>
      <c r="K30" s="212"/>
      <c r="L30" s="212"/>
      <c r="M30" s="212"/>
      <c r="N30" s="212"/>
      <c r="O30" s="212"/>
      <c r="P30" s="213"/>
      <c r="Q30" s="213"/>
      <c r="R30" s="213"/>
      <c r="S30" s="213"/>
      <c r="T30" s="214"/>
      <c r="U30" s="214"/>
      <c r="V30" s="214"/>
      <c r="W30" s="214"/>
      <c r="X30" s="214"/>
      <c r="Y30" s="205"/>
      <c r="AB30" s="334"/>
      <c r="AC30" s="335"/>
      <c r="AD30" s="336"/>
    </row>
    <row r="31" spans="2:30" ht="15" customHeight="1" x14ac:dyDescent="0.25">
      <c r="B31" s="215"/>
      <c r="C31" s="207"/>
      <c r="D31" s="207"/>
      <c r="E31" s="207"/>
      <c r="F31" s="207"/>
      <c r="G31" s="207"/>
      <c r="H31" s="207"/>
      <c r="I31" s="207"/>
      <c r="J31" s="207"/>
      <c r="K31" s="207"/>
      <c r="L31" s="207"/>
      <c r="M31" s="207"/>
      <c r="N31" s="207"/>
      <c r="O31" s="207"/>
      <c r="P31" s="209"/>
      <c r="Q31" s="209"/>
      <c r="R31" s="209"/>
      <c r="S31" s="209"/>
      <c r="T31" s="210"/>
      <c r="U31" s="210"/>
      <c r="V31" s="210"/>
      <c r="W31" s="210"/>
      <c r="X31" s="210"/>
      <c r="Y31" s="147"/>
      <c r="AB31" s="226"/>
      <c r="AC31" s="226"/>
      <c r="AD31" s="226"/>
    </row>
    <row r="32" spans="2:30" ht="45" customHeight="1" x14ac:dyDescent="0.25">
      <c r="B32" s="216"/>
      <c r="C32" s="314" t="s">
        <v>373</v>
      </c>
      <c r="D32" s="315"/>
      <c r="E32" s="315"/>
      <c r="F32" s="315"/>
      <c r="G32" s="315"/>
      <c r="H32" s="315"/>
      <c r="I32" s="315"/>
      <c r="J32" s="315"/>
      <c r="K32" s="315"/>
      <c r="L32" s="315"/>
      <c r="M32" s="315"/>
      <c r="N32" s="315"/>
      <c r="O32" s="315"/>
      <c r="P32" s="315"/>
      <c r="Q32" s="315"/>
      <c r="R32" s="315"/>
      <c r="S32" s="315"/>
      <c r="T32" s="315"/>
      <c r="U32" s="315"/>
      <c r="V32" s="315"/>
      <c r="W32" s="315"/>
      <c r="X32" s="315"/>
      <c r="Y32" s="316"/>
      <c r="AB32" s="229">
        <v>4</v>
      </c>
      <c r="AC32" s="228"/>
      <c r="AD32" s="228"/>
    </row>
    <row r="33" spans="2:30" ht="15" customHeight="1" x14ac:dyDescent="0.2">
      <c r="B33" s="147"/>
      <c r="C33" s="317"/>
      <c r="D33" s="317"/>
      <c r="E33" s="317"/>
      <c r="F33" s="317"/>
      <c r="G33" s="317"/>
      <c r="H33" s="317"/>
      <c r="I33" s="317"/>
      <c r="J33" s="317"/>
      <c r="K33" s="317"/>
      <c r="L33" s="317"/>
      <c r="M33" s="317"/>
      <c r="N33" s="317"/>
      <c r="O33" s="317"/>
      <c r="P33" s="317"/>
      <c r="Q33" s="317" t="s">
        <v>362</v>
      </c>
      <c r="R33" s="317"/>
      <c r="S33" s="317"/>
      <c r="T33" s="317"/>
      <c r="U33" s="317" t="s">
        <v>363</v>
      </c>
      <c r="V33" s="317"/>
      <c r="W33" s="317"/>
      <c r="X33" s="317"/>
      <c r="Y33" s="317"/>
      <c r="AB33" s="328" t="s">
        <v>450</v>
      </c>
      <c r="AC33" s="329"/>
      <c r="AD33" s="330"/>
    </row>
    <row r="34" spans="2:30" ht="30" customHeight="1" x14ac:dyDescent="0.2">
      <c r="B34" s="147"/>
      <c r="C34" s="314" t="s">
        <v>374</v>
      </c>
      <c r="D34" s="315"/>
      <c r="E34" s="315"/>
      <c r="F34" s="315"/>
      <c r="G34" s="315"/>
      <c r="H34" s="315"/>
      <c r="I34" s="315"/>
      <c r="J34" s="315"/>
      <c r="K34" s="315"/>
      <c r="L34" s="315"/>
      <c r="M34" s="315"/>
      <c r="N34" s="315"/>
      <c r="O34" s="315"/>
      <c r="P34" s="316"/>
      <c r="Q34" s="318" t="s">
        <v>365</v>
      </c>
      <c r="R34" s="318"/>
      <c r="S34" s="318"/>
      <c r="T34" s="318"/>
      <c r="U34" s="319" t="s">
        <v>366</v>
      </c>
      <c r="V34" s="319"/>
      <c r="W34" s="319"/>
      <c r="X34" s="319"/>
      <c r="Y34" s="319"/>
      <c r="AB34" s="331"/>
      <c r="AC34" s="332"/>
      <c r="AD34" s="333"/>
    </row>
    <row r="35" spans="2:30" ht="30" customHeight="1" x14ac:dyDescent="0.2">
      <c r="B35" s="147"/>
      <c r="C35" s="314" t="s">
        <v>375</v>
      </c>
      <c r="D35" s="315"/>
      <c r="E35" s="315"/>
      <c r="F35" s="315"/>
      <c r="G35" s="315"/>
      <c r="H35" s="315"/>
      <c r="I35" s="315"/>
      <c r="J35" s="315"/>
      <c r="K35" s="315"/>
      <c r="L35" s="315"/>
      <c r="M35" s="315"/>
      <c r="N35" s="315"/>
      <c r="O35" s="315"/>
      <c r="P35" s="316"/>
      <c r="Q35" s="318" t="s">
        <v>365</v>
      </c>
      <c r="R35" s="318"/>
      <c r="S35" s="318"/>
      <c r="T35" s="318"/>
      <c r="U35" s="319" t="s">
        <v>366</v>
      </c>
      <c r="V35" s="319"/>
      <c r="W35" s="319"/>
      <c r="X35" s="319"/>
      <c r="Y35" s="319"/>
      <c r="AB35" s="331"/>
      <c r="AC35" s="332"/>
      <c r="AD35" s="333"/>
    </row>
    <row r="36" spans="2:30" ht="15" customHeight="1" x14ac:dyDescent="0.2">
      <c r="B36" s="147"/>
      <c r="C36" s="322" t="s">
        <v>376</v>
      </c>
      <c r="D36" s="323"/>
      <c r="E36" s="323"/>
      <c r="F36" s="323"/>
      <c r="G36" s="323"/>
      <c r="H36" s="323"/>
      <c r="I36" s="323"/>
      <c r="J36" s="323"/>
      <c r="K36" s="323"/>
      <c r="L36" s="323"/>
      <c r="M36" s="323"/>
      <c r="N36" s="323"/>
      <c r="O36" s="323"/>
      <c r="P36" s="324"/>
      <c r="Q36" s="320" t="s">
        <v>377</v>
      </c>
      <c r="R36" s="320"/>
      <c r="S36" s="320"/>
      <c r="T36" s="320"/>
      <c r="U36" s="321"/>
      <c r="V36" s="321"/>
      <c r="W36" s="321"/>
      <c r="X36" s="321"/>
      <c r="Y36" s="321"/>
      <c r="AB36" s="334"/>
      <c r="AC36" s="335"/>
      <c r="AD36" s="336"/>
    </row>
    <row r="37" spans="2:30" ht="15" customHeight="1" x14ac:dyDescent="0.2">
      <c r="B37" s="147"/>
      <c r="C37" s="325"/>
      <c r="D37" s="326"/>
      <c r="E37" s="326"/>
      <c r="F37" s="326"/>
      <c r="G37" s="326"/>
      <c r="H37" s="326"/>
      <c r="I37" s="326"/>
      <c r="J37" s="326"/>
      <c r="K37" s="326"/>
      <c r="L37" s="326"/>
      <c r="M37" s="326"/>
      <c r="N37" s="326"/>
      <c r="O37" s="326"/>
      <c r="P37" s="327"/>
      <c r="Q37" s="320"/>
      <c r="R37" s="320"/>
      <c r="S37" s="320"/>
      <c r="T37" s="320"/>
      <c r="U37" s="321"/>
      <c r="V37" s="321"/>
      <c r="W37" s="321"/>
      <c r="X37" s="321"/>
      <c r="Y37" s="321"/>
    </row>
    <row r="38" spans="2:30" ht="15" customHeight="1" x14ac:dyDescent="0.2">
      <c r="B38" s="147"/>
      <c r="C38" s="147"/>
      <c r="D38" s="147"/>
      <c r="E38" s="147"/>
      <c r="F38" s="147"/>
      <c r="G38" s="147"/>
      <c r="H38" s="147"/>
      <c r="I38" s="147"/>
      <c r="J38" s="147"/>
      <c r="K38" s="147"/>
      <c r="L38" s="147"/>
      <c r="M38" s="147"/>
      <c r="N38" s="147"/>
      <c r="O38" s="147"/>
      <c r="P38" s="147"/>
      <c r="Q38" s="147"/>
      <c r="R38" s="147"/>
      <c r="S38" s="147"/>
      <c r="T38" s="147"/>
      <c r="U38" s="147"/>
      <c r="V38" s="147"/>
      <c r="W38" s="147"/>
      <c r="X38" s="147"/>
      <c r="Y38" s="147"/>
    </row>
    <row r="39" spans="2:30" ht="15" customHeight="1" x14ac:dyDescent="0.2">
      <c r="B39" s="204" t="s">
        <v>378</v>
      </c>
      <c r="C39" s="205"/>
      <c r="D39" s="205"/>
      <c r="E39" s="205"/>
      <c r="F39" s="205"/>
      <c r="G39" s="205"/>
      <c r="H39" s="205"/>
      <c r="I39" s="205"/>
      <c r="J39" s="205"/>
      <c r="K39" s="205"/>
      <c r="L39" s="205"/>
      <c r="M39" s="205"/>
      <c r="N39" s="205"/>
      <c r="O39" s="205"/>
      <c r="P39" s="205"/>
      <c r="Q39" s="205"/>
      <c r="R39" s="205"/>
      <c r="S39" s="205"/>
      <c r="T39" s="205"/>
      <c r="U39" s="205"/>
      <c r="V39" s="205"/>
      <c r="W39" s="205"/>
      <c r="X39" s="205"/>
      <c r="Y39" s="205"/>
    </row>
    <row r="40" spans="2:30" ht="15" customHeight="1" x14ac:dyDescent="0.2">
      <c r="B40" s="147"/>
      <c r="C40" s="147"/>
      <c r="D40" s="147"/>
      <c r="E40" s="147"/>
      <c r="F40" s="147"/>
      <c r="G40" s="147"/>
      <c r="H40" s="147"/>
      <c r="I40" s="147"/>
      <c r="J40" s="147"/>
      <c r="K40" s="147"/>
      <c r="L40" s="147"/>
      <c r="M40" s="147"/>
      <c r="N40" s="147"/>
      <c r="O40" s="147"/>
      <c r="P40" s="147"/>
      <c r="Q40" s="147"/>
      <c r="R40" s="147"/>
      <c r="S40" s="147"/>
      <c r="T40" s="147"/>
      <c r="U40" s="147"/>
      <c r="V40" s="147"/>
      <c r="W40" s="147"/>
      <c r="X40" s="147"/>
      <c r="Y40" s="147"/>
    </row>
    <row r="41" spans="2:30" ht="45" customHeight="1" x14ac:dyDescent="0.2">
      <c r="B41" s="147"/>
      <c r="C41" s="314" t="s">
        <v>379</v>
      </c>
      <c r="D41" s="315"/>
      <c r="E41" s="315"/>
      <c r="F41" s="315"/>
      <c r="G41" s="315"/>
      <c r="H41" s="315"/>
      <c r="I41" s="315"/>
      <c r="J41" s="315"/>
      <c r="K41" s="315"/>
      <c r="L41" s="315"/>
      <c r="M41" s="315"/>
      <c r="N41" s="315"/>
      <c r="O41" s="315"/>
      <c r="P41" s="315"/>
      <c r="Q41" s="315"/>
      <c r="R41" s="315"/>
      <c r="S41" s="315"/>
      <c r="T41" s="315"/>
      <c r="U41" s="315"/>
      <c r="V41" s="315"/>
      <c r="W41" s="315"/>
      <c r="X41" s="315"/>
      <c r="Y41" s="316"/>
    </row>
    <row r="42" spans="2:30" ht="15" customHeight="1" x14ac:dyDescent="0.2">
      <c r="B42" s="147"/>
      <c r="C42" s="317"/>
      <c r="D42" s="317"/>
      <c r="E42" s="317"/>
      <c r="F42" s="317"/>
      <c r="G42" s="317"/>
      <c r="H42" s="317"/>
      <c r="I42" s="317"/>
      <c r="J42" s="317"/>
      <c r="K42" s="317"/>
      <c r="L42" s="317"/>
      <c r="M42" s="317"/>
      <c r="N42" s="317"/>
      <c r="O42" s="317"/>
      <c r="P42" s="317"/>
      <c r="Q42" s="317" t="s">
        <v>362</v>
      </c>
      <c r="R42" s="317"/>
      <c r="S42" s="317"/>
      <c r="T42" s="317"/>
      <c r="U42" s="317" t="s">
        <v>363</v>
      </c>
      <c r="V42" s="317"/>
      <c r="W42" s="317"/>
      <c r="X42" s="317"/>
      <c r="Y42" s="317"/>
    </row>
    <row r="43" spans="2:30" ht="15" customHeight="1" x14ac:dyDescent="0.2">
      <c r="B43" s="147"/>
      <c r="C43" s="318" t="s">
        <v>401</v>
      </c>
      <c r="D43" s="318"/>
      <c r="E43" s="318"/>
      <c r="F43" s="318"/>
      <c r="G43" s="318"/>
      <c r="H43" s="318"/>
      <c r="I43" s="318"/>
      <c r="J43" s="318"/>
      <c r="K43" s="318"/>
      <c r="L43" s="318"/>
      <c r="M43" s="318"/>
      <c r="N43" s="318"/>
      <c r="O43" s="318"/>
      <c r="P43" s="318"/>
      <c r="Q43" s="318" t="s">
        <v>365</v>
      </c>
      <c r="R43" s="318"/>
      <c r="S43" s="318"/>
      <c r="T43" s="318"/>
      <c r="U43" s="319" t="s">
        <v>405</v>
      </c>
      <c r="V43" s="319"/>
      <c r="W43" s="319"/>
      <c r="X43" s="319"/>
      <c r="Y43" s="319"/>
    </row>
    <row r="44" spans="2:30" ht="15" customHeight="1" x14ac:dyDescent="0.2">
      <c r="B44" s="147"/>
      <c r="C44" s="318" t="s">
        <v>402</v>
      </c>
      <c r="D44" s="318"/>
      <c r="E44" s="318"/>
      <c r="F44" s="318"/>
      <c r="G44" s="318"/>
      <c r="H44" s="318"/>
      <c r="I44" s="318"/>
      <c r="J44" s="318"/>
      <c r="K44" s="318"/>
      <c r="L44" s="318"/>
      <c r="M44" s="318"/>
      <c r="N44" s="318"/>
      <c r="O44" s="318"/>
      <c r="P44" s="318"/>
      <c r="Q44" s="318" t="s">
        <v>365</v>
      </c>
      <c r="R44" s="318"/>
      <c r="S44" s="318"/>
      <c r="T44" s="318"/>
      <c r="U44" s="319" t="s">
        <v>405</v>
      </c>
      <c r="V44" s="319"/>
      <c r="W44" s="319"/>
      <c r="X44" s="319"/>
      <c r="Y44" s="319"/>
    </row>
    <row r="45" spans="2:30" ht="15" customHeight="1" x14ac:dyDescent="0.2">
      <c r="B45" s="147"/>
      <c r="C45" s="318" t="s">
        <v>403</v>
      </c>
      <c r="D45" s="318"/>
      <c r="E45" s="318"/>
      <c r="F45" s="318"/>
      <c r="G45" s="318"/>
      <c r="H45" s="318"/>
      <c r="I45" s="318"/>
      <c r="J45" s="318"/>
      <c r="K45" s="318"/>
      <c r="L45" s="318"/>
      <c r="M45" s="318"/>
      <c r="N45" s="318"/>
      <c r="O45" s="318"/>
      <c r="P45" s="318"/>
      <c r="Q45" s="318" t="s">
        <v>365</v>
      </c>
      <c r="R45" s="318"/>
      <c r="S45" s="318"/>
      <c r="T45" s="318"/>
      <c r="U45" s="319" t="s">
        <v>405</v>
      </c>
      <c r="V45" s="319"/>
      <c r="W45" s="319"/>
      <c r="X45" s="319"/>
      <c r="Y45" s="319"/>
    </row>
    <row r="46" spans="2:30" ht="15" customHeight="1" x14ac:dyDescent="0.2">
      <c r="B46" s="147"/>
      <c r="C46" s="318" t="s">
        <v>404</v>
      </c>
      <c r="D46" s="318"/>
      <c r="E46" s="318"/>
      <c r="F46" s="318"/>
      <c r="G46" s="318"/>
      <c r="H46" s="318"/>
      <c r="I46" s="318"/>
      <c r="J46" s="318"/>
      <c r="K46" s="318"/>
      <c r="L46" s="318"/>
      <c r="M46" s="318"/>
      <c r="N46" s="318"/>
      <c r="O46" s="318"/>
      <c r="P46" s="318"/>
      <c r="Q46" s="318" t="s">
        <v>365</v>
      </c>
      <c r="R46" s="318"/>
      <c r="S46" s="318"/>
      <c r="T46" s="318"/>
      <c r="U46" s="319" t="s">
        <v>405</v>
      </c>
      <c r="V46" s="319"/>
      <c r="W46" s="319"/>
      <c r="X46" s="319"/>
      <c r="Y46" s="319"/>
    </row>
    <row r="47" spans="2:30" ht="30" customHeight="1" x14ac:dyDescent="0.2">
      <c r="B47" s="147"/>
      <c r="C47" s="314" t="s">
        <v>384</v>
      </c>
      <c r="D47" s="315"/>
      <c r="E47" s="315"/>
      <c r="F47" s="315"/>
      <c r="G47" s="315"/>
      <c r="H47" s="315"/>
      <c r="I47" s="315"/>
      <c r="J47" s="315"/>
      <c r="K47" s="315"/>
      <c r="L47" s="315"/>
      <c r="M47" s="315"/>
      <c r="N47" s="315"/>
      <c r="O47" s="315"/>
      <c r="P47" s="316"/>
      <c r="Q47" s="318" t="s">
        <v>380</v>
      </c>
      <c r="R47" s="318"/>
      <c r="S47" s="318"/>
      <c r="T47" s="318"/>
      <c r="U47" s="319"/>
      <c r="V47" s="319"/>
      <c r="W47" s="319"/>
      <c r="X47" s="319"/>
      <c r="Y47" s="319"/>
    </row>
    <row r="48" spans="2:30" ht="15" customHeight="1" x14ac:dyDescent="0.2">
      <c r="B48" s="147"/>
      <c r="C48" s="147"/>
      <c r="D48" s="147"/>
      <c r="E48" s="147"/>
      <c r="F48" s="147"/>
      <c r="G48" s="147"/>
      <c r="H48" s="147"/>
      <c r="I48" s="147"/>
      <c r="J48" s="147"/>
      <c r="K48" s="147"/>
      <c r="L48" s="147"/>
      <c r="M48" s="147"/>
      <c r="N48" s="147"/>
      <c r="O48" s="147"/>
      <c r="P48" s="147"/>
      <c r="Q48" s="147"/>
      <c r="R48" s="147"/>
      <c r="S48" s="147"/>
      <c r="T48" s="147"/>
      <c r="U48" s="147"/>
      <c r="V48" s="147"/>
      <c r="W48" s="147"/>
      <c r="X48" s="147"/>
      <c r="Y48" s="147"/>
    </row>
    <row r="49" spans="2:25" ht="15" customHeight="1" x14ac:dyDescent="0.2">
      <c r="B49" s="147"/>
      <c r="C49" s="147"/>
      <c r="D49" s="147"/>
      <c r="E49" s="147"/>
      <c r="F49" s="147"/>
      <c r="G49" s="147"/>
      <c r="H49" s="147"/>
      <c r="I49" s="147"/>
      <c r="J49" s="147"/>
      <c r="K49" s="147"/>
      <c r="L49" s="147"/>
      <c r="M49" s="147"/>
      <c r="N49" s="147"/>
      <c r="O49" s="147"/>
      <c r="P49" s="147"/>
      <c r="Q49" s="147"/>
      <c r="R49" s="147"/>
      <c r="S49" s="147"/>
      <c r="T49" s="147"/>
      <c r="U49" s="147"/>
      <c r="V49" s="147"/>
      <c r="W49" s="147"/>
      <c r="X49" s="147"/>
      <c r="Y49" s="147"/>
    </row>
    <row r="50" spans="2:25" ht="15" customHeight="1" x14ac:dyDescent="0.2">
      <c r="B50" s="147"/>
      <c r="C50" s="147"/>
      <c r="D50" s="147"/>
      <c r="E50" s="147"/>
      <c r="F50" s="147"/>
      <c r="G50" s="147"/>
      <c r="H50" s="147"/>
      <c r="I50" s="147"/>
      <c r="J50" s="147"/>
      <c r="K50" s="147"/>
      <c r="L50" s="147"/>
      <c r="M50" s="147"/>
      <c r="N50" s="147"/>
      <c r="O50" s="147"/>
      <c r="P50" s="147"/>
      <c r="Q50" s="147"/>
      <c r="R50" s="147"/>
      <c r="S50" s="147"/>
      <c r="T50" s="147"/>
      <c r="U50" s="147"/>
      <c r="V50" s="147"/>
      <c r="W50" s="147"/>
      <c r="X50" s="147"/>
      <c r="Y50" s="147"/>
    </row>
    <row r="51" spans="2:25" ht="45" customHeight="1" x14ac:dyDescent="0.2">
      <c r="B51" s="147"/>
      <c r="C51" s="147"/>
      <c r="D51" s="147"/>
      <c r="E51" s="147"/>
      <c r="F51" s="147"/>
      <c r="G51" s="147"/>
      <c r="H51" s="147"/>
      <c r="I51" s="147"/>
      <c r="J51" s="147"/>
      <c r="K51" s="147"/>
      <c r="L51" s="147"/>
      <c r="M51" s="147"/>
      <c r="N51" s="147"/>
      <c r="O51" s="147"/>
      <c r="P51" s="147"/>
      <c r="Q51" s="147"/>
      <c r="R51" s="147"/>
      <c r="S51" s="147"/>
      <c r="T51" s="147"/>
      <c r="U51" s="147"/>
      <c r="V51" s="147"/>
      <c r="W51" s="147"/>
      <c r="X51" s="147"/>
      <c r="Y51" s="147"/>
    </row>
    <row r="52" spans="2:25" ht="15" customHeight="1" x14ac:dyDescent="0.2">
      <c r="B52" s="147"/>
      <c r="C52" s="147"/>
      <c r="D52" s="147"/>
      <c r="E52" s="147"/>
      <c r="F52" s="147"/>
      <c r="G52" s="147"/>
      <c r="H52" s="147"/>
      <c r="I52" s="147"/>
      <c r="J52" s="147"/>
      <c r="K52" s="147"/>
      <c r="L52" s="147"/>
      <c r="M52" s="147"/>
      <c r="N52" s="147"/>
      <c r="O52" s="147"/>
      <c r="P52" s="147"/>
      <c r="Q52" s="147"/>
      <c r="R52" s="147"/>
      <c r="S52" s="147"/>
      <c r="T52" s="147"/>
      <c r="U52" s="147"/>
      <c r="V52" s="147"/>
      <c r="W52" s="147"/>
      <c r="X52" s="147"/>
      <c r="Y52" s="147"/>
    </row>
    <row r="53" spans="2:25" ht="15" customHeight="1" x14ac:dyDescent="0.2">
      <c r="B53" s="147"/>
      <c r="C53" s="147"/>
      <c r="D53" s="147"/>
      <c r="E53" s="147"/>
      <c r="F53" s="147"/>
      <c r="G53" s="147"/>
      <c r="H53" s="147"/>
      <c r="I53" s="147"/>
      <c r="J53" s="147"/>
      <c r="K53" s="147"/>
      <c r="L53" s="147"/>
      <c r="M53" s="147"/>
      <c r="N53" s="147"/>
      <c r="O53" s="147"/>
      <c r="P53" s="147"/>
      <c r="Q53" s="147"/>
      <c r="R53" s="147"/>
      <c r="S53" s="147"/>
      <c r="T53" s="147"/>
      <c r="U53" s="147"/>
      <c r="V53" s="147"/>
      <c r="W53" s="147"/>
      <c r="X53" s="147"/>
      <c r="Y53" s="147"/>
    </row>
    <row r="54" spans="2:25" ht="30" customHeight="1" x14ac:dyDescent="0.2">
      <c r="B54" s="147"/>
      <c r="C54" s="147"/>
      <c r="D54" s="147"/>
      <c r="E54" s="147"/>
      <c r="F54" s="147"/>
      <c r="G54" s="147"/>
      <c r="H54" s="147"/>
      <c r="I54" s="147"/>
      <c r="J54" s="147"/>
      <c r="K54" s="147"/>
      <c r="L54" s="147"/>
      <c r="M54" s="147"/>
      <c r="N54" s="147"/>
      <c r="O54" s="147"/>
      <c r="P54" s="147"/>
      <c r="Q54" s="147"/>
      <c r="R54" s="147"/>
      <c r="S54" s="147"/>
      <c r="T54" s="147"/>
      <c r="U54" s="147"/>
      <c r="V54" s="147"/>
      <c r="W54" s="147"/>
      <c r="X54" s="147"/>
      <c r="Y54" s="147"/>
    </row>
    <row r="55" spans="2:25" ht="15" customHeight="1" x14ac:dyDescent="0.2">
      <c r="B55" s="147"/>
      <c r="C55" s="147"/>
      <c r="D55" s="147"/>
      <c r="E55" s="147"/>
      <c r="F55" s="147"/>
      <c r="G55" s="147"/>
      <c r="H55" s="147"/>
      <c r="I55" s="147"/>
      <c r="J55" s="147"/>
      <c r="K55" s="147"/>
      <c r="L55" s="147"/>
      <c r="M55" s="147"/>
      <c r="N55" s="147"/>
      <c r="O55" s="147"/>
      <c r="P55" s="147"/>
      <c r="Q55" s="147"/>
      <c r="R55" s="147"/>
      <c r="S55" s="147"/>
      <c r="T55" s="147"/>
      <c r="U55" s="147"/>
      <c r="V55" s="147"/>
      <c r="W55" s="147"/>
      <c r="X55" s="147"/>
      <c r="Y55" s="147"/>
    </row>
    <row r="56" spans="2:25" ht="15" customHeight="1" x14ac:dyDescent="0.2">
      <c r="B56" s="147"/>
      <c r="C56" s="147"/>
      <c r="D56" s="147"/>
      <c r="E56" s="147"/>
      <c r="F56" s="147"/>
      <c r="G56" s="147"/>
      <c r="H56" s="147"/>
      <c r="I56" s="147"/>
      <c r="J56" s="147"/>
      <c r="K56" s="147"/>
      <c r="L56" s="147"/>
      <c r="M56" s="147"/>
      <c r="N56" s="147"/>
      <c r="O56" s="147"/>
      <c r="P56" s="147"/>
      <c r="Q56" s="147"/>
      <c r="R56" s="147"/>
      <c r="S56" s="147"/>
      <c r="T56" s="147"/>
      <c r="U56" s="147"/>
      <c r="V56" s="147"/>
      <c r="W56" s="147"/>
      <c r="X56" s="147"/>
      <c r="Y56" s="147"/>
    </row>
    <row r="57" spans="2:25" ht="15" customHeight="1" x14ac:dyDescent="0.2">
      <c r="B57" s="147"/>
      <c r="C57" s="147"/>
      <c r="D57" s="147"/>
      <c r="E57" s="147"/>
      <c r="F57" s="147"/>
      <c r="G57" s="147"/>
      <c r="H57" s="147"/>
      <c r="I57" s="147"/>
      <c r="J57" s="147"/>
      <c r="K57" s="147"/>
      <c r="L57" s="147"/>
      <c r="M57" s="147"/>
      <c r="N57" s="147"/>
      <c r="O57" s="147"/>
      <c r="P57" s="147"/>
      <c r="Q57" s="147"/>
      <c r="R57" s="147"/>
      <c r="S57" s="147"/>
      <c r="T57" s="147"/>
      <c r="U57" s="147"/>
      <c r="V57" s="147"/>
      <c r="W57" s="147"/>
      <c r="X57" s="147"/>
      <c r="Y57" s="147"/>
    </row>
    <row r="58" spans="2:25" ht="15" customHeight="1" x14ac:dyDescent="0.2"/>
    <row r="59" spans="2:25" ht="15" customHeight="1" x14ac:dyDescent="0.2"/>
    <row r="60" spans="2:25" ht="15" customHeight="1" x14ac:dyDescent="0.2"/>
  </sheetData>
  <sheetProtection password="CE6F" sheet="1" objects="1" scenarios="1" selectLockedCells="1" selectUnlockedCells="1"/>
  <mergeCells count="54">
    <mergeCell ref="AC8:AC9"/>
    <mergeCell ref="AB11:AD12"/>
    <mergeCell ref="AB15:AD18"/>
    <mergeCell ref="AB21:AD24"/>
    <mergeCell ref="AB27:AD30"/>
    <mergeCell ref="AB33:AD36"/>
    <mergeCell ref="C47:P47"/>
    <mergeCell ref="Q47:T47"/>
    <mergeCell ref="U47:Y47"/>
    <mergeCell ref="C45:P45"/>
    <mergeCell ref="Q45:T45"/>
    <mergeCell ref="U45:Y45"/>
    <mergeCell ref="C46:P46"/>
    <mergeCell ref="Q46:T46"/>
    <mergeCell ref="U46:Y46"/>
    <mergeCell ref="C43:P43"/>
    <mergeCell ref="Q43:T43"/>
    <mergeCell ref="U43:Y43"/>
    <mergeCell ref="C44:P44"/>
    <mergeCell ref="Q44:T44"/>
    <mergeCell ref="U44:Y44"/>
    <mergeCell ref="C36:P37"/>
    <mergeCell ref="Q36:T37"/>
    <mergeCell ref="U36:Y37"/>
    <mergeCell ref="C41:Y41"/>
    <mergeCell ref="C42:P42"/>
    <mergeCell ref="Q42:T42"/>
    <mergeCell ref="U42:Y42"/>
    <mergeCell ref="C34:P34"/>
    <mergeCell ref="Q34:T34"/>
    <mergeCell ref="U34:Y34"/>
    <mergeCell ref="C35:P35"/>
    <mergeCell ref="Q35:T35"/>
    <mergeCell ref="U35:Y35"/>
    <mergeCell ref="C27:P28"/>
    <mergeCell ref="Q27:T28"/>
    <mergeCell ref="U27:Y28"/>
    <mergeCell ref="C32:Y32"/>
    <mergeCell ref="C33:P33"/>
    <mergeCell ref="Q33:T33"/>
    <mergeCell ref="U33:Y33"/>
    <mergeCell ref="C24:P24"/>
    <mergeCell ref="Q24:T24"/>
    <mergeCell ref="U24:Y24"/>
    <mergeCell ref="C25:P26"/>
    <mergeCell ref="Q25:T26"/>
    <mergeCell ref="U25:Y26"/>
    <mergeCell ref="C21:Y21"/>
    <mergeCell ref="C22:P22"/>
    <mergeCell ref="Q22:T22"/>
    <mergeCell ref="U22:Y22"/>
    <mergeCell ref="C23:P23"/>
    <mergeCell ref="Q23:T23"/>
    <mergeCell ref="U23:Y23"/>
  </mergeCells>
  <hyperlinks>
    <hyperlink ref="U23:Y23" r:id="rId1" display="Download"/>
    <hyperlink ref="U24:Y24" r:id="rId2" display="Download"/>
    <hyperlink ref="U34:Y34" r:id="rId3" display="Download"/>
    <hyperlink ref="U35:Y35" r:id="rId4" display="Download"/>
    <hyperlink ref="U43:Y46" r:id="rId5" display="Visit website"/>
  </hyperlinks>
  <pageMargins left="0.7" right="0.7" top="0.75" bottom="0.75" header="0.3" footer="0.3"/>
  <pageSetup orientation="portrait" r:id="rId6"/>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99"/>
  <sheetViews>
    <sheetView showGridLines="0" workbookViewId="0">
      <selection activeCell="V12" sqref="V12"/>
    </sheetView>
  </sheetViews>
  <sheetFormatPr defaultColWidth="3.5703125" defaultRowHeight="12.75" x14ac:dyDescent="0.2"/>
  <cols>
    <col min="1" max="1" width="2.28515625" style="254" bestFit="1" customWidth="1"/>
    <col min="2" max="2" width="20.42578125" style="254" bestFit="1" customWidth="1"/>
    <col min="3" max="7" width="2.28515625" style="254" bestFit="1" customWidth="1"/>
    <col min="8" max="8" width="3.140625" style="254" bestFit="1" customWidth="1"/>
    <col min="9" max="14" width="2.28515625" style="254" bestFit="1" customWidth="1"/>
    <col min="15" max="15" width="3.140625" style="254" bestFit="1" customWidth="1"/>
    <col min="16" max="19" width="2.28515625" style="254" bestFit="1" customWidth="1"/>
    <col min="20" max="21" width="3.5703125" style="254" bestFit="1" customWidth="1"/>
    <col min="22" max="22" width="3.140625" style="254" bestFit="1" customWidth="1"/>
    <col min="23" max="23" width="3.5703125" style="254" bestFit="1" customWidth="1"/>
    <col min="24" max="24" width="8.140625" style="259" bestFit="1" customWidth="1"/>
    <col min="25" max="28" width="2.28515625" style="259" bestFit="1" customWidth="1"/>
    <col min="29" max="29" width="2.28515625" style="254" bestFit="1" customWidth="1"/>
    <col min="30" max="30" width="20.42578125" style="254" customWidth="1"/>
    <col min="31" max="31" width="3.5703125" style="254" bestFit="1" customWidth="1"/>
    <col min="32" max="32" width="12.42578125" style="254" bestFit="1" customWidth="1"/>
    <col min="33" max="33" width="2.28515625" style="259" bestFit="1" customWidth="1"/>
    <col min="34" max="34" width="3.5703125" style="259" bestFit="1" customWidth="1"/>
    <col min="35" max="35" width="2.28515625" style="259" bestFit="1" customWidth="1"/>
    <col min="36" max="36" width="6.7109375" style="259" bestFit="1" customWidth="1"/>
    <col min="37" max="40" width="2.28515625" style="259" bestFit="1" customWidth="1"/>
    <col min="41" max="41" width="3.5703125" style="259" bestFit="1" customWidth="1"/>
    <col min="42" max="44" width="2.28515625" style="259" bestFit="1" customWidth="1"/>
    <col min="45" max="45" width="3.140625" style="259" bestFit="1" customWidth="1"/>
    <col min="46" max="47" width="2.28515625" style="259" bestFit="1" customWidth="1"/>
    <col min="48" max="48" width="4.7109375" style="259" bestFit="1" customWidth="1"/>
    <col min="49" max="52" width="2.28515625" style="259" bestFit="1" customWidth="1"/>
    <col min="53" max="53" width="3.140625" style="259" bestFit="1" customWidth="1"/>
    <col min="54" max="54" width="2.28515625" style="254" bestFit="1" customWidth="1"/>
    <col min="55" max="55" width="3.5703125" style="254" bestFit="1" customWidth="1"/>
    <col min="56" max="56" width="8.140625" style="254" bestFit="1" customWidth="1"/>
    <col min="57" max="62" width="2.28515625" style="254" bestFit="1" customWidth="1"/>
    <col min="63" max="63" width="12.42578125" style="254" bestFit="1" customWidth="1"/>
    <col min="64" max="65" width="2.140625" style="254" bestFit="1" customWidth="1"/>
    <col min="66" max="66" width="12.42578125" style="254" bestFit="1" customWidth="1"/>
    <col min="67" max="67" width="2.28515625" style="254" bestFit="1" customWidth="1"/>
    <col min="68" max="68" width="12.42578125" style="254" bestFit="1" customWidth="1"/>
    <col min="69" max="69" width="3.5703125" style="254" bestFit="1" customWidth="1"/>
    <col min="70" max="70" width="12" style="254" bestFit="1" customWidth="1"/>
    <col min="71" max="71" width="2.28515625" style="254" bestFit="1" customWidth="1"/>
    <col min="72" max="72" width="3.5703125" style="254" bestFit="1" customWidth="1"/>
    <col min="73" max="76" width="2.28515625" style="254" bestFit="1" customWidth="1"/>
    <col min="77" max="77" width="2.140625" style="254" bestFit="1" customWidth="1"/>
    <col min="78" max="78" width="2.28515625" style="254" bestFit="1" customWidth="1"/>
    <col min="79" max="79" width="3.5703125" style="254" bestFit="1" customWidth="1"/>
    <col min="80" max="82" width="2.28515625" style="254" bestFit="1" customWidth="1"/>
    <col min="83" max="83" width="3.140625" style="254" bestFit="1" customWidth="1"/>
    <col min="84" max="84" width="2.140625" style="254" bestFit="1" customWidth="1"/>
    <col min="85" max="85" width="2.28515625" style="254" bestFit="1" customWidth="1"/>
    <col min="86" max="86" width="4.7109375" style="254" bestFit="1" customWidth="1"/>
    <col min="87" max="89" width="2.28515625" style="254" bestFit="1" customWidth="1"/>
    <col min="90" max="91" width="3.140625" style="254" bestFit="1" customWidth="1"/>
    <col min="92" max="92" width="8.140625" style="259" bestFit="1" customWidth="1"/>
    <col min="93" max="94" width="2.28515625" style="259" bestFit="1" customWidth="1"/>
    <col min="95" max="95" width="11.42578125" style="259" customWidth="1"/>
    <col min="96" max="100" width="2.28515625" style="259" bestFit="1" customWidth="1"/>
    <col min="101" max="101" width="12" style="254" bestFit="1" customWidth="1"/>
    <col min="102" max="103" width="2.140625" style="254" bestFit="1" customWidth="1"/>
    <col min="104" max="104" width="12" style="254" bestFit="1" customWidth="1"/>
    <col min="105" max="105" width="2.140625" style="259" bestFit="1" customWidth="1"/>
    <col min="106" max="106" width="12" style="254" bestFit="1" customWidth="1"/>
    <col min="107" max="107" width="2.28515625" style="254" bestFit="1" customWidth="1"/>
    <col min="108" max="108" width="20.42578125" style="254" bestFit="1" customWidth="1"/>
    <col min="109" max="109" width="2.28515625" style="254" bestFit="1" customWidth="1"/>
    <col min="110" max="110" width="12.42578125" style="254" bestFit="1" customWidth="1"/>
    <col min="111" max="111" width="2.28515625" style="254" bestFit="1" customWidth="1"/>
    <col min="112" max="112" width="20.42578125" style="254" bestFit="1" customWidth="1"/>
    <col min="113" max="113" width="3.5703125" style="254" bestFit="1" customWidth="1"/>
    <col min="114" max="116" width="2.5703125" style="254" customWidth="1"/>
    <col min="117" max="16384" width="3.5703125" style="254"/>
  </cols>
  <sheetData>
    <row r="1" spans="1:113" x14ac:dyDescent="0.2">
      <c r="A1" s="252"/>
      <c r="B1" s="252"/>
      <c r="C1" s="252"/>
      <c r="D1" s="252"/>
      <c r="E1" s="252"/>
      <c r="F1" s="252"/>
      <c r="G1" s="252"/>
      <c r="H1" s="252"/>
      <c r="I1" s="252"/>
      <c r="J1" s="252"/>
      <c r="K1" s="252"/>
      <c r="L1" s="252"/>
      <c r="M1" s="252"/>
      <c r="N1" s="252"/>
      <c r="O1" s="252"/>
      <c r="Q1" s="252"/>
      <c r="R1" s="252"/>
      <c r="S1" s="252"/>
      <c r="T1" s="252"/>
      <c r="U1" s="252"/>
      <c r="V1" s="252"/>
      <c r="BE1" s="252"/>
      <c r="BF1" s="252"/>
      <c r="BG1" s="260"/>
      <c r="BQ1" s="252"/>
    </row>
    <row r="2" spans="1:113" x14ac:dyDescent="0.2">
      <c r="A2" s="252"/>
      <c r="B2" s="252"/>
      <c r="C2" s="252"/>
      <c r="D2" s="252"/>
      <c r="E2" s="252"/>
      <c r="F2" s="252"/>
      <c r="G2" s="252"/>
      <c r="H2" s="252"/>
      <c r="I2" s="252"/>
      <c r="J2" s="252"/>
      <c r="K2" s="252"/>
      <c r="L2" s="252"/>
      <c r="M2" s="252"/>
      <c r="N2" s="252"/>
      <c r="O2" s="252"/>
      <c r="P2" s="252"/>
      <c r="Q2" s="252"/>
      <c r="R2" s="252"/>
      <c r="S2" s="252"/>
      <c r="T2" s="252"/>
      <c r="U2" s="252"/>
      <c r="V2" s="252"/>
      <c r="W2" s="252"/>
      <c r="X2" s="253"/>
      <c r="Y2" s="253"/>
      <c r="Z2" s="253"/>
      <c r="AA2" s="253"/>
      <c r="AB2" s="253"/>
      <c r="AC2" s="252"/>
      <c r="AD2" s="252"/>
      <c r="AE2" s="252"/>
      <c r="AF2" s="252"/>
      <c r="AG2" s="253"/>
      <c r="AH2" s="253"/>
      <c r="AI2" s="253"/>
      <c r="AJ2" s="253"/>
      <c r="AK2" s="253"/>
      <c r="AL2" s="253"/>
      <c r="AM2" s="253"/>
      <c r="AN2" s="253"/>
      <c r="AO2" s="253"/>
      <c r="AP2" s="253"/>
      <c r="AQ2" s="253"/>
      <c r="AR2" s="253"/>
      <c r="AS2" s="253"/>
      <c r="AT2" s="253"/>
      <c r="AU2" s="253"/>
      <c r="AV2" s="253"/>
      <c r="AW2" s="253"/>
      <c r="AX2" s="253"/>
      <c r="AY2" s="253"/>
      <c r="AZ2" s="253"/>
      <c r="BA2" s="253"/>
      <c r="BB2" s="252"/>
      <c r="BC2" s="252"/>
      <c r="BD2" s="252"/>
      <c r="BE2" s="252"/>
      <c r="BF2" s="252"/>
      <c r="BG2" s="252"/>
      <c r="BH2" s="252"/>
      <c r="BI2" s="252"/>
      <c r="BJ2" s="252"/>
      <c r="BK2" s="252"/>
      <c r="BL2" s="252"/>
      <c r="BM2" s="252"/>
      <c r="BN2" s="252"/>
      <c r="BO2" s="252"/>
      <c r="BP2" s="252"/>
      <c r="BQ2" s="252"/>
      <c r="BR2" s="252"/>
      <c r="BS2" s="252"/>
      <c r="BT2" s="252"/>
      <c r="BU2" s="252"/>
      <c r="BV2" s="252"/>
      <c r="BW2" s="252"/>
      <c r="BX2" s="252"/>
      <c r="BY2" s="252"/>
      <c r="BZ2" s="252"/>
      <c r="CA2" s="252"/>
      <c r="CB2" s="252"/>
      <c r="CC2" s="252"/>
      <c r="CD2" s="252"/>
      <c r="CE2" s="252"/>
      <c r="CF2" s="252"/>
      <c r="CG2" s="252"/>
      <c r="CH2" s="252"/>
      <c r="CI2" s="252"/>
      <c r="CJ2" s="252"/>
      <c r="CK2" s="252"/>
      <c r="CL2" s="252"/>
      <c r="CM2" s="252"/>
      <c r="CN2" s="253"/>
      <c r="CO2" s="253"/>
      <c r="CP2" s="253"/>
      <c r="CQ2" s="253"/>
      <c r="CR2" s="253"/>
      <c r="CS2" s="253"/>
      <c r="CT2" s="253"/>
      <c r="CU2" s="253"/>
      <c r="CV2" s="253"/>
      <c r="CW2" s="252"/>
      <c r="CX2" s="252"/>
      <c r="CY2" s="252"/>
      <c r="CZ2" s="252"/>
      <c r="DA2" s="253"/>
      <c r="DB2" s="252"/>
      <c r="DC2" s="252"/>
    </row>
    <row r="3" spans="1:113" s="255" customFormat="1" x14ac:dyDescent="0.2">
      <c r="C3" s="256"/>
      <c r="D3" s="256"/>
      <c r="E3" s="256"/>
      <c r="F3" s="256"/>
      <c r="G3" s="256"/>
      <c r="H3" s="256"/>
      <c r="I3" s="256"/>
      <c r="J3" s="256"/>
      <c r="K3" s="256"/>
      <c r="L3" s="256"/>
      <c r="M3" s="256"/>
      <c r="N3" s="256"/>
      <c r="O3" s="256"/>
      <c r="P3" s="256"/>
      <c r="Q3" s="256"/>
      <c r="R3" s="256"/>
      <c r="S3" s="256"/>
      <c r="T3" s="256"/>
      <c r="U3" s="256"/>
      <c r="V3" s="256"/>
      <c r="W3" s="256"/>
      <c r="X3" s="256"/>
      <c r="Y3" s="257"/>
      <c r="Z3" s="257"/>
      <c r="AA3" s="257"/>
      <c r="AB3" s="257"/>
      <c r="AC3" s="258"/>
      <c r="AD3" s="258"/>
      <c r="AE3" s="258"/>
      <c r="AF3" s="258"/>
      <c r="AG3" s="256"/>
      <c r="AH3" s="256"/>
      <c r="AI3" s="256"/>
      <c r="AJ3" s="256"/>
      <c r="AK3" s="256"/>
      <c r="AL3" s="256"/>
      <c r="AM3" s="256"/>
      <c r="AN3" s="256"/>
      <c r="AO3" s="256"/>
      <c r="AP3" s="256"/>
      <c r="AQ3" s="256"/>
      <c r="AR3" s="256"/>
      <c r="AS3" s="256"/>
      <c r="AT3" s="256"/>
      <c r="AU3" s="256"/>
      <c r="AV3" s="256"/>
      <c r="AW3" s="256"/>
      <c r="AX3" s="256"/>
      <c r="AY3" s="256"/>
      <c r="AZ3" s="256"/>
      <c r="BA3" s="256"/>
      <c r="BB3" s="258"/>
      <c r="BC3" s="258"/>
      <c r="BD3" s="258"/>
      <c r="BE3" s="258"/>
      <c r="BF3" s="258"/>
      <c r="BG3" s="258"/>
      <c r="BH3" s="258"/>
      <c r="BJ3" s="258"/>
      <c r="BQ3" s="258"/>
      <c r="BR3" s="258"/>
      <c r="BS3" s="257"/>
      <c r="BT3" s="257"/>
      <c r="BU3" s="257"/>
      <c r="BV3" s="257"/>
      <c r="BW3" s="257"/>
      <c r="BX3" s="257"/>
      <c r="BY3" s="257"/>
      <c r="BZ3" s="257"/>
      <c r="CA3" s="257"/>
      <c r="CB3" s="257"/>
      <c r="CC3" s="257"/>
      <c r="CD3" s="257"/>
      <c r="CE3" s="257"/>
      <c r="CF3" s="257"/>
      <c r="CG3" s="257"/>
      <c r="CH3" s="257"/>
      <c r="CI3" s="257"/>
      <c r="CJ3" s="257"/>
      <c r="CK3" s="257"/>
      <c r="CL3" s="257"/>
      <c r="CM3" s="257"/>
      <c r="CN3" s="257"/>
      <c r="CO3" s="257"/>
      <c r="CP3" s="257"/>
      <c r="CQ3" s="257"/>
      <c r="CR3" s="257"/>
      <c r="CS3" s="257"/>
      <c r="CT3" s="257"/>
      <c r="CU3" s="257"/>
      <c r="CV3" s="257"/>
      <c r="DA3" s="257"/>
    </row>
    <row r="4" spans="1:113" x14ac:dyDescent="0.2">
      <c r="A4" s="254">
        <f>Y4+Z4+AA4+AB4</f>
        <v>2</v>
      </c>
      <c r="B4" s="254" t="str">
        <f>'Team Setup'!B5</f>
        <v>Atletico Madrid</v>
      </c>
      <c r="C4" s="259">
        <f>SUMPRODUCT(('Group Stages'!$I$10:$I$105&lt;&gt;"")*('Group Stages'!$K$10:$K$105&lt;&gt;"")*('Group Stages'!$G$10:$G$105='Dummy Table'!$B4)*('Group Stages'!$I$10:$I$105&gt;'Group Stages'!$K$10:$K$105))</f>
        <v>3</v>
      </c>
      <c r="D4" s="259">
        <f>SUMPRODUCT(('Group Stages'!$I$10:$I$105&lt;&gt;"")*('Group Stages'!$K$10:$K$105&lt;&gt;"")*('Group Stages'!$G$10:$G$105='Dummy Table'!$B4)*('Group Stages'!$I$10:$I$105='Group Stages'!$K$10:$K$105))</f>
        <v>0</v>
      </c>
      <c r="E4" s="259">
        <f>SUMPRODUCT(('Group Stages'!$I$10:$I$105&lt;&gt;"")*('Group Stages'!$K$10:$K$105&lt;&gt;"")*('Group Stages'!$G$10:$G$105='Dummy Table'!$B4)*('Group Stages'!$I$10:$I$105&lt;'Group Stages'!$K$10:$K$105))</f>
        <v>0</v>
      </c>
      <c r="F4" s="259">
        <f>SUMIF('Group Stages'!$G$10:$G$105,'Dummy Table'!$B4,'Group Stages'!$I$10:$I$105)</f>
        <v>7</v>
      </c>
      <c r="G4" s="259">
        <f>SUMIF('Group Stages'!$G$10:$G$105,'Dummy Table'!$B4,'Group Stages'!$K$10:$K$105)</f>
        <v>1</v>
      </c>
      <c r="H4" s="259">
        <f>F4-G4</f>
        <v>6</v>
      </c>
      <c r="I4" s="259">
        <f>C4*3+D4*1</f>
        <v>9</v>
      </c>
      <c r="J4" s="254">
        <f>SUMPRODUCT(('Group Stages'!$I$10:$I$105&lt;&gt;"")*('Group Stages'!$K$10:$K$105&lt;&gt;"")*('Group Stages'!$M$10:$M$105='Dummy Table'!$B4)*('Group Stages'!$I$10:$I$105&lt;'Group Stages'!$K$10:$K$105))</f>
        <v>1</v>
      </c>
      <c r="K4" s="254">
        <f>SUMPRODUCT(('Group Stages'!$I$10:$I$105&lt;&gt;"")*('Group Stages'!$K$10:$K$105&lt;&gt;"")*('Group Stages'!$M$10:$M$105='Dummy Table'!$B4)*('Group Stages'!$I$10:$I$105='Group Stages'!$K$10:$K$105))</f>
        <v>1</v>
      </c>
      <c r="L4" s="254">
        <f>SUMPRODUCT(('Group Stages'!$I$10:$I$105&lt;&gt;"")*('Group Stages'!$K$10:$K$105&lt;&gt;"")*('Group Stages'!$M$10:$M$105='Dummy Table'!$B4)*('Group Stages'!$I$10:$I$105&gt;'Group Stages'!$K$10:$K$105))</f>
        <v>1</v>
      </c>
      <c r="M4" s="254">
        <f>SUMIF('Group Stages'!$M$10:$M$105,'Dummy Table'!$B4,'Group Stages'!$K$10:$K$105)</f>
        <v>2</v>
      </c>
      <c r="N4" s="254">
        <f>SUMIF('Group Stages'!$M$10:$M$105,'Dummy Table'!$B4,'Group Stages'!$I$10:$I$105)</f>
        <v>5</v>
      </c>
      <c r="O4" s="254">
        <f>M4-N4</f>
        <v>-3</v>
      </c>
      <c r="P4" s="254">
        <f>J4*3+K4*1</f>
        <v>4</v>
      </c>
      <c r="Q4" s="254">
        <f>C4+J4</f>
        <v>4</v>
      </c>
      <c r="R4" s="254">
        <f t="shared" ref="R4:W4" si="0">D4+K4</f>
        <v>1</v>
      </c>
      <c r="S4" s="254">
        <f t="shared" si="0"/>
        <v>1</v>
      </c>
      <c r="T4" s="254">
        <f t="shared" si="0"/>
        <v>9</v>
      </c>
      <c r="U4" s="254">
        <f t="shared" si="0"/>
        <v>6</v>
      </c>
      <c r="V4" s="254">
        <f t="shared" si="0"/>
        <v>3</v>
      </c>
      <c r="W4" s="254">
        <f t="shared" si="0"/>
        <v>13</v>
      </c>
      <c r="X4" s="259">
        <f>IF('Team Setup'!F5&lt;&gt;"",'Team Setup'!F5,DI4)</f>
        <v>140000</v>
      </c>
      <c r="Y4" s="259">
        <f>RANK(W4,W$4:W$7)</f>
        <v>1</v>
      </c>
      <c r="Z4" s="259">
        <f>SUMPRODUCT((W$4:W$7=W4)*(V$4:V$7&gt;V4))</f>
        <v>1</v>
      </c>
      <c r="AA4" s="259">
        <f>SUMPRODUCT((Y$4:Y$7=Y4)*(Z$4:Z$7=Z4)*(T$4:T$7&gt;T4))</f>
        <v>0</v>
      </c>
      <c r="AB4" s="259">
        <f>SUMPRODUCT((Y$4:Y$7=Y4)*(Z$4:Z$7=Z4)*(T$4:T$7=T4)*(X$4:X$7&gt;X4))</f>
        <v>0</v>
      </c>
      <c r="AC4" s="254">
        <v>1</v>
      </c>
      <c r="AD4" s="254" t="str">
        <f>VLOOKUP(AC4,$A$4:$B$7,2,FALSE)</f>
        <v>Borussia Dortmund</v>
      </c>
      <c r="AE4" s="254">
        <f>VLOOKUP($AD4,$B$4:$W$7,22,FALSE)</f>
        <v>13</v>
      </c>
      <c r="AF4" s="254" t="str">
        <f>IF(AE4=AE5,AD4,"")</f>
        <v>Borussia Dortmund</v>
      </c>
      <c r="AG4" s="259">
        <f>SUMPRODUCT(($BK$4:$BK$99='Dummy Table'!$AF4)*($BL$4:$BL$99&gt;$BM$4:$BM$99))</f>
        <v>1</v>
      </c>
      <c r="AH4" s="259">
        <f>SUMPRODUCT(($BK$4:$BK$99='Dummy Table'!$AF4)*($BL$4:$BL$99=$BM$4:$BM$99))</f>
        <v>0</v>
      </c>
      <c r="AI4" s="259">
        <f>SUMPRODUCT(($BK$4:$BK$99='Dummy Table'!$AF4)*($BL$4:$BL$99&lt;$BM$4:$BM$99))</f>
        <v>0</v>
      </c>
      <c r="AJ4" s="259">
        <f>SUMIF($BK$4:$BK$99,'Dummy Table'!$AF4,$BL$4:$BL$99)</f>
        <v>4</v>
      </c>
      <c r="AK4" s="259">
        <f>SUMIF($BK$4:$BK$99,'Dummy Table'!$AF4,$BM$4:$BM$99)</f>
        <v>0</v>
      </c>
      <c r="AL4" s="259">
        <f>AJ4-AK4</f>
        <v>4</v>
      </c>
      <c r="AM4" s="259">
        <f>IF(AF4&lt;&gt;"",AG4*3+AH4*1,"")</f>
        <v>3</v>
      </c>
      <c r="AN4" s="259">
        <f>SUMPRODUCT(($BN$4:$BN$99='Dummy Table'!$AF4)*($BL$4:$BL$99&lt;$BM$4:$BM$99))</f>
        <v>0</v>
      </c>
      <c r="AO4" s="259">
        <f>SUMPRODUCT(($BN$4:$BN$99='Dummy Table'!$AF4)*($BL$4:$BL$99=$BM$4:$BM$99))</f>
        <v>0</v>
      </c>
      <c r="AP4" s="259">
        <f>SUMPRODUCT(($BN$4:$BN$99='Dummy Table'!$AF4)*($BL$4:$BL$99&gt;$BM$4:$BM$99))</f>
        <v>1</v>
      </c>
      <c r="AQ4" s="259">
        <f>SUMIF($BN$4:$BN$99,'Dummy Table'!$AF4,$BM$4:$BM$99)</f>
        <v>0</v>
      </c>
      <c r="AR4" s="259">
        <f>SUMIF($BN$4:$BN$99,'Dummy Table'!$AF4,$BL$4:$BL$99)</f>
        <v>2</v>
      </c>
      <c r="AS4" s="259">
        <f>AQ4-AR4</f>
        <v>-2</v>
      </c>
      <c r="AT4" s="259">
        <f>IF(AF4&lt;&gt;"",AN4*3+AO4*1,"")</f>
        <v>0</v>
      </c>
      <c r="AU4" s="259">
        <f t="shared" ref="AU4:AZ4" si="1">AG4+AN4</f>
        <v>1</v>
      </c>
      <c r="AV4" s="259">
        <f t="shared" si="1"/>
        <v>0</v>
      </c>
      <c r="AW4" s="259">
        <f t="shared" si="1"/>
        <v>1</v>
      </c>
      <c r="AX4" s="259">
        <f t="shared" si="1"/>
        <v>4</v>
      </c>
      <c r="AY4" s="259">
        <f t="shared" si="1"/>
        <v>2</v>
      </c>
      <c r="AZ4" s="259">
        <f t="shared" si="1"/>
        <v>2</v>
      </c>
      <c r="BA4" s="259">
        <f>IF(AF4&lt;&gt;"",AM4+AT4,-1)</f>
        <v>3</v>
      </c>
      <c r="BB4" s="254">
        <f>IF(AF4&lt;&gt;"",VLOOKUP(AF4,$B$4:$V$35,21,FALSE),"")</f>
        <v>8</v>
      </c>
      <c r="BC4" s="254">
        <f>IF(AF4&lt;&gt;"",VLOOKUP(AF4,$B$4:$T$35,19,FALSE),"")</f>
        <v>10</v>
      </c>
      <c r="BD4" s="254">
        <f>IF(AF4&lt;&gt;"",VLOOKUP(AF4,$B$4:$X$35,23,FALSE),"")</f>
        <v>89000</v>
      </c>
      <c r="BE4" s="254">
        <f>RANK(BA4,BA$4:BA$7)</f>
        <v>1</v>
      </c>
      <c r="BF4" s="254">
        <f>SUMPRODUCT((BA$4:BA$7=BA4)*(AZ$4:AZ$7&gt;AZ4))</f>
        <v>0</v>
      </c>
      <c r="BG4" s="254">
        <f>SUMPRODUCT((BA$4:BA$7=BA4)*(BE$4:BE$7=BE4)*(AZ$4:AZ$7=AZ4)*(AQ$4:AQ$7&gt;AQ4))</f>
        <v>0</v>
      </c>
      <c r="BH4" s="254">
        <f>SUMPRODUCT((BA$4:BA$7=BA4)*(BE$4:BE$7=BE4)*(AZ$4:AZ$7=AZ4)*(AQ$4:AQ$7=AQ4)*(BB$4:BB$7&gt;BB4))</f>
        <v>0</v>
      </c>
      <c r="BI4" s="254">
        <f>SUMPRODUCT((BA$4:BA$7=BA4)*(BE$4:BE$7=BE4)*(AZ$4:AZ$7=AZ4)*(AQ$4:AQ$7=AQ4)*(BB$4:BB$7=BB4)*(BC$4:BC$7&gt;BC4))</f>
        <v>0</v>
      </c>
      <c r="BJ4" s="254">
        <f>SUMPRODUCT((BA$4:BA$7=BA4)*(BE$4:BE$7=BE4)*(AZ$4:AZ$7=AZ4)*(AQ$4:AQ$7=AQ4)*(BB$4:BB$7=BB4)*(BC$4:BC$7=BC4)*(BD$4:BD$7&gt;BD4))</f>
        <v>0</v>
      </c>
      <c r="BK4" s="254" t="str">
        <f>IF(AND(COUNTIF($AF$4:$AF$35,'Group Stages'!G10)&gt;0,COUNTIF($AF$4:$AF$35,'Group Stages'!M10)&gt;0,'Group Stages'!I10&lt;&gt;"",'Group Stages'!K10&lt;&gt;""),'Group Stages'!G10,"")</f>
        <v/>
      </c>
      <c r="BL4" s="254" t="str">
        <f>IF($BK4&lt;&gt;"",'Group Stages'!$I10,"")</f>
        <v/>
      </c>
      <c r="BM4" s="254" t="str">
        <f>IF($BK4&lt;&gt;"",'Group Stages'!$K10,"")</f>
        <v/>
      </c>
      <c r="BN4" s="254" t="str">
        <f>IF($BK4&lt;&gt;"",'Group Stages'!$M10,"")</f>
        <v/>
      </c>
      <c r="BO4" s="254">
        <f t="shared" ref="BO4:BO35" si="2">IF(AF4="","",SUM(BE4:BJ4))</f>
        <v>1</v>
      </c>
      <c r="BP4" s="254" t="str">
        <f>IF(AF4="","",AF4)</f>
        <v>Borussia Dortmund</v>
      </c>
      <c r="BQ4" s="254">
        <f>VLOOKUP($AD4,$B$4:$W$7,22,FALSE)</f>
        <v>13</v>
      </c>
      <c r="BS4" s="261">
        <f>SUMPRODUCT(($CW$4:$CW$99='Dummy Table'!$BR4)*($CX$4:$CX$99&gt;$CY$4:$CY$99))</f>
        <v>0</v>
      </c>
      <c r="BT4" s="261">
        <f>SUMPRODUCT(($CW$4:$CW$99='Dummy Table'!$BR4)*($CX$4:$CX$99=$CY$4:$CY$99))</f>
        <v>94</v>
      </c>
      <c r="BU4" s="261">
        <f>SUMPRODUCT(($CW$4:$CW$99='Dummy Table'!$BR4)*($CX$4:$CX$99&lt;$CY$4:$CY$99))</f>
        <v>0</v>
      </c>
      <c r="BV4" s="261">
        <f>SUMIF($CW$4:$CW$99,'Dummy Table'!$BR4,$CX$4:$CX$99)</f>
        <v>0</v>
      </c>
      <c r="BW4" s="261">
        <f>SUMIF($CW$4:$CW$99,'Dummy Table'!$BR4,$CY$4:$CY$99)</f>
        <v>0</v>
      </c>
      <c r="BX4" s="261">
        <f>BV4-BW4</f>
        <v>0</v>
      </c>
      <c r="BY4" s="261" t="str">
        <f>IF(BR4&lt;&gt;"",BS4*3+BT4*1,"")</f>
        <v/>
      </c>
      <c r="BZ4" s="261">
        <f>SUMPRODUCT(($CZ$4:$CZ$99='Dummy Table'!$BR4)*($CX$4:$CX$99&lt;$CY$4:$CY$99))</f>
        <v>0</v>
      </c>
      <c r="CA4" s="261">
        <f>SUMPRODUCT(($CZ$4:$CZ$99='Dummy Table'!$BR4)*($CX$4:$CX$99=$CY$4:$CY$99))</f>
        <v>94</v>
      </c>
      <c r="CB4" s="261">
        <f>SUMPRODUCT(($CZ$4:$CZ$99='Dummy Table'!$BR4)*($CX$4:$CX$99&gt;$CY$4:$CY$99))</f>
        <v>0</v>
      </c>
      <c r="CC4" s="261">
        <f>SUMIF($CZ$4:$CZ$99,'Dummy Table'!$BR4,$CY$4:$CY$99)</f>
        <v>0</v>
      </c>
      <c r="CD4" s="261">
        <f>SUMIF($CZ$4:$CZ$99,'Dummy Table'!$BR4,$CX$4:$CX$99)</f>
        <v>0</v>
      </c>
      <c r="CE4" s="261">
        <f>CC4-CD4</f>
        <v>0</v>
      </c>
      <c r="CF4" s="261" t="str">
        <f>IF(BR4&lt;&gt;"",BZ4*3+CA4*1,"")</f>
        <v/>
      </c>
      <c r="CG4" s="261">
        <f>BS4+BZ4</f>
        <v>0</v>
      </c>
      <c r="CH4" s="261">
        <f t="shared" ref="CH4:CH35" si="3">BT4+CA4</f>
        <v>188</v>
      </c>
      <c r="CI4" s="261">
        <f t="shared" ref="CI4:CI35" si="4">BU4+CB4</f>
        <v>0</v>
      </c>
      <c r="CJ4" s="261">
        <f t="shared" ref="CJ4:CJ35" si="5">BV4+CC4</f>
        <v>0</v>
      </c>
      <c r="CK4" s="261">
        <f t="shared" ref="CK4:CK35" si="6">BW4+CD4</f>
        <v>0</v>
      </c>
      <c r="CL4" s="261">
        <f t="shared" ref="CL4:CL35" si="7">BX4+CE4</f>
        <v>0</v>
      </c>
      <c r="CM4" s="261">
        <f>IF(BR4&lt;&gt;"",BY4+CF4,-1)</f>
        <v>-1</v>
      </c>
      <c r="CN4" s="259">
        <f>X4</f>
        <v>140000</v>
      </c>
      <c r="CO4" s="259">
        <f>SUMIF($CZ$4:$CZ$99,'Dummy Table'!$BR4,$CY$4:$CY$99)*2</f>
        <v>0</v>
      </c>
      <c r="CP4" s="259">
        <f>RANK(CM4,CM$4:CM$7)</f>
        <v>1</v>
      </c>
      <c r="CR4" s="259">
        <f>SUMPRODUCT((CM$4:CM$7=CM4)*(CL$4:CL$7&gt;CL4))</f>
        <v>0</v>
      </c>
      <c r="CS4" s="259">
        <f>SUMPRODUCT((CP$4:CP$7=CP4)*(CR$4:CR$7=CR4)*(CO$4:CO$7&gt;CO4))</f>
        <v>0</v>
      </c>
      <c r="CT4" s="259">
        <f>IF($BR4&lt;&gt;"",SUMPRODUCT((CP$4:CP$7=CP4)*(CR$4:CR$7=CR4)*(CS$4:CS$7=CS4)*(V$4:V$7&gt;V4)),0)</f>
        <v>0</v>
      </c>
      <c r="CU4" s="259">
        <f>IF($BR4&lt;&gt;"",SUMPRODUCT((CP$4:CP$7=CP4)*(CR$4:CR$7=CR4)*(CS$4:CS$7=CS4)*(CT$4:CT$7=CT4)*(T$4:T$7&gt;T4)),0)</f>
        <v>0</v>
      </c>
      <c r="CV4" s="259">
        <f>SUMPRODUCT((CP$4:CP$7=CP4)*(CR$4:CR$7=CR4)*(CS$4:CS$7=CS4)*(CT$4:CT$7=CT4)*(CU$4:CU$7=CU4)*(CN$4:CN$7&gt;CN4))</f>
        <v>0</v>
      </c>
      <c r="CW4" s="254" t="str">
        <f>IF(AND(COUNTIF($BR$4:$BR$35,'Group Stages'!$G10)&gt;0,COUNTIF($BR$4:$BR$35,'Group Stages'!$M10)&gt;0),'Group Stages'!$G10,"")</f>
        <v/>
      </c>
      <c r="CX4" s="254" t="str">
        <f>IF($CW4&lt;&gt;"",'Group Stages'!$I10,"")</f>
        <v/>
      </c>
      <c r="CY4" s="254" t="str">
        <f>IF($CW4&lt;&gt;"",'Group Stages'!$K10,"")</f>
        <v/>
      </c>
      <c r="CZ4" s="254" t="str">
        <f>IF($CW4&lt;&gt;"",'Group Stages'!$M10,"")</f>
        <v/>
      </c>
      <c r="DA4" s="259" t="str">
        <f t="shared" ref="DA4:DA35" si="8">IF(BR4="","",SUM(CP4:CV4))</f>
        <v/>
      </c>
      <c r="DB4" s="254" t="str">
        <f>IF(BR4="","",BR4)</f>
        <v/>
      </c>
      <c r="DC4" s="254">
        <v>1</v>
      </c>
      <c r="DD4" s="254" t="str">
        <f>IF(AF4="",AD4,"")</f>
        <v/>
      </c>
      <c r="DE4" s="254">
        <f>IF(DD4="",DC4,"")</f>
        <v>1</v>
      </c>
      <c r="DF4" s="254" t="str">
        <f>VLOOKUP(DE4,$BO$4:$BP$7,2,FALSE)</f>
        <v>Borussia Dortmund</v>
      </c>
      <c r="DG4" s="254">
        <v>1</v>
      </c>
      <c r="DH4" s="254" t="str">
        <f>IF(DD4="",DF4,DD4)</f>
        <v>Borussia Dortmund</v>
      </c>
      <c r="DI4" s="254">
        <v>1</v>
      </c>
    </row>
    <row r="5" spans="1:113" x14ac:dyDescent="0.2">
      <c r="A5" s="254">
        <f t="shared" ref="A5:A35" si="9">Y5+Z5+AA5+AB5</f>
        <v>1</v>
      </c>
      <c r="B5" s="254" t="str">
        <f>'Team Setup'!B6</f>
        <v>Borussia Dortmund</v>
      </c>
      <c r="C5" s="259">
        <f>SUMPRODUCT(('Group Stages'!$I$10:$I$105&lt;&gt;"")*('Group Stages'!$K$10:$K$105&lt;&gt;"")*('Group Stages'!$G$10:$G$105='Dummy Table'!$B5)*('Group Stages'!$I$10:$I$105&gt;'Group Stages'!$K$10:$K$105))</f>
        <v>2</v>
      </c>
      <c r="D5" s="259">
        <f>SUMPRODUCT(('Group Stages'!$I$10:$I$105&lt;&gt;"")*('Group Stages'!$K$10:$K$105&lt;&gt;"")*('Group Stages'!$G$10:$G$105='Dummy Table'!$B5)*('Group Stages'!$I$10:$I$105='Group Stages'!$K$10:$K$105))</f>
        <v>1</v>
      </c>
      <c r="E5" s="259">
        <f>SUMPRODUCT(('Group Stages'!$I$10:$I$105&lt;&gt;"")*('Group Stages'!$K$10:$K$105&lt;&gt;"")*('Group Stages'!$G$10:$G$105='Dummy Table'!$B5)*('Group Stages'!$I$10:$I$105&lt;'Group Stages'!$K$10:$K$105))</f>
        <v>0</v>
      </c>
      <c r="F5" s="259">
        <f>SUMIF('Group Stages'!$G$10:$G$105,'Dummy Table'!$B5,'Group Stages'!$I$10:$I$105)</f>
        <v>7</v>
      </c>
      <c r="G5" s="259">
        <f>SUMIF('Group Stages'!$G$10:$G$105,'Dummy Table'!$B5,'Group Stages'!$K$10:$K$105)</f>
        <v>0</v>
      </c>
      <c r="H5" s="259">
        <f t="shared" ref="H5:H35" si="10">F5-G5</f>
        <v>7</v>
      </c>
      <c r="I5" s="259">
        <f t="shared" ref="I5:I35" si="11">C5*3+D5*1</f>
        <v>7</v>
      </c>
      <c r="J5" s="254">
        <f>SUMPRODUCT(('Group Stages'!$I$10:$I$105&lt;&gt;"")*('Group Stages'!$K$10:$K$105&lt;&gt;"")*('Group Stages'!$M$10:$M$105='Dummy Table'!$B5)*('Group Stages'!$I$10:$I$105&lt;'Group Stages'!$K$10:$K$105))</f>
        <v>2</v>
      </c>
      <c r="K5" s="254">
        <f>SUMPRODUCT(('Group Stages'!$I$10:$I$105&lt;&gt;"")*('Group Stages'!$K$10:$K$105&lt;&gt;"")*('Group Stages'!$M$10:$M$105='Dummy Table'!$B5)*('Group Stages'!$I$10:$I$105='Group Stages'!$K$10:$K$105))</f>
        <v>0</v>
      </c>
      <c r="L5" s="254">
        <f>SUMPRODUCT(('Group Stages'!$I$10:$I$105&lt;&gt;"")*('Group Stages'!$K$10:$K$105&lt;&gt;"")*('Group Stages'!$M$10:$M$105='Dummy Table'!$B5)*('Group Stages'!$I$10:$I$105&gt;'Group Stages'!$K$10:$K$105))</f>
        <v>1</v>
      </c>
      <c r="M5" s="254">
        <f>SUMIF('Group Stages'!$M$10:$M$105,'Dummy Table'!$B5,'Group Stages'!$K$10:$K$105)</f>
        <v>3</v>
      </c>
      <c r="N5" s="254">
        <f>SUMIF('Group Stages'!$M$10:$M$105,'Dummy Table'!$B5,'Group Stages'!$I$10:$I$105)</f>
        <v>2</v>
      </c>
      <c r="O5" s="254">
        <f t="shared" ref="O5:O35" si="12">M5-N5</f>
        <v>1</v>
      </c>
      <c r="P5" s="254">
        <f t="shared" ref="P5:P35" si="13">J5*3+K5*1</f>
        <v>6</v>
      </c>
      <c r="Q5" s="254">
        <f t="shared" ref="Q5:Q35" si="14">C5+J5</f>
        <v>4</v>
      </c>
      <c r="R5" s="254">
        <f t="shared" ref="R5:R35" si="15">D5+K5</f>
        <v>1</v>
      </c>
      <c r="S5" s="254">
        <f t="shared" ref="S5:S35" si="16">E5+L5</f>
        <v>1</v>
      </c>
      <c r="T5" s="254">
        <f t="shared" ref="T5:T35" si="17">F5+M5</f>
        <v>10</v>
      </c>
      <c r="U5" s="254">
        <f t="shared" ref="U5:U35" si="18">G5+N5</f>
        <v>2</v>
      </c>
      <c r="V5" s="254">
        <f t="shared" ref="V5:V35" si="19">H5+O5</f>
        <v>8</v>
      </c>
      <c r="W5" s="254">
        <f t="shared" ref="W5:W35" si="20">I5+P5</f>
        <v>13</v>
      </c>
      <c r="X5" s="259">
        <f>IF('Team Setup'!F6&lt;&gt;"",'Team Setup'!F6,DI5)</f>
        <v>89000</v>
      </c>
      <c r="Y5" s="259">
        <f>RANK(W5,W$4:W$7)</f>
        <v>1</v>
      </c>
      <c r="Z5" s="259">
        <f>SUMPRODUCT((W$4:W$7=W5)*(V$4:V$7&gt;V5))</f>
        <v>0</v>
      </c>
      <c r="AA5" s="259">
        <f>SUMPRODUCT((Y$4:Y$7=Y5)*(Z$4:Z$7=Z5)*(T$4:T$7&gt;T5))</f>
        <v>0</v>
      </c>
      <c r="AB5" s="259">
        <f>SUMPRODUCT((Y$4:Y$7=Y5)*(Z$4:Z$7=Z5)*(T$4:T$7=T5)*(X$4:X$7&gt;X5))</f>
        <v>0</v>
      </c>
      <c r="AC5" s="254">
        <v>2</v>
      </c>
      <c r="AD5" s="254" t="str">
        <f>VLOOKUP(AC5,$A$4:$B$7,2,FALSE)</f>
        <v>Atletico Madrid</v>
      </c>
      <c r="AE5" s="254">
        <f>VLOOKUP($AD5,$B$4:$W$7,22,FALSE)</f>
        <v>13</v>
      </c>
      <c r="AF5" s="254" t="str">
        <f>IF(OR(AE5=AE4,AE5=AE6),AD5,"")</f>
        <v>Atletico Madrid</v>
      </c>
      <c r="AG5" s="259">
        <f>SUMPRODUCT(($BK$4:$BK$99='Dummy Table'!$AF5)*($BL$4:$BL$99&gt;$BM$4:$BM$99))</f>
        <v>1</v>
      </c>
      <c r="AH5" s="259">
        <f>SUMPRODUCT(($BK$4:$BK$99='Dummy Table'!$AF5)*($BL$4:$BL$99=$BM$4:$BM$99))</f>
        <v>0</v>
      </c>
      <c r="AI5" s="259">
        <f>SUMPRODUCT(($BK$4:$BK$99='Dummy Table'!$AF5)*($BL$4:$BL$99&lt;$BM$4:$BM$99))</f>
        <v>0</v>
      </c>
      <c r="AJ5" s="259">
        <f>SUMIF($BK$4:$BK$99,'Dummy Table'!$AF5,$BL$4:$BL$99)</f>
        <v>2</v>
      </c>
      <c r="AK5" s="259">
        <f>SUMIF($BK$4:$BK$99,'Dummy Table'!$AF5,$BM$4:$BM$99)</f>
        <v>0</v>
      </c>
      <c r="AL5" s="259">
        <f t="shared" ref="AL5:AL35" si="21">AJ5-AK5</f>
        <v>2</v>
      </c>
      <c r="AM5" s="259">
        <f t="shared" ref="AM5:AM35" si="22">IF(AF5&lt;&gt;"",AG5*3+AH5*1,"")</f>
        <v>3</v>
      </c>
      <c r="AN5" s="259">
        <f>SUMPRODUCT(($BN$4:$BN$99='Dummy Table'!$AF5)*($BL$4:$BL$99&lt;$BM$4:$BM$99))</f>
        <v>0</v>
      </c>
      <c r="AO5" s="259">
        <f>SUMPRODUCT(($BN$4:$BN$99='Dummy Table'!$AF5)*($BL$4:$BL$99=$BM$4:$BM$99))</f>
        <v>0</v>
      </c>
      <c r="AP5" s="259">
        <f>SUMPRODUCT(($BN$4:$BN$99='Dummy Table'!$AF5)*($BL$4:$BL$99&gt;$BM$4:$BM$99))</f>
        <v>1</v>
      </c>
      <c r="AQ5" s="259">
        <f>SUMIF($BN$4:$BN$99,'Dummy Table'!$AF5,$BM$4:$BM$99)</f>
        <v>0</v>
      </c>
      <c r="AR5" s="259">
        <f>SUMIF($BN$4:$BN$99,'Dummy Table'!$AF5,$BL$4:$BL$99)</f>
        <v>4</v>
      </c>
      <c r="AS5" s="259">
        <f t="shared" ref="AS5:AS35" si="23">AQ5-AR5</f>
        <v>-4</v>
      </c>
      <c r="AT5" s="259">
        <f t="shared" ref="AT5:AT35" si="24">IF(AF5&lt;&gt;"",AN5*3+AO5*1,"")</f>
        <v>0</v>
      </c>
      <c r="AU5" s="259">
        <f t="shared" ref="AU5:AU35" si="25">AG5+AN5</f>
        <v>1</v>
      </c>
      <c r="AV5" s="259">
        <f t="shared" ref="AV5:AV35" si="26">AH5+AO5</f>
        <v>0</v>
      </c>
      <c r="AW5" s="259">
        <f t="shared" ref="AW5:AW35" si="27">AI5+AP5</f>
        <v>1</v>
      </c>
      <c r="AX5" s="259">
        <f t="shared" ref="AX5:AX35" si="28">AJ5+AQ5</f>
        <v>2</v>
      </c>
      <c r="AY5" s="259">
        <f t="shared" ref="AY5:AY35" si="29">AK5+AR5</f>
        <v>4</v>
      </c>
      <c r="AZ5" s="259">
        <f t="shared" ref="AZ5:AZ35" si="30">AL5+AS5</f>
        <v>-2</v>
      </c>
      <c r="BA5" s="259">
        <f>IF(AF5&lt;&gt;"",AM5+AT5,-1)</f>
        <v>3</v>
      </c>
      <c r="BB5" s="254">
        <f t="shared" ref="BB5:BB35" si="31">IF(AF5&lt;&gt;"",VLOOKUP(AF5,$B$4:$V$35,21,FALSE),"")</f>
        <v>3</v>
      </c>
      <c r="BC5" s="254">
        <f t="shared" ref="BC5:BC35" si="32">IF(AF5&lt;&gt;"",VLOOKUP(AF5,$B$4:$T$35,19,FALSE),"")</f>
        <v>9</v>
      </c>
      <c r="BD5" s="254">
        <f t="shared" ref="BD5:BD35" si="33">IF(AF5&lt;&gt;"",VLOOKUP(AF5,$B$4:$X$35,23,FALSE),"")</f>
        <v>140000</v>
      </c>
      <c r="BE5" s="254">
        <f>RANK(BA5,BA$4:BA$7)</f>
        <v>1</v>
      </c>
      <c r="BF5" s="254">
        <f>SUMPRODUCT((BA$4:BA$7=BA5)*(AZ$4:AZ$7&gt;AZ5))</f>
        <v>1</v>
      </c>
      <c r="BG5" s="254">
        <f>SUMPRODUCT((BA$4:BA$7=BA5)*(BE$4:BE$7=BE5)*(AZ$4:AZ$7=AZ5)*(AQ$4:AQ$7&gt;AQ5))</f>
        <v>0</v>
      </c>
      <c r="BH5" s="254">
        <f>SUMPRODUCT((BA$4:BA$7=BA5)*(BE$4:BE$7=BE5)*(AZ$4:AZ$7=AZ5)*(AQ$4:AQ$7=AQ5)*(BB$4:BB$7&gt;BB5))</f>
        <v>0</v>
      </c>
      <c r="BI5" s="254">
        <f>SUMPRODUCT((BA$4:BA$7=BA5)*(BE$4:BE$7=BE5)*(AZ$4:AZ$7=AZ5)*(AQ$4:AQ$7=AQ5)*(BB$4:BB$7=BB5)*(BC$4:BC$7&gt;BC5))</f>
        <v>0</v>
      </c>
      <c r="BJ5" s="254">
        <f>SUMPRODUCT((BA$4:BA$7=BA5)*(BE$4:BE$7=BE5)*(AZ$4:AZ$7=AZ5)*(AQ$4:AQ$7=AQ5)*(BB$4:BB$7=BB5)*(BC$4:BC$7=BC5)*(BD$4:BD$7&gt;BD5))</f>
        <v>0</v>
      </c>
      <c r="BK5" s="254" t="str">
        <f>IF(AND(COUNTIF($AF$4:$AF$35,'Group Stages'!G11)&gt;0,COUNTIF($AF$4:$AF$35,'Group Stages'!M11)&gt;0,'Group Stages'!I11&lt;&gt;"",'Group Stages'!K11&lt;&gt;""),'Group Stages'!G11,"")</f>
        <v>Internazionale</v>
      </c>
      <c r="BL5" s="254">
        <f>IF($BK5&lt;&gt;"",'Group Stages'!I11,"")</f>
        <v>2</v>
      </c>
      <c r="BM5" s="254">
        <f>IF($BK5&lt;&gt;"",'Group Stages'!K11,"")</f>
        <v>1</v>
      </c>
      <c r="BN5" s="254" t="str">
        <f>IF($BK5&lt;&gt;"",'Group Stages'!M11,"")</f>
        <v>Tottenham Hotspur</v>
      </c>
      <c r="BO5" s="254">
        <f t="shared" si="2"/>
        <v>2</v>
      </c>
      <c r="BP5" s="254" t="str">
        <f t="shared" ref="BP5:BP35" si="34">IF(AF5="","",AF5)</f>
        <v>Atletico Madrid</v>
      </c>
      <c r="BQ5" s="254">
        <f>VLOOKUP($AD5,$B$4:$W$7,22,FALSE)</f>
        <v>13</v>
      </c>
      <c r="BS5" s="261">
        <f>SUMPRODUCT(($CW$4:$CW$99='Dummy Table'!$BR5)*($CX$4:$CX$99&gt;$CY$4:$CY$99))</f>
        <v>0</v>
      </c>
      <c r="BT5" s="261">
        <f>SUMPRODUCT(($CW$4:$CW$99='Dummy Table'!$BR5)*($CX$4:$CX$99=$CY$4:$CY$99))</f>
        <v>94</v>
      </c>
      <c r="BU5" s="261">
        <f>SUMPRODUCT(($CW$4:$CW$99='Dummy Table'!$BR5)*($CX$4:$CX$99&lt;$CY$4:$CY$99))</f>
        <v>0</v>
      </c>
      <c r="BV5" s="261">
        <f>SUMIF($CW$4:$CW$99,'Dummy Table'!$BR5,$CX$4:$CX$99)</f>
        <v>0</v>
      </c>
      <c r="BW5" s="261">
        <f>SUMIF($CW$4:$CW$99,'Dummy Table'!$BR5,$CY$4:$CY$99)</f>
        <v>0</v>
      </c>
      <c r="BX5" s="261">
        <f t="shared" ref="BX5:BX35" si="35">BV5-BW5</f>
        <v>0</v>
      </c>
      <c r="BY5" s="261" t="str">
        <f t="shared" ref="BY5:BY35" si="36">IF(BR5&lt;&gt;"",BS5*3+BT5*1,"")</f>
        <v/>
      </c>
      <c r="BZ5" s="261">
        <f>SUMPRODUCT(($CZ$4:$CZ$99='Dummy Table'!$BR5)*($CX$4:$CX$99&lt;$CY$4:$CY$99))</f>
        <v>0</v>
      </c>
      <c r="CA5" s="261">
        <f>SUMPRODUCT(($CZ$4:$CZ$99='Dummy Table'!$BR5)*($CX$4:$CX$99=$CY$4:$CY$99))</f>
        <v>94</v>
      </c>
      <c r="CB5" s="261">
        <f>SUMPRODUCT(($CZ$4:$CZ$99='Dummy Table'!$BR5)*($CX$4:$CX$99&gt;$CY$4:$CY$99))</f>
        <v>0</v>
      </c>
      <c r="CC5" s="261">
        <f>SUMIF($CZ$4:$CZ$99,'Dummy Table'!$BR5,$CY$4:$CY$99)</f>
        <v>0</v>
      </c>
      <c r="CD5" s="261">
        <f>SUMIF($CZ$4:$CZ$99,'Dummy Table'!$BR5,$CX$4:$CX$99)</f>
        <v>0</v>
      </c>
      <c r="CE5" s="261">
        <f t="shared" ref="CE5:CE35" si="37">CC5-CD5</f>
        <v>0</v>
      </c>
      <c r="CF5" s="261" t="str">
        <f t="shared" ref="CF5:CF35" si="38">IF(BR5&lt;&gt;"",BZ5*3+CA5*1,"")</f>
        <v/>
      </c>
      <c r="CG5" s="261">
        <f t="shared" ref="CG5:CG35" si="39">BS5+BZ5</f>
        <v>0</v>
      </c>
      <c r="CH5" s="261">
        <f t="shared" si="3"/>
        <v>188</v>
      </c>
      <c r="CI5" s="261">
        <f t="shared" si="4"/>
        <v>0</v>
      </c>
      <c r="CJ5" s="261">
        <f t="shared" si="5"/>
        <v>0</v>
      </c>
      <c r="CK5" s="261">
        <f t="shared" si="6"/>
        <v>0</v>
      </c>
      <c r="CL5" s="261">
        <f t="shared" si="7"/>
        <v>0</v>
      </c>
      <c r="CM5" s="261">
        <f>IF(BR5&lt;&gt;"",BY5+CF5,-1)</f>
        <v>-1</v>
      </c>
      <c r="CN5" s="259">
        <f t="shared" ref="CN5:CN35" si="40">X5</f>
        <v>89000</v>
      </c>
      <c r="CO5" s="259">
        <f>SUMIF($CZ$4:$CZ$99,'Dummy Table'!$BR5,$CY$4:$CY$99)*2</f>
        <v>0</v>
      </c>
      <c r="CP5" s="259">
        <f>RANK(CM5,CM$4:CM$7)</f>
        <v>1</v>
      </c>
      <c r="CR5" s="259">
        <f>SUMPRODUCT((CM$4:CM$7=CM5)*(CL$4:CL$7&gt;CL5))</f>
        <v>0</v>
      </c>
      <c r="CS5" s="259">
        <f>SUMPRODUCT((CP$4:CP$7=CP5)*(CR$4:CR$7=CR5)*(CO$4:CO$7&gt;CO5))</f>
        <v>0</v>
      </c>
      <c r="CT5" s="259">
        <f>IF($BR5&lt;&gt;"",SUMPRODUCT((CP$4:CP$7=CP5)*(CR$4:CR$7=CR5)*(CS$4:CS$7=CS5)*(V$4:V$7&gt;V5)),0)</f>
        <v>0</v>
      </c>
      <c r="CU5" s="259">
        <f t="shared" ref="CU5:CU7" si="41">IF($BR5&lt;&gt;"",SUMPRODUCT((CP$4:CP$7=CP5)*(CR$4:CR$7=CR5)*(CS$4:CS$7=CS5)*(CT$4:CT$7=CT5)*(T$4:T$7&gt;T5)),0)</f>
        <v>0</v>
      </c>
      <c r="CV5" s="259">
        <f t="shared" ref="CV5:CV7" si="42">SUMPRODUCT((CP$4:CP$7=CP5)*(CR$4:CR$7=CR5)*(CS$4:CS$7=CS5)*(CT$4:CT$7=CT5)*(CU$4:CU$7=CU5)*(CN$4:CN$7&gt;CN5))</f>
        <v>1</v>
      </c>
      <c r="CW5" s="254" t="str">
        <f>IF(AND(COUNTIF($BR$4:$BR$35,'Group Stages'!$G11)&gt;0,COUNTIF($BR$4:$BR$35,'Group Stages'!$M11)&gt;0),'Group Stages'!$G11,"")</f>
        <v/>
      </c>
      <c r="CX5" s="254" t="str">
        <f>IF($CW5&lt;&gt;"",'Group Stages'!$I11,"")</f>
        <v/>
      </c>
      <c r="CY5" s="254" t="str">
        <f>IF($CW5&lt;&gt;"",'Group Stages'!$K11,"")</f>
        <v/>
      </c>
      <c r="CZ5" s="254" t="str">
        <f>IF($CW5&lt;&gt;"",'Group Stages'!$M11,"")</f>
        <v/>
      </c>
      <c r="DA5" s="259" t="str">
        <f t="shared" si="8"/>
        <v/>
      </c>
      <c r="DB5" s="254" t="str">
        <f t="shared" ref="DB5:DB35" si="43">IF(BR5="","",BR5)</f>
        <v/>
      </c>
      <c r="DC5" s="254">
        <v>2</v>
      </c>
      <c r="DD5" s="254" t="str">
        <f>IF(AF5="",AD5,"")</f>
        <v/>
      </c>
      <c r="DE5" s="254">
        <f>IF(AND(DD5="",DD4=""),DC5,IF(AND(DD4&lt;&gt;"",DD5=""),1,""))</f>
        <v>2</v>
      </c>
      <c r="DF5" s="254" t="str">
        <f>VLOOKUP(DE5,$BO$4:$BP$7,2,FALSE)</f>
        <v>Atletico Madrid</v>
      </c>
      <c r="DG5" s="254">
        <v>2</v>
      </c>
      <c r="DH5" s="254" t="str">
        <f>IF(DD5="",DF5,DD5)</f>
        <v>Atletico Madrid</v>
      </c>
      <c r="DI5" s="254">
        <v>2</v>
      </c>
    </row>
    <row r="6" spans="1:113" x14ac:dyDescent="0.2">
      <c r="A6" s="254">
        <f t="shared" si="9"/>
        <v>4</v>
      </c>
      <c r="B6" s="254" t="str">
        <f>'Team Setup'!B7</f>
        <v>Monaco</v>
      </c>
      <c r="C6" s="259">
        <f>SUMPRODUCT(('Group Stages'!$I$10:$I$105&lt;&gt;"")*('Group Stages'!$K$10:$K$105&lt;&gt;"")*('Group Stages'!$G$10:$G$105='Dummy Table'!$B6)*('Group Stages'!$I$10:$I$105&gt;'Group Stages'!$K$10:$K$105))</f>
        <v>0</v>
      </c>
      <c r="D6" s="259">
        <f>SUMPRODUCT(('Group Stages'!$I$10:$I$105&lt;&gt;"")*('Group Stages'!$K$10:$K$105&lt;&gt;"")*('Group Stages'!$G$10:$G$105='Dummy Table'!$B6)*('Group Stages'!$I$10:$I$105='Group Stages'!$K$10:$K$105))</f>
        <v>0</v>
      </c>
      <c r="E6" s="259">
        <f>SUMPRODUCT(('Group Stages'!$I$10:$I$105&lt;&gt;"")*('Group Stages'!$K$10:$K$105&lt;&gt;"")*('Group Stages'!$G$10:$G$105='Dummy Table'!$B6)*('Group Stages'!$I$10:$I$105&lt;'Group Stages'!$K$10:$K$105))</f>
        <v>3</v>
      </c>
      <c r="F6" s="259">
        <f>SUMIF('Group Stages'!$G$10:$G$105,'Dummy Table'!$B6,'Group Stages'!$I$10:$I$105)</f>
        <v>1</v>
      </c>
      <c r="G6" s="259">
        <f>SUMIF('Group Stages'!$G$10:$G$105,'Dummy Table'!$B6,'Group Stages'!$K$10:$K$105)</f>
        <v>8</v>
      </c>
      <c r="H6" s="259">
        <f t="shared" si="10"/>
        <v>-7</v>
      </c>
      <c r="I6" s="259">
        <f t="shared" si="11"/>
        <v>0</v>
      </c>
      <c r="J6" s="254">
        <f>SUMPRODUCT(('Group Stages'!$I$10:$I$105&lt;&gt;"")*('Group Stages'!$K$10:$K$105&lt;&gt;"")*('Group Stages'!$M$10:$M$105='Dummy Table'!$B6)*('Group Stages'!$I$10:$I$105&lt;'Group Stages'!$K$10:$K$105))</f>
        <v>0</v>
      </c>
      <c r="K6" s="254">
        <f>SUMPRODUCT(('Group Stages'!$I$10:$I$105&lt;&gt;"")*('Group Stages'!$K$10:$K$105&lt;&gt;"")*('Group Stages'!$M$10:$M$105='Dummy Table'!$B6)*('Group Stages'!$I$10:$I$105='Group Stages'!$K$10:$K$105))</f>
        <v>1</v>
      </c>
      <c r="L6" s="254">
        <f>SUMPRODUCT(('Group Stages'!$I$10:$I$105&lt;&gt;"")*('Group Stages'!$K$10:$K$105&lt;&gt;"")*('Group Stages'!$M$10:$M$105='Dummy Table'!$B6)*('Group Stages'!$I$10:$I$105&gt;'Group Stages'!$K$10:$K$105))</f>
        <v>2</v>
      </c>
      <c r="M6" s="254">
        <f>SUMIF('Group Stages'!$M$10:$M$105,'Dummy Table'!$B6,'Group Stages'!$K$10:$K$105)</f>
        <v>1</v>
      </c>
      <c r="N6" s="254">
        <f>SUMIF('Group Stages'!$M$10:$M$105,'Dummy Table'!$B6,'Group Stages'!$I$10:$I$105)</f>
        <v>6</v>
      </c>
      <c r="O6" s="254">
        <f t="shared" si="12"/>
        <v>-5</v>
      </c>
      <c r="P6" s="254">
        <f t="shared" si="13"/>
        <v>1</v>
      </c>
      <c r="Q6" s="254">
        <f t="shared" si="14"/>
        <v>0</v>
      </c>
      <c r="R6" s="254">
        <f t="shared" si="15"/>
        <v>1</v>
      </c>
      <c r="S6" s="254">
        <f t="shared" si="16"/>
        <v>5</v>
      </c>
      <c r="T6" s="254">
        <f t="shared" si="17"/>
        <v>2</v>
      </c>
      <c r="U6" s="254">
        <f t="shared" si="18"/>
        <v>14</v>
      </c>
      <c r="V6" s="254">
        <f t="shared" si="19"/>
        <v>-12</v>
      </c>
      <c r="W6" s="254">
        <f t="shared" si="20"/>
        <v>1</v>
      </c>
      <c r="X6" s="259">
        <f>IF('Team Setup'!F7&lt;&gt;"",'Team Setup'!F7,DI6)</f>
        <v>57000</v>
      </c>
      <c r="Y6" s="259">
        <f>RANK(W6,W$4:W$7)</f>
        <v>4</v>
      </c>
      <c r="Z6" s="259">
        <f>SUMPRODUCT((W$4:W$7=W6)*(V$4:V$7&gt;V6))</f>
        <v>0</v>
      </c>
      <c r="AA6" s="259">
        <f>SUMPRODUCT((Y$4:Y$7=Y6)*(Z$4:Z$7=Z6)*(T$4:T$7&gt;T6))</f>
        <v>0</v>
      </c>
      <c r="AB6" s="259">
        <f>SUMPRODUCT((Y$4:Y$7=Y6)*(Z$4:Z$7=Z6)*(T$4:T$7=T6)*(X$4:X$7&gt;X6))</f>
        <v>0</v>
      </c>
      <c r="AC6" s="254">
        <v>3</v>
      </c>
      <c r="AD6" s="254" t="str">
        <f>VLOOKUP(AC6,$A$4:$B$7,2,FALSE)</f>
        <v>Club Brugge</v>
      </c>
      <c r="AE6" s="254">
        <f>VLOOKUP($AD6,$B$4:$W$7,22,FALSE)</f>
        <v>6</v>
      </c>
      <c r="AF6" s="254" t="str">
        <f>IF(AE6=AE5,AD6,"")</f>
        <v/>
      </c>
      <c r="AG6" s="259">
        <f>SUMPRODUCT(($BK$4:$BK$99='Dummy Table'!$AF6)*($BL$4:$BL$99&gt;$BM$4:$BM$99))</f>
        <v>0</v>
      </c>
      <c r="AH6" s="259">
        <f>SUMPRODUCT(($BK$4:$BK$99='Dummy Table'!$AF6)*($BL$4:$BL$99=$BM$4:$BM$99))</f>
        <v>90</v>
      </c>
      <c r="AI6" s="259">
        <f>SUMPRODUCT(($BK$4:$BK$99='Dummy Table'!$AF6)*($BL$4:$BL$99&lt;$BM$4:$BM$99))</f>
        <v>0</v>
      </c>
      <c r="AJ6" s="259">
        <f>SUMIF($BK$4:$BK$99,'Dummy Table'!$AF6,$BL$4:$BL$99)</f>
        <v>0</v>
      </c>
      <c r="AK6" s="259">
        <f>SUMIF($BK$4:$BK$99,'Dummy Table'!$AF6,$BM$4:$BM$99)</f>
        <v>0</v>
      </c>
      <c r="AL6" s="259">
        <f t="shared" si="21"/>
        <v>0</v>
      </c>
      <c r="AM6" s="259" t="str">
        <f t="shared" si="22"/>
        <v/>
      </c>
      <c r="AN6" s="259">
        <f>SUMPRODUCT(($BN$4:$BN$99='Dummy Table'!$AF6)*($BL$4:$BL$99&lt;$BM$4:$BM$99))</f>
        <v>0</v>
      </c>
      <c r="AO6" s="259">
        <f>SUMPRODUCT(($BN$4:$BN$99='Dummy Table'!$AF6)*($BL$4:$BL$99=$BM$4:$BM$99))</f>
        <v>90</v>
      </c>
      <c r="AP6" s="259">
        <f>SUMPRODUCT(($BN$4:$BN$99='Dummy Table'!$AF6)*($BL$4:$BL$99&gt;$BM$4:$BM$99))</f>
        <v>0</v>
      </c>
      <c r="AQ6" s="259">
        <f>SUMIF($BN$4:$BN$99,'Dummy Table'!$AF6,$BM$4:$BM$99)</f>
        <v>0</v>
      </c>
      <c r="AR6" s="259">
        <f>SUMIF($BN$4:$BN$99,'Dummy Table'!$AF6,$BL$4:$BL$99)</f>
        <v>0</v>
      </c>
      <c r="AS6" s="259">
        <f t="shared" si="23"/>
        <v>0</v>
      </c>
      <c r="AT6" s="259" t="str">
        <f t="shared" si="24"/>
        <v/>
      </c>
      <c r="AU6" s="259">
        <f t="shared" si="25"/>
        <v>0</v>
      </c>
      <c r="AV6" s="259">
        <f t="shared" si="26"/>
        <v>180</v>
      </c>
      <c r="AW6" s="259">
        <f t="shared" si="27"/>
        <v>0</v>
      </c>
      <c r="AX6" s="259">
        <f t="shared" si="28"/>
        <v>0</v>
      </c>
      <c r="AY6" s="259">
        <f t="shared" si="29"/>
        <v>0</v>
      </c>
      <c r="AZ6" s="259">
        <f t="shared" si="30"/>
        <v>0</v>
      </c>
      <c r="BA6" s="259">
        <f t="shared" ref="BA6:BA35" si="44">IF(AF6&lt;&gt;"",AM6+AT6,-1)</f>
        <v>-1</v>
      </c>
      <c r="BB6" s="254" t="str">
        <f t="shared" si="31"/>
        <v/>
      </c>
      <c r="BC6" s="254" t="str">
        <f t="shared" si="32"/>
        <v/>
      </c>
      <c r="BD6" s="254" t="str">
        <f t="shared" si="33"/>
        <v/>
      </c>
      <c r="BE6" s="254">
        <f>RANK(BA6,BA$4:BA$7)</f>
        <v>3</v>
      </c>
      <c r="BF6" s="254">
        <f>SUMPRODUCT((BA$4:BA$7=BA6)*(AZ$4:AZ$7&gt;AZ6))</f>
        <v>0</v>
      </c>
      <c r="BG6" s="254">
        <f>SUMPRODUCT((BA$4:BA$7=BA6)*(BE$4:BE$7=BE6)*(AZ$4:AZ$7=AZ6)*(AQ$4:AQ$7&gt;AQ6))</f>
        <v>0</v>
      </c>
      <c r="BH6" s="254">
        <f>SUMPRODUCT((BA$4:BA$7=BA6)*(BE$4:BE$7=BE6)*(AZ$4:AZ$7=AZ6)*(AQ$4:AQ$7=AQ6)*(BB$4:BB$7&gt;BB6))</f>
        <v>0</v>
      </c>
      <c r="BI6" s="254">
        <f>SUMPRODUCT((BA$4:BA$7=BA6)*(BE$4:BE$7=BE6)*(AZ$4:AZ$7=AZ6)*(AQ$4:AQ$7=AQ6)*(BB$4:BB$7=BB6)*(BC$4:BC$7&gt;BC6))</f>
        <v>0</v>
      </c>
      <c r="BJ6" s="254">
        <f>SUMPRODUCT((BA$4:BA$7=BA6)*(BE$4:BE$7=BE6)*(AZ$4:AZ$7=AZ6)*(AQ$4:AQ$7=AQ6)*(BB$4:BB$7=BB6)*(BC$4:BC$7=BC6)*(BD$4:BD$7&gt;BD6))</f>
        <v>0</v>
      </c>
      <c r="BK6" s="254" t="str">
        <f>IF(AND(COUNTIF($AF$4:$AF$35,'Group Stages'!G12)&gt;0,COUNTIF($AF$4:$AF$35,'Group Stages'!M12)&gt;0,'Group Stages'!I12&lt;&gt;"",'Group Stages'!K12&lt;&gt;""),'Group Stages'!G12,"")</f>
        <v/>
      </c>
      <c r="BL6" s="254" t="str">
        <f>IF($BK6&lt;&gt;"",'Group Stages'!I12,"")</f>
        <v/>
      </c>
      <c r="BM6" s="254" t="str">
        <f>IF($BK6&lt;&gt;"",'Group Stages'!K12,"")</f>
        <v/>
      </c>
      <c r="BN6" s="254" t="str">
        <f>IF($BK6&lt;&gt;"",'Group Stages'!M12,"")</f>
        <v/>
      </c>
      <c r="BO6" s="254" t="str">
        <f t="shared" si="2"/>
        <v/>
      </c>
      <c r="BP6" s="254" t="str">
        <f t="shared" si="34"/>
        <v/>
      </c>
      <c r="BQ6" s="254">
        <f>VLOOKUP($AD6,$B$4:$W$7,22,FALSE)</f>
        <v>6</v>
      </c>
      <c r="BR6" s="254" t="str">
        <f>IF(AND(BQ6&lt;&gt;BQ5,BQ6=BQ7),AD6,"")</f>
        <v/>
      </c>
      <c r="BS6" s="261">
        <f>SUMPRODUCT(($CW$4:$CW$99='Dummy Table'!$BR6)*($CX$4:$CX$99&gt;$CY$4:$CY$99))</f>
        <v>0</v>
      </c>
      <c r="BT6" s="261">
        <f>SUMPRODUCT(($CW$4:$CW$99='Dummy Table'!$BR6)*($CX$4:$CX$99=$CY$4:$CY$99))</f>
        <v>94</v>
      </c>
      <c r="BU6" s="261">
        <f>SUMPRODUCT(($CW$4:$CW$99='Dummy Table'!$BR6)*($CX$4:$CX$99&lt;$CY$4:$CY$99))</f>
        <v>0</v>
      </c>
      <c r="BV6" s="261">
        <f>SUMIF($CW$4:$CW$99,'Dummy Table'!$BR6,$CX$4:$CX$99)</f>
        <v>0</v>
      </c>
      <c r="BW6" s="261">
        <f>SUMIF($CW$4:$CW$99,'Dummy Table'!$BR6,$CY$4:$CY$99)</f>
        <v>0</v>
      </c>
      <c r="BX6" s="261">
        <f t="shared" si="35"/>
        <v>0</v>
      </c>
      <c r="BY6" s="261" t="str">
        <f t="shared" si="36"/>
        <v/>
      </c>
      <c r="BZ6" s="261">
        <f>SUMPRODUCT(($CZ$4:$CZ$99='Dummy Table'!$BR6)*($CX$4:$CX$99&lt;$CY$4:$CY$99))</f>
        <v>0</v>
      </c>
      <c r="CA6" s="261">
        <f>SUMPRODUCT(($CZ$4:$CZ$99='Dummy Table'!$BR6)*($CX$4:$CX$99=$CY$4:$CY$99))</f>
        <v>94</v>
      </c>
      <c r="CB6" s="261">
        <f>SUMPRODUCT(($CZ$4:$CZ$99='Dummy Table'!$BR6)*($CX$4:$CX$99&gt;$CY$4:$CY$99))</f>
        <v>0</v>
      </c>
      <c r="CC6" s="261">
        <f>SUMIF($CZ$4:$CZ$99,'Dummy Table'!$BR6,$CY$4:$CY$99)</f>
        <v>0</v>
      </c>
      <c r="CD6" s="261">
        <f>SUMIF($CZ$4:$CZ$99,'Dummy Table'!$BR6,$CX$4:$CX$99)</f>
        <v>0</v>
      </c>
      <c r="CE6" s="261">
        <f t="shared" si="37"/>
        <v>0</v>
      </c>
      <c r="CF6" s="261" t="str">
        <f t="shared" si="38"/>
        <v/>
      </c>
      <c r="CG6" s="261">
        <f t="shared" si="39"/>
        <v>0</v>
      </c>
      <c r="CH6" s="261">
        <f t="shared" si="3"/>
        <v>188</v>
      </c>
      <c r="CI6" s="261">
        <f t="shared" si="4"/>
        <v>0</v>
      </c>
      <c r="CJ6" s="261">
        <f t="shared" si="5"/>
        <v>0</v>
      </c>
      <c r="CK6" s="261">
        <f t="shared" si="6"/>
        <v>0</v>
      </c>
      <c r="CL6" s="261">
        <f t="shared" si="7"/>
        <v>0</v>
      </c>
      <c r="CM6" s="261">
        <f t="shared" ref="CM6:CM35" si="45">IF(BR6&lt;&gt;"",BY6+CF6,-1)</f>
        <v>-1</v>
      </c>
      <c r="CN6" s="259">
        <f t="shared" si="40"/>
        <v>57000</v>
      </c>
      <c r="CO6" s="259">
        <f>SUMIF($CZ$4:$CZ$99,'Dummy Table'!$BR6,$CY$4:$CY$99)*2</f>
        <v>0</v>
      </c>
      <c r="CP6" s="259">
        <f>RANK(CM6,CM$4:CM$7)</f>
        <v>1</v>
      </c>
      <c r="CR6" s="259">
        <f>SUMPRODUCT((CM$4:CM$7=CM6)*(CL$4:CL$7&gt;CL6))</f>
        <v>0</v>
      </c>
      <c r="CS6" s="259">
        <f>SUMPRODUCT((CP$4:CP$7=CP6)*(CR$4:CR$7=CR6)*(CO$4:CO$7&gt;CO6))</f>
        <v>0</v>
      </c>
      <c r="CT6" s="259">
        <f>IF($BR6&lt;&gt;"",SUMPRODUCT((CP$4:CP$7=CP6)*(CR$4:CR$7=CR6)*(CS$4:CS$7=CS6)*(V$4:V$7&gt;V6)),0)</f>
        <v>0</v>
      </c>
      <c r="CU6" s="259">
        <f t="shared" si="41"/>
        <v>0</v>
      </c>
      <c r="CV6" s="259">
        <f t="shared" si="42"/>
        <v>2</v>
      </c>
      <c r="CW6" s="254" t="str">
        <f>IF(AND(COUNTIF($BR$4:$BR$35,'Group Stages'!$G12)&gt;0,COUNTIF($BR$4:$BR$35,'Group Stages'!$M12)&gt;0),'Group Stages'!$G12,"")</f>
        <v/>
      </c>
      <c r="CX6" s="254" t="str">
        <f>IF($CW6&lt;&gt;"",'Group Stages'!$I12,"")</f>
        <v/>
      </c>
      <c r="CY6" s="254" t="str">
        <f>IF($CW6&lt;&gt;"",'Group Stages'!$K12,"")</f>
        <v/>
      </c>
      <c r="CZ6" s="254" t="str">
        <f>IF($CW6&lt;&gt;"",'Group Stages'!$M12,"")</f>
        <v/>
      </c>
      <c r="DA6" s="259" t="str">
        <f t="shared" si="8"/>
        <v/>
      </c>
      <c r="DB6" s="254" t="str">
        <f t="shared" si="43"/>
        <v/>
      </c>
      <c r="DC6" s="254">
        <v>3</v>
      </c>
      <c r="DD6" s="254" t="str">
        <f>IF(AF6="",AD6,"")</f>
        <v>Club Brugge</v>
      </c>
      <c r="DE6" s="254" t="str">
        <f>IF(AND(DD6="",DD5="",DD4=""),DC6,IF(AND(DD4&lt;&gt;"",DD5="",DD6=""),2,IF(AND(DD4&lt;&gt;"",DD5&lt;&gt;"",DD6=""),1,"")))</f>
        <v/>
      </c>
      <c r="DF6" s="254" t="str">
        <f>VLOOKUP(DE6,$BO$4:$BP$7,2,FALSE)</f>
        <v/>
      </c>
      <c r="DG6" s="254">
        <v>3</v>
      </c>
      <c r="DH6" s="254" t="str">
        <f>IF(DB6&lt;&gt;"",IF(DA6&lt;DA7,DB6,DB7),IF(DF6&lt;&gt;"",DF6,DD6))</f>
        <v>Club Brugge</v>
      </c>
      <c r="DI6" s="254">
        <v>3</v>
      </c>
    </row>
    <row r="7" spans="1:113" x14ac:dyDescent="0.2">
      <c r="A7" s="254">
        <f t="shared" si="9"/>
        <v>3</v>
      </c>
      <c r="B7" s="254" t="str">
        <f>'Team Setup'!B8</f>
        <v>Club Brugge</v>
      </c>
      <c r="C7" s="259">
        <f>SUMPRODUCT(('Group Stages'!$I$10:$I$105&lt;&gt;"")*('Group Stages'!$K$10:$K$105&lt;&gt;"")*('Group Stages'!$G$10:$G$105='Dummy Table'!$B7)*('Group Stages'!$I$10:$I$105&gt;'Group Stages'!$K$10:$K$105))</f>
        <v>0</v>
      </c>
      <c r="D7" s="259">
        <f>SUMPRODUCT(('Group Stages'!$I$10:$I$105&lt;&gt;"")*('Group Stages'!$K$10:$K$105&lt;&gt;"")*('Group Stages'!$G$10:$G$105='Dummy Table'!$B7)*('Group Stages'!$I$10:$I$105='Group Stages'!$K$10:$K$105))</f>
        <v>2</v>
      </c>
      <c r="E7" s="259">
        <f>SUMPRODUCT(('Group Stages'!$I$10:$I$105&lt;&gt;"")*('Group Stages'!$K$10:$K$105&lt;&gt;"")*('Group Stages'!$G$10:$G$105='Dummy Table'!$B7)*('Group Stages'!$I$10:$I$105&lt;'Group Stages'!$K$10:$K$105))</f>
        <v>1</v>
      </c>
      <c r="F7" s="259">
        <f>SUMIF('Group Stages'!$G$10:$G$105,'Dummy Table'!$B7,'Group Stages'!$I$10:$I$105)</f>
        <v>1</v>
      </c>
      <c r="G7" s="259">
        <f>SUMIF('Group Stages'!$G$10:$G$105,'Dummy Table'!$B7,'Group Stages'!$K$10:$K$105)</f>
        <v>2</v>
      </c>
      <c r="H7" s="259">
        <f t="shared" si="10"/>
        <v>-1</v>
      </c>
      <c r="I7" s="259">
        <f t="shared" si="11"/>
        <v>2</v>
      </c>
      <c r="J7" s="254">
        <f>SUMPRODUCT(('Group Stages'!$I$10:$I$105&lt;&gt;"")*('Group Stages'!$K$10:$K$105&lt;&gt;"")*('Group Stages'!$M$10:$M$105='Dummy Table'!$B7)*('Group Stages'!$I$10:$I$105&lt;'Group Stages'!$K$10:$K$105))</f>
        <v>1</v>
      </c>
      <c r="K7" s="254">
        <f>SUMPRODUCT(('Group Stages'!$I$10:$I$105&lt;&gt;"")*('Group Stages'!$K$10:$K$105&lt;&gt;"")*('Group Stages'!$M$10:$M$105='Dummy Table'!$B7)*('Group Stages'!$I$10:$I$105='Group Stages'!$K$10:$K$105))</f>
        <v>1</v>
      </c>
      <c r="L7" s="254">
        <f>SUMPRODUCT(('Group Stages'!$I$10:$I$105&lt;&gt;"")*('Group Stages'!$K$10:$K$105&lt;&gt;"")*('Group Stages'!$M$10:$M$105='Dummy Table'!$B7)*('Group Stages'!$I$10:$I$105&gt;'Group Stages'!$K$10:$K$105))</f>
        <v>1</v>
      </c>
      <c r="M7" s="254">
        <f>SUMIF('Group Stages'!$M$10:$M$105,'Dummy Table'!$B7,'Group Stages'!$K$10:$K$105)</f>
        <v>5</v>
      </c>
      <c r="N7" s="254">
        <f>SUMIF('Group Stages'!$M$10:$M$105,'Dummy Table'!$B7,'Group Stages'!$I$10:$I$105)</f>
        <v>3</v>
      </c>
      <c r="O7" s="254">
        <f t="shared" si="12"/>
        <v>2</v>
      </c>
      <c r="P7" s="254">
        <f t="shared" si="13"/>
        <v>4</v>
      </c>
      <c r="Q7" s="254">
        <f t="shared" si="14"/>
        <v>1</v>
      </c>
      <c r="R7" s="254">
        <f t="shared" si="15"/>
        <v>3</v>
      </c>
      <c r="S7" s="254">
        <f t="shared" si="16"/>
        <v>2</v>
      </c>
      <c r="T7" s="254">
        <f t="shared" si="17"/>
        <v>6</v>
      </c>
      <c r="U7" s="254">
        <f t="shared" si="18"/>
        <v>5</v>
      </c>
      <c r="V7" s="254">
        <f t="shared" si="19"/>
        <v>1</v>
      </c>
      <c r="W7" s="254">
        <f t="shared" si="20"/>
        <v>6</v>
      </c>
      <c r="X7" s="259">
        <f>IF('Team Setup'!F8&lt;&gt;"",'Team Setup'!F8,DI7)</f>
        <v>29500</v>
      </c>
      <c r="Y7" s="259">
        <f>RANK(W7,W$4:W$7)</f>
        <v>3</v>
      </c>
      <c r="Z7" s="259">
        <f>SUMPRODUCT((W$4:W$7=W7)*(V$4:V$7&gt;V7))</f>
        <v>0</v>
      </c>
      <c r="AA7" s="259">
        <f>SUMPRODUCT((Y$4:Y$7=Y7)*(Z$4:Z$7=Z7)*(T$4:T$7&gt;T7))</f>
        <v>0</v>
      </c>
      <c r="AB7" s="259">
        <f>SUMPRODUCT((Y$4:Y$7=Y7)*(Z$4:Z$7=Z7)*(T$4:T$7=T7)*(X$4:X$7&gt;X7))</f>
        <v>0</v>
      </c>
      <c r="AC7" s="254">
        <v>4</v>
      </c>
      <c r="AD7" s="254" t="str">
        <f>VLOOKUP(AC7,$A$4:$B$7,2,FALSE)</f>
        <v>Monaco</v>
      </c>
      <c r="AE7" s="254">
        <f>VLOOKUP($AD7,$B$4:$W$7,22,FALSE)</f>
        <v>1</v>
      </c>
      <c r="AF7" s="254" t="str">
        <f>IF(AND(AE7=AE6,AE6=AE5),AD7,"")</f>
        <v/>
      </c>
      <c r="AG7" s="259">
        <f>SUMPRODUCT(($BK$4:$BK$99='Dummy Table'!$AF7)*($BL$4:$BL$99&gt;$BM$4:$BM$99))</f>
        <v>0</v>
      </c>
      <c r="AH7" s="259">
        <f>SUMPRODUCT(($BK$4:$BK$99='Dummy Table'!$AF7)*($BL$4:$BL$99=$BM$4:$BM$99))</f>
        <v>90</v>
      </c>
      <c r="AI7" s="259">
        <f>SUMPRODUCT(($BK$4:$BK$99='Dummy Table'!$AF7)*($BL$4:$BL$99&lt;$BM$4:$BM$99))</f>
        <v>0</v>
      </c>
      <c r="AJ7" s="259">
        <f>SUMIF($BK$4:$BK$99,'Dummy Table'!$AF7,$BL$4:$BL$99)</f>
        <v>0</v>
      </c>
      <c r="AK7" s="259">
        <f>SUMIF($BK$4:$BK$99,'Dummy Table'!$AF7,$BM$4:$BM$99)</f>
        <v>0</v>
      </c>
      <c r="AL7" s="259">
        <f t="shared" si="21"/>
        <v>0</v>
      </c>
      <c r="AM7" s="259" t="str">
        <f t="shared" si="22"/>
        <v/>
      </c>
      <c r="AN7" s="259">
        <f>SUMPRODUCT(($BN$4:$BN$99='Dummy Table'!$AF7)*($BL$4:$BL$99&lt;$BM$4:$BM$99))</f>
        <v>0</v>
      </c>
      <c r="AO7" s="259">
        <f>SUMPRODUCT(($BN$4:$BN$99='Dummy Table'!$AF7)*($BL$4:$BL$99=$BM$4:$BM$99))</f>
        <v>90</v>
      </c>
      <c r="AP7" s="259">
        <f>SUMPRODUCT(($BN$4:$BN$99='Dummy Table'!$AF7)*($BL$4:$BL$99&gt;$BM$4:$BM$99))</f>
        <v>0</v>
      </c>
      <c r="AQ7" s="259">
        <f>SUMIF($BN$4:$BN$99,'Dummy Table'!$AF7,$BM$4:$BM$99)</f>
        <v>0</v>
      </c>
      <c r="AR7" s="259">
        <f>SUMIF($BN$4:$BN$99,'Dummy Table'!$AF7,$BL$4:$BL$99)</f>
        <v>0</v>
      </c>
      <c r="AS7" s="259">
        <f t="shared" si="23"/>
        <v>0</v>
      </c>
      <c r="AT7" s="259" t="str">
        <f t="shared" si="24"/>
        <v/>
      </c>
      <c r="AU7" s="259">
        <f t="shared" si="25"/>
        <v>0</v>
      </c>
      <c r="AV7" s="259">
        <f t="shared" si="26"/>
        <v>180</v>
      </c>
      <c r="AW7" s="259">
        <f t="shared" si="27"/>
        <v>0</v>
      </c>
      <c r="AX7" s="259">
        <f t="shared" si="28"/>
        <v>0</v>
      </c>
      <c r="AY7" s="259">
        <f t="shared" si="29"/>
        <v>0</v>
      </c>
      <c r="AZ7" s="259">
        <f t="shared" si="30"/>
        <v>0</v>
      </c>
      <c r="BA7" s="259">
        <f t="shared" si="44"/>
        <v>-1</v>
      </c>
      <c r="BB7" s="254" t="str">
        <f t="shared" si="31"/>
        <v/>
      </c>
      <c r="BC7" s="254" t="str">
        <f t="shared" si="32"/>
        <v/>
      </c>
      <c r="BD7" s="254" t="str">
        <f t="shared" si="33"/>
        <v/>
      </c>
      <c r="BE7" s="254">
        <f>RANK(BA7,BA$4:BA$7)</f>
        <v>3</v>
      </c>
      <c r="BF7" s="254">
        <f>SUMPRODUCT((BA$4:BA$7=BA7)*(AZ$4:AZ$7&gt;AZ7))</f>
        <v>0</v>
      </c>
      <c r="BG7" s="254">
        <f>SUMPRODUCT((BA$4:BA$7=BA7)*(BE$4:BE$7=BE7)*(AZ$4:AZ$7=AZ7)*(AQ$4:AQ$7&gt;AQ7))</f>
        <v>0</v>
      </c>
      <c r="BH7" s="254">
        <f>SUMPRODUCT((BA$4:BA$7=BA7)*(BE$4:BE$7=BE7)*(AZ$4:AZ$7=AZ7)*(AQ$4:AQ$7=AQ7)*(BB$4:BB$7&gt;BB7))</f>
        <v>0</v>
      </c>
      <c r="BI7" s="254">
        <f>SUMPRODUCT((BA$4:BA$7=BA7)*(BE$4:BE$7=BE7)*(AZ$4:AZ$7=AZ7)*(AQ$4:AQ$7=AQ7)*(BB$4:BB$7=BB7)*(BC$4:BC$7&gt;BC7))</f>
        <v>0</v>
      </c>
      <c r="BJ7" s="254">
        <f>SUMPRODUCT((BA$4:BA$7=BA7)*(BE$4:BE$7=BE7)*(AZ$4:AZ$7=AZ7)*(AQ$4:AQ$7=AQ7)*(BB$4:BB$7=BB7)*(BC$4:BC$7=BC7)*(BD$4:BD$7&gt;BD7))</f>
        <v>0</v>
      </c>
      <c r="BK7" s="254" t="str">
        <f>IF(AND(COUNTIF($AF$4:$AF$35,'Group Stages'!G13)&gt;0,COUNTIF($AF$4:$AF$35,'Group Stages'!M13)&gt;0,'Group Stages'!I13&lt;&gt;"",'Group Stages'!K13&lt;&gt;""),'Group Stages'!G13,"")</f>
        <v/>
      </c>
      <c r="BL7" s="254" t="str">
        <f>IF($BK7&lt;&gt;"",'Group Stages'!I13,"")</f>
        <v/>
      </c>
      <c r="BM7" s="254" t="str">
        <f>IF($BK7&lt;&gt;"",'Group Stages'!K13,"")</f>
        <v/>
      </c>
      <c r="BN7" s="254" t="str">
        <f>IF($BK7&lt;&gt;"",'Group Stages'!M13,"")</f>
        <v/>
      </c>
      <c r="BO7" s="254" t="str">
        <f t="shared" si="2"/>
        <v/>
      </c>
      <c r="BP7" s="254" t="str">
        <f t="shared" si="34"/>
        <v/>
      </c>
      <c r="BQ7" s="254">
        <f>VLOOKUP($AD7,$B$4:$W$7,22,FALSE)</f>
        <v>1</v>
      </c>
      <c r="BR7" s="254" t="str">
        <f>IF(BR6&lt;&gt;"",AD7,"")</f>
        <v/>
      </c>
      <c r="BS7" s="261">
        <f>SUMPRODUCT(($CW$4:$CW$99='Dummy Table'!$BR7)*($CX$4:$CX$99&gt;$CY$4:$CY$99))</f>
        <v>0</v>
      </c>
      <c r="BT7" s="261">
        <f>SUMPRODUCT(($CW$4:$CW$99='Dummy Table'!$BR7)*($CX$4:$CX$99=$CY$4:$CY$99))</f>
        <v>94</v>
      </c>
      <c r="BU7" s="261">
        <f>SUMPRODUCT(($CW$4:$CW$99='Dummy Table'!$BR7)*($CX$4:$CX$99&lt;$CY$4:$CY$99))</f>
        <v>0</v>
      </c>
      <c r="BV7" s="261">
        <f>SUMIF($CW$4:$CW$99,'Dummy Table'!$BR7,$CX$4:$CX$99)</f>
        <v>0</v>
      </c>
      <c r="BW7" s="261">
        <f>SUMIF($CW$4:$CW$99,'Dummy Table'!$BR7,$CY$4:$CY$99)</f>
        <v>0</v>
      </c>
      <c r="BX7" s="261">
        <f t="shared" si="35"/>
        <v>0</v>
      </c>
      <c r="BY7" s="261" t="str">
        <f t="shared" si="36"/>
        <v/>
      </c>
      <c r="BZ7" s="261">
        <f>SUMPRODUCT(($CZ$4:$CZ$99='Dummy Table'!$BR7)*($CX$4:$CX$99&lt;$CY$4:$CY$99))</f>
        <v>0</v>
      </c>
      <c r="CA7" s="261">
        <f>SUMPRODUCT(($CZ$4:$CZ$99='Dummy Table'!$BR7)*($CX$4:$CX$99=$CY$4:$CY$99))</f>
        <v>94</v>
      </c>
      <c r="CB7" s="261">
        <f>SUMPRODUCT(($CZ$4:$CZ$99='Dummy Table'!$BR7)*($CX$4:$CX$99&gt;$CY$4:$CY$99))</f>
        <v>0</v>
      </c>
      <c r="CC7" s="261">
        <f>SUMIF($CZ$4:$CZ$99,'Dummy Table'!$BR7,$CY$4:$CY$99)</f>
        <v>0</v>
      </c>
      <c r="CD7" s="261">
        <f>SUMIF($CZ$4:$CZ$99,'Dummy Table'!$BR7,$CX$4:$CX$99)</f>
        <v>0</v>
      </c>
      <c r="CE7" s="261">
        <f t="shared" si="37"/>
        <v>0</v>
      </c>
      <c r="CF7" s="261" t="str">
        <f t="shared" si="38"/>
        <v/>
      </c>
      <c r="CG7" s="261">
        <f t="shared" si="39"/>
        <v>0</v>
      </c>
      <c r="CH7" s="261">
        <f t="shared" si="3"/>
        <v>188</v>
      </c>
      <c r="CI7" s="261">
        <f t="shared" si="4"/>
        <v>0</v>
      </c>
      <c r="CJ7" s="261">
        <f t="shared" si="5"/>
        <v>0</v>
      </c>
      <c r="CK7" s="261">
        <f t="shared" si="6"/>
        <v>0</v>
      </c>
      <c r="CL7" s="261">
        <f t="shared" si="7"/>
        <v>0</v>
      </c>
      <c r="CM7" s="261">
        <f t="shared" si="45"/>
        <v>-1</v>
      </c>
      <c r="CN7" s="259">
        <f t="shared" si="40"/>
        <v>29500</v>
      </c>
      <c r="CO7" s="259">
        <f>SUMIF($CZ$4:$CZ$99,'Dummy Table'!$BR7,$CY$4:$CY$99)*2</f>
        <v>0</v>
      </c>
      <c r="CP7" s="259">
        <f>RANK(CM7,CM$4:CM$7)</f>
        <v>1</v>
      </c>
      <c r="CR7" s="259">
        <f>SUMPRODUCT((CM$4:CM$7=CM7)*(CL$4:CL$7&gt;CL7))</f>
        <v>0</v>
      </c>
      <c r="CS7" s="259">
        <f>SUMPRODUCT((CP$4:CP$7=CP7)*(CR$4:CR$7=CR7)*(CO$4:CO$7&gt;CO7))</f>
        <v>0</v>
      </c>
      <c r="CT7" s="259">
        <f>IF($BR7&lt;&gt;"",SUMPRODUCT((CP$4:CP$7=CP7)*(CR$4:CR$7=CR7)*(CS$4:CS$7=CS7)*(V$4:V$7&gt;V7)),0)</f>
        <v>0</v>
      </c>
      <c r="CU7" s="259">
        <f t="shared" si="41"/>
        <v>0</v>
      </c>
      <c r="CV7" s="259">
        <f t="shared" si="42"/>
        <v>3</v>
      </c>
      <c r="CW7" s="254" t="str">
        <f>IF(AND(COUNTIF($BR$4:$BR$35,'Group Stages'!$G13)&gt;0,COUNTIF($BR$4:$BR$35,'Group Stages'!$M13)&gt;0),'Group Stages'!$G13,"")</f>
        <v/>
      </c>
      <c r="CX7" s="254" t="str">
        <f>IF($CW7&lt;&gt;"",'Group Stages'!$I13,"")</f>
        <v/>
      </c>
      <c r="CY7" s="254" t="str">
        <f>IF($CW7&lt;&gt;"",'Group Stages'!$K13,"")</f>
        <v/>
      </c>
      <c r="CZ7" s="254" t="str">
        <f>IF($CW7&lt;&gt;"",'Group Stages'!$M13,"")</f>
        <v/>
      </c>
      <c r="DA7" s="259" t="str">
        <f t="shared" si="8"/>
        <v/>
      </c>
      <c r="DB7" s="254" t="str">
        <f t="shared" si="43"/>
        <v/>
      </c>
      <c r="DC7" s="254">
        <v>4</v>
      </c>
      <c r="DD7" s="254" t="str">
        <f>IF(AF7="",AD7,"")</f>
        <v>Monaco</v>
      </c>
      <c r="DE7" s="254" t="str">
        <f>IF(AND(DD7="",DD6="",DD5="",DD4=""),4,IF(AND(DD7="",DD6="",DD5=""),3,IF(AND(DD5&lt;&gt;"",DD6="",DD7=""),2,IF(AND(DD5&lt;&gt;"",DD6&lt;&gt;"",DD7=""),1,""))))</f>
        <v/>
      </c>
      <c r="DF7" s="254" t="str">
        <f>VLOOKUP(DE7,$BO$4:$BP$7,2,FALSE)</f>
        <v/>
      </c>
      <c r="DG7" s="254">
        <v>4</v>
      </c>
      <c r="DH7" s="254" t="str">
        <f>IF(DB7&lt;&gt;"",IF(DA6&lt;DA7,DB7,DB6),IF(DF7&lt;&gt;"",DF7,DD7))</f>
        <v>Monaco</v>
      </c>
      <c r="DI7" s="254">
        <v>4</v>
      </c>
    </row>
    <row r="8" spans="1:113" x14ac:dyDescent="0.2">
      <c r="A8" s="254">
        <f t="shared" si="9"/>
        <v>1</v>
      </c>
      <c r="B8" s="254" t="str">
        <f>'Team Setup'!B9</f>
        <v>Barcelona</v>
      </c>
      <c r="C8" s="259">
        <f>SUMPRODUCT(('Group Stages'!$I$10:$I$105&lt;&gt;"")*('Group Stages'!$K$10:$K$105&lt;&gt;"")*('Group Stages'!$G$10:$G$105='Dummy Table'!$B8)*('Group Stages'!$I$10:$I$105&gt;'Group Stages'!$K$10:$K$105))</f>
        <v>2</v>
      </c>
      <c r="D8" s="259">
        <f>SUMPRODUCT(('Group Stages'!$I$10:$I$105&lt;&gt;"")*('Group Stages'!$K$10:$K$105&lt;&gt;"")*('Group Stages'!$G$10:$G$105='Dummy Table'!$B8)*('Group Stages'!$I$10:$I$105='Group Stages'!$K$10:$K$105))</f>
        <v>1</v>
      </c>
      <c r="E8" s="259">
        <f>SUMPRODUCT(('Group Stages'!$I$10:$I$105&lt;&gt;"")*('Group Stages'!$K$10:$K$105&lt;&gt;"")*('Group Stages'!$G$10:$G$105='Dummy Table'!$B8)*('Group Stages'!$I$10:$I$105&lt;'Group Stages'!$K$10:$K$105))</f>
        <v>0</v>
      </c>
      <c r="F8" s="259">
        <f>SUMIF('Group Stages'!$G$10:$G$105,'Dummy Table'!$B8,'Group Stages'!$I$10:$I$105)</f>
        <v>7</v>
      </c>
      <c r="G8" s="259">
        <f>SUMIF('Group Stages'!$G$10:$G$105,'Dummy Table'!$B8,'Group Stages'!$K$10:$K$105)</f>
        <v>1</v>
      </c>
      <c r="H8" s="259">
        <f t="shared" si="10"/>
        <v>6</v>
      </c>
      <c r="I8" s="259">
        <f t="shared" si="11"/>
        <v>7</v>
      </c>
      <c r="J8" s="254">
        <f>SUMPRODUCT(('Group Stages'!$I$10:$I$105&lt;&gt;"")*('Group Stages'!$K$10:$K$105&lt;&gt;"")*('Group Stages'!$M$10:$M$105='Dummy Table'!$B8)*('Group Stages'!$I$10:$I$105&lt;'Group Stages'!$K$10:$K$105))</f>
        <v>2</v>
      </c>
      <c r="K8" s="254">
        <f>SUMPRODUCT(('Group Stages'!$I$10:$I$105&lt;&gt;"")*('Group Stages'!$K$10:$K$105&lt;&gt;"")*('Group Stages'!$M$10:$M$105='Dummy Table'!$B8)*('Group Stages'!$I$10:$I$105='Group Stages'!$K$10:$K$105))</f>
        <v>1</v>
      </c>
      <c r="L8" s="254">
        <f>SUMPRODUCT(('Group Stages'!$I$10:$I$105&lt;&gt;"")*('Group Stages'!$K$10:$K$105&lt;&gt;"")*('Group Stages'!$M$10:$M$105='Dummy Table'!$B8)*('Group Stages'!$I$10:$I$105&gt;'Group Stages'!$K$10:$K$105))</f>
        <v>0</v>
      </c>
      <c r="M8" s="254">
        <f>SUMIF('Group Stages'!$M$10:$M$105,'Dummy Table'!$B8,'Group Stages'!$K$10:$K$105)</f>
        <v>7</v>
      </c>
      <c r="N8" s="254">
        <f>SUMIF('Group Stages'!$M$10:$M$105,'Dummy Table'!$B8,'Group Stages'!$I$10:$I$105)</f>
        <v>4</v>
      </c>
      <c r="O8" s="254">
        <f t="shared" si="12"/>
        <v>3</v>
      </c>
      <c r="P8" s="254">
        <f t="shared" si="13"/>
        <v>7</v>
      </c>
      <c r="Q8" s="254">
        <f t="shared" si="14"/>
        <v>4</v>
      </c>
      <c r="R8" s="254">
        <f t="shared" si="15"/>
        <v>2</v>
      </c>
      <c r="S8" s="254">
        <f t="shared" si="16"/>
        <v>0</v>
      </c>
      <c r="T8" s="254">
        <f t="shared" si="17"/>
        <v>14</v>
      </c>
      <c r="U8" s="254">
        <f t="shared" si="18"/>
        <v>5</v>
      </c>
      <c r="V8" s="254">
        <f t="shared" si="19"/>
        <v>9</v>
      </c>
      <c r="W8" s="254">
        <f t="shared" si="20"/>
        <v>14</v>
      </c>
      <c r="X8" s="259">
        <f>IF('Team Setup'!F9&lt;&gt;"",'Team Setup'!F9,DI8)</f>
        <v>132000</v>
      </c>
      <c r="Y8" s="259">
        <f>RANK(W8,W$8:W$11)</f>
        <v>1</v>
      </c>
      <c r="Z8" s="259">
        <f>SUMPRODUCT((W$8:W$11=W8)*(V$8:V$11&gt;V8))</f>
        <v>0</v>
      </c>
      <c r="AA8" s="259">
        <f>SUMPRODUCT((Y$8:Y$11=Y8)*(Z$8:Z$11=Z8)*(T$8:T$11&gt;T8))</f>
        <v>0</v>
      </c>
      <c r="AB8" s="259">
        <f>SUMPRODUCT((Y$8:Y$11=Y8)*(Z$8:Z$11=Z8)*(T$8:T$11=T8)*(X$8:X$11&gt;X8))</f>
        <v>0</v>
      </c>
      <c r="AC8" s="254">
        <v>1</v>
      </c>
      <c r="AD8" s="254" t="str">
        <f>VLOOKUP(AC8,$A$8:$B$11,2,FALSE)</f>
        <v>Barcelona</v>
      </c>
      <c r="AE8" s="254">
        <f>VLOOKUP($AD8,$B$8:$W$11,22,FALSE)</f>
        <v>14</v>
      </c>
      <c r="AF8" s="254" t="str">
        <f>IF(AE8=AE9,AD8,"")</f>
        <v/>
      </c>
      <c r="AG8" s="259">
        <f>SUMPRODUCT(($BK$4:$BK$99='Dummy Table'!$AF8)*($BL$4:$BL$99&gt;$BM$4:$BM$99))</f>
        <v>0</v>
      </c>
      <c r="AH8" s="259">
        <f>SUMPRODUCT(($BK$4:$BK$99='Dummy Table'!$AF8)*($BL$4:$BL$99=$BM$4:$BM$99))</f>
        <v>90</v>
      </c>
      <c r="AI8" s="259">
        <f>SUMPRODUCT(($BK$4:$BK$99='Dummy Table'!$AF8)*($BL$4:$BL$99&lt;$BM$4:$BM$99))</f>
        <v>0</v>
      </c>
      <c r="AJ8" s="259">
        <f>SUMIF($BK$4:$BK$99,'Dummy Table'!$AF8,$BL$4:$BL$99)</f>
        <v>0</v>
      </c>
      <c r="AK8" s="259">
        <f>SUMIF($BK$4:$BK$99,'Dummy Table'!$AF8,$BM$4:$BM$99)</f>
        <v>0</v>
      </c>
      <c r="AL8" s="259">
        <f t="shared" si="21"/>
        <v>0</v>
      </c>
      <c r="AM8" s="259" t="str">
        <f t="shared" si="22"/>
        <v/>
      </c>
      <c r="AN8" s="259">
        <f>SUMPRODUCT(($BN$4:$BN$99='Dummy Table'!$AF8)*($BL$4:$BL$99&lt;$BM$4:$BM$99))</f>
        <v>0</v>
      </c>
      <c r="AO8" s="259">
        <f>SUMPRODUCT(($BN$4:$BN$99='Dummy Table'!$AF8)*($BL$4:$BL$99=$BM$4:$BM$99))</f>
        <v>90</v>
      </c>
      <c r="AP8" s="259">
        <f>SUMPRODUCT(($BN$4:$BN$99='Dummy Table'!$AF8)*($BL$4:$BL$99&gt;$BM$4:$BM$99))</f>
        <v>0</v>
      </c>
      <c r="AQ8" s="259">
        <f>SUMIF($BN$4:$BN$99,'Dummy Table'!$AF8,$BM$4:$BM$99)</f>
        <v>0</v>
      </c>
      <c r="AR8" s="259">
        <f>SUMIF($BN$4:$BN$99,'Dummy Table'!$AF8,$BL$4:$BL$99)</f>
        <v>0</v>
      </c>
      <c r="AS8" s="259">
        <f t="shared" si="23"/>
        <v>0</v>
      </c>
      <c r="AT8" s="259" t="str">
        <f t="shared" si="24"/>
        <v/>
      </c>
      <c r="AU8" s="259">
        <f t="shared" si="25"/>
        <v>0</v>
      </c>
      <c r="AV8" s="259">
        <f t="shared" si="26"/>
        <v>180</v>
      </c>
      <c r="AW8" s="259">
        <f t="shared" si="27"/>
        <v>0</v>
      </c>
      <c r="AX8" s="259">
        <f t="shared" si="28"/>
        <v>0</v>
      </c>
      <c r="AY8" s="259">
        <f t="shared" si="29"/>
        <v>0</v>
      </c>
      <c r="AZ8" s="259">
        <f t="shared" si="30"/>
        <v>0</v>
      </c>
      <c r="BA8" s="259">
        <f t="shared" si="44"/>
        <v>-1</v>
      </c>
      <c r="BB8" s="254" t="str">
        <f t="shared" si="31"/>
        <v/>
      </c>
      <c r="BC8" s="254" t="str">
        <f t="shared" si="32"/>
        <v/>
      </c>
      <c r="BD8" s="254" t="str">
        <f t="shared" si="33"/>
        <v/>
      </c>
      <c r="BE8" s="254">
        <f>RANK(BA8,BA$8:BA$11)</f>
        <v>3</v>
      </c>
      <c r="BF8" s="254">
        <f>SUMPRODUCT((BA$8:BA$11=BA8)*(AZ$8:AZ$11&gt;AZ8))</f>
        <v>0</v>
      </c>
      <c r="BG8" s="254">
        <f>SUMPRODUCT((BA$8:BA$11=BA8)*(BE$8:BE$11=BE8)*(AZ$8:AZ$11=AZ8)*(AQ$8:AQ$11&gt;AQ8))</f>
        <v>0</v>
      </c>
      <c r="BH8" s="254">
        <f>SUMPRODUCT((BA$8:BA$11=BA8)*(BE$8:BE$11=BE8)*(AZ$8:AZ$11=AZ8)*(AQ$8:AQ$11=AQ8)*(BB$8:BB$11&gt;BB8))</f>
        <v>0</v>
      </c>
      <c r="BI8" s="254">
        <f>SUMPRODUCT((BA$8:BA$11=BA8)*(BE$8:BE$11=BE8)*(AZ$8:AZ$11=AZ8)*(AQ$8:AQ$11=AQ8)*(BB$8:BB$11=BB8)*(BC$8:BC$11&gt;BC8))</f>
        <v>0</v>
      </c>
      <c r="BJ8" s="254">
        <f>SUMPRODUCT((BA$8:BA$11=BA8)*(BE$8:BE$11=BE8)*(AZ$8:AZ$11=AZ8)*(AQ$8:AQ$11=AQ8)*(BB$8:BB$11=BB8)*(BC$8:BC$11=BC8)*(BD$8:BD$11&gt;BD8))</f>
        <v>0</v>
      </c>
      <c r="BK8" s="254" t="str">
        <f>IF(AND(COUNTIF($AF$4:$AF$35,'Group Stages'!G14)&gt;0,COUNTIF($AF$4:$AF$35,'Group Stages'!M14)&gt;0,'Group Stages'!I14&lt;&gt;"",'Group Stages'!K14&lt;&gt;""),'Group Stages'!G14,"")</f>
        <v/>
      </c>
      <c r="BL8" s="254" t="str">
        <f>IF($BK8&lt;&gt;"",'Group Stages'!I14,"")</f>
        <v/>
      </c>
      <c r="BM8" s="254" t="str">
        <f>IF($BK8&lt;&gt;"",'Group Stages'!K14,"")</f>
        <v/>
      </c>
      <c r="BN8" s="254" t="str">
        <f>IF($BK8&lt;&gt;"",'Group Stages'!M14,"")</f>
        <v/>
      </c>
      <c r="BO8" s="254" t="str">
        <f t="shared" si="2"/>
        <v/>
      </c>
      <c r="BP8" s="254" t="str">
        <f t="shared" si="34"/>
        <v/>
      </c>
      <c r="BQ8" s="254">
        <f>VLOOKUP($AD8,$B$8:$W$11,22,FALSE)</f>
        <v>14</v>
      </c>
      <c r="BS8" s="261">
        <f>SUMPRODUCT(($CW$4:$CW$99='Dummy Table'!$BR8)*($CX$4:$CX$99&gt;$CY$4:$CY$99))</f>
        <v>0</v>
      </c>
      <c r="BT8" s="261">
        <f>SUMPRODUCT(($CW$4:$CW$99='Dummy Table'!$BR8)*($CX$4:$CX$99=$CY$4:$CY$99))</f>
        <v>94</v>
      </c>
      <c r="BU8" s="261">
        <f>SUMPRODUCT(($CW$4:$CW$99='Dummy Table'!$BR8)*($CX$4:$CX$99&lt;$CY$4:$CY$99))</f>
        <v>0</v>
      </c>
      <c r="BV8" s="261">
        <f>SUMIF($CW$4:$CW$99,'Dummy Table'!$BR8,$CX$4:$CX$99)</f>
        <v>0</v>
      </c>
      <c r="BW8" s="261">
        <f>SUMIF($CW$4:$CW$99,'Dummy Table'!$BR8,$CY$4:$CY$99)</f>
        <v>0</v>
      </c>
      <c r="BX8" s="261">
        <f t="shared" si="35"/>
        <v>0</v>
      </c>
      <c r="BY8" s="261" t="str">
        <f t="shared" si="36"/>
        <v/>
      </c>
      <c r="BZ8" s="261">
        <f>SUMPRODUCT(($CZ$4:$CZ$99='Dummy Table'!$BR8)*($CX$4:$CX$99&lt;$CY$4:$CY$99))</f>
        <v>0</v>
      </c>
      <c r="CA8" s="261">
        <f>SUMPRODUCT(($CZ$4:$CZ$99='Dummy Table'!$BR8)*($CX$4:$CX$99=$CY$4:$CY$99))</f>
        <v>94</v>
      </c>
      <c r="CB8" s="261">
        <f>SUMPRODUCT(($CZ$4:$CZ$99='Dummy Table'!$BR8)*($CX$4:$CX$99&gt;$CY$4:$CY$99))</f>
        <v>0</v>
      </c>
      <c r="CC8" s="261">
        <f>SUMIF($CZ$4:$CZ$99,'Dummy Table'!$BR8,$CY$4:$CY$99)</f>
        <v>0</v>
      </c>
      <c r="CD8" s="261">
        <f>SUMIF($CZ$4:$CZ$99,'Dummy Table'!$BR8,$CX$4:$CX$99)</f>
        <v>0</v>
      </c>
      <c r="CE8" s="261">
        <f t="shared" si="37"/>
        <v>0</v>
      </c>
      <c r="CF8" s="261" t="str">
        <f t="shared" si="38"/>
        <v/>
      </c>
      <c r="CG8" s="261">
        <f t="shared" si="39"/>
        <v>0</v>
      </c>
      <c r="CH8" s="261">
        <f t="shared" si="3"/>
        <v>188</v>
      </c>
      <c r="CI8" s="261">
        <f t="shared" si="4"/>
        <v>0</v>
      </c>
      <c r="CJ8" s="261">
        <f t="shared" si="5"/>
        <v>0</v>
      </c>
      <c r="CK8" s="261">
        <f t="shared" si="6"/>
        <v>0</v>
      </c>
      <c r="CL8" s="261">
        <f t="shared" si="7"/>
        <v>0</v>
      </c>
      <c r="CM8" s="261">
        <f t="shared" si="45"/>
        <v>-1</v>
      </c>
      <c r="CN8" s="259">
        <f t="shared" si="40"/>
        <v>132000</v>
      </c>
      <c r="CO8" s="259">
        <f>SUMIF($CZ$4:$CZ$99,'Dummy Table'!$BR8,$CY$4:$CY$99)*2</f>
        <v>0</v>
      </c>
      <c r="CP8" s="259">
        <f>RANK(CM8,CM$8:CM$11)</f>
        <v>1</v>
      </c>
      <c r="CR8" s="259">
        <f>SUMPRODUCT((CM$8:CM$11=CM8)*(CL$8:CL$11&gt;CL8))</f>
        <v>0</v>
      </c>
      <c r="CS8" s="259">
        <f>SUMPRODUCT((CP$8:CP$11=CP8)*(CR$8:CR$11=CR8)*(CO$8:CO$11&gt;CO8))</f>
        <v>0</v>
      </c>
      <c r="CT8" s="259">
        <f>IF(BR8&lt;&gt;"",SUMPRODUCT((CP$8:CP$11=CP8)*(CR$8:CR$11=CR8)*(CS$8:CS$11=CS8)*(V$8:V$11&gt;V8)),0)</f>
        <v>0</v>
      </c>
      <c r="CU8" s="259">
        <f>IF($BR8&lt;&gt;"",SUMPRODUCT((CP$8:CP$11=CP8)*(CR$8:CR$11=CR8)*(CS$8:CS$11=CS8)*(CT$8:CT$11=CT8)*(T$8:T$11&gt;T8)),0)</f>
        <v>0</v>
      </c>
      <c r="CV8" s="259">
        <f>SUMPRODUCT((CP$8:CP$11=CP8)*(CR$8:CR$11=CR8)*(CS$8:CS$11=CS8)*(CT$8:CT$11=CT8)*(CU$8:CU$11=CU8)*(CN$8:CN$11&gt;CN8))</f>
        <v>0</v>
      </c>
      <c r="CW8" s="254" t="str">
        <f>IF(AND(COUNTIF($BR$4:$BR$35,'Group Stages'!$G14)&gt;0,COUNTIF($BR$4:$BR$35,'Group Stages'!$M14)&gt;0),'Group Stages'!$G14,"")</f>
        <v/>
      </c>
      <c r="CX8" s="254" t="str">
        <f>IF($CW8&lt;&gt;"",'Group Stages'!$I14,"")</f>
        <v/>
      </c>
      <c r="CY8" s="254" t="str">
        <f>IF($CW8&lt;&gt;"",'Group Stages'!$K14,"")</f>
        <v/>
      </c>
      <c r="CZ8" s="254" t="str">
        <f>IF($CW8&lt;&gt;"",'Group Stages'!$M14,"")</f>
        <v/>
      </c>
      <c r="DA8" s="259" t="str">
        <f t="shared" si="8"/>
        <v/>
      </c>
      <c r="DB8" s="254" t="str">
        <f t="shared" si="43"/>
        <v/>
      </c>
      <c r="DC8" s="254">
        <v>1</v>
      </c>
      <c r="DD8" s="254" t="str">
        <f t="shared" ref="DD8:DD35" si="46">IF(AF8="",AD8,"")</f>
        <v>Barcelona</v>
      </c>
      <c r="DE8" s="254" t="str">
        <f>IF(DD8="",DC8,"")</f>
        <v/>
      </c>
      <c r="DF8" s="254" t="str">
        <f>VLOOKUP(DE8,$BO$8:$BP$11,2,FALSE)</f>
        <v/>
      </c>
      <c r="DG8" s="254">
        <v>1</v>
      </c>
      <c r="DH8" s="254" t="str">
        <f>IF(DD8="",DF8,DD8)</f>
        <v>Barcelona</v>
      </c>
      <c r="DI8" s="254">
        <v>5</v>
      </c>
    </row>
    <row r="9" spans="1:113" x14ac:dyDescent="0.2">
      <c r="A9" s="254">
        <f t="shared" si="9"/>
        <v>2</v>
      </c>
      <c r="B9" s="254" t="str">
        <f>'Team Setup'!B10</f>
        <v>Tottenham Hotspur</v>
      </c>
      <c r="C9" s="259">
        <f>SUMPRODUCT(('Group Stages'!$I$10:$I$105&lt;&gt;"")*('Group Stages'!$K$10:$K$105&lt;&gt;"")*('Group Stages'!$G$10:$G$105='Dummy Table'!$B9)*('Group Stages'!$I$10:$I$105&gt;'Group Stages'!$K$10:$K$105))</f>
        <v>2</v>
      </c>
      <c r="D9" s="259">
        <f>SUMPRODUCT(('Group Stages'!$I$10:$I$105&lt;&gt;"")*('Group Stages'!$K$10:$K$105&lt;&gt;"")*('Group Stages'!$G$10:$G$105='Dummy Table'!$B9)*('Group Stages'!$I$10:$I$105='Group Stages'!$K$10:$K$105))</f>
        <v>0</v>
      </c>
      <c r="E9" s="259">
        <f>SUMPRODUCT(('Group Stages'!$I$10:$I$105&lt;&gt;"")*('Group Stages'!$K$10:$K$105&lt;&gt;"")*('Group Stages'!$G$10:$G$105='Dummy Table'!$B9)*('Group Stages'!$I$10:$I$105&lt;'Group Stages'!$K$10:$K$105))</f>
        <v>1</v>
      </c>
      <c r="F9" s="259">
        <f>SUMIF('Group Stages'!$G$10:$G$105,'Dummy Table'!$B9,'Group Stages'!$I$10:$I$105)</f>
        <v>5</v>
      </c>
      <c r="G9" s="259">
        <f>SUMIF('Group Stages'!$G$10:$G$105,'Dummy Table'!$B9,'Group Stages'!$K$10:$K$105)</f>
        <v>5</v>
      </c>
      <c r="H9" s="259">
        <f t="shared" si="10"/>
        <v>0</v>
      </c>
      <c r="I9" s="259">
        <f t="shared" si="11"/>
        <v>6</v>
      </c>
      <c r="J9" s="254">
        <f>SUMPRODUCT(('Group Stages'!$I$10:$I$105&lt;&gt;"")*('Group Stages'!$K$10:$K$105&lt;&gt;"")*('Group Stages'!$M$10:$M$105='Dummy Table'!$B9)*('Group Stages'!$I$10:$I$105&lt;'Group Stages'!$K$10:$K$105))</f>
        <v>0</v>
      </c>
      <c r="K9" s="254">
        <f>SUMPRODUCT(('Group Stages'!$I$10:$I$105&lt;&gt;"")*('Group Stages'!$K$10:$K$105&lt;&gt;"")*('Group Stages'!$M$10:$M$105='Dummy Table'!$B9)*('Group Stages'!$I$10:$I$105='Group Stages'!$K$10:$K$105))</f>
        <v>2</v>
      </c>
      <c r="L9" s="254">
        <f>SUMPRODUCT(('Group Stages'!$I$10:$I$105&lt;&gt;"")*('Group Stages'!$K$10:$K$105&lt;&gt;"")*('Group Stages'!$M$10:$M$105='Dummy Table'!$B9)*('Group Stages'!$I$10:$I$105&gt;'Group Stages'!$K$10:$K$105))</f>
        <v>1</v>
      </c>
      <c r="M9" s="254">
        <f>SUMIF('Group Stages'!$M$10:$M$105,'Dummy Table'!$B9,'Group Stages'!$K$10:$K$105)</f>
        <v>4</v>
      </c>
      <c r="N9" s="254">
        <f>SUMIF('Group Stages'!$M$10:$M$105,'Dummy Table'!$B9,'Group Stages'!$I$10:$I$105)</f>
        <v>5</v>
      </c>
      <c r="O9" s="254">
        <f t="shared" si="12"/>
        <v>-1</v>
      </c>
      <c r="P9" s="254">
        <f t="shared" si="13"/>
        <v>2</v>
      </c>
      <c r="Q9" s="254">
        <f t="shared" si="14"/>
        <v>2</v>
      </c>
      <c r="R9" s="254">
        <f t="shared" si="15"/>
        <v>2</v>
      </c>
      <c r="S9" s="254">
        <f t="shared" si="16"/>
        <v>2</v>
      </c>
      <c r="T9" s="254">
        <f t="shared" si="17"/>
        <v>9</v>
      </c>
      <c r="U9" s="254">
        <f t="shared" si="18"/>
        <v>10</v>
      </c>
      <c r="V9" s="254">
        <f t="shared" si="19"/>
        <v>-1</v>
      </c>
      <c r="W9" s="254">
        <f t="shared" si="20"/>
        <v>8</v>
      </c>
      <c r="X9" s="259">
        <f>IF('Team Setup'!F10&lt;&gt;"",'Team Setup'!F10,DI9)</f>
        <v>67000</v>
      </c>
      <c r="Y9" s="259">
        <f>RANK(W9,W$8:W$11)</f>
        <v>2</v>
      </c>
      <c r="Z9" s="259">
        <f>SUMPRODUCT((W$8:W$11=W9)*(V$8:V$11&gt;V9))</f>
        <v>0</v>
      </c>
      <c r="AA9" s="259">
        <f>SUMPRODUCT((Y$8:Y$11=Y9)*(Z$8:Z$11=Z9)*(T$8:T$11&gt;T9))</f>
        <v>0</v>
      </c>
      <c r="AB9" s="259">
        <f>SUMPRODUCT((Y$8:Y$11=Y9)*(Z$8:Z$11=Z9)*(T$8:T$11=T9)*(X$8:X$11&gt;X9))</f>
        <v>0</v>
      </c>
      <c r="AC9" s="254">
        <v>2</v>
      </c>
      <c r="AD9" s="254" t="str">
        <f>VLOOKUP(AC9,$A$8:$B$11,2,FALSE)</f>
        <v>Tottenham Hotspur</v>
      </c>
      <c r="AE9" s="254">
        <f>VLOOKUP($AD9,$B$8:$W$11,22,FALSE)</f>
        <v>8</v>
      </c>
      <c r="AF9" s="254" t="str">
        <f>IF(OR(AE9=AE8,AE9=AE10),AD9,"")</f>
        <v>Tottenham Hotspur</v>
      </c>
      <c r="AG9" s="259">
        <f>SUMPRODUCT(($BK$4:$BK$99='Dummy Table'!$AF9)*($BL$4:$BL$99&gt;$BM$4:$BM$99))</f>
        <v>1</v>
      </c>
      <c r="AH9" s="259">
        <f>SUMPRODUCT(($BK$4:$BK$99='Dummy Table'!$AF9)*($BL$4:$BL$99=$BM$4:$BM$99))</f>
        <v>0</v>
      </c>
      <c r="AI9" s="259">
        <f>SUMPRODUCT(($BK$4:$BK$99='Dummy Table'!$AF9)*($BL$4:$BL$99&lt;$BM$4:$BM$99))</f>
        <v>0</v>
      </c>
      <c r="AJ9" s="259">
        <f>SUMIF($BK$4:$BK$99,'Dummy Table'!$AF9,$BL$4:$BL$99)</f>
        <v>1</v>
      </c>
      <c r="AK9" s="259">
        <f>SUMIF($BK$4:$BK$99,'Dummy Table'!$AF9,$BM$4:$BM$99)</f>
        <v>0</v>
      </c>
      <c r="AL9" s="259">
        <f t="shared" si="21"/>
        <v>1</v>
      </c>
      <c r="AM9" s="259">
        <f t="shared" si="22"/>
        <v>3</v>
      </c>
      <c r="AN9" s="259">
        <f>SUMPRODUCT(($BN$4:$BN$99='Dummy Table'!$AF9)*($BL$4:$BL$99&lt;$BM$4:$BM$99))</f>
        <v>0</v>
      </c>
      <c r="AO9" s="259">
        <f>SUMPRODUCT(($BN$4:$BN$99='Dummy Table'!$AF9)*($BL$4:$BL$99=$BM$4:$BM$99))</f>
        <v>0</v>
      </c>
      <c r="AP9" s="259">
        <f>SUMPRODUCT(($BN$4:$BN$99='Dummy Table'!$AF9)*($BL$4:$BL$99&gt;$BM$4:$BM$99))</f>
        <v>1</v>
      </c>
      <c r="AQ9" s="259">
        <f>SUMIF($BN$4:$BN$99,'Dummy Table'!$AF9,$BM$4:$BM$99)</f>
        <v>1</v>
      </c>
      <c r="AR9" s="259">
        <f>SUMIF($BN$4:$BN$99,'Dummy Table'!$AF9,$BL$4:$BL$99)</f>
        <v>2</v>
      </c>
      <c r="AS9" s="259">
        <f t="shared" si="23"/>
        <v>-1</v>
      </c>
      <c r="AT9" s="259">
        <f t="shared" si="24"/>
        <v>0</v>
      </c>
      <c r="AU9" s="259">
        <f t="shared" si="25"/>
        <v>1</v>
      </c>
      <c r="AV9" s="259">
        <f t="shared" si="26"/>
        <v>0</v>
      </c>
      <c r="AW9" s="259">
        <f t="shared" si="27"/>
        <v>1</v>
      </c>
      <c r="AX9" s="259">
        <f t="shared" si="28"/>
        <v>2</v>
      </c>
      <c r="AY9" s="259">
        <f t="shared" si="29"/>
        <v>2</v>
      </c>
      <c r="AZ9" s="259">
        <f t="shared" si="30"/>
        <v>0</v>
      </c>
      <c r="BA9" s="259">
        <f t="shared" si="44"/>
        <v>3</v>
      </c>
      <c r="BB9" s="254">
        <f t="shared" si="31"/>
        <v>-1</v>
      </c>
      <c r="BC9" s="254">
        <f t="shared" si="32"/>
        <v>9</v>
      </c>
      <c r="BD9" s="254">
        <f t="shared" si="33"/>
        <v>67000</v>
      </c>
      <c r="BE9" s="254">
        <f>RANK(BA9,BA$8:BA$11)</f>
        <v>1</v>
      </c>
      <c r="BF9" s="254">
        <f>SUMPRODUCT((BA$8:BA$11=BA9)*(AZ$8:AZ$11&gt;AZ9))</f>
        <v>0</v>
      </c>
      <c r="BG9" s="254">
        <f>SUMPRODUCT((BA$8:BA$11=BA9)*(BE$8:BE$11=BE9)*(AZ$8:AZ$11=AZ9)*(AQ$8:AQ$11&gt;AQ9))</f>
        <v>0</v>
      </c>
      <c r="BH9" s="254">
        <f>SUMPRODUCT((BA$8:BA$11=BA9)*(BE$8:BE$11=BE9)*(AZ$8:AZ$11=AZ9)*(AQ$8:AQ$11=AQ9)*(BB$8:BB$11&gt;BB9))</f>
        <v>0</v>
      </c>
      <c r="BI9" s="254">
        <f>SUMPRODUCT((BA$8:BA$11=BA9)*(BE$8:BE$11=BE9)*(AZ$8:AZ$11=AZ9)*(AQ$8:AQ$11=AQ9)*(BB$8:BB$11=BB9)*(BC$8:BC$11&gt;BC9))</f>
        <v>0</v>
      </c>
      <c r="BJ9" s="254">
        <f>SUMPRODUCT((BA$8:BA$11=BA9)*(BE$8:BE$11=BE9)*(AZ$8:AZ$11=AZ9)*(AQ$8:AQ$11=AQ9)*(BB$8:BB$11=BB9)*(BC$8:BC$11=BC9)*(BD$8:BD$11&gt;BD9))</f>
        <v>0</v>
      </c>
      <c r="BK9" s="254" t="str">
        <f>IF(AND(COUNTIF($AF$4:$AF$35,'Group Stages'!G15)&gt;0,COUNTIF($AF$4:$AF$35,'Group Stages'!M15)&gt;0,'Group Stages'!I15&lt;&gt;"",'Group Stages'!K15&lt;&gt;""),'Group Stages'!G15,"")</f>
        <v/>
      </c>
      <c r="BL9" s="254" t="str">
        <f>IF($BK9&lt;&gt;"",'Group Stages'!I15,"")</f>
        <v/>
      </c>
      <c r="BM9" s="254" t="str">
        <f>IF($BK9&lt;&gt;"",'Group Stages'!K15,"")</f>
        <v/>
      </c>
      <c r="BN9" s="254" t="str">
        <f>IF($BK9&lt;&gt;"",'Group Stages'!M15,"")</f>
        <v/>
      </c>
      <c r="BO9" s="254">
        <f t="shared" si="2"/>
        <v>1</v>
      </c>
      <c r="BP9" s="254" t="str">
        <f t="shared" si="34"/>
        <v>Tottenham Hotspur</v>
      </c>
      <c r="BQ9" s="254">
        <f>VLOOKUP($AD9,$B$8:$W$11,22,FALSE)</f>
        <v>8</v>
      </c>
      <c r="BS9" s="261">
        <f>SUMPRODUCT(($CW$4:$CW$99='Dummy Table'!$BR9)*($CX$4:$CX$99&gt;$CY$4:$CY$99))</f>
        <v>0</v>
      </c>
      <c r="BT9" s="261">
        <f>SUMPRODUCT(($CW$4:$CW$99='Dummy Table'!$BR9)*($CX$4:$CX$99=$CY$4:$CY$99))</f>
        <v>94</v>
      </c>
      <c r="BU9" s="261">
        <f>SUMPRODUCT(($CW$4:$CW$99='Dummy Table'!$BR9)*($CX$4:$CX$99&lt;$CY$4:$CY$99))</f>
        <v>0</v>
      </c>
      <c r="BV9" s="261">
        <f>SUMIF($CW$4:$CW$99,'Dummy Table'!$BR9,$CX$4:$CX$99)</f>
        <v>0</v>
      </c>
      <c r="BW9" s="261">
        <f>SUMIF($CW$4:$CW$99,'Dummy Table'!$BR9,$CY$4:$CY$99)</f>
        <v>0</v>
      </c>
      <c r="BX9" s="261">
        <f t="shared" si="35"/>
        <v>0</v>
      </c>
      <c r="BY9" s="261" t="str">
        <f t="shared" si="36"/>
        <v/>
      </c>
      <c r="BZ9" s="261">
        <f>SUMPRODUCT(($CZ$4:$CZ$99='Dummy Table'!$BR9)*($CX$4:$CX$99&lt;$CY$4:$CY$99))</f>
        <v>0</v>
      </c>
      <c r="CA9" s="261">
        <f>SUMPRODUCT(($CZ$4:$CZ$99='Dummy Table'!$BR9)*($CX$4:$CX$99=$CY$4:$CY$99))</f>
        <v>94</v>
      </c>
      <c r="CB9" s="261">
        <f>SUMPRODUCT(($CZ$4:$CZ$99='Dummy Table'!$BR9)*($CX$4:$CX$99&gt;$CY$4:$CY$99))</f>
        <v>0</v>
      </c>
      <c r="CC9" s="261">
        <f>SUMIF($CZ$4:$CZ$99,'Dummy Table'!$BR9,$CY$4:$CY$99)</f>
        <v>0</v>
      </c>
      <c r="CD9" s="261">
        <f>SUMIF($CZ$4:$CZ$99,'Dummy Table'!$BR9,$CX$4:$CX$99)</f>
        <v>0</v>
      </c>
      <c r="CE9" s="261">
        <f t="shared" si="37"/>
        <v>0</v>
      </c>
      <c r="CF9" s="261" t="str">
        <f t="shared" si="38"/>
        <v/>
      </c>
      <c r="CG9" s="261">
        <f t="shared" si="39"/>
        <v>0</v>
      </c>
      <c r="CH9" s="261">
        <f t="shared" si="3"/>
        <v>188</v>
      </c>
      <c r="CI9" s="261">
        <f t="shared" si="4"/>
        <v>0</v>
      </c>
      <c r="CJ9" s="261">
        <f t="shared" si="5"/>
        <v>0</v>
      </c>
      <c r="CK9" s="261">
        <f t="shared" si="6"/>
        <v>0</v>
      </c>
      <c r="CL9" s="261">
        <f t="shared" si="7"/>
        <v>0</v>
      </c>
      <c r="CM9" s="261">
        <f t="shared" si="45"/>
        <v>-1</v>
      </c>
      <c r="CN9" s="259">
        <f t="shared" si="40"/>
        <v>67000</v>
      </c>
      <c r="CO9" s="259">
        <f>SUMIF($CZ$4:$CZ$99,'Dummy Table'!$BR9,$CY$4:$CY$99)*2</f>
        <v>0</v>
      </c>
      <c r="CP9" s="259">
        <f>RANK(CM9,CM$8:CM$11)</f>
        <v>1</v>
      </c>
      <c r="CR9" s="259">
        <f>SUMPRODUCT((CM$8:CM$11=CM9)*(CL$8:CL$11&gt;CL9))</f>
        <v>0</v>
      </c>
      <c r="CS9" s="259">
        <f>SUMPRODUCT((CP$8:CP$11=CP9)*(CR$8:CR$11=CR9)*(CO$8:CO$11&gt;CO9))</f>
        <v>0</v>
      </c>
      <c r="CT9" s="259">
        <f>IF(BR9&lt;&gt;"",SUMPRODUCT((CP$8:CP$11=CP9)*(CR$8:CR$11=CR9)*(CS$8:CS$11=CS9)*(V$8:V$11&gt;V9)),0)</f>
        <v>0</v>
      </c>
      <c r="CU9" s="259">
        <f t="shared" ref="CU9:CU11" si="47">IF($BR9&lt;&gt;"",SUMPRODUCT((CP$8:CP$11=CP9)*(CR$8:CR$11=CR9)*(CS$8:CS$11=CS9)*(CT$8:CT$11=CT9)*(T$8:T$11&gt;T9)),0)</f>
        <v>0</v>
      </c>
      <c r="CV9" s="259">
        <f>SUMPRODUCT((CP$8:CP$11=CP9)*(CR$8:CR$11=CR9)*(CS$8:CS$11=CS9)*(CT$8:CT$11=CT9)*(CU$8:CU$11=CU9)*(CN$8:CN$11&gt;CN9))</f>
        <v>1</v>
      </c>
      <c r="CW9" s="254" t="str">
        <f>IF(AND(COUNTIF($BR$4:$BR$35,'Group Stages'!$G15)&gt;0,COUNTIF($BR$4:$BR$35,'Group Stages'!$M15)&gt;0),'Group Stages'!$G15,"")</f>
        <v/>
      </c>
      <c r="CX9" s="254" t="str">
        <f>IF($CW9&lt;&gt;"",'Group Stages'!$I15,"")</f>
        <v/>
      </c>
      <c r="CY9" s="254" t="str">
        <f>IF($CW9&lt;&gt;"",'Group Stages'!$K15,"")</f>
        <v/>
      </c>
      <c r="CZ9" s="254" t="str">
        <f>IF($CW9&lt;&gt;"",'Group Stages'!$M15,"")</f>
        <v/>
      </c>
      <c r="DA9" s="259" t="str">
        <f t="shared" si="8"/>
        <v/>
      </c>
      <c r="DB9" s="254" t="str">
        <f t="shared" si="43"/>
        <v/>
      </c>
      <c r="DC9" s="254">
        <v>2</v>
      </c>
      <c r="DD9" s="254" t="str">
        <f t="shared" si="46"/>
        <v/>
      </c>
      <c r="DE9" s="254">
        <f>IF(AND(DD9="",DD8=""),DC9,IF(AND(DD8&lt;&gt;"",DD9=""),1,""))</f>
        <v>1</v>
      </c>
      <c r="DF9" s="254" t="str">
        <f>VLOOKUP(DE9,$BO$8:$BP$11,2,FALSE)</f>
        <v>Tottenham Hotspur</v>
      </c>
      <c r="DG9" s="254">
        <v>2</v>
      </c>
      <c r="DH9" s="254" t="str">
        <f>IF(DD9="",DF9,DD9)</f>
        <v>Tottenham Hotspur</v>
      </c>
      <c r="DI9" s="254">
        <v>6</v>
      </c>
    </row>
    <row r="10" spans="1:113" x14ac:dyDescent="0.2">
      <c r="A10" s="254">
        <f t="shared" si="9"/>
        <v>4</v>
      </c>
      <c r="B10" s="254" t="str">
        <f>'Team Setup'!B11</f>
        <v>PSV Eindhoven</v>
      </c>
      <c r="C10" s="259">
        <f>SUMPRODUCT(('Group Stages'!$I$10:$I$105&lt;&gt;"")*('Group Stages'!$K$10:$K$105&lt;&gt;"")*('Group Stages'!$G$10:$G$105='Dummy Table'!$B10)*('Group Stages'!$I$10:$I$105&gt;'Group Stages'!$K$10:$K$105))</f>
        <v>0</v>
      </c>
      <c r="D10" s="259">
        <f>SUMPRODUCT(('Group Stages'!$I$10:$I$105&lt;&gt;"")*('Group Stages'!$K$10:$K$105&lt;&gt;"")*('Group Stages'!$G$10:$G$105='Dummy Table'!$B10)*('Group Stages'!$I$10:$I$105='Group Stages'!$K$10:$K$105))</f>
        <v>1</v>
      </c>
      <c r="E10" s="259">
        <f>SUMPRODUCT(('Group Stages'!$I$10:$I$105&lt;&gt;"")*('Group Stages'!$K$10:$K$105&lt;&gt;"")*('Group Stages'!$G$10:$G$105='Dummy Table'!$B10)*('Group Stages'!$I$10:$I$105&lt;'Group Stages'!$K$10:$K$105))</f>
        <v>2</v>
      </c>
      <c r="F10" s="259">
        <f>SUMIF('Group Stages'!$G$10:$G$105,'Dummy Table'!$B10,'Group Stages'!$I$10:$I$105)</f>
        <v>4</v>
      </c>
      <c r="G10" s="259">
        <f>SUMIF('Group Stages'!$G$10:$G$105,'Dummy Table'!$B10,'Group Stages'!$K$10:$K$105)</f>
        <v>6</v>
      </c>
      <c r="H10" s="259">
        <f t="shared" si="10"/>
        <v>-2</v>
      </c>
      <c r="I10" s="259">
        <f t="shared" si="11"/>
        <v>1</v>
      </c>
      <c r="J10" s="254">
        <f>SUMPRODUCT(('Group Stages'!$I$10:$I$105&lt;&gt;"")*('Group Stages'!$K$10:$K$105&lt;&gt;"")*('Group Stages'!$M$10:$M$105='Dummy Table'!$B10)*('Group Stages'!$I$10:$I$105&lt;'Group Stages'!$K$10:$K$105))</f>
        <v>0</v>
      </c>
      <c r="K10" s="254">
        <f>SUMPRODUCT(('Group Stages'!$I$10:$I$105&lt;&gt;"")*('Group Stages'!$K$10:$K$105&lt;&gt;"")*('Group Stages'!$M$10:$M$105='Dummy Table'!$B10)*('Group Stages'!$I$10:$I$105='Group Stages'!$K$10:$K$105))</f>
        <v>1</v>
      </c>
      <c r="L10" s="254">
        <f>SUMPRODUCT(('Group Stages'!$I$10:$I$105&lt;&gt;"")*('Group Stages'!$K$10:$K$105&lt;&gt;"")*('Group Stages'!$M$10:$M$105='Dummy Table'!$B10)*('Group Stages'!$I$10:$I$105&gt;'Group Stages'!$K$10:$K$105))</f>
        <v>2</v>
      </c>
      <c r="M10" s="254">
        <f>SUMIF('Group Stages'!$M$10:$M$105,'Dummy Table'!$B10,'Group Stages'!$K$10:$K$105)</f>
        <v>2</v>
      </c>
      <c r="N10" s="254">
        <f>SUMIF('Group Stages'!$M$10:$M$105,'Dummy Table'!$B10,'Group Stages'!$I$10:$I$105)</f>
        <v>7</v>
      </c>
      <c r="O10" s="254">
        <f t="shared" si="12"/>
        <v>-5</v>
      </c>
      <c r="P10" s="254">
        <f t="shared" si="13"/>
        <v>1</v>
      </c>
      <c r="Q10" s="254">
        <f t="shared" si="14"/>
        <v>0</v>
      </c>
      <c r="R10" s="254">
        <f t="shared" si="15"/>
        <v>2</v>
      </c>
      <c r="S10" s="254">
        <f t="shared" si="16"/>
        <v>4</v>
      </c>
      <c r="T10" s="254">
        <f t="shared" si="17"/>
        <v>6</v>
      </c>
      <c r="U10" s="254">
        <f t="shared" si="18"/>
        <v>13</v>
      </c>
      <c r="V10" s="254">
        <f t="shared" si="19"/>
        <v>-7</v>
      </c>
      <c r="W10" s="254">
        <f t="shared" si="20"/>
        <v>2</v>
      </c>
      <c r="X10" s="259">
        <f>IF('Team Setup'!F11&lt;&gt;"",'Team Setup'!F11,DI10)</f>
        <v>36000</v>
      </c>
      <c r="Y10" s="259">
        <f>RANK(W10,W$8:W$11)</f>
        <v>4</v>
      </c>
      <c r="Z10" s="259">
        <f>SUMPRODUCT((W$8:W$11=W10)*(V$8:V$11&gt;V10))</f>
        <v>0</v>
      </c>
      <c r="AA10" s="259">
        <f>SUMPRODUCT((Y$8:Y$11=Y10)*(Z$8:Z$11=Z10)*(T$8:T$11&gt;T10))</f>
        <v>0</v>
      </c>
      <c r="AB10" s="259">
        <f>SUMPRODUCT((Y$8:Y$11=Y10)*(Z$8:Z$11=Z10)*(T$8:T$11=T10)*(X$8:X$11&gt;X10))</f>
        <v>0</v>
      </c>
      <c r="AC10" s="254">
        <v>3</v>
      </c>
      <c r="AD10" s="254" t="str">
        <f>VLOOKUP(AC10,$A$8:$B$11,2,FALSE)</f>
        <v>Internazionale</v>
      </c>
      <c r="AE10" s="254">
        <f>VLOOKUP($AD10,$B$8:$W$11,22,FALSE)</f>
        <v>8</v>
      </c>
      <c r="AF10" s="254" t="str">
        <f>IF(AE10=AE9,AD10,"")</f>
        <v>Internazionale</v>
      </c>
      <c r="AG10" s="259">
        <f>SUMPRODUCT(($BK$4:$BK$99='Dummy Table'!$AF10)*($BL$4:$BL$99&gt;$BM$4:$BM$99))</f>
        <v>1</v>
      </c>
      <c r="AH10" s="259">
        <f>SUMPRODUCT(($BK$4:$BK$99='Dummy Table'!$AF10)*($BL$4:$BL$99=$BM$4:$BM$99))</f>
        <v>0</v>
      </c>
      <c r="AI10" s="259">
        <f>SUMPRODUCT(($BK$4:$BK$99='Dummy Table'!$AF10)*($BL$4:$BL$99&lt;$BM$4:$BM$99))</f>
        <v>0</v>
      </c>
      <c r="AJ10" s="259">
        <f>SUMIF($BK$4:$BK$99,'Dummy Table'!$AF10,$BL$4:$BL$99)</f>
        <v>2</v>
      </c>
      <c r="AK10" s="259">
        <f>SUMIF($BK$4:$BK$99,'Dummy Table'!$AF10,$BM$4:$BM$99)</f>
        <v>1</v>
      </c>
      <c r="AL10" s="259">
        <f t="shared" si="21"/>
        <v>1</v>
      </c>
      <c r="AM10" s="259">
        <f t="shared" si="22"/>
        <v>3</v>
      </c>
      <c r="AN10" s="259">
        <f>SUMPRODUCT(($BN$4:$BN$99='Dummy Table'!$AF10)*($BL$4:$BL$99&lt;$BM$4:$BM$99))</f>
        <v>0</v>
      </c>
      <c r="AO10" s="259">
        <f>SUMPRODUCT(($BN$4:$BN$99='Dummy Table'!$AF10)*($BL$4:$BL$99=$BM$4:$BM$99))</f>
        <v>0</v>
      </c>
      <c r="AP10" s="259">
        <f>SUMPRODUCT(($BN$4:$BN$99='Dummy Table'!$AF10)*($BL$4:$BL$99&gt;$BM$4:$BM$99))</f>
        <v>1</v>
      </c>
      <c r="AQ10" s="259">
        <f>SUMIF($BN$4:$BN$99,'Dummy Table'!$AF10,$BM$4:$BM$99)</f>
        <v>0</v>
      </c>
      <c r="AR10" s="259">
        <f>SUMIF($BN$4:$BN$99,'Dummy Table'!$AF10,$BL$4:$BL$99)</f>
        <v>1</v>
      </c>
      <c r="AS10" s="259">
        <f t="shared" si="23"/>
        <v>-1</v>
      </c>
      <c r="AT10" s="259">
        <f t="shared" si="24"/>
        <v>0</v>
      </c>
      <c r="AU10" s="259">
        <f t="shared" si="25"/>
        <v>1</v>
      </c>
      <c r="AV10" s="259">
        <f t="shared" si="26"/>
        <v>0</v>
      </c>
      <c r="AW10" s="259">
        <f t="shared" si="27"/>
        <v>1</v>
      </c>
      <c r="AX10" s="259">
        <f t="shared" si="28"/>
        <v>2</v>
      </c>
      <c r="AY10" s="259">
        <f t="shared" si="29"/>
        <v>2</v>
      </c>
      <c r="AZ10" s="259">
        <f t="shared" si="30"/>
        <v>0</v>
      </c>
      <c r="BA10" s="259">
        <f t="shared" si="44"/>
        <v>3</v>
      </c>
      <c r="BB10" s="254">
        <f t="shared" si="31"/>
        <v>-1</v>
      </c>
      <c r="BC10" s="254">
        <f t="shared" si="32"/>
        <v>6</v>
      </c>
      <c r="BD10" s="254">
        <f t="shared" si="33"/>
        <v>16000</v>
      </c>
      <c r="BE10" s="254">
        <f>RANK(BA10,BA$8:BA$11)</f>
        <v>1</v>
      </c>
      <c r="BF10" s="254">
        <f>SUMPRODUCT((BA$8:BA$11=BA10)*(AZ$8:AZ$11&gt;AZ10))</f>
        <v>0</v>
      </c>
      <c r="BG10" s="254">
        <f>SUMPRODUCT((BA$8:BA$11=BA10)*(BE$8:BE$11=BE10)*(AZ$8:AZ$11=AZ10)*(AQ$8:AQ$11&gt;AQ10))</f>
        <v>1</v>
      </c>
      <c r="BH10" s="254">
        <f>SUMPRODUCT((BA$8:BA$11=BA10)*(BE$8:BE$11=BE10)*(AZ$8:AZ$11=AZ10)*(AQ$8:AQ$11=AQ10)*(BB$8:BB$11&gt;BB10))</f>
        <v>0</v>
      </c>
      <c r="BI10" s="254">
        <f>SUMPRODUCT((BA$8:BA$11=BA10)*(BE$8:BE$11=BE10)*(AZ$8:AZ$11=AZ10)*(AQ$8:AQ$11=AQ10)*(BB$8:BB$11=BB10)*(BC$8:BC$11&gt;BC10))</f>
        <v>0</v>
      </c>
      <c r="BJ10" s="254">
        <f>SUMPRODUCT((BA$8:BA$11=BA10)*(BE$8:BE$11=BE10)*(AZ$8:AZ$11=AZ10)*(AQ$8:AQ$11=AQ10)*(BB$8:BB$11=BB10)*(BC$8:BC$11=BC10)*(BD$8:BD$11&gt;BD10))</f>
        <v>0</v>
      </c>
      <c r="BK10" s="254" t="str">
        <f>IF(AND(COUNTIF($AF$4:$AF$35,'Group Stages'!G16)&gt;0,COUNTIF($AF$4:$AF$35,'Group Stages'!M16)&gt;0,'Group Stages'!I16&lt;&gt;"",'Group Stages'!K16&lt;&gt;""),'Group Stages'!G16,"")</f>
        <v/>
      </c>
      <c r="BL10" s="254" t="str">
        <f>IF($BK10&lt;&gt;"",'Group Stages'!I16,"")</f>
        <v/>
      </c>
      <c r="BM10" s="254" t="str">
        <f>IF($BK10&lt;&gt;"",'Group Stages'!K16,"")</f>
        <v/>
      </c>
      <c r="BN10" s="254" t="str">
        <f>IF($BK10&lt;&gt;"",'Group Stages'!M16,"")</f>
        <v/>
      </c>
      <c r="BO10" s="254">
        <f t="shared" si="2"/>
        <v>2</v>
      </c>
      <c r="BP10" s="254" t="str">
        <f t="shared" si="34"/>
        <v>Internazionale</v>
      </c>
      <c r="BQ10" s="254">
        <f>VLOOKUP($AD10,$B$8:$W$11,22,FALSE)</f>
        <v>8</v>
      </c>
      <c r="BR10" s="254" t="str">
        <f>IF(AND(BQ10&lt;&gt;BQ9,BQ10=BQ11),AD10,"")</f>
        <v/>
      </c>
      <c r="BS10" s="261">
        <f>SUMPRODUCT(($CW$4:$CW$99='Dummy Table'!$BR10)*($CX$4:$CX$99&gt;$CY$4:$CY$99))</f>
        <v>0</v>
      </c>
      <c r="BT10" s="261">
        <f>SUMPRODUCT(($CW$4:$CW$99='Dummy Table'!$BR10)*($CX$4:$CX$99=$CY$4:$CY$99))</f>
        <v>94</v>
      </c>
      <c r="BU10" s="261">
        <f>SUMPRODUCT(($CW$4:$CW$99='Dummy Table'!$BR10)*($CX$4:$CX$99&lt;$CY$4:$CY$99))</f>
        <v>0</v>
      </c>
      <c r="BV10" s="261">
        <f>SUMIF($CW$4:$CW$99,'Dummy Table'!$BR10,$CX$4:$CX$99)</f>
        <v>0</v>
      </c>
      <c r="BW10" s="261">
        <f>SUMIF($CW$4:$CW$99,'Dummy Table'!$BR10,$CY$4:$CY$99)</f>
        <v>0</v>
      </c>
      <c r="BX10" s="261">
        <f t="shared" si="35"/>
        <v>0</v>
      </c>
      <c r="BY10" s="261" t="str">
        <f t="shared" si="36"/>
        <v/>
      </c>
      <c r="BZ10" s="261">
        <f>SUMPRODUCT(($CZ$4:$CZ$99='Dummy Table'!$BR10)*($CX$4:$CX$99&lt;$CY$4:$CY$99))</f>
        <v>0</v>
      </c>
      <c r="CA10" s="261">
        <f>SUMPRODUCT(($CZ$4:$CZ$99='Dummy Table'!$BR10)*($CX$4:$CX$99=$CY$4:$CY$99))</f>
        <v>94</v>
      </c>
      <c r="CB10" s="261">
        <f>SUMPRODUCT(($CZ$4:$CZ$99='Dummy Table'!$BR10)*($CX$4:$CX$99&gt;$CY$4:$CY$99))</f>
        <v>0</v>
      </c>
      <c r="CC10" s="261">
        <f>SUMIF($CZ$4:$CZ$99,'Dummy Table'!$BR10,$CY$4:$CY$99)</f>
        <v>0</v>
      </c>
      <c r="CD10" s="261">
        <f>SUMIF($CZ$4:$CZ$99,'Dummy Table'!$BR10,$CX$4:$CX$99)</f>
        <v>0</v>
      </c>
      <c r="CE10" s="261">
        <f t="shared" si="37"/>
        <v>0</v>
      </c>
      <c r="CF10" s="261" t="str">
        <f t="shared" si="38"/>
        <v/>
      </c>
      <c r="CG10" s="261">
        <f t="shared" si="39"/>
        <v>0</v>
      </c>
      <c r="CH10" s="261">
        <f t="shared" si="3"/>
        <v>188</v>
      </c>
      <c r="CI10" s="261">
        <f t="shared" si="4"/>
        <v>0</v>
      </c>
      <c r="CJ10" s="261">
        <f t="shared" si="5"/>
        <v>0</v>
      </c>
      <c r="CK10" s="261">
        <f t="shared" si="6"/>
        <v>0</v>
      </c>
      <c r="CL10" s="261">
        <f t="shared" si="7"/>
        <v>0</v>
      </c>
      <c r="CM10" s="261">
        <f t="shared" si="45"/>
        <v>-1</v>
      </c>
      <c r="CN10" s="259">
        <f t="shared" si="40"/>
        <v>36000</v>
      </c>
      <c r="CO10" s="259">
        <f>SUMIF($CZ$4:$CZ$99,'Dummy Table'!$BR10,$CY$4:$CY$99)*2</f>
        <v>0</v>
      </c>
      <c r="CP10" s="259">
        <f>RANK(CM10,CM$8:CM$11)</f>
        <v>1</v>
      </c>
      <c r="CR10" s="259">
        <f>SUMPRODUCT((CM$8:CM$11=CM10)*(CL$8:CL$11&gt;CL10))</f>
        <v>0</v>
      </c>
      <c r="CS10" s="259">
        <f>SUMPRODUCT((CP$8:CP$11=CP10)*(CR$8:CR$11=CR10)*(CO$8:CO$11&gt;CO10))</f>
        <v>0</v>
      </c>
      <c r="CT10" s="259">
        <f>IF(BR10&lt;&gt;"",SUMPRODUCT((CP$8:CP$11=CP10)*(CR$8:CR$11=CR10)*(CS$8:CS$11=CS10)*(V$8:V$11&gt;V10)),0)</f>
        <v>0</v>
      </c>
      <c r="CU10" s="259">
        <f t="shared" si="47"/>
        <v>0</v>
      </c>
      <c r="CV10" s="259">
        <f>SUMPRODUCT((CP$8:CP$11=CP10)*(CR$8:CR$11=CR10)*(CS$8:CS$11=CS10)*(CT$8:CT$11=CT10)*(CU$8:CU$11=CU10)*(CN$8:CN$11&gt;CN10))</f>
        <v>2</v>
      </c>
      <c r="CW10" s="254" t="str">
        <f>IF(AND(COUNTIF($BR$4:$BR$35,'Group Stages'!$G16)&gt;0,COUNTIF($BR$4:$BR$35,'Group Stages'!$M16)&gt;0),'Group Stages'!$G16,"")</f>
        <v/>
      </c>
      <c r="CX10" s="254" t="str">
        <f>IF($CW10&lt;&gt;"",'Group Stages'!$I16,"")</f>
        <v/>
      </c>
      <c r="CY10" s="254" t="str">
        <f>IF($CW10&lt;&gt;"",'Group Stages'!$K16,"")</f>
        <v/>
      </c>
      <c r="CZ10" s="254" t="str">
        <f>IF($CW10&lt;&gt;"",'Group Stages'!$M16,"")</f>
        <v/>
      </c>
      <c r="DA10" s="259" t="str">
        <f t="shared" si="8"/>
        <v/>
      </c>
      <c r="DB10" s="254" t="str">
        <f t="shared" si="43"/>
        <v/>
      </c>
      <c r="DC10" s="254">
        <v>3</v>
      </c>
      <c r="DD10" s="254" t="str">
        <f t="shared" si="46"/>
        <v/>
      </c>
      <c r="DE10" s="254">
        <f>IF(AND(DD10="",DD9="",DD8=""),DC10,IF(AND(DD8&lt;&gt;"",DD9="",DD10=""),2,IF(AND(DD8&lt;&gt;"",DD9&lt;&gt;"",DD10=""),1,"")))</f>
        <v>2</v>
      </c>
      <c r="DF10" s="254" t="str">
        <f>VLOOKUP(DE10,$BO$8:$BP$11,2,FALSE)</f>
        <v>Internazionale</v>
      </c>
      <c r="DG10" s="254">
        <v>3</v>
      </c>
      <c r="DH10" s="254" t="str">
        <f>IF(DB10&lt;&gt;"",IF(DA10&lt;DA11,DB10,DB11),IF(DF10&lt;&gt;"",DF10,DD10))</f>
        <v>Internazionale</v>
      </c>
      <c r="DI10" s="254">
        <v>7</v>
      </c>
    </row>
    <row r="11" spans="1:113" x14ac:dyDescent="0.2">
      <c r="A11" s="254">
        <f t="shared" si="9"/>
        <v>3</v>
      </c>
      <c r="B11" s="254" t="str">
        <f>'Team Setup'!B12</f>
        <v>Internazionale</v>
      </c>
      <c r="C11" s="259">
        <f>SUMPRODUCT(('Group Stages'!$I$10:$I$105&lt;&gt;"")*('Group Stages'!$K$10:$K$105&lt;&gt;"")*('Group Stages'!$G$10:$G$105='Dummy Table'!$B11)*('Group Stages'!$I$10:$I$105&gt;'Group Stages'!$K$10:$K$105))</f>
        <v>1</v>
      </c>
      <c r="D11" s="259">
        <f>SUMPRODUCT(('Group Stages'!$I$10:$I$105&lt;&gt;"")*('Group Stages'!$K$10:$K$105&lt;&gt;"")*('Group Stages'!$G$10:$G$105='Dummy Table'!$B11)*('Group Stages'!$I$10:$I$105='Group Stages'!$K$10:$K$105))</f>
        <v>2</v>
      </c>
      <c r="E11" s="259">
        <f>SUMPRODUCT(('Group Stages'!$I$10:$I$105&lt;&gt;"")*('Group Stages'!$K$10:$K$105&lt;&gt;"")*('Group Stages'!$G$10:$G$105='Dummy Table'!$B11)*('Group Stages'!$I$10:$I$105&lt;'Group Stages'!$K$10:$K$105))</f>
        <v>0</v>
      </c>
      <c r="F11" s="259">
        <f>SUMIF('Group Stages'!$G$10:$G$105,'Dummy Table'!$B11,'Group Stages'!$I$10:$I$105)</f>
        <v>4</v>
      </c>
      <c r="G11" s="259">
        <f>SUMIF('Group Stages'!$G$10:$G$105,'Dummy Table'!$B11,'Group Stages'!$K$10:$K$105)</f>
        <v>3</v>
      </c>
      <c r="H11" s="259">
        <f t="shared" si="10"/>
        <v>1</v>
      </c>
      <c r="I11" s="259">
        <f t="shared" si="11"/>
        <v>5</v>
      </c>
      <c r="J11" s="254">
        <f>SUMPRODUCT(('Group Stages'!$I$10:$I$105&lt;&gt;"")*('Group Stages'!$K$10:$K$105&lt;&gt;"")*('Group Stages'!$M$10:$M$105='Dummy Table'!$B11)*('Group Stages'!$I$10:$I$105&lt;'Group Stages'!$K$10:$K$105))</f>
        <v>1</v>
      </c>
      <c r="K11" s="254">
        <f>SUMPRODUCT(('Group Stages'!$I$10:$I$105&lt;&gt;"")*('Group Stages'!$K$10:$K$105&lt;&gt;"")*('Group Stages'!$M$10:$M$105='Dummy Table'!$B11)*('Group Stages'!$I$10:$I$105='Group Stages'!$K$10:$K$105))</f>
        <v>0</v>
      </c>
      <c r="L11" s="254">
        <f>SUMPRODUCT(('Group Stages'!$I$10:$I$105&lt;&gt;"")*('Group Stages'!$K$10:$K$105&lt;&gt;"")*('Group Stages'!$M$10:$M$105='Dummy Table'!$B11)*('Group Stages'!$I$10:$I$105&gt;'Group Stages'!$K$10:$K$105))</f>
        <v>2</v>
      </c>
      <c r="M11" s="254">
        <f>SUMIF('Group Stages'!$M$10:$M$105,'Dummy Table'!$B11,'Group Stages'!$K$10:$K$105)</f>
        <v>2</v>
      </c>
      <c r="N11" s="254">
        <f>SUMIF('Group Stages'!$M$10:$M$105,'Dummy Table'!$B11,'Group Stages'!$I$10:$I$105)</f>
        <v>4</v>
      </c>
      <c r="O11" s="254">
        <f t="shared" si="12"/>
        <v>-2</v>
      </c>
      <c r="P11" s="254">
        <f t="shared" si="13"/>
        <v>3</v>
      </c>
      <c r="Q11" s="254">
        <f t="shared" si="14"/>
        <v>2</v>
      </c>
      <c r="R11" s="254">
        <f t="shared" si="15"/>
        <v>2</v>
      </c>
      <c r="S11" s="254">
        <f t="shared" si="16"/>
        <v>2</v>
      </c>
      <c r="T11" s="254">
        <f t="shared" si="17"/>
        <v>6</v>
      </c>
      <c r="U11" s="254">
        <f t="shared" si="18"/>
        <v>7</v>
      </c>
      <c r="V11" s="254">
        <f t="shared" si="19"/>
        <v>-1</v>
      </c>
      <c r="W11" s="254">
        <f t="shared" si="20"/>
        <v>8</v>
      </c>
      <c r="X11" s="259">
        <f>IF('Team Setup'!F12&lt;&gt;"",'Team Setup'!F12,DI11)</f>
        <v>16000</v>
      </c>
      <c r="Y11" s="259">
        <f>RANK(W11,W$8:W$11)</f>
        <v>2</v>
      </c>
      <c r="Z11" s="259">
        <f>SUMPRODUCT((W$8:W$11=W11)*(V$8:V$11&gt;V11))</f>
        <v>0</v>
      </c>
      <c r="AA11" s="259">
        <f>SUMPRODUCT((Y$8:Y$11=Y11)*(Z$8:Z$11=Z11)*(T$8:T$11&gt;T11))</f>
        <v>1</v>
      </c>
      <c r="AB11" s="259">
        <f>SUMPRODUCT((Y$8:Y$11=Y11)*(Z$8:Z$11=Z11)*(T$8:T$11=T11)*(X$8:X$11&gt;X11))</f>
        <v>0</v>
      </c>
      <c r="AC11" s="254">
        <v>4</v>
      </c>
      <c r="AD11" s="254" t="str">
        <f>VLOOKUP(AC11,$A$8:$B$11,2,FALSE)</f>
        <v>PSV Eindhoven</v>
      </c>
      <c r="AE11" s="254">
        <f>VLOOKUP($AD11,$B$8:$W$11,22,FALSE)</f>
        <v>2</v>
      </c>
      <c r="AF11" s="254" t="str">
        <f>IF(AND(AE11=AE10,AE10=AE9),AD11,"")</f>
        <v/>
      </c>
      <c r="AG11" s="259">
        <f>SUMPRODUCT(($BK$4:$BK$99='Dummy Table'!$AF11)*($BL$4:$BL$99&gt;$BM$4:$BM$99))</f>
        <v>0</v>
      </c>
      <c r="AH11" s="259">
        <f>SUMPRODUCT(($BK$4:$BK$99='Dummy Table'!$AF11)*($BL$4:$BL$99=$BM$4:$BM$99))</f>
        <v>90</v>
      </c>
      <c r="AI11" s="259">
        <f>SUMPRODUCT(($BK$4:$BK$99='Dummy Table'!$AF11)*($BL$4:$BL$99&lt;$BM$4:$BM$99))</f>
        <v>0</v>
      </c>
      <c r="AJ11" s="259">
        <f>SUMIF($BK$4:$BK$99,'Dummy Table'!$AF11,$BL$4:$BL$99)</f>
        <v>0</v>
      </c>
      <c r="AK11" s="259">
        <f>SUMIF($BK$4:$BK$99,'Dummy Table'!$AF11,$BM$4:$BM$99)</f>
        <v>0</v>
      </c>
      <c r="AL11" s="259">
        <f t="shared" si="21"/>
        <v>0</v>
      </c>
      <c r="AM11" s="259" t="str">
        <f t="shared" si="22"/>
        <v/>
      </c>
      <c r="AN11" s="259">
        <f>SUMPRODUCT(($BN$4:$BN$99='Dummy Table'!$AF11)*($BL$4:$BL$99&lt;$BM$4:$BM$99))</f>
        <v>0</v>
      </c>
      <c r="AO11" s="259">
        <f>SUMPRODUCT(($BN$4:$BN$99='Dummy Table'!$AF11)*($BL$4:$BL$99=$BM$4:$BM$99))</f>
        <v>90</v>
      </c>
      <c r="AP11" s="259">
        <f>SUMPRODUCT(($BN$4:$BN$99='Dummy Table'!$AF11)*($BL$4:$BL$99&gt;$BM$4:$BM$99))</f>
        <v>0</v>
      </c>
      <c r="AQ11" s="259">
        <f>SUMIF($BN$4:$BN$99,'Dummy Table'!$AF11,$BM$4:$BM$99)</f>
        <v>0</v>
      </c>
      <c r="AR11" s="259">
        <f>SUMIF($BN$4:$BN$99,'Dummy Table'!$AF11,$BL$4:$BL$99)</f>
        <v>0</v>
      </c>
      <c r="AS11" s="259">
        <f t="shared" si="23"/>
        <v>0</v>
      </c>
      <c r="AT11" s="259" t="str">
        <f t="shared" si="24"/>
        <v/>
      </c>
      <c r="AU11" s="259">
        <f t="shared" si="25"/>
        <v>0</v>
      </c>
      <c r="AV11" s="259">
        <f t="shared" si="26"/>
        <v>180</v>
      </c>
      <c r="AW11" s="259">
        <f t="shared" si="27"/>
        <v>0</v>
      </c>
      <c r="AX11" s="259">
        <f t="shared" si="28"/>
        <v>0</v>
      </c>
      <c r="AY11" s="259">
        <f t="shared" si="29"/>
        <v>0</v>
      </c>
      <c r="AZ11" s="259">
        <f t="shared" si="30"/>
        <v>0</v>
      </c>
      <c r="BA11" s="259">
        <f t="shared" si="44"/>
        <v>-1</v>
      </c>
      <c r="BB11" s="254" t="str">
        <f t="shared" si="31"/>
        <v/>
      </c>
      <c r="BC11" s="254" t="str">
        <f t="shared" si="32"/>
        <v/>
      </c>
      <c r="BD11" s="254" t="str">
        <f t="shared" si="33"/>
        <v/>
      </c>
      <c r="BE11" s="254">
        <f>RANK(BA11,BA$8:BA$11)</f>
        <v>3</v>
      </c>
      <c r="BF11" s="254">
        <f>SUMPRODUCT((BA$8:BA$11=BA11)*(AZ$8:AZ$11&gt;AZ11))</f>
        <v>0</v>
      </c>
      <c r="BG11" s="254">
        <f>SUMPRODUCT((BA$8:BA$11=BA11)*(BE$8:BE$11=BE11)*(AZ$8:AZ$11=AZ11)*(AQ$8:AQ$11&gt;AQ11))</f>
        <v>0</v>
      </c>
      <c r="BH11" s="254">
        <f>SUMPRODUCT((BA$8:BA$11=BA11)*(BE$8:BE$11=BE11)*(AZ$8:AZ$11=AZ11)*(AQ$8:AQ$11=AQ11)*(BB$8:BB$11&gt;BB11))</f>
        <v>0</v>
      </c>
      <c r="BI11" s="254">
        <f>SUMPRODUCT((BA$8:BA$11=BA11)*(BE$8:BE$11=BE11)*(AZ$8:AZ$11=AZ11)*(AQ$8:AQ$11=AQ11)*(BB$8:BB$11=BB11)*(BC$8:BC$11&gt;BC11))</f>
        <v>0</v>
      </c>
      <c r="BJ11" s="254">
        <f>SUMPRODUCT((BA$8:BA$11=BA11)*(BE$8:BE$11=BE11)*(AZ$8:AZ$11=AZ11)*(AQ$8:AQ$11=AQ11)*(BB$8:BB$11=BB11)*(BC$8:BC$11=BC11)*(BD$8:BD$11&gt;BD11))</f>
        <v>0</v>
      </c>
      <c r="BK11" s="254" t="str">
        <f>IF(AND(COUNTIF($AF$4:$AF$35,'Group Stages'!G17)&gt;0,COUNTIF($AF$4:$AF$35,'Group Stages'!M17)&gt;0,'Group Stages'!I17&lt;&gt;"",'Group Stages'!K17&lt;&gt;""),'Group Stages'!G17,"")</f>
        <v/>
      </c>
      <c r="BL11" s="254" t="str">
        <f>IF($BK11&lt;&gt;"",'Group Stages'!I17,"")</f>
        <v/>
      </c>
      <c r="BM11" s="254" t="str">
        <f>IF($BK11&lt;&gt;"",'Group Stages'!K17,"")</f>
        <v/>
      </c>
      <c r="BN11" s="254" t="str">
        <f>IF($BK11&lt;&gt;"",'Group Stages'!M17,"")</f>
        <v/>
      </c>
      <c r="BO11" s="254" t="str">
        <f t="shared" si="2"/>
        <v/>
      </c>
      <c r="BP11" s="254" t="str">
        <f t="shared" si="34"/>
        <v/>
      </c>
      <c r="BQ11" s="254">
        <f>VLOOKUP($AD11,$B$8:$W$11,22,FALSE)</f>
        <v>2</v>
      </c>
      <c r="BR11" s="254" t="str">
        <f>IF(BR10&lt;&gt;"",AD11,"")</f>
        <v/>
      </c>
      <c r="BS11" s="261">
        <f>SUMPRODUCT(($CW$4:$CW$99='Dummy Table'!$BR11)*($CX$4:$CX$99&gt;$CY$4:$CY$99))</f>
        <v>0</v>
      </c>
      <c r="BT11" s="261">
        <f>SUMPRODUCT(($CW$4:$CW$99='Dummy Table'!$BR11)*($CX$4:$CX$99=$CY$4:$CY$99))</f>
        <v>94</v>
      </c>
      <c r="BU11" s="261">
        <f>SUMPRODUCT(($CW$4:$CW$99='Dummy Table'!$BR11)*($CX$4:$CX$99&lt;$CY$4:$CY$99))</f>
        <v>0</v>
      </c>
      <c r="BV11" s="261">
        <f>SUMIF($CW$4:$CW$99,'Dummy Table'!$BR11,$CX$4:$CX$99)</f>
        <v>0</v>
      </c>
      <c r="BW11" s="261">
        <f>SUMIF($CW$4:$CW$99,'Dummy Table'!$BR11,$CY$4:$CY$99)</f>
        <v>0</v>
      </c>
      <c r="BX11" s="261">
        <f t="shared" si="35"/>
        <v>0</v>
      </c>
      <c r="BY11" s="261" t="str">
        <f t="shared" si="36"/>
        <v/>
      </c>
      <c r="BZ11" s="261">
        <f>SUMPRODUCT(($CZ$4:$CZ$99='Dummy Table'!$BR11)*($CX$4:$CX$99&lt;$CY$4:$CY$99))</f>
        <v>0</v>
      </c>
      <c r="CA11" s="261">
        <f>SUMPRODUCT(($CZ$4:$CZ$99='Dummy Table'!$BR11)*($CX$4:$CX$99=$CY$4:$CY$99))</f>
        <v>94</v>
      </c>
      <c r="CB11" s="261">
        <f>SUMPRODUCT(($CZ$4:$CZ$99='Dummy Table'!$BR11)*($CX$4:$CX$99&gt;$CY$4:$CY$99))</f>
        <v>0</v>
      </c>
      <c r="CC11" s="261">
        <f>SUMIF($CZ$4:$CZ$99,'Dummy Table'!$BR11,$CY$4:$CY$99)</f>
        <v>0</v>
      </c>
      <c r="CD11" s="261">
        <f>SUMIF($CZ$4:$CZ$99,'Dummy Table'!$BR11,$CX$4:$CX$99)</f>
        <v>0</v>
      </c>
      <c r="CE11" s="261">
        <f t="shared" si="37"/>
        <v>0</v>
      </c>
      <c r="CF11" s="261" t="str">
        <f t="shared" si="38"/>
        <v/>
      </c>
      <c r="CG11" s="261">
        <f t="shared" si="39"/>
        <v>0</v>
      </c>
      <c r="CH11" s="261">
        <f t="shared" si="3"/>
        <v>188</v>
      </c>
      <c r="CI11" s="261">
        <f t="shared" si="4"/>
        <v>0</v>
      </c>
      <c r="CJ11" s="261">
        <f t="shared" si="5"/>
        <v>0</v>
      </c>
      <c r="CK11" s="261">
        <f t="shared" si="6"/>
        <v>0</v>
      </c>
      <c r="CL11" s="261">
        <f t="shared" si="7"/>
        <v>0</v>
      </c>
      <c r="CM11" s="261">
        <f t="shared" si="45"/>
        <v>-1</v>
      </c>
      <c r="CN11" s="259">
        <f t="shared" si="40"/>
        <v>16000</v>
      </c>
      <c r="CO11" s="259">
        <f>SUMIF($CZ$4:$CZ$99,'Dummy Table'!$BR11,$CY$4:$CY$99)*2</f>
        <v>0</v>
      </c>
      <c r="CP11" s="259">
        <f>RANK(CM11,CM$8:CM$11)</f>
        <v>1</v>
      </c>
      <c r="CR11" s="259">
        <f>SUMPRODUCT((CM$8:CM$11=CM11)*(CL$8:CL$11&gt;CL11))</f>
        <v>0</v>
      </c>
      <c r="CS11" s="259">
        <f>SUMPRODUCT((CP$8:CP$11=CP11)*(CR$8:CR$11=CR11)*(CO$8:CO$11&gt;CO11))</f>
        <v>0</v>
      </c>
      <c r="CT11" s="259">
        <f>IF(BR11&lt;&gt;"",SUMPRODUCT((CP$8:CP$11=CP11)*(CR$8:CR$11=CR11)*(CS$8:CS$11=CS11)*(V$8:V$11&gt;V11)),0)</f>
        <v>0</v>
      </c>
      <c r="CU11" s="259">
        <f t="shared" si="47"/>
        <v>0</v>
      </c>
      <c r="CV11" s="259">
        <f>SUMPRODUCT((CP$8:CP$11=CP11)*(CR$8:CR$11=CR11)*(CS$8:CS$11=CS11)*(CT$8:CT$11=CT11)*(CU$8:CU$11=CU11)*(CN$8:CN$11&gt;CN11))</f>
        <v>3</v>
      </c>
      <c r="CW11" s="254" t="str">
        <f>IF(AND(COUNTIF($BR$4:$BR$35,'Group Stages'!$G17)&gt;0,COUNTIF($BR$4:$BR$35,'Group Stages'!$M17)&gt;0),'Group Stages'!$G17,"")</f>
        <v/>
      </c>
      <c r="CX11" s="254" t="str">
        <f>IF($CW11&lt;&gt;"",'Group Stages'!$I17,"")</f>
        <v/>
      </c>
      <c r="CY11" s="254" t="str">
        <f>IF($CW11&lt;&gt;"",'Group Stages'!$K17,"")</f>
        <v/>
      </c>
      <c r="CZ11" s="254" t="str">
        <f>IF($CW11&lt;&gt;"",'Group Stages'!$M17,"")</f>
        <v/>
      </c>
      <c r="DA11" s="259" t="str">
        <f t="shared" si="8"/>
        <v/>
      </c>
      <c r="DB11" s="254" t="str">
        <f t="shared" si="43"/>
        <v/>
      </c>
      <c r="DC11" s="254">
        <v>4</v>
      </c>
      <c r="DD11" s="254" t="str">
        <f t="shared" si="46"/>
        <v>PSV Eindhoven</v>
      </c>
      <c r="DE11" s="254" t="str">
        <f>IF(AND(DD11="",DD10="",DD9="",DD8=""),4,IF(AND(DD11="",DD10="",DD9=""),3,IF(AND(DD9&lt;&gt;"",DD10="",DD11=""),2,IF(AND(DD9&lt;&gt;"",DD10&lt;&gt;"",DD11=""),1,""))))</f>
        <v/>
      </c>
      <c r="DF11" s="254" t="str">
        <f>VLOOKUP(DE11,$BO$8:$BP$11,2,FALSE)</f>
        <v/>
      </c>
      <c r="DG11" s="254">
        <v>4</v>
      </c>
      <c r="DH11" s="254" t="str">
        <f>IF(DB11&lt;&gt;"",IF(DA10&lt;DA11,DB11,DB10),IF(DF11&lt;&gt;"",DF11,DD11))</f>
        <v>PSV Eindhoven</v>
      </c>
      <c r="DI11" s="254">
        <v>8</v>
      </c>
    </row>
    <row r="12" spans="1:113" x14ac:dyDescent="0.2">
      <c r="A12" s="254">
        <f t="shared" si="9"/>
        <v>1</v>
      </c>
      <c r="B12" s="254" t="str">
        <f>'Team Setup'!B13</f>
        <v>Paris Saint-Germain</v>
      </c>
      <c r="C12" s="259">
        <f>SUMPRODUCT(('Group Stages'!$I$10:$I$105&lt;&gt;"")*('Group Stages'!$K$10:$K$105&lt;&gt;"")*('Group Stages'!$G$10:$G$105='Dummy Table'!$B12)*('Group Stages'!$I$10:$I$105&gt;'Group Stages'!$K$10:$K$105))</f>
        <v>2</v>
      </c>
      <c r="D12" s="259">
        <f>SUMPRODUCT(('Group Stages'!$I$10:$I$105&lt;&gt;"")*('Group Stages'!$K$10:$K$105&lt;&gt;"")*('Group Stages'!$G$10:$G$105='Dummy Table'!$B12)*('Group Stages'!$I$10:$I$105='Group Stages'!$K$10:$K$105))</f>
        <v>1</v>
      </c>
      <c r="E12" s="259">
        <f>SUMPRODUCT(('Group Stages'!$I$10:$I$105&lt;&gt;"")*('Group Stages'!$K$10:$K$105&lt;&gt;"")*('Group Stages'!$G$10:$G$105='Dummy Table'!$B12)*('Group Stages'!$I$10:$I$105&lt;'Group Stages'!$K$10:$K$105))</f>
        <v>0</v>
      </c>
      <c r="F12" s="259">
        <f>SUMIF('Group Stages'!$G$10:$G$105,'Dummy Table'!$B12,'Group Stages'!$I$10:$I$105)</f>
        <v>10</v>
      </c>
      <c r="G12" s="259">
        <f>SUMIF('Group Stages'!$G$10:$G$105,'Dummy Table'!$B12,'Group Stages'!$K$10:$K$105)</f>
        <v>4</v>
      </c>
      <c r="H12" s="259">
        <f t="shared" si="10"/>
        <v>6</v>
      </c>
      <c r="I12" s="259">
        <f t="shared" si="11"/>
        <v>7</v>
      </c>
      <c r="J12" s="254">
        <f>SUMPRODUCT(('Group Stages'!$I$10:$I$105&lt;&gt;"")*('Group Stages'!$K$10:$K$105&lt;&gt;"")*('Group Stages'!$M$10:$M$105='Dummy Table'!$B12)*('Group Stages'!$I$10:$I$105&lt;'Group Stages'!$K$10:$K$105))</f>
        <v>1</v>
      </c>
      <c r="K12" s="254">
        <f>SUMPRODUCT(('Group Stages'!$I$10:$I$105&lt;&gt;"")*('Group Stages'!$K$10:$K$105&lt;&gt;"")*('Group Stages'!$M$10:$M$105='Dummy Table'!$B12)*('Group Stages'!$I$10:$I$105='Group Stages'!$K$10:$K$105))</f>
        <v>1</v>
      </c>
      <c r="L12" s="254">
        <f>SUMPRODUCT(('Group Stages'!$I$10:$I$105&lt;&gt;"")*('Group Stages'!$K$10:$K$105&lt;&gt;"")*('Group Stages'!$M$10:$M$105='Dummy Table'!$B12)*('Group Stages'!$I$10:$I$105&gt;'Group Stages'!$K$10:$K$105))</f>
        <v>1</v>
      </c>
      <c r="M12" s="254">
        <f>SUMIF('Group Stages'!$M$10:$M$105,'Dummy Table'!$B12,'Group Stages'!$K$10:$K$105)</f>
        <v>7</v>
      </c>
      <c r="N12" s="254">
        <f>SUMIF('Group Stages'!$M$10:$M$105,'Dummy Table'!$B12,'Group Stages'!$I$10:$I$105)</f>
        <v>5</v>
      </c>
      <c r="O12" s="254">
        <f t="shared" si="12"/>
        <v>2</v>
      </c>
      <c r="P12" s="254">
        <f t="shared" si="13"/>
        <v>4</v>
      </c>
      <c r="Q12" s="254">
        <f t="shared" si="14"/>
        <v>3</v>
      </c>
      <c r="R12" s="254">
        <f t="shared" si="15"/>
        <v>2</v>
      </c>
      <c r="S12" s="254">
        <f t="shared" si="16"/>
        <v>1</v>
      </c>
      <c r="T12" s="254">
        <f t="shared" si="17"/>
        <v>17</v>
      </c>
      <c r="U12" s="254">
        <f t="shared" si="18"/>
        <v>9</v>
      </c>
      <c r="V12" s="254">
        <f t="shared" si="19"/>
        <v>8</v>
      </c>
      <c r="W12" s="254">
        <f t="shared" si="20"/>
        <v>11</v>
      </c>
      <c r="X12" s="259">
        <f>IF('Team Setup'!F13&lt;&gt;"",'Team Setup'!F13,DI12)</f>
        <v>109000</v>
      </c>
      <c r="Y12" s="259">
        <f>RANK(W12,W$12:W$15)</f>
        <v>1</v>
      </c>
      <c r="Z12" s="259">
        <f>SUMPRODUCT((W$12:W$15=W12)*(V$12:V$15&gt;V12))</f>
        <v>0</v>
      </c>
      <c r="AA12" s="259">
        <f>SUMPRODUCT((Y$12:Y$15=Y12)*(Z$12:Z$15=Z12)*(T$12:T$15&gt;T12))</f>
        <v>0</v>
      </c>
      <c r="AB12" s="259">
        <f>SUMPRODUCT((Y$12:Y$15=Y12)*(Z$12:Z$15=Z12)*(T$12:T$15=T12)*(X$12:X$15&gt;X12))</f>
        <v>0</v>
      </c>
      <c r="AC12" s="254">
        <v>1</v>
      </c>
      <c r="AD12" s="254" t="str">
        <f>VLOOKUP(AC12,$A$12:$B$15,2,FALSE)</f>
        <v>Paris Saint-Germain</v>
      </c>
      <c r="AE12" s="254">
        <f>VLOOKUP($AD12,$B$12:$W$15,22,FALSE)</f>
        <v>11</v>
      </c>
      <c r="AF12" s="254" t="str">
        <f>IF(AE12=AE13,AD12,"")</f>
        <v/>
      </c>
      <c r="AG12" s="259">
        <f>SUMPRODUCT(($BK$4:$BK$99='Dummy Table'!$AF12)*($BL$4:$BL$99&gt;$BM$4:$BM$99))</f>
        <v>0</v>
      </c>
      <c r="AH12" s="259">
        <f>SUMPRODUCT(($BK$4:$BK$99='Dummy Table'!$AF12)*($BL$4:$BL$99=$BM$4:$BM$99))</f>
        <v>90</v>
      </c>
      <c r="AI12" s="259">
        <f>SUMPRODUCT(($BK$4:$BK$99='Dummy Table'!$AF12)*($BL$4:$BL$99&lt;$BM$4:$BM$99))</f>
        <v>0</v>
      </c>
      <c r="AJ12" s="259">
        <f>SUMIF($BK$4:$BK$99,'Dummy Table'!$AF12,$BL$4:$BL$99)</f>
        <v>0</v>
      </c>
      <c r="AK12" s="259">
        <f>SUMIF($BK$4:$BK$99,'Dummy Table'!$AF12,$BM$4:$BM$99)</f>
        <v>0</v>
      </c>
      <c r="AL12" s="259">
        <f t="shared" si="21"/>
        <v>0</v>
      </c>
      <c r="AM12" s="259" t="str">
        <f t="shared" si="22"/>
        <v/>
      </c>
      <c r="AN12" s="259">
        <f>SUMPRODUCT(($BN$4:$BN$99='Dummy Table'!$AF12)*($BL$4:$BL$99&lt;$BM$4:$BM$99))</f>
        <v>0</v>
      </c>
      <c r="AO12" s="259">
        <f>SUMPRODUCT(($BN$4:$BN$99='Dummy Table'!$AF12)*($BL$4:$BL$99=$BM$4:$BM$99))</f>
        <v>90</v>
      </c>
      <c r="AP12" s="259">
        <f>SUMPRODUCT(($BN$4:$BN$99='Dummy Table'!$AF12)*($BL$4:$BL$99&gt;$BM$4:$BM$99))</f>
        <v>0</v>
      </c>
      <c r="AQ12" s="259">
        <f>SUMIF($BN$4:$BN$99,'Dummy Table'!$AF12,$BM$4:$BM$99)</f>
        <v>0</v>
      </c>
      <c r="AR12" s="259">
        <f>SUMIF($BN$4:$BN$99,'Dummy Table'!$AF12,$BL$4:$BL$99)</f>
        <v>0</v>
      </c>
      <c r="AS12" s="259">
        <f t="shared" si="23"/>
        <v>0</v>
      </c>
      <c r="AT12" s="259" t="str">
        <f t="shared" si="24"/>
        <v/>
      </c>
      <c r="AU12" s="259">
        <f t="shared" si="25"/>
        <v>0</v>
      </c>
      <c r="AV12" s="259">
        <f t="shared" si="26"/>
        <v>180</v>
      </c>
      <c r="AW12" s="259">
        <f t="shared" si="27"/>
        <v>0</v>
      </c>
      <c r="AX12" s="259">
        <f t="shared" si="28"/>
        <v>0</v>
      </c>
      <c r="AY12" s="259">
        <f t="shared" si="29"/>
        <v>0</v>
      </c>
      <c r="AZ12" s="259">
        <f t="shared" si="30"/>
        <v>0</v>
      </c>
      <c r="BA12" s="259">
        <f t="shared" si="44"/>
        <v>-1</v>
      </c>
      <c r="BB12" s="254" t="str">
        <f t="shared" si="31"/>
        <v/>
      </c>
      <c r="BC12" s="254" t="str">
        <f t="shared" si="32"/>
        <v/>
      </c>
      <c r="BD12" s="254" t="str">
        <f t="shared" si="33"/>
        <v/>
      </c>
      <c r="BE12" s="254">
        <f>RANK(BA12,BA$12:BA$15)</f>
        <v>3</v>
      </c>
      <c r="BF12" s="254">
        <f>SUMPRODUCT((BA$12:BA$15=BA12)*(AZ$12:AZ$15&gt;AZ12))</f>
        <v>0</v>
      </c>
      <c r="BG12" s="254">
        <f>SUMPRODUCT((BA$12:BA$15=BA12)*(BE$12:BE$15=BE12)*(AZ$12:AZ$15=AZ12)*(AQ$12:AQ$15&gt;AQ12))</f>
        <v>0</v>
      </c>
      <c r="BH12" s="254">
        <f>SUMPRODUCT((BA$12:BA$15=BA12)*(BE$12:BE$15=BE12)*(AZ$12:AZ$15=AZ12)*(AQ$12:AQ$15=AQ12)*(BB$12:BB$15&gt;BB12))</f>
        <v>0</v>
      </c>
      <c r="BI12" s="254">
        <f>SUMPRODUCT((BA$12:BA$15=BA12)*(BE$12:BE$15=BE12)*(AZ$12:AZ$15=AZ12)*(AQ$12:AQ$15=AQ12)*(BB$12:BB$15=BB12)*(BC$12:BC$15&gt;BC12))</f>
        <v>0</v>
      </c>
      <c r="BJ12" s="254">
        <f>SUMPRODUCT((BA$12:BA$15=BA12)*(BE$12:BE$15=BE12)*(AZ$12:AZ$15=AZ12)*(AQ$12:AQ$15=AQ12)*(BB$12:BB$15=BB12)*(BC$12:BC$15=BC12)*(BD$12:BD$15&gt;BD12))</f>
        <v>0</v>
      </c>
      <c r="BK12" s="254" t="str">
        <f>IF(AND(COUNTIF($AF$4:$AF$35,'Group Stages'!G18)&gt;0,COUNTIF($AF$4:$AF$35,'Group Stages'!M18)&gt;0,'Group Stages'!I18&lt;&gt;"",'Group Stages'!K18&lt;&gt;""),'Group Stages'!G18,"")</f>
        <v/>
      </c>
      <c r="BL12" s="254" t="str">
        <f>IF($BK12&lt;&gt;"",'Group Stages'!I18,"")</f>
        <v/>
      </c>
      <c r="BM12" s="254" t="str">
        <f>IF($BK12&lt;&gt;"",'Group Stages'!K18,"")</f>
        <v/>
      </c>
      <c r="BN12" s="254" t="str">
        <f>IF($BK12&lt;&gt;"",'Group Stages'!M18,"")</f>
        <v/>
      </c>
      <c r="BO12" s="254" t="str">
        <f t="shared" si="2"/>
        <v/>
      </c>
      <c r="BP12" s="254" t="str">
        <f t="shared" si="34"/>
        <v/>
      </c>
      <c r="BQ12" s="254">
        <f>VLOOKUP($AD12,$B$12:$W$15,22,FALSE)</f>
        <v>11</v>
      </c>
      <c r="BS12" s="261">
        <f>SUMPRODUCT(($CW$4:$CW$99='Dummy Table'!$BR12)*($CX$4:$CX$99&gt;$CY$4:$CY$99))</f>
        <v>0</v>
      </c>
      <c r="BT12" s="261">
        <f>SUMPRODUCT(($CW$4:$CW$99='Dummy Table'!$BR12)*($CX$4:$CX$99=$CY$4:$CY$99))</f>
        <v>94</v>
      </c>
      <c r="BU12" s="261">
        <f>SUMPRODUCT(($CW$4:$CW$99='Dummy Table'!$BR12)*($CX$4:$CX$99&lt;$CY$4:$CY$99))</f>
        <v>0</v>
      </c>
      <c r="BV12" s="261">
        <f>SUMIF($CW$4:$CW$99,'Dummy Table'!$BR12,$CX$4:$CX$99)</f>
        <v>0</v>
      </c>
      <c r="BW12" s="261">
        <f>SUMIF($CW$4:$CW$99,'Dummy Table'!$BR12,$CY$4:$CY$99)</f>
        <v>0</v>
      </c>
      <c r="BX12" s="261">
        <f t="shared" si="35"/>
        <v>0</v>
      </c>
      <c r="BY12" s="261" t="str">
        <f t="shared" si="36"/>
        <v/>
      </c>
      <c r="BZ12" s="261">
        <f>SUMPRODUCT(($CZ$4:$CZ$99='Dummy Table'!$BR12)*($CX$4:$CX$99&lt;$CY$4:$CY$99))</f>
        <v>0</v>
      </c>
      <c r="CA12" s="261">
        <f>SUMPRODUCT(($CZ$4:$CZ$99='Dummy Table'!$BR12)*($CX$4:$CX$99=$CY$4:$CY$99))</f>
        <v>94</v>
      </c>
      <c r="CB12" s="261">
        <f>SUMPRODUCT(($CZ$4:$CZ$99='Dummy Table'!$BR12)*($CX$4:$CX$99&gt;$CY$4:$CY$99))</f>
        <v>0</v>
      </c>
      <c r="CC12" s="261">
        <f>SUMIF($CZ$4:$CZ$99,'Dummy Table'!$BR12,$CY$4:$CY$99)</f>
        <v>0</v>
      </c>
      <c r="CD12" s="261">
        <f>SUMIF($CZ$4:$CZ$99,'Dummy Table'!$BR12,$CX$4:$CX$99)</f>
        <v>0</v>
      </c>
      <c r="CE12" s="261">
        <f t="shared" si="37"/>
        <v>0</v>
      </c>
      <c r="CF12" s="261" t="str">
        <f t="shared" si="38"/>
        <v/>
      </c>
      <c r="CG12" s="261">
        <f t="shared" si="39"/>
        <v>0</v>
      </c>
      <c r="CH12" s="261">
        <f t="shared" si="3"/>
        <v>188</v>
      </c>
      <c r="CI12" s="261">
        <f t="shared" si="4"/>
        <v>0</v>
      </c>
      <c r="CJ12" s="261">
        <f t="shared" si="5"/>
        <v>0</v>
      </c>
      <c r="CK12" s="261">
        <f t="shared" si="6"/>
        <v>0</v>
      </c>
      <c r="CL12" s="261">
        <f t="shared" si="7"/>
        <v>0</v>
      </c>
      <c r="CM12" s="261">
        <f t="shared" si="45"/>
        <v>-1</v>
      </c>
      <c r="CN12" s="259">
        <f t="shared" si="40"/>
        <v>109000</v>
      </c>
      <c r="CO12" s="259">
        <f>SUMIF($CZ$4:$CZ$99,'Dummy Table'!$BR12,$CY$4:$CY$99)*2</f>
        <v>0</v>
      </c>
      <c r="CP12" s="259">
        <f>RANK(CM12,CM$12:CM$15)</f>
        <v>1</v>
      </c>
      <c r="CR12" s="259">
        <f>SUMPRODUCT((CM$12:CM$15=CM12)*(CL$12:CL$15&gt;CL12))</f>
        <v>0</v>
      </c>
      <c r="CS12" s="259">
        <f>SUMPRODUCT((CP$12:CP$15=CP12)*(CR$12:CR$15=CR12)*(CO$12:CO$15&gt;CO12))</f>
        <v>0</v>
      </c>
      <c r="CT12" s="259">
        <f>IF(BR12&lt;&gt;"",SUMPRODUCT((CP$12:CP$15=CP12)*(CR$12:CR$15=CR12)*(CS$12:CS$15=CS12)*(V$12:V$15&gt;V12)),0)</f>
        <v>0</v>
      </c>
      <c r="CU12" s="259">
        <f>IF($BR12&lt;&gt;"",SUMPRODUCT((CP$12:CP$15=CP12)*(CR$12:CR$15=CR12)*(CS$12:CS$15=CS12)*(CT$12:CT$15=CT12)*(T$12:T$15&gt;T12)),0)</f>
        <v>0</v>
      </c>
      <c r="CV12" s="259">
        <f>SUMPRODUCT((CP$12:CP$15=CP12)*(CR$12:CR$15=CR12)*(CS$12:CS$15=CS12)*(CT$12:CT$15=CT12)*(CU$12:CU$15=CU12)*(CN$12:CN$15&gt;CN12))</f>
        <v>0</v>
      </c>
      <c r="CW12" s="254" t="str">
        <f>IF(AND(COUNTIF($BR$4:$BR$35,'Group Stages'!$G18)&gt;0,COUNTIF($BR$4:$BR$35,'Group Stages'!$M18)&gt;0),'Group Stages'!$G18,"")</f>
        <v/>
      </c>
      <c r="CX12" s="254" t="str">
        <f>IF($CW12&lt;&gt;"",'Group Stages'!$I18,"")</f>
        <v/>
      </c>
      <c r="CY12" s="254" t="str">
        <f>IF($CW12&lt;&gt;"",'Group Stages'!$K18,"")</f>
        <v/>
      </c>
      <c r="CZ12" s="254" t="str">
        <f>IF($CW12&lt;&gt;"",'Group Stages'!$M18,"")</f>
        <v/>
      </c>
      <c r="DA12" s="259" t="str">
        <f t="shared" si="8"/>
        <v/>
      </c>
      <c r="DB12" s="254" t="str">
        <f t="shared" si="43"/>
        <v/>
      </c>
      <c r="DC12" s="254">
        <v>1</v>
      </c>
      <c r="DD12" s="254" t="str">
        <f t="shared" si="46"/>
        <v>Paris Saint-Germain</v>
      </c>
      <c r="DE12" s="254" t="str">
        <f>IF(DD12="",DC12,"")</f>
        <v/>
      </c>
      <c r="DF12" s="254" t="str">
        <f>VLOOKUP(DE12,$BO$12:$BP$15,2,FALSE)</f>
        <v/>
      </c>
      <c r="DG12" s="254">
        <v>1</v>
      </c>
      <c r="DH12" s="254" t="str">
        <f>IF(DD12="",DF12,DD12)</f>
        <v>Paris Saint-Germain</v>
      </c>
      <c r="DI12" s="254">
        <v>9</v>
      </c>
    </row>
    <row r="13" spans="1:113" x14ac:dyDescent="0.2">
      <c r="A13" s="254">
        <f t="shared" si="9"/>
        <v>3</v>
      </c>
      <c r="B13" s="254" t="str">
        <f>'Team Setup'!B14</f>
        <v>Napoli</v>
      </c>
      <c r="C13" s="259">
        <f>SUMPRODUCT(('Group Stages'!$I$10:$I$105&lt;&gt;"")*('Group Stages'!$K$10:$K$105&lt;&gt;"")*('Group Stages'!$G$10:$G$105='Dummy Table'!$B13)*('Group Stages'!$I$10:$I$105&gt;'Group Stages'!$K$10:$K$105))</f>
        <v>2</v>
      </c>
      <c r="D13" s="259">
        <f>SUMPRODUCT(('Group Stages'!$I$10:$I$105&lt;&gt;"")*('Group Stages'!$K$10:$K$105&lt;&gt;"")*('Group Stages'!$G$10:$G$105='Dummy Table'!$B13)*('Group Stages'!$I$10:$I$105='Group Stages'!$K$10:$K$105))</f>
        <v>1</v>
      </c>
      <c r="E13" s="259">
        <f>SUMPRODUCT(('Group Stages'!$I$10:$I$105&lt;&gt;"")*('Group Stages'!$K$10:$K$105&lt;&gt;"")*('Group Stages'!$G$10:$G$105='Dummy Table'!$B13)*('Group Stages'!$I$10:$I$105&lt;'Group Stages'!$K$10:$K$105))</f>
        <v>0</v>
      </c>
      <c r="F13" s="259">
        <f>SUMIF('Group Stages'!$G$10:$G$105,'Dummy Table'!$B13,'Group Stages'!$I$10:$I$105)</f>
        <v>5</v>
      </c>
      <c r="G13" s="259">
        <f>SUMIF('Group Stages'!$G$10:$G$105,'Dummy Table'!$B13,'Group Stages'!$K$10:$K$105)</f>
        <v>2</v>
      </c>
      <c r="H13" s="259">
        <f t="shared" si="10"/>
        <v>3</v>
      </c>
      <c r="I13" s="259">
        <f t="shared" si="11"/>
        <v>7</v>
      </c>
      <c r="J13" s="254">
        <f>SUMPRODUCT(('Group Stages'!$I$10:$I$105&lt;&gt;"")*('Group Stages'!$K$10:$K$105&lt;&gt;"")*('Group Stages'!$M$10:$M$105='Dummy Table'!$B13)*('Group Stages'!$I$10:$I$105&lt;'Group Stages'!$K$10:$K$105))</f>
        <v>0</v>
      </c>
      <c r="K13" s="254">
        <f>SUMPRODUCT(('Group Stages'!$I$10:$I$105&lt;&gt;"")*('Group Stages'!$K$10:$K$105&lt;&gt;"")*('Group Stages'!$M$10:$M$105='Dummy Table'!$B13)*('Group Stages'!$I$10:$I$105='Group Stages'!$K$10:$K$105))</f>
        <v>2</v>
      </c>
      <c r="L13" s="254">
        <f>SUMPRODUCT(('Group Stages'!$I$10:$I$105&lt;&gt;"")*('Group Stages'!$K$10:$K$105&lt;&gt;"")*('Group Stages'!$M$10:$M$105='Dummy Table'!$B13)*('Group Stages'!$I$10:$I$105&gt;'Group Stages'!$K$10:$K$105))</f>
        <v>1</v>
      </c>
      <c r="M13" s="254">
        <f>SUMIF('Group Stages'!$M$10:$M$105,'Dummy Table'!$B13,'Group Stages'!$K$10:$K$105)</f>
        <v>2</v>
      </c>
      <c r="N13" s="254">
        <f>SUMIF('Group Stages'!$M$10:$M$105,'Dummy Table'!$B13,'Group Stages'!$I$10:$I$105)</f>
        <v>3</v>
      </c>
      <c r="O13" s="254">
        <f t="shared" si="12"/>
        <v>-1</v>
      </c>
      <c r="P13" s="254">
        <f t="shared" si="13"/>
        <v>2</v>
      </c>
      <c r="Q13" s="254">
        <f t="shared" si="14"/>
        <v>2</v>
      </c>
      <c r="R13" s="254">
        <f t="shared" si="15"/>
        <v>3</v>
      </c>
      <c r="S13" s="254">
        <f t="shared" si="16"/>
        <v>1</v>
      </c>
      <c r="T13" s="254">
        <f t="shared" si="17"/>
        <v>7</v>
      </c>
      <c r="U13" s="254">
        <f t="shared" si="18"/>
        <v>5</v>
      </c>
      <c r="V13" s="254">
        <f t="shared" si="19"/>
        <v>2</v>
      </c>
      <c r="W13" s="254">
        <f t="shared" si="20"/>
        <v>9</v>
      </c>
      <c r="X13" s="259">
        <f>IF('Team Setup'!F14&lt;&gt;"",'Team Setup'!F14,DI13)</f>
        <v>78000</v>
      </c>
      <c r="Y13" s="259">
        <f>RANK(W13,W$12:W$15)</f>
        <v>2</v>
      </c>
      <c r="Z13" s="259">
        <f>SUMPRODUCT((W$12:W$15=W13)*(V$12:V$15&gt;V13))</f>
        <v>0</v>
      </c>
      <c r="AA13" s="259">
        <f>SUMPRODUCT((Y$12:Y$15=Y13)*(Z$12:Z$15=Z13)*(T$12:T$15&gt;T13))</f>
        <v>1</v>
      </c>
      <c r="AB13" s="259">
        <f>SUMPRODUCT((Y$12:Y$15=Y13)*(Z$12:Z$15=Z13)*(T$12:T$15=T13)*(X$12:X$15&gt;X13))</f>
        <v>0</v>
      </c>
      <c r="AC13" s="254">
        <v>2</v>
      </c>
      <c r="AD13" s="254" t="str">
        <f>VLOOKUP(AC13,$A$12:$B$15,2,FALSE)</f>
        <v>Liverpool</v>
      </c>
      <c r="AE13" s="254">
        <f>VLOOKUP($AD13,$B$12:$W$15,22,FALSE)</f>
        <v>9</v>
      </c>
      <c r="AF13" s="254" t="str">
        <f>IF(OR(AE13=AE12,AE13=AE14),AD13,"")</f>
        <v>Liverpool</v>
      </c>
      <c r="AG13" s="259">
        <f>SUMPRODUCT(($BK$4:$BK$99='Dummy Table'!$AF13)*($BL$4:$BL$99&gt;$BM$4:$BM$99))</f>
        <v>1</v>
      </c>
      <c r="AH13" s="259">
        <f>SUMPRODUCT(($BK$4:$BK$99='Dummy Table'!$AF13)*($BL$4:$BL$99=$BM$4:$BM$99))</f>
        <v>0</v>
      </c>
      <c r="AI13" s="259">
        <f>SUMPRODUCT(($BK$4:$BK$99='Dummy Table'!$AF13)*($BL$4:$BL$99&lt;$BM$4:$BM$99))</f>
        <v>0</v>
      </c>
      <c r="AJ13" s="259">
        <f>SUMIF($BK$4:$BK$99,'Dummy Table'!$AF13,$BL$4:$BL$99)</f>
        <v>1</v>
      </c>
      <c r="AK13" s="259">
        <f>SUMIF($BK$4:$BK$99,'Dummy Table'!$AF13,$BM$4:$BM$99)</f>
        <v>0</v>
      </c>
      <c r="AL13" s="259">
        <f t="shared" si="21"/>
        <v>1</v>
      </c>
      <c r="AM13" s="259">
        <f t="shared" si="22"/>
        <v>3</v>
      </c>
      <c r="AN13" s="259">
        <f>SUMPRODUCT(($BN$4:$BN$99='Dummy Table'!$AF13)*($BL$4:$BL$99&lt;$BM$4:$BM$99))</f>
        <v>0</v>
      </c>
      <c r="AO13" s="259">
        <f>SUMPRODUCT(($BN$4:$BN$99='Dummy Table'!$AF13)*($BL$4:$BL$99=$BM$4:$BM$99))</f>
        <v>0</v>
      </c>
      <c r="AP13" s="259">
        <f>SUMPRODUCT(($BN$4:$BN$99='Dummy Table'!$AF13)*($BL$4:$BL$99&gt;$BM$4:$BM$99))</f>
        <v>1</v>
      </c>
      <c r="AQ13" s="259">
        <f>SUMIF($BN$4:$BN$99,'Dummy Table'!$AF13,$BM$4:$BM$99)</f>
        <v>0</v>
      </c>
      <c r="AR13" s="259">
        <f>SUMIF($BN$4:$BN$99,'Dummy Table'!$AF13,$BL$4:$BL$99)</f>
        <v>1</v>
      </c>
      <c r="AS13" s="259">
        <f t="shared" si="23"/>
        <v>-1</v>
      </c>
      <c r="AT13" s="259">
        <f t="shared" si="24"/>
        <v>0</v>
      </c>
      <c r="AU13" s="259">
        <f t="shared" si="25"/>
        <v>1</v>
      </c>
      <c r="AV13" s="259">
        <f t="shared" si="26"/>
        <v>0</v>
      </c>
      <c r="AW13" s="259">
        <f t="shared" si="27"/>
        <v>1</v>
      </c>
      <c r="AX13" s="259">
        <f t="shared" si="28"/>
        <v>1</v>
      </c>
      <c r="AY13" s="259">
        <f t="shared" si="29"/>
        <v>1</v>
      </c>
      <c r="AZ13" s="259">
        <f t="shared" si="30"/>
        <v>0</v>
      </c>
      <c r="BA13" s="259">
        <f t="shared" si="44"/>
        <v>3</v>
      </c>
      <c r="BB13" s="254">
        <f t="shared" si="31"/>
        <v>2</v>
      </c>
      <c r="BC13" s="254">
        <f t="shared" si="32"/>
        <v>9</v>
      </c>
      <c r="BD13" s="254">
        <f t="shared" si="33"/>
        <v>62000</v>
      </c>
      <c r="BE13" s="254">
        <f>RANK(BA13,BA$12:BA$15)</f>
        <v>1</v>
      </c>
      <c r="BF13" s="254">
        <f>SUMPRODUCT((BA$12:BA$15=BA13)*(AZ$12:AZ$15&gt;AZ13))</f>
        <v>0</v>
      </c>
      <c r="BG13" s="254">
        <f>SUMPRODUCT((BA$12:BA$15=BA13)*(BE$12:BE$15=BE13)*(AZ$12:AZ$15=AZ13)*(AQ$12:AQ$15&gt;AQ13))</f>
        <v>0</v>
      </c>
      <c r="BH13" s="254">
        <f>SUMPRODUCT((BA$12:BA$15=BA13)*(BE$12:BE$15=BE13)*(AZ$12:AZ$15=AZ13)*(AQ$12:AQ$15=AQ13)*(BB$12:BB$15&gt;BB13))</f>
        <v>0</v>
      </c>
      <c r="BI13" s="254">
        <f>SUMPRODUCT((BA$12:BA$15=BA13)*(BE$12:BE$15=BE13)*(AZ$12:AZ$15=AZ13)*(AQ$12:AQ$15=AQ13)*(BB$12:BB$15=BB13)*(BC$12:BC$15&gt;BC13))</f>
        <v>0</v>
      </c>
      <c r="BJ13" s="254">
        <f>SUMPRODUCT((BA$12:BA$15=BA13)*(BE$12:BE$15=BE13)*(AZ$12:AZ$15=AZ13)*(AQ$12:AQ$15=AQ13)*(BB$12:BB$15=BB13)*(BC$12:BC$15=BC13)*(BD$12:BD$15&gt;BD13))</f>
        <v>0</v>
      </c>
      <c r="BK13" s="254" t="str">
        <f>IF(AND(COUNTIF($AF$4:$AF$35,'Group Stages'!G19)&gt;0,COUNTIF($AF$4:$AF$35,'Group Stages'!M19)&gt;0,'Group Stages'!I19&lt;&gt;"",'Group Stages'!K19&lt;&gt;""),'Group Stages'!G19,"")</f>
        <v/>
      </c>
      <c r="BL13" s="254" t="str">
        <f>IF($BK13&lt;&gt;"",'Group Stages'!I19,"")</f>
        <v/>
      </c>
      <c r="BM13" s="254" t="str">
        <f>IF($BK13&lt;&gt;"",'Group Stages'!K19,"")</f>
        <v/>
      </c>
      <c r="BN13" s="254" t="str">
        <f>IF($BK13&lt;&gt;"",'Group Stages'!M19,"")</f>
        <v/>
      </c>
      <c r="BO13" s="254">
        <f t="shared" si="2"/>
        <v>1</v>
      </c>
      <c r="BP13" s="254" t="str">
        <f t="shared" si="34"/>
        <v>Liverpool</v>
      </c>
      <c r="BQ13" s="254">
        <f>VLOOKUP($AD13,$B$12:$W$15,22,FALSE)</f>
        <v>9</v>
      </c>
      <c r="BS13" s="261">
        <f>SUMPRODUCT(($CW$4:$CW$99='Dummy Table'!$BR13)*($CX$4:$CX$99&gt;$CY$4:$CY$99))</f>
        <v>0</v>
      </c>
      <c r="BT13" s="261">
        <f>SUMPRODUCT(($CW$4:$CW$99='Dummy Table'!$BR13)*($CX$4:$CX$99=$CY$4:$CY$99))</f>
        <v>94</v>
      </c>
      <c r="BU13" s="261">
        <f>SUMPRODUCT(($CW$4:$CW$99='Dummy Table'!$BR13)*($CX$4:$CX$99&lt;$CY$4:$CY$99))</f>
        <v>0</v>
      </c>
      <c r="BV13" s="261">
        <f>SUMIF($CW$4:$CW$99,'Dummy Table'!$BR13,$CX$4:$CX$99)</f>
        <v>0</v>
      </c>
      <c r="BW13" s="261">
        <f>SUMIF($CW$4:$CW$99,'Dummy Table'!$BR13,$CY$4:$CY$99)</f>
        <v>0</v>
      </c>
      <c r="BX13" s="261">
        <f t="shared" si="35"/>
        <v>0</v>
      </c>
      <c r="BY13" s="261" t="str">
        <f t="shared" si="36"/>
        <v/>
      </c>
      <c r="BZ13" s="261">
        <f>SUMPRODUCT(($CZ$4:$CZ$99='Dummy Table'!$BR13)*($CX$4:$CX$99&lt;$CY$4:$CY$99))</f>
        <v>0</v>
      </c>
      <c r="CA13" s="261">
        <f>SUMPRODUCT(($CZ$4:$CZ$99='Dummy Table'!$BR13)*($CX$4:$CX$99=$CY$4:$CY$99))</f>
        <v>94</v>
      </c>
      <c r="CB13" s="261">
        <f>SUMPRODUCT(($CZ$4:$CZ$99='Dummy Table'!$BR13)*($CX$4:$CX$99&gt;$CY$4:$CY$99))</f>
        <v>0</v>
      </c>
      <c r="CC13" s="261">
        <f>SUMIF($CZ$4:$CZ$99,'Dummy Table'!$BR13,$CY$4:$CY$99)</f>
        <v>0</v>
      </c>
      <c r="CD13" s="261">
        <f>SUMIF($CZ$4:$CZ$99,'Dummy Table'!$BR13,$CX$4:$CX$99)</f>
        <v>0</v>
      </c>
      <c r="CE13" s="261">
        <f t="shared" si="37"/>
        <v>0</v>
      </c>
      <c r="CF13" s="261" t="str">
        <f t="shared" si="38"/>
        <v/>
      </c>
      <c r="CG13" s="261">
        <f t="shared" si="39"/>
        <v>0</v>
      </c>
      <c r="CH13" s="261">
        <f t="shared" si="3"/>
        <v>188</v>
      </c>
      <c r="CI13" s="261">
        <f t="shared" si="4"/>
        <v>0</v>
      </c>
      <c r="CJ13" s="261">
        <f t="shared" si="5"/>
        <v>0</v>
      </c>
      <c r="CK13" s="261">
        <f t="shared" si="6"/>
        <v>0</v>
      </c>
      <c r="CL13" s="261">
        <f t="shared" si="7"/>
        <v>0</v>
      </c>
      <c r="CM13" s="261">
        <f t="shared" si="45"/>
        <v>-1</v>
      </c>
      <c r="CN13" s="259">
        <f t="shared" si="40"/>
        <v>78000</v>
      </c>
      <c r="CO13" s="259">
        <f>SUMIF($CZ$4:$CZ$99,'Dummy Table'!$BR13,$CY$4:$CY$99)*2</f>
        <v>0</v>
      </c>
      <c r="CP13" s="259">
        <f>RANK(CM13,CM$12:CM$15)</f>
        <v>1</v>
      </c>
      <c r="CR13" s="259">
        <f>SUMPRODUCT((CM$12:CM$15=CM13)*(CL$12:CL$15&gt;CL13))</f>
        <v>0</v>
      </c>
      <c r="CS13" s="259">
        <f>SUMPRODUCT((CP$12:CP$15=CP13)*(CR$12:CR$15=CR13)*(CO$12:CO$15&gt;CO13))</f>
        <v>0</v>
      </c>
      <c r="CT13" s="259">
        <f>IF(BR13&lt;&gt;"",SUMPRODUCT((CP$12:CP$15=CP13)*(CR$12:CR$15=CR13)*(CS$12:CS$15=CS13)*(V$12:V$15&gt;V13)),0)</f>
        <v>0</v>
      </c>
      <c r="CU13" s="259">
        <f t="shared" ref="CU13:CU15" si="48">IF($BR13&lt;&gt;"",SUMPRODUCT((CP$12:CP$15=CP13)*(CR$12:CR$15=CR13)*(CS$12:CS$15=CS13)*(CT$12:CT$15=CT13)*(T$12:T$15&gt;T13)),0)</f>
        <v>0</v>
      </c>
      <c r="CV13" s="259">
        <f>SUMPRODUCT((CP$12:CP$15=CP13)*(CR$12:CR$15=CR13)*(CS$12:CS$15=CS13)*(CT$12:CT$15=CT13)*(CU$12:CU$15=CU13)*(CN$12:CN$15&gt;CN13))</f>
        <v>1</v>
      </c>
      <c r="CW13" s="254" t="str">
        <f>IF(AND(COUNTIF($BR$4:$BR$35,'Group Stages'!$G19)&gt;0,COUNTIF($BR$4:$BR$35,'Group Stages'!$M19)&gt;0),'Group Stages'!$G19,"")</f>
        <v/>
      </c>
      <c r="CX13" s="254" t="str">
        <f>IF($CW13&lt;&gt;"",'Group Stages'!$I19,"")</f>
        <v/>
      </c>
      <c r="CY13" s="254" t="str">
        <f>IF($CW13&lt;&gt;"",'Group Stages'!$K19,"")</f>
        <v/>
      </c>
      <c r="CZ13" s="254" t="str">
        <f>IF($CW13&lt;&gt;"",'Group Stages'!$M19,"")</f>
        <v/>
      </c>
      <c r="DA13" s="259" t="str">
        <f t="shared" si="8"/>
        <v/>
      </c>
      <c r="DB13" s="254" t="str">
        <f t="shared" si="43"/>
        <v/>
      </c>
      <c r="DC13" s="254">
        <v>2</v>
      </c>
      <c r="DD13" s="254" t="str">
        <f t="shared" si="46"/>
        <v/>
      </c>
      <c r="DE13" s="254">
        <f>IF(AND(DD13="",DD12=""),DC13,IF(AND(DD12&lt;&gt;"",DD13=""),1,""))</f>
        <v>1</v>
      </c>
      <c r="DF13" s="254" t="str">
        <f>VLOOKUP(DE13,$BO$12:$BP$15,2,FALSE)</f>
        <v>Liverpool</v>
      </c>
      <c r="DG13" s="254">
        <v>2</v>
      </c>
      <c r="DH13" s="254" t="str">
        <f>IF(DD13="",DF13,DD13)</f>
        <v>Liverpool</v>
      </c>
      <c r="DI13" s="254">
        <v>10</v>
      </c>
    </row>
    <row r="14" spans="1:113" x14ac:dyDescent="0.2">
      <c r="A14" s="254">
        <f t="shared" si="9"/>
        <v>2</v>
      </c>
      <c r="B14" s="254" t="str">
        <f>'Team Setup'!B15</f>
        <v>Liverpool</v>
      </c>
      <c r="C14" s="259">
        <f>SUMPRODUCT(('Group Stages'!$I$10:$I$105&lt;&gt;"")*('Group Stages'!$K$10:$K$105&lt;&gt;"")*('Group Stages'!$G$10:$G$105='Dummy Table'!$B14)*('Group Stages'!$I$10:$I$105&gt;'Group Stages'!$K$10:$K$105))</f>
        <v>3</v>
      </c>
      <c r="D14" s="259">
        <f>SUMPRODUCT(('Group Stages'!$I$10:$I$105&lt;&gt;"")*('Group Stages'!$K$10:$K$105&lt;&gt;"")*('Group Stages'!$G$10:$G$105='Dummy Table'!$B14)*('Group Stages'!$I$10:$I$105='Group Stages'!$K$10:$K$105))</f>
        <v>0</v>
      </c>
      <c r="E14" s="259">
        <f>SUMPRODUCT(('Group Stages'!$I$10:$I$105&lt;&gt;"")*('Group Stages'!$K$10:$K$105&lt;&gt;"")*('Group Stages'!$G$10:$G$105='Dummy Table'!$B14)*('Group Stages'!$I$10:$I$105&lt;'Group Stages'!$K$10:$K$105))</f>
        <v>0</v>
      </c>
      <c r="F14" s="259">
        <f>SUMIF('Group Stages'!$G$10:$G$105,'Dummy Table'!$B14,'Group Stages'!$I$10:$I$105)</f>
        <v>8</v>
      </c>
      <c r="G14" s="259">
        <f>SUMIF('Group Stages'!$G$10:$G$105,'Dummy Table'!$B14,'Group Stages'!$K$10:$K$105)</f>
        <v>2</v>
      </c>
      <c r="H14" s="259">
        <f t="shared" si="10"/>
        <v>6</v>
      </c>
      <c r="I14" s="259">
        <f t="shared" si="11"/>
        <v>9</v>
      </c>
      <c r="J14" s="254">
        <f>SUMPRODUCT(('Group Stages'!$I$10:$I$105&lt;&gt;"")*('Group Stages'!$K$10:$K$105&lt;&gt;"")*('Group Stages'!$M$10:$M$105='Dummy Table'!$B14)*('Group Stages'!$I$10:$I$105&lt;'Group Stages'!$K$10:$K$105))</f>
        <v>0</v>
      </c>
      <c r="K14" s="254">
        <f>SUMPRODUCT(('Group Stages'!$I$10:$I$105&lt;&gt;"")*('Group Stages'!$K$10:$K$105&lt;&gt;"")*('Group Stages'!$M$10:$M$105='Dummy Table'!$B14)*('Group Stages'!$I$10:$I$105='Group Stages'!$K$10:$K$105))</f>
        <v>0</v>
      </c>
      <c r="L14" s="254">
        <f>SUMPRODUCT(('Group Stages'!$I$10:$I$105&lt;&gt;"")*('Group Stages'!$K$10:$K$105&lt;&gt;"")*('Group Stages'!$M$10:$M$105='Dummy Table'!$B14)*('Group Stages'!$I$10:$I$105&gt;'Group Stages'!$K$10:$K$105))</f>
        <v>3</v>
      </c>
      <c r="M14" s="254">
        <f>SUMIF('Group Stages'!$M$10:$M$105,'Dummy Table'!$B14,'Group Stages'!$K$10:$K$105)</f>
        <v>1</v>
      </c>
      <c r="N14" s="254">
        <f>SUMIF('Group Stages'!$M$10:$M$105,'Dummy Table'!$B14,'Group Stages'!$I$10:$I$105)</f>
        <v>5</v>
      </c>
      <c r="O14" s="254">
        <f t="shared" si="12"/>
        <v>-4</v>
      </c>
      <c r="P14" s="254">
        <f t="shared" si="13"/>
        <v>0</v>
      </c>
      <c r="Q14" s="254">
        <f t="shared" si="14"/>
        <v>3</v>
      </c>
      <c r="R14" s="254">
        <f t="shared" si="15"/>
        <v>0</v>
      </c>
      <c r="S14" s="254">
        <f t="shared" si="16"/>
        <v>3</v>
      </c>
      <c r="T14" s="254">
        <f t="shared" si="17"/>
        <v>9</v>
      </c>
      <c r="U14" s="254">
        <f t="shared" si="18"/>
        <v>7</v>
      </c>
      <c r="V14" s="254">
        <f t="shared" si="19"/>
        <v>2</v>
      </c>
      <c r="W14" s="254">
        <f t="shared" si="20"/>
        <v>9</v>
      </c>
      <c r="X14" s="259">
        <f>IF('Team Setup'!F15&lt;&gt;"",'Team Setup'!F15,DI14)</f>
        <v>62000</v>
      </c>
      <c r="Y14" s="259">
        <f>RANK(W14,W$12:W$15)</f>
        <v>2</v>
      </c>
      <c r="Z14" s="259">
        <f>SUMPRODUCT((W$12:W$15=W14)*(V$12:V$15&gt;V14))</f>
        <v>0</v>
      </c>
      <c r="AA14" s="259">
        <f>SUMPRODUCT((Y$12:Y$15=Y14)*(Z$12:Z$15=Z14)*(T$12:T$15&gt;T14))</f>
        <v>0</v>
      </c>
      <c r="AB14" s="259">
        <f>SUMPRODUCT((Y$12:Y$15=Y14)*(Z$12:Z$15=Z14)*(T$12:T$15=T14)*(X$12:X$15&gt;X14))</f>
        <v>0</v>
      </c>
      <c r="AC14" s="254">
        <v>3</v>
      </c>
      <c r="AD14" s="254" t="str">
        <f>VLOOKUP(AC14,$A$12:$B$15,2,FALSE)</f>
        <v>Napoli</v>
      </c>
      <c r="AE14" s="254">
        <f>VLOOKUP($AD14,$B$12:$W$15,22,FALSE)</f>
        <v>9</v>
      </c>
      <c r="AF14" s="254" t="str">
        <f>IF(AE14=AE13,AD14,"")</f>
        <v>Napoli</v>
      </c>
      <c r="AG14" s="259">
        <f>SUMPRODUCT(($BK$4:$BK$99='Dummy Table'!$AF14)*($BL$4:$BL$99&gt;$BM$4:$BM$99))</f>
        <v>1</v>
      </c>
      <c r="AH14" s="259">
        <f>SUMPRODUCT(($BK$4:$BK$99='Dummy Table'!$AF14)*($BL$4:$BL$99=$BM$4:$BM$99))</f>
        <v>0</v>
      </c>
      <c r="AI14" s="259">
        <f>SUMPRODUCT(($BK$4:$BK$99='Dummy Table'!$AF14)*($BL$4:$BL$99&lt;$BM$4:$BM$99))</f>
        <v>0</v>
      </c>
      <c r="AJ14" s="259">
        <f>SUMIF($BK$4:$BK$99,'Dummy Table'!$AF14,$BL$4:$BL$99)</f>
        <v>1</v>
      </c>
      <c r="AK14" s="259">
        <f>SUMIF($BK$4:$BK$99,'Dummy Table'!$AF14,$BM$4:$BM$99)</f>
        <v>0</v>
      </c>
      <c r="AL14" s="259">
        <f t="shared" si="21"/>
        <v>1</v>
      </c>
      <c r="AM14" s="259">
        <f t="shared" si="22"/>
        <v>3</v>
      </c>
      <c r="AN14" s="259">
        <f>SUMPRODUCT(($BN$4:$BN$99='Dummy Table'!$AF14)*($BL$4:$BL$99&lt;$BM$4:$BM$99))</f>
        <v>0</v>
      </c>
      <c r="AO14" s="259">
        <f>SUMPRODUCT(($BN$4:$BN$99='Dummy Table'!$AF14)*($BL$4:$BL$99=$BM$4:$BM$99))</f>
        <v>0</v>
      </c>
      <c r="AP14" s="259">
        <f>SUMPRODUCT(($BN$4:$BN$99='Dummy Table'!$AF14)*($BL$4:$BL$99&gt;$BM$4:$BM$99))</f>
        <v>1</v>
      </c>
      <c r="AQ14" s="259">
        <f>SUMIF($BN$4:$BN$99,'Dummy Table'!$AF14,$BM$4:$BM$99)</f>
        <v>0</v>
      </c>
      <c r="AR14" s="259">
        <f>SUMIF($BN$4:$BN$99,'Dummy Table'!$AF14,$BL$4:$BL$99)</f>
        <v>1</v>
      </c>
      <c r="AS14" s="259">
        <f t="shared" si="23"/>
        <v>-1</v>
      </c>
      <c r="AT14" s="259">
        <f t="shared" si="24"/>
        <v>0</v>
      </c>
      <c r="AU14" s="259">
        <f t="shared" si="25"/>
        <v>1</v>
      </c>
      <c r="AV14" s="259">
        <f t="shared" si="26"/>
        <v>0</v>
      </c>
      <c r="AW14" s="259">
        <f t="shared" si="27"/>
        <v>1</v>
      </c>
      <c r="AX14" s="259">
        <f t="shared" si="28"/>
        <v>1</v>
      </c>
      <c r="AY14" s="259">
        <f t="shared" si="29"/>
        <v>1</v>
      </c>
      <c r="AZ14" s="259">
        <f t="shared" si="30"/>
        <v>0</v>
      </c>
      <c r="BA14" s="259">
        <f t="shared" si="44"/>
        <v>3</v>
      </c>
      <c r="BB14" s="254">
        <f t="shared" si="31"/>
        <v>2</v>
      </c>
      <c r="BC14" s="254">
        <f t="shared" si="32"/>
        <v>7</v>
      </c>
      <c r="BD14" s="254">
        <f t="shared" si="33"/>
        <v>78000</v>
      </c>
      <c r="BE14" s="254">
        <f>RANK(BA14,BA$12:BA$15)</f>
        <v>1</v>
      </c>
      <c r="BF14" s="254">
        <f>SUMPRODUCT((BA$12:BA$15=BA14)*(AZ$12:AZ$15&gt;AZ14))</f>
        <v>0</v>
      </c>
      <c r="BG14" s="254">
        <f>SUMPRODUCT((BA$12:BA$15=BA14)*(BE$12:BE$15=BE14)*(AZ$12:AZ$15=AZ14)*(AQ$12:AQ$15&gt;AQ14))</f>
        <v>0</v>
      </c>
      <c r="BH14" s="254">
        <f>SUMPRODUCT((BA$12:BA$15=BA14)*(BE$12:BE$15=BE14)*(AZ$12:AZ$15=AZ14)*(AQ$12:AQ$15=AQ14)*(BB$12:BB$15&gt;BB14))</f>
        <v>0</v>
      </c>
      <c r="BI14" s="254">
        <f>SUMPRODUCT((BA$12:BA$15=BA14)*(BE$12:BE$15=BE14)*(AZ$12:AZ$15=AZ14)*(AQ$12:AQ$15=AQ14)*(BB$12:BB$15=BB14)*(BC$12:BC$15&gt;BC14))</f>
        <v>1</v>
      </c>
      <c r="BJ14" s="254">
        <f>SUMPRODUCT((BA$12:BA$15=BA14)*(BE$12:BE$15=BE14)*(AZ$12:AZ$15=AZ14)*(AQ$12:AQ$15=AQ14)*(BB$12:BB$15=BB14)*(BC$12:BC$15=BC14)*(BD$12:BD$15&gt;BD14))</f>
        <v>0</v>
      </c>
      <c r="BK14" s="254" t="str">
        <f>IF(AND(COUNTIF($AF$4:$AF$35,'Group Stages'!G20)&gt;0,COUNTIF($AF$4:$AF$35,'Group Stages'!M20)&gt;0,'Group Stages'!I20&lt;&gt;"",'Group Stages'!K20&lt;&gt;""),'Group Stages'!G20,"")</f>
        <v/>
      </c>
      <c r="BL14" s="254" t="str">
        <f>IF($BK14&lt;&gt;"",'Group Stages'!I20,"")</f>
        <v/>
      </c>
      <c r="BM14" s="254" t="str">
        <f>IF($BK14&lt;&gt;"",'Group Stages'!K20,"")</f>
        <v/>
      </c>
      <c r="BN14" s="254" t="str">
        <f>IF($BK14&lt;&gt;"",'Group Stages'!M20,"")</f>
        <v/>
      </c>
      <c r="BO14" s="254">
        <f t="shared" si="2"/>
        <v>2</v>
      </c>
      <c r="BP14" s="254" t="str">
        <f t="shared" si="34"/>
        <v>Napoli</v>
      </c>
      <c r="BQ14" s="254">
        <f>VLOOKUP($AD14,$B$12:$W$15,22,FALSE)</f>
        <v>9</v>
      </c>
      <c r="BR14" s="254" t="str">
        <f>IF(AND(BQ14&lt;&gt;BQ13,BQ14=BQ15),AD14,"")</f>
        <v/>
      </c>
      <c r="BS14" s="261">
        <f>SUMPRODUCT(($CW$4:$CW$99='Dummy Table'!$BR14)*($CX$4:$CX$99&gt;$CY$4:$CY$99))</f>
        <v>0</v>
      </c>
      <c r="BT14" s="261">
        <f>SUMPRODUCT(($CW$4:$CW$99='Dummy Table'!$BR14)*($CX$4:$CX$99=$CY$4:$CY$99))</f>
        <v>94</v>
      </c>
      <c r="BU14" s="261">
        <f>SUMPRODUCT(($CW$4:$CW$99='Dummy Table'!$BR14)*($CX$4:$CX$99&lt;$CY$4:$CY$99))</f>
        <v>0</v>
      </c>
      <c r="BV14" s="261">
        <f>SUMIF($CW$4:$CW$99,'Dummy Table'!$BR14,$CX$4:$CX$99)</f>
        <v>0</v>
      </c>
      <c r="BW14" s="261">
        <f>SUMIF($CW$4:$CW$99,'Dummy Table'!$BR14,$CY$4:$CY$99)</f>
        <v>0</v>
      </c>
      <c r="BX14" s="261">
        <f t="shared" si="35"/>
        <v>0</v>
      </c>
      <c r="BY14" s="261" t="str">
        <f t="shared" si="36"/>
        <v/>
      </c>
      <c r="BZ14" s="261">
        <f>SUMPRODUCT(($CZ$4:$CZ$99='Dummy Table'!$BR14)*($CX$4:$CX$99&lt;$CY$4:$CY$99))</f>
        <v>0</v>
      </c>
      <c r="CA14" s="261">
        <f>SUMPRODUCT(($CZ$4:$CZ$99='Dummy Table'!$BR14)*($CX$4:$CX$99=$CY$4:$CY$99))</f>
        <v>94</v>
      </c>
      <c r="CB14" s="261">
        <f>SUMPRODUCT(($CZ$4:$CZ$99='Dummy Table'!$BR14)*($CX$4:$CX$99&gt;$CY$4:$CY$99))</f>
        <v>0</v>
      </c>
      <c r="CC14" s="261">
        <f>SUMIF($CZ$4:$CZ$99,'Dummy Table'!$BR14,$CY$4:$CY$99)</f>
        <v>0</v>
      </c>
      <c r="CD14" s="261">
        <f>SUMIF($CZ$4:$CZ$99,'Dummy Table'!$BR14,$CX$4:$CX$99)</f>
        <v>0</v>
      </c>
      <c r="CE14" s="261">
        <f t="shared" si="37"/>
        <v>0</v>
      </c>
      <c r="CF14" s="261" t="str">
        <f t="shared" si="38"/>
        <v/>
      </c>
      <c r="CG14" s="261">
        <f t="shared" si="39"/>
        <v>0</v>
      </c>
      <c r="CH14" s="261">
        <f t="shared" si="3"/>
        <v>188</v>
      </c>
      <c r="CI14" s="261">
        <f t="shared" si="4"/>
        <v>0</v>
      </c>
      <c r="CJ14" s="261">
        <f t="shared" si="5"/>
        <v>0</v>
      </c>
      <c r="CK14" s="261">
        <f t="shared" si="6"/>
        <v>0</v>
      </c>
      <c r="CL14" s="261">
        <f t="shared" si="7"/>
        <v>0</v>
      </c>
      <c r="CM14" s="261">
        <f t="shared" si="45"/>
        <v>-1</v>
      </c>
      <c r="CN14" s="259">
        <f t="shared" si="40"/>
        <v>62000</v>
      </c>
      <c r="CO14" s="259">
        <f>SUMIF($CZ$4:$CZ$99,'Dummy Table'!$BR14,$CY$4:$CY$99)*2</f>
        <v>0</v>
      </c>
      <c r="CP14" s="259">
        <f>RANK(CM14,CM$12:CM$15)</f>
        <v>1</v>
      </c>
      <c r="CR14" s="259">
        <f>SUMPRODUCT((CM$12:CM$15=CM14)*(CL$12:CL$15&gt;CL14))</f>
        <v>0</v>
      </c>
      <c r="CS14" s="259">
        <f>SUMPRODUCT((CP$12:CP$15=CP14)*(CR$12:CR$15=CR14)*(CO$12:CO$15&gt;CO14))</f>
        <v>0</v>
      </c>
      <c r="CT14" s="259">
        <f>IF(BR14&lt;&gt;"",SUMPRODUCT((CP$12:CP$15=CP14)*(CR$12:CR$15=CR14)*(CS$12:CS$15=CS14)*(V$12:V$15&gt;V14)),0)</f>
        <v>0</v>
      </c>
      <c r="CU14" s="259">
        <f t="shared" si="48"/>
        <v>0</v>
      </c>
      <c r="CV14" s="259">
        <f>SUMPRODUCT((CP$12:CP$15=CP14)*(CR$12:CR$15=CR14)*(CS$12:CS$15=CS14)*(CT$12:CT$15=CT14)*(CU$12:CU$15=CU14)*(CN$12:CN$15&gt;CN14))</f>
        <v>2</v>
      </c>
      <c r="CW14" s="254" t="str">
        <f>IF(AND(COUNTIF($BR$4:$BR$35,'Group Stages'!$G20)&gt;0,COUNTIF($BR$4:$BR$35,'Group Stages'!$M20)&gt;0),'Group Stages'!$G20,"")</f>
        <v/>
      </c>
      <c r="CX14" s="254" t="str">
        <f>IF($CW14&lt;&gt;"",'Group Stages'!$I20,"")</f>
        <v/>
      </c>
      <c r="CY14" s="254" t="str">
        <f>IF($CW14&lt;&gt;"",'Group Stages'!$K20,"")</f>
        <v/>
      </c>
      <c r="CZ14" s="254" t="str">
        <f>IF($CW14&lt;&gt;"",'Group Stages'!$M20,"")</f>
        <v/>
      </c>
      <c r="DA14" s="259" t="str">
        <f t="shared" si="8"/>
        <v/>
      </c>
      <c r="DB14" s="254" t="str">
        <f t="shared" si="43"/>
        <v/>
      </c>
      <c r="DC14" s="254">
        <v>3</v>
      </c>
      <c r="DD14" s="254" t="str">
        <f t="shared" si="46"/>
        <v/>
      </c>
      <c r="DE14" s="254">
        <f>IF(AND(DD14="",DD13="",DD12=""),DC14,IF(AND(DD12&lt;&gt;"",DD13="",DD14=""),2,IF(AND(DD12&lt;&gt;"",DD13&lt;&gt;"",DD14=""),1,"")))</f>
        <v>2</v>
      </c>
      <c r="DF14" s="254" t="str">
        <f>VLOOKUP(DE14,$BO$12:$BP$15,2,FALSE)</f>
        <v>Napoli</v>
      </c>
      <c r="DG14" s="254">
        <v>3</v>
      </c>
      <c r="DH14" s="254" t="str">
        <f>IF(DB14&lt;&gt;"",IF(DA14&lt;DA15,DB14,DB15),IF(DF14&lt;&gt;"",DF14,DD14))</f>
        <v>Napoli</v>
      </c>
      <c r="DI14" s="254">
        <v>11</v>
      </c>
    </row>
    <row r="15" spans="1:113" x14ac:dyDescent="0.2">
      <c r="A15" s="254">
        <f t="shared" si="9"/>
        <v>4</v>
      </c>
      <c r="B15" s="254" t="str">
        <f>'Team Setup'!B16</f>
        <v>Red Star Belgrade</v>
      </c>
      <c r="C15" s="259">
        <f>SUMPRODUCT(('Group Stages'!$I$10:$I$105&lt;&gt;"")*('Group Stages'!$K$10:$K$105&lt;&gt;"")*('Group Stages'!$G$10:$G$105='Dummy Table'!$B15)*('Group Stages'!$I$10:$I$105&gt;'Group Stages'!$K$10:$K$105))</f>
        <v>1</v>
      </c>
      <c r="D15" s="259">
        <f>SUMPRODUCT(('Group Stages'!$I$10:$I$105&lt;&gt;"")*('Group Stages'!$K$10:$K$105&lt;&gt;"")*('Group Stages'!$G$10:$G$105='Dummy Table'!$B15)*('Group Stages'!$I$10:$I$105='Group Stages'!$K$10:$K$105))</f>
        <v>1</v>
      </c>
      <c r="E15" s="259">
        <f>SUMPRODUCT(('Group Stages'!$I$10:$I$105&lt;&gt;"")*('Group Stages'!$K$10:$K$105&lt;&gt;"")*('Group Stages'!$G$10:$G$105='Dummy Table'!$B15)*('Group Stages'!$I$10:$I$105&lt;'Group Stages'!$K$10:$K$105))</f>
        <v>1</v>
      </c>
      <c r="F15" s="259">
        <f>SUMIF('Group Stages'!$G$10:$G$105,'Dummy Table'!$B15,'Group Stages'!$I$10:$I$105)</f>
        <v>3</v>
      </c>
      <c r="G15" s="259">
        <f>SUMIF('Group Stages'!$G$10:$G$105,'Dummy Table'!$B15,'Group Stages'!$K$10:$K$105)</f>
        <v>4</v>
      </c>
      <c r="H15" s="259">
        <f t="shared" si="10"/>
        <v>-1</v>
      </c>
      <c r="I15" s="259">
        <f t="shared" si="11"/>
        <v>4</v>
      </c>
      <c r="J15" s="254">
        <f>SUMPRODUCT(('Group Stages'!$I$10:$I$105&lt;&gt;"")*('Group Stages'!$K$10:$K$105&lt;&gt;"")*('Group Stages'!$M$10:$M$105='Dummy Table'!$B15)*('Group Stages'!$I$10:$I$105&lt;'Group Stages'!$K$10:$K$105))</f>
        <v>0</v>
      </c>
      <c r="K15" s="254">
        <f>SUMPRODUCT(('Group Stages'!$I$10:$I$105&lt;&gt;"")*('Group Stages'!$K$10:$K$105&lt;&gt;"")*('Group Stages'!$M$10:$M$105='Dummy Table'!$B15)*('Group Stages'!$I$10:$I$105='Group Stages'!$K$10:$K$105))</f>
        <v>0</v>
      </c>
      <c r="L15" s="254">
        <f>SUMPRODUCT(('Group Stages'!$I$10:$I$105&lt;&gt;"")*('Group Stages'!$K$10:$K$105&lt;&gt;"")*('Group Stages'!$M$10:$M$105='Dummy Table'!$B15)*('Group Stages'!$I$10:$I$105&gt;'Group Stages'!$K$10:$K$105))</f>
        <v>3</v>
      </c>
      <c r="M15" s="254">
        <f>SUMIF('Group Stages'!$M$10:$M$105,'Dummy Table'!$B15,'Group Stages'!$K$10:$K$105)</f>
        <v>2</v>
      </c>
      <c r="N15" s="254">
        <f>SUMIF('Group Stages'!$M$10:$M$105,'Dummy Table'!$B15,'Group Stages'!$I$10:$I$105)</f>
        <v>13</v>
      </c>
      <c r="O15" s="254">
        <f t="shared" si="12"/>
        <v>-11</v>
      </c>
      <c r="P15" s="254">
        <f t="shared" si="13"/>
        <v>0</v>
      </c>
      <c r="Q15" s="254">
        <f t="shared" si="14"/>
        <v>1</v>
      </c>
      <c r="R15" s="254">
        <f t="shared" si="15"/>
        <v>1</v>
      </c>
      <c r="S15" s="254">
        <f t="shared" si="16"/>
        <v>4</v>
      </c>
      <c r="T15" s="254">
        <f t="shared" si="17"/>
        <v>5</v>
      </c>
      <c r="U15" s="254">
        <f t="shared" si="18"/>
        <v>17</v>
      </c>
      <c r="V15" s="254">
        <f t="shared" si="19"/>
        <v>-12</v>
      </c>
      <c r="W15" s="254">
        <f t="shared" si="20"/>
        <v>4</v>
      </c>
      <c r="X15" s="259">
        <f>IF('Team Setup'!F16&lt;&gt;"",'Team Setup'!F16,DI15)</f>
        <v>10750</v>
      </c>
      <c r="Y15" s="259">
        <f>RANK(W15,W$12:W$15)</f>
        <v>4</v>
      </c>
      <c r="Z15" s="259">
        <f>SUMPRODUCT((W$12:W$15=W15)*(V$12:V$15&gt;V15))</f>
        <v>0</v>
      </c>
      <c r="AA15" s="259">
        <f>SUMPRODUCT((Y$12:Y$15=Y15)*(Z$12:Z$15=Z15)*(T$12:T$15&gt;T15))</f>
        <v>0</v>
      </c>
      <c r="AB15" s="259">
        <f>SUMPRODUCT((Y$12:Y$15=Y15)*(Z$12:Z$15=Z15)*(T$12:T$15=T15)*(X$12:X$15&gt;X15))</f>
        <v>0</v>
      </c>
      <c r="AC15" s="254">
        <v>4</v>
      </c>
      <c r="AD15" s="254" t="str">
        <f>VLOOKUP(AC15,$A$12:$B$15,2,FALSE)</f>
        <v>Red Star Belgrade</v>
      </c>
      <c r="AE15" s="254">
        <f>VLOOKUP($AD15,$B$12:$W$15,22,FALSE)</f>
        <v>4</v>
      </c>
      <c r="AF15" s="254" t="str">
        <f>IF(AND(AE15=AE14,AE14=AE13),AD15,"")</f>
        <v/>
      </c>
      <c r="AG15" s="259">
        <f>SUMPRODUCT(($BK$4:$BK$99='Dummy Table'!$AF15)*($BL$4:$BL$99&gt;$BM$4:$BM$99))</f>
        <v>0</v>
      </c>
      <c r="AH15" s="259">
        <f>SUMPRODUCT(($BK$4:$BK$99='Dummy Table'!$AF15)*($BL$4:$BL$99=$BM$4:$BM$99))</f>
        <v>90</v>
      </c>
      <c r="AI15" s="259">
        <f>SUMPRODUCT(($BK$4:$BK$99='Dummy Table'!$AF15)*($BL$4:$BL$99&lt;$BM$4:$BM$99))</f>
        <v>0</v>
      </c>
      <c r="AJ15" s="259">
        <f>SUMIF($BK$4:$BK$99,'Dummy Table'!$AF15,$BL$4:$BL$99)</f>
        <v>0</v>
      </c>
      <c r="AK15" s="259">
        <f>SUMIF($BK$4:$BK$99,'Dummy Table'!$AF15,$BM$4:$BM$99)</f>
        <v>0</v>
      </c>
      <c r="AL15" s="259">
        <f t="shared" si="21"/>
        <v>0</v>
      </c>
      <c r="AM15" s="259" t="str">
        <f t="shared" si="22"/>
        <v/>
      </c>
      <c r="AN15" s="259">
        <f>SUMPRODUCT(($BN$4:$BN$99='Dummy Table'!$AF15)*($BL$4:$BL$99&lt;$BM$4:$BM$99))</f>
        <v>0</v>
      </c>
      <c r="AO15" s="259">
        <f>SUMPRODUCT(($BN$4:$BN$99='Dummy Table'!$AF15)*($BL$4:$BL$99=$BM$4:$BM$99))</f>
        <v>90</v>
      </c>
      <c r="AP15" s="259">
        <f>SUMPRODUCT(($BN$4:$BN$99='Dummy Table'!$AF15)*($BL$4:$BL$99&gt;$BM$4:$BM$99))</f>
        <v>0</v>
      </c>
      <c r="AQ15" s="259">
        <f>SUMIF($BN$4:$BN$99,'Dummy Table'!$AF15,$BM$4:$BM$99)</f>
        <v>0</v>
      </c>
      <c r="AR15" s="259">
        <f>SUMIF($BN$4:$BN$99,'Dummy Table'!$AF15,$BL$4:$BL$99)</f>
        <v>0</v>
      </c>
      <c r="AS15" s="259">
        <f t="shared" si="23"/>
        <v>0</v>
      </c>
      <c r="AT15" s="259" t="str">
        <f t="shared" si="24"/>
        <v/>
      </c>
      <c r="AU15" s="259">
        <f t="shared" si="25"/>
        <v>0</v>
      </c>
      <c r="AV15" s="259">
        <f t="shared" si="26"/>
        <v>180</v>
      </c>
      <c r="AW15" s="259">
        <f t="shared" si="27"/>
        <v>0</v>
      </c>
      <c r="AX15" s="259">
        <f t="shared" si="28"/>
        <v>0</v>
      </c>
      <c r="AY15" s="259">
        <f t="shared" si="29"/>
        <v>0</v>
      </c>
      <c r="AZ15" s="259">
        <f t="shared" si="30"/>
        <v>0</v>
      </c>
      <c r="BA15" s="259">
        <f t="shared" si="44"/>
        <v>-1</v>
      </c>
      <c r="BB15" s="254" t="str">
        <f t="shared" si="31"/>
        <v/>
      </c>
      <c r="BC15" s="254" t="str">
        <f t="shared" si="32"/>
        <v/>
      </c>
      <c r="BD15" s="254" t="str">
        <f t="shared" si="33"/>
        <v/>
      </c>
      <c r="BE15" s="254">
        <f>RANK(BA15,BA$12:BA$15)</f>
        <v>3</v>
      </c>
      <c r="BF15" s="254">
        <f>SUMPRODUCT((BA$12:BA$15=BA15)*(AZ$12:AZ$15&gt;AZ15))</f>
        <v>0</v>
      </c>
      <c r="BG15" s="254">
        <f>SUMPRODUCT((BA$12:BA$15=BA15)*(BE$12:BE$15=BE15)*(AZ$12:AZ$15=AZ15)*(AQ$12:AQ$15&gt;AQ15))</f>
        <v>0</v>
      </c>
      <c r="BH15" s="254">
        <f>SUMPRODUCT((BA$12:BA$15=BA15)*(BE$12:BE$15=BE15)*(AZ$12:AZ$15=AZ15)*(AQ$12:AQ$15=AQ15)*(BB$12:BB$15&gt;BB15))</f>
        <v>0</v>
      </c>
      <c r="BI15" s="254">
        <f>SUMPRODUCT((BA$12:BA$15=BA15)*(BE$12:BE$15=BE15)*(AZ$12:AZ$15=AZ15)*(AQ$12:AQ$15=AQ15)*(BB$12:BB$15=BB15)*(BC$12:BC$15&gt;BC15))</f>
        <v>0</v>
      </c>
      <c r="BJ15" s="254">
        <f>SUMPRODUCT((BA$12:BA$15=BA15)*(BE$12:BE$15=BE15)*(AZ$12:AZ$15=AZ15)*(AQ$12:AQ$15=AQ15)*(BB$12:BB$15=BB15)*(BC$12:BC$15=BC15)*(BD$12:BD$15&gt;BD15))</f>
        <v>0</v>
      </c>
      <c r="BK15" s="254" t="str">
        <f>IF(AND(COUNTIF($AF$4:$AF$35,'Group Stages'!G21)&gt;0,COUNTIF($AF$4:$AF$35,'Group Stages'!M21)&gt;0,'Group Stages'!I21&lt;&gt;"",'Group Stages'!K21&lt;&gt;""),'Group Stages'!G21,"")</f>
        <v/>
      </c>
      <c r="BL15" s="254" t="str">
        <f>IF($BK15&lt;&gt;"",'Group Stages'!I21,"")</f>
        <v/>
      </c>
      <c r="BM15" s="254" t="str">
        <f>IF($BK15&lt;&gt;"",'Group Stages'!K21,"")</f>
        <v/>
      </c>
      <c r="BN15" s="254" t="str">
        <f>IF($BK15&lt;&gt;"",'Group Stages'!M21,"")</f>
        <v/>
      </c>
      <c r="BO15" s="254" t="str">
        <f t="shared" si="2"/>
        <v/>
      </c>
      <c r="BP15" s="254" t="str">
        <f t="shared" si="34"/>
        <v/>
      </c>
      <c r="BQ15" s="254">
        <f>VLOOKUP($AD15,$B$12:$W$15,22,FALSE)</f>
        <v>4</v>
      </c>
      <c r="BR15" s="254" t="str">
        <f>IF(BR14&lt;&gt;"",AD15,"")</f>
        <v/>
      </c>
      <c r="BS15" s="261">
        <f>SUMPRODUCT(($CW$4:$CW$99='Dummy Table'!$BR15)*($CX$4:$CX$99&gt;$CY$4:$CY$99))</f>
        <v>0</v>
      </c>
      <c r="BT15" s="261">
        <f>SUMPRODUCT(($CW$4:$CW$99='Dummy Table'!$BR15)*($CX$4:$CX$99=$CY$4:$CY$99))</f>
        <v>94</v>
      </c>
      <c r="BU15" s="261">
        <f>SUMPRODUCT(($CW$4:$CW$99='Dummy Table'!$BR15)*($CX$4:$CX$99&lt;$CY$4:$CY$99))</f>
        <v>0</v>
      </c>
      <c r="BV15" s="261">
        <f>SUMIF($CW$4:$CW$99,'Dummy Table'!$BR15,$CX$4:$CX$99)</f>
        <v>0</v>
      </c>
      <c r="BW15" s="261">
        <f>SUMIF($CW$4:$CW$99,'Dummy Table'!$BR15,$CY$4:$CY$99)</f>
        <v>0</v>
      </c>
      <c r="BX15" s="261">
        <f t="shared" si="35"/>
        <v>0</v>
      </c>
      <c r="BY15" s="261" t="str">
        <f t="shared" si="36"/>
        <v/>
      </c>
      <c r="BZ15" s="261">
        <f>SUMPRODUCT(($CZ$4:$CZ$99='Dummy Table'!$BR15)*($CX$4:$CX$99&lt;$CY$4:$CY$99))</f>
        <v>0</v>
      </c>
      <c r="CA15" s="261">
        <f>SUMPRODUCT(($CZ$4:$CZ$99='Dummy Table'!$BR15)*($CX$4:$CX$99=$CY$4:$CY$99))</f>
        <v>94</v>
      </c>
      <c r="CB15" s="261">
        <f>SUMPRODUCT(($CZ$4:$CZ$99='Dummy Table'!$BR15)*($CX$4:$CX$99&gt;$CY$4:$CY$99))</f>
        <v>0</v>
      </c>
      <c r="CC15" s="261">
        <f>SUMIF($CZ$4:$CZ$99,'Dummy Table'!$BR15,$CY$4:$CY$99)</f>
        <v>0</v>
      </c>
      <c r="CD15" s="261">
        <f>SUMIF($CZ$4:$CZ$99,'Dummy Table'!$BR15,$CX$4:$CX$99)</f>
        <v>0</v>
      </c>
      <c r="CE15" s="261">
        <f t="shared" si="37"/>
        <v>0</v>
      </c>
      <c r="CF15" s="261" t="str">
        <f t="shared" si="38"/>
        <v/>
      </c>
      <c r="CG15" s="261">
        <f t="shared" si="39"/>
        <v>0</v>
      </c>
      <c r="CH15" s="261">
        <f t="shared" si="3"/>
        <v>188</v>
      </c>
      <c r="CI15" s="261">
        <f t="shared" si="4"/>
        <v>0</v>
      </c>
      <c r="CJ15" s="261">
        <f t="shared" si="5"/>
        <v>0</v>
      </c>
      <c r="CK15" s="261">
        <f t="shared" si="6"/>
        <v>0</v>
      </c>
      <c r="CL15" s="261">
        <f t="shared" si="7"/>
        <v>0</v>
      </c>
      <c r="CM15" s="261">
        <f t="shared" si="45"/>
        <v>-1</v>
      </c>
      <c r="CN15" s="259">
        <f t="shared" si="40"/>
        <v>10750</v>
      </c>
      <c r="CO15" s="259">
        <f>SUMIF($CZ$4:$CZ$99,'Dummy Table'!$BR15,$CY$4:$CY$99)*2</f>
        <v>0</v>
      </c>
      <c r="CP15" s="259">
        <f>RANK(CM15,CM$12:CM$15)</f>
        <v>1</v>
      </c>
      <c r="CR15" s="259">
        <f>SUMPRODUCT((CM$12:CM$15=CM15)*(CL$12:CL$15&gt;CL15))</f>
        <v>0</v>
      </c>
      <c r="CS15" s="259">
        <f>SUMPRODUCT((CP$12:CP$15=CP15)*(CR$12:CR$15=CR15)*(CO$12:CO$15&gt;CO15))</f>
        <v>0</v>
      </c>
      <c r="CT15" s="259">
        <f>IF(BR15&lt;&gt;"",SUMPRODUCT((CP$12:CP$15=CP15)*(CR$12:CR$15=CR15)*(CS$12:CS$15=CS15)*(V$12:V$15&gt;V15)),0)</f>
        <v>0</v>
      </c>
      <c r="CU15" s="259">
        <f t="shared" si="48"/>
        <v>0</v>
      </c>
      <c r="CV15" s="259">
        <f>SUMPRODUCT((CP$12:CP$15=CP15)*(CR$12:CR$15=CR15)*(CS$12:CS$15=CS15)*(CT$12:CT$15=CT15)*(CU$12:CU$15=CU15)*(CN$12:CN$15&gt;CN15))</f>
        <v>3</v>
      </c>
      <c r="CW15" s="254" t="str">
        <f>IF(AND(COUNTIF($BR$4:$BR$35,'Group Stages'!$G21)&gt;0,COUNTIF($BR$4:$BR$35,'Group Stages'!$M21)&gt;0),'Group Stages'!$G21,"")</f>
        <v/>
      </c>
      <c r="CX15" s="254" t="str">
        <f>IF($CW15&lt;&gt;"",'Group Stages'!$I21,"")</f>
        <v/>
      </c>
      <c r="CY15" s="254" t="str">
        <f>IF($CW15&lt;&gt;"",'Group Stages'!$K21,"")</f>
        <v/>
      </c>
      <c r="CZ15" s="254" t="str">
        <f>IF($CW15&lt;&gt;"",'Group Stages'!$M21,"")</f>
        <v/>
      </c>
      <c r="DA15" s="259" t="str">
        <f t="shared" si="8"/>
        <v/>
      </c>
      <c r="DB15" s="254" t="str">
        <f t="shared" si="43"/>
        <v/>
      </c>
      <c r="DC15" s="254">
        <v>4</v>
      </c>
      <c r="DD15" s="254" t="str">
        <f t="shared" si="46"/>
        <v>Red Star Belgrade</v>
      </c>
      <c r="DE15" s="254" t="str">
        <f>IF(AND(DD15="",DD14="",DD13="",DD12=""),4,IF(AND(DD15="",DD14="",DD13=""),3,IF(AND(DD13&lt;&gt;"",DD14="",DD15=""),2,IF(AND(DD13&lt;&gt;"",DD14&lt;&gt;"",DD15=""),1,""))))</f>
        <v/>
      </c>
      <c r="DF15" s="254" t="str">
        <f>VLOOKUP(DE15,$BO$12:$BP$15,2,FALSE)</f>
        <v/>
      </c>
      <c r="DG15" s="254">
        <v>4</v>
      </c>
      <c r="DH15" s="254" t="str">
        <f>IF(DB15&lt;&gt;"",IF(DA14&lt;DA15,DB15,DB14),IF(DF15&lt;&gt;"",DF15,DD15))</f>
        <v>Red Star Belgrade</v>
      </c>
      <c r="DI15" s="254">
        <v>12</v>
      </c>
    </row>
    <row r="16" spans="1:113" x14ac:dyDescent="0.2">
      <c r="A16" s="254">
        <f t="shared" si="9"/>
        <v>1</v>
      </c>
      <c r="B16" s="254" t="str">
        <f>'Team Setup'!B17</f>
        <v>Porto</v>
      </c>
      <c r="C16" s="259">
        <f>SUMPRODUCT(('Group Stages'!$I$10:$I$105&lt;&gt;"")*('Group Stages'!$K$10:$K$105&lt;&gt;"")*('Group Stages'!$G$10:$G$105='Dummy Table'!$B16)*('Group Stages'!$I$10:$I$105&gt;'Group Stages'!$K$10:$K$105))</f>
        <v>3</v>
      </c>
      <c r="D16" s="259">
        <f>SUMPRODUCT(('Group Stages'!$I$10:$I$105&lt;&gt;"")*('Group Stages'!$K$10:$K$105&lt;&gt;"")*('Group Stages'!$G$10:$G$105='Dummy Table'!$B16)*('Group Stages'!$I$10:$I$105='Group Stages'!$K$10:$K$105))</f>
        <v>0</v>
      </c>
      <c r="E16" s="259">
        <f>SUMPRODUCT(('Group Stages'!$I$10:$I$105&lt;&gt;"")*('Group Stages'!$K$10:$K$105&lt;&gt;"")*('Group Stages'!$G$10:$G$105='Dummy Table'!$B16)*('Group Stages'!$I$10:$I$105&lt;'Group Stages'!$K$10:$K$105))</f>
        <v>0</v>
      </c>
      <c r="F16" s="259">
        <f>SUMIF('Group Stages'!$G$10:$G$105,'Dummy Table'!$B16,'Group Stages'!$I$10:$I$105)</f>
        <v>8</v>
      </c>
      <c r="G16" s="259">
        <f>SUMIF('Group Stages'!$G$10:$G$105,'Dummy Table'!$B16,'Group Stages'!$K$10:$K$105)</f>
        <v>2</v>
      </c>
      <c r="H16" s="259">
        <f t="shared" si="10"/>
        <v>6</v>
      </c>
      <c r="I16" s="259">
        <f t="shared" si="11"/>
        <v>9</v>
      </c>
      <c r="J16" s="254">
        <f>SUMPRODUCT(('Group Stages'!$I$10:$I$105&lt;&gt;"")*('Group Stages'!$K$10:$K$105&lt;&gt;"")*('Group Stages'!$M$10:$M$105='Dummy Table'!$B16)*('Group Stages'!$I$10:$I$105&lt;'Group Stages'!$K$10:$K$105))</f>
        <v>2</v>
      </c>
      <c r="K16" s="254">
        <f>SUMPRODUCT(('Group Stages'!$I$10:$I$105&lt;&gt;"")*('Group Stages'!$K$10:$K$105&lt;&gt;"")*('Group Stages'!$M$10:$M$105='Dummy Table'!$B16)*('Group Stages'!$I$10:$I$105='Group Stages'!$K$10:$K$105))</f>
        <v>1</v>
      </c>
      <c r="L16" s="254">
        <f>SUMPRODUCT(('Group Stages'!$I$10:$I$105&lt;&gt;"")*('Group Stages'!$K$10:$K$105&lt;&gt;"")*('Group Stages'!$M$10:$M$105='Dummy Table'!$B16)*('Group Stages'!$I$10:$I$105&gt;'Group Stages'!$K$10:$K$105))</f>
        <v>0</v>
      </c>
      <c r="M16" s="254">
        <f>SUMIF('Group Stages'!$M$10:$M$105,'Dummy Table'!$B16,'Group Stages'!$K$10:$K$105)</f>
        <v>7</v>
      </c>
      <c r="N16" s="254">
        <f>SUMIF('Group Stages'!$M$10:$M$105,'Dummy Table'!$B16,'Group Stages'!$I$10:$I$105)</f>
        <v>4</v>
      </c>
      <c r="O16" s="254">
        <f t="shared" si="12"/>
        <v>3</v>
      </c>
      <c r="P16" s="254">
        <f t="shared" si="13"/>
        <v>7</v>
      </c>
      <c r="Q16" s="254">
        <f t="shared" si="14"/>
        <v>5</v>
      </c>
      <c r="R16" s="254">
        <f t="shared" si="15"/>
        <v>1</v>
      </c>
      <c r="S16" s="254">
        <f t="shared" si="16"/>
        <v>0</v>
      </c>
      <c r="T16" s="254">
        <f t="shared" si="17"/>
        <v>15</v>
      </c>
      <c r="U16" s="254">
        <f t="shared" si="18"/>
        <v>6</v>
      </c>
      <c r="V16" s="254">
        <f t="shared" si="19"/>
        <v>9</v>
      </c>
      <c r="W16" s="254">
        <f t="shared" si="20"/>
        <v>16</v>
      </c>
      <c r="X16" s="259">
        <f>IF('Team Setup'!F17&lt;&gt;"",'Team Setup'!F17,DI16)</f>
        <v>86000</v>
      </c>
      <c r="Y16" s="259">
        <f>RANK(W16,W$16:W$19)</f>
        <v>1</v>
      </c>
      <c r="Z16" s="259">
        <f>SUMPRODUCT((W$16:W$19=W16)*(V$16:V$19&gt;V16))</f>
        <v>0</v>
      </c>
      <c r="AA16" s="259">
        <f>SUMPRODUCT((Y$16:Y$19=Y16)*(Z$16:Z$19=Z16)*(T$16:T$19&gt;T16))</f>
        <v>0</v>
      </c>
      <c r="AB16" s="259">
        <f>SUMPRODUCT((Y$16:Y$19=Y16)*(Z$16:Z$19=Z16)*(T$16:T$19=T16)*(X$16:X$19&gt;X16))</f>
        <v>0</v>
      </c>
      <c r="AC16" s="254">
        <v>1</v>
      </c>
      <c r="AD16" s="254" t="str">
        <f>VLOOKUP(AC16,$A$16:$B$19,2,FALSE)</f>
        <v>Porto</v>
      </c>
      <c r="AE16" s="254">
        <f>VLOOKUP($AD16,$B$16:$W$19,22,FALSE)</f>
        <v>16</v>
      </c>
      <c r="AF16" s="254" t="str">
        <f>IF(AE16=AE17,AD16,"")</f>
        <v/>
      </c>
      <c r="AG16" s="259">
        <f>SUMPRODUCT(($BK$4:$BK$99='Dummy Table'!$AF16)*($BL$4:$BL$99&gt;$BM$4:$BM$99))</f>
        <v>0</v>
      </c>
      <c r="AH16" s="259">
        <f>SUMPRODUCT(($BK$4:$BK$99='Dummy Table'!$AF16)*($BL$4:$BL$99=$BM$4:$BM$99))</f>
        <v>90</v>
      </c>
      <c r="AI16" s="259">
        <f>SUMPRODUCT(($BK$4:$BK$99='Dummy Table'!$AF16)*($BL$4:$BL$99&lt;$BM$4:$BM$99))</f>
        <v>0</v>
      </c>
      <c r="AJ16" s="259">
        <f>SUMIF($BK$4:$BK$99,'Dummy Table'!$AF16,$BL$4:$BL$99)</f>
        <v>0</v>
      </c>
      <c r="AK16" s="259">
        <f>SUMIF($BK$4:$BK$99,'Dummy Table'!$AF16,$BM$4:$BM$99)</f>
        <v>0</v>
      </c>
      <c r="AL16" s="259">
        <f t="shared" si="21"/>
        <v>0</v>
      </c>
      <c r="AM16" s="259" t="str">
        <f t="shared" si="22"/>
        <v/>
      </c>
      <c r="AN16" s="259">
        <f>SUMPRODUCT(($BN$4:$BN$99='Dummy Table'!$AF16)*($BL$4:$BL$99&lt;$BM$4:$BM$99))</f>
        <v>0</v>
      </c>
      <c r="AO16" s="259">
        <f>SUMPRODUCT(($BN$4:$BN$99='Dummy Table'!$AF16)*($BL$4:$BL$99=$BM$4:$BM$99))</f>
        <v>90</v>
      </c>
      <c r="AP16" s="259">
        <f>SUMPRODUCT(($BN$4:$BN$99='Dummy Table'!$AF16)*($BL$4:$BL$99&gt;$BM$4:$BM$99))</f>
        <v>0</v>
      </c>
      <c r="AQ16" s="259">
        <f>SUMIF($BN$4:$BN$99,'Dummy Table'!$AF16,$BM$4:$BM$99)</f>
        <v>0</v>
      </c>
      <c r="AR16" s="259">
        <f>SUMIF($BN$4:$BN$99,'Dummy Table'!$AF16,$BL$4:$BL$99)</f>
        <v>0</v>
      </c>
      <c r="AS16" s="259">
        <f t="shared" si="23"/>
        <v>0</v>
      </c>
      <c r="AT16" s="259" t="str">
        <f t="shared" si="24"/>
        <v/>
      </c>
      <c r="AU16" s="259">
        <f t="shared" si="25"/>
        <v>0</v>
      </c>
      <c r="AV16" s="259">
        <f t="shared" si="26"/>
        <v>180</v>
      </c>
      <c r="AW16" s="259">
        <f t="shared" si="27"/>
        <v>0</v>
      </c>
      <c r="AX16" s="259">
        <f t="shared" si="28"/>
        <v>0</v>
      </c>
      <c r="AY16" s="259">
        <f t="shared" si="29"/>
        <v>0</v>
      </c>
      <c r="AZ16" s="259">
        <f t="shared" si="30"/>
        <v>0</v>
      </c>
      <c r="BA16" s="259">
        <f t="shared" si="44"/>
        <v>-1</v>
      </c>
      <c r="BB16" s="254" t="str">
        <f t="shared" si="31"/>
        <v/>
      </c>
      <c r="BC16" s="254" t="str">
        <f t="shared" si="32"/>
        <v/>
      </c>
      <c r="BD16" s="254" t="str">
        <f t="shared" si="33"/>
        <v/>
      </c>
      <c r="BE16" s="254">
        <f>RANK(BA16,BA$16:BA$19)</f>
        <v>1</v>
      </c>
      <c r="BF16" s="254">
        <f>SUMPRODUCT((BA$16:BA$19=BA16)*(AZ$16:AZ$19&gt;AZ16))</f>
        <v>0</v>
      </c>
      <c r="BG16" s="254">
        <f>SUMPRODUCT((BA$16:BA$19=BA16)*(BE$16:BE$19=BE16)*(AZ$16:AZ$19=AZ16)*(AQ$16:AQ$19&gt;AQ16))</f>
        <v>0</v>
      </c>
      <c r="BH16" s="254">
        <f>SUMPRODUCT((BA$16:BA$19=BA16)*(BE$16:BE$19=BE16)*(AZ$16:AZ$19=AZ16)*(AQ$16:AQ$19=AQ16)*(BB$16:BB$19&gt;BB16))</f>
        <v>0</v>
      </c>
      <c r="BI16" s="254">
        <f>SUMPRODUCT((BA$16:BA$19=BA16)*(BE$16:BE$19=BE16)*(AZ$16:AZ$19=AZ16)*(AQ$16:AQ$19=AQ16)*(BB$16:BB$19=BB16)*(BC$16:BC$19&gt;BC16))</f>
        <v>0</v>
      </c>
      <c r="BJ16" s="254">
        <f>SUMPRODUCT((BA$16:BA$19=BA16)*(BE$16:BE$19=BE16)*(AZ$16:AZ$19=AZ16)*(AQ$16:AQ$19=AQ16)*(BB$16:BB$19=BB16)*(BC$16:BC$19=BC16)*(BD$16:BD$19&gt;BD16))</f>
        <v>0</v>
      </c>
      <c r="BK16" s="254" t="str">
        <f>IF(AND(COUNTIF($AF$4:$AF$35,'Group Stages'!G22)&gt;0,COUNTIF($AF$4:$AF$35,'Group Stages'!M22)&gt;0,'Group Stages'!I22&lt;&gt;"",'Group Stages'!K22&lt;&gt;""),'Group Stages'!G22,"")</f>
        <v/>
      </c>
      <c r="BL16" s="254" t="str">
        <f>IF($BK16&lt;&gt;"",'Group Stages'!I22,"")</f>
        <v/>
      </c>
      <c r="BM16" s="254" t="str">
        <f>IF($BK16&lt;&gt;"",'Group Stages'!K22,"")</f>
        <v/>
      </c>
      <c r="BN16" s="254" t="str">
        <f>IF($BK16&lt;&gt;"",'Group Stages'!M22,"")</f>
        <v/>
      </c>
      <c r="BO16" s="254" t="str">
        <f t="shared" si="2"/>
        <v/>
      </c>
      <c r="BP16" s="254" t="str">
        <f t="shared" si="34"/>
        <v/>
      </c>
      <c r="BQ16" s="254">
        <f>VLOOKUP($AD16,$B$16:$W$19,22,FALSE)</f>
        <v>16</v>
      </c>
      <c r="BS16" s="261">
        <f>SUMPRODUCT(($CW$4:$CW$99='Dummy Table'!$BR16)*($CX$4:$CX$99&gt;$CY$4:$CY$99))</f>
        <v>0</v>
      </c>
      <c r="BT16" s="261">
        <f>SUMPRODUCT(($CW$4:$CW$99='Dummy Table'!$BR16)*($CX$4:$CX$99=$CY$4:$CY$99))</f>
        <v>94</v>
      </c>
      <c r="BU16" s="261">
        <f>SUMPRODUCT(($CW$4:$CW$99='Dummy Table'!$BR16)*($CX$4:$CX$99&lt;$CY$4:$CY$99))</f>
        <v>0</v>
      </c>
      <c r="BV16" s="261">
        <f>SUMIF($CW$4:$CW$99,'Dummy Table'!$BR16,$CX$4:$CX$99)</f>
        <v>0</v>
      </c>
      <c r="BW16" s="261">
        <f>SUMIF($CW$4:$CW$99,'Dummy Table'!$BR16,$CY$4:$CY$99)</f>
        <v>0</v>
      </c>
      <c r="BX16" s="261">
        <f t="shared" si="35"/>
        <v>0</v>
      </c>
      <c r="BY16" s="261" t="str">
        <f t="shared" si="36"/>
        <v/>
      </c>
      <c r="BZ16" s="261">
        <f>SUMPRODUCT(($CZ$4:$CZ$99='Dummy Table'!$BR16)*($CX$4:$CX$99&lt;$CY$4:$CY$99))</f>
        <v>0</v>
      </c>
      <c r="CA16" s="261">
        <f>SUMPRODUCT(($CZ$4:$CZ$99='Dummy Table'!$BR16)*($CX$4:$CX$99=$CY$4:$CY$99))</f>
        <v>94</v>
      </c>
      <c r="CB16" s="261">
        <f>SUMPRODUCT(($CZ$4:$CZ$99='Dummy Table'!$BR16)*($CX$4:$CX$99&gt;$CY$4:$CY$99))</f>
        <v>0</v>
      </c>
      <c r="CC16" s="261">
        <f>SUMIF($CZ$4:$CZ$99,'Dummy Table'!$BR16,$CY$4:$CY$99)</f>
        <v>0</v>
      </c>
      <c r="CD16" s="261">
        <f>SUMIF($CZ$4:$CZ$99,'Dummy Table'!$BR16,$CX$4:$CX$99)</f>
        <v>0</v>
      </c>
      <c r="CE16" s="261">
        <f t="shared" si="37"/>
        <v>0</v>
      </c>
      <c r="CF16" s="261" t="str">
        <f t="shared" si="38"/>
        <v/>
      </c>
      <c r="CG16" s="261">
        <f t="shared" si="39"/>
        <v>0</v>
      </c>
      <c r="CH16" s="261">
        <f t="shared" si="3"/>
        <v>188</v>
      </c>
      <c r="CI16" s="261">
        <f t="shared" si="4"/>
        <v>0</v>
      </c>
      <c r="CJ16" s="261">
        <f t="shared" si="5"/>
        <v>0</v>
      </c>
      <c r="CK16" s="261">
        <f t="shared" si="6"/>
        <v>0</v>
      </c>
      <c r="CL16" s="261">
        <f t="shared" si="7"/>
        <v>0</v>
      </c>
      <c r="CM16" s="261">
        <f t="shared" si="45"/>
        <v>-1</v>
      </c>
      <c r="CN16" s="259">
        <f t="shared" si="40"/>
        <v>86000</v>
      </c>
      <c r="CO16" s="259">
        <f>SUMIF($CZ$4:$CZ$99,'Dummy Table'!$BR16,$CY$4:$CY$99)*2</f>
        <v>0</v>
      </c>
      <c r="CP16" s="259">
        <f>RANK(CM16,CM$16:CM$19)</f>
        <v>1</v>
      </c>
      <c r="CR16" s="259">
        <f>SUMPRODUCT((CM$16:CM$19=CM16)*(CL$16:CL$19&gt;CL16))</f>
        <v>0</v>
      </c>
      <c r="CS16" s="259">
        <f>SUMPRODUCT((CP$16:CP$19=CP16)*(CR$16:CR$19=CR16)*(CO$16:CO$19&gt;CO16))</f>
        <v>0</v>
      </c>
      <c r="CT16" s="259">
        <f>IF(BR16&lt;&gt;"",SUMPRODUCT((CP$16:CP$19=CP16)*(CR$16:CR$19=CR16)*(CS$16:CS$19=CS16)*(V$16:V$19&gt;V16)),0)</f>
        <v>0</v>
      </c>
      <c r="CU16" s="259">
        <f>IF($BR16&lt;&gt;"",SUMPRODUCT((CP$16:CP$19=CP16)*(CR$16:CR$19=CR16)*(CS$16:CS$19=CS16)*(CT$16:CT$19=CT16)*(T$16:T$19&gt;T16)),0)</f>
        <v>0</v>
      </c>
      <c r="CV16" s="259">
        <f>SUMPRODUCT((CP$16:CP$19=CP16)*(CR$16:CR$19=CR16)*(CS$16:CS$19=CS16)*(CT$16:CT$19=CT16)*(CU$16:CU$19=CU16)*(CN$16:CN$19&gt;CN16))</f>
        <v>0</v>
      </c>
      <c r="CW16" s="254" t="str">
        <f>IF(AND(COUNTIF($BR$4:$BR$35,'Group Stages'!$G22)&gt;0,COUNTIF($BR$4:$BR$35,'Group Stages'!$M22)&gt;0),'Group Stages'!$G22,"")</f>
        <v>Plzen</v>
      </c>
      <c r="CX16" s="254">
        <f>IF($CW16&lt;&gt;"",'Group Stages'!$I22,"")</f>
        <v>2</v>
      </c>
      <c r="CY16" s="254">
        <f>IF($CW16&lt;&gt;"",'Group Stages'!$K22,"")</f>
        <v>2</v>
      </c>
      <c r="CZ16" s="254" t="str">
        <f>IF($CW16&lt;&gt;"",'Group Stages'!$M22,"")</f>
        <v>CSKA Moscow</v>
      </c>
      <c r="DA16" s="259" t="str">
        <f t="shared" si="8"/>
        <v/>
      </c>
      <c r="DB16" s="254" t="str">
        <f t="shared" si="43"/>
        <v/>
      </c>
      <c r="DC16" s="254">
        <v>1</v>
      </c>
      <c r="DD16" s="254" t="str">
        <f t="shared" si="46"/>
        <v>Porto</v>
      </c>
      <c r="DE16" s="254" t="str">
        <f>IF(DD16="",DC16,"")</f>
        <v/>
      </c>
      <c r="DF16" s="254" t="str">
        <f>VLOOKUP(DE16,$BO$16:$BP$19,2,FALSE)</f>
        <v/>
      </c>
      <c r="DG16" s="254">
        <v>1</v>
      </c>
      <c r="DH16" s="254" t="str">
        <f>IF(DD16="",DF16,DD16)</f>
        <v>Porto</v>
      </c>
      <c r="DI16" s="254">
        <v>13</v>
      </c>
    </row>
    <row r="17" spans="1:113" x14ac:dyDescent="0.2">
      <c r="A17" s="254">
        <f t="shared" si="9"/>
        <v>2</v>
      </c>
      <c r="B17" s="254" t="str">
        <f>'Team Setup'!B18</f>
        <v>Schalke 04</v>
      </c>
      <c r="C17" s="259">
        <f>SUMPRODUCT(('Group Stages'!$I$10:$I$105&lt;&gt;"")*('Group Stages'!$K$10:$K$105&lt;&gt;"")*('Group Stages'!$G$10:$G$105='Dummy Table'!$B17)*('Group Stages'!$I$10:$I$105&gt;'Group Stages'!$K$10:$K$105))</f>
        <v>2</v>
      </c>
      <c r="D17" s="259">
        <f>SUMPRODUCT(('Group Stages'!$I$10:$I$105&lt;&gt;"")*('Group Stages'!$K$10:$K$105&lt;&gt;"")*('Group Stages'!$G$10:$G$105='Dummy Table'!$B17)*('Group Stages'!$I$10:$I$105='Group Stages'!$K$10:$K$105))</f>
        <v>1</v>
      </c>
      <c r="E17" s="259">
        <f>SUMPRODUCT(('Group Stages'!$I$10:$I$105&lt;&gt;"")*('Group Stages'!$K$10:$K$105&lt;&gt;"")*('Group Stages'!$G$10:$G$105='Dummy Table'!$B17)*('Group Stages'!$I$10:$I$105&lt;'Group Stages'!$K$10:$K$105))</f>
        <v>0</v>
      </c>
      <c r="F17" s="259">
        <f>SUMIF('Group Stages'!$G$10:$G$105,'Dummy Table'!$B17,'Group Stages'!$I$10:$I$105)</f>
        <v>4</v>
      </c>
      <c r="G17" s="259">
        <f>SUMIF('Group Stages'!$G$10:$G$105,'Dummy Table'!$B17,'Group Stages'!$K$10:$K$105)</f>
        <v>1</v>
      </c>
      <c r="H17" s="259">
        <f t="shared" si="10"/>
        <v>3</v>
      </c>
      <c r="I17" s="259">
        <f t="shared" si="11"/>
        <v>7</v>
      </c>
      <c r="J17" s="254">
        <f>SUMPRODUCT(('Group Stages'!$I$10:$I$105&lt;&gt;"")*('Group Stages'!$K$10:$K$105&lt;&gt;"")*('Group Stages'!$M$10:$M$105='Dummy Table'!$B17)*('Group Stages'!$I$10:$I$105&lt;'Group Stages'!$K$10:$K$105))</f>
        <v>1</v>
      </c>
      <c r="K17" s="254">
        <f>SUMPRODUCT(('Group Stages'!$I$10:$I$105&lt;&gt;"")*('Group Stages'!$K$10:$K$105&lt;&gt;"")*('Group Stages'!$M$10:$M$105='Dummy Table'!$B17)*('Group Stages'!$I$10:$I$105='Group Stages'!$K$10:$K$105))</f>
        <v>1</v>
      </c>
      <c r="L17" s="254">
        <f>SUMPRODUCT(('Group Stages'!$I$10:$I$105&lt;&gt;"")*('Group Stages'!$K$10:$K$105&lt;&gt;"")*('Group Stages'!$M$10:$M$105='Dummy Table'!$B17)*('Group Stages'!$I$10:$I$105&gt;'Group Stages'!$K$10:$K$105))</f>
        <v>1</v>
      </c>
      <c r="M17" s="254">
        <f>SUMIF('Group Stages'!$M$10:$M$105,'Dummy Table'!$B17,'Group Stages'!$K$10:$K$105)</f>
        <v>2</v>
      </c>
      <c r="N17" s="254">
        <f>SUMIF('Group Stages'!$M$10:$M$105,'Dummy Table'!$B17,'Group Stages'!$I$10:$I$105)</f>
        <v>3</v>
      </c>
      <c r="O17" s="254">
        <f t="shared" si="12"/>
        <v>-1</v>
      </c>
      <c r="P17" s="254">
        <f t="shared" si="13"/>
        <v>4</v>
      </c>
      <c r="Q17" s="254">
        <f t="shared" si="14"/>
        <v>3</v>
      </c>
      <c r="R17" s="254">
        <f t="shared" si="15"/>
        <v>2</v>
      </c>
      <c r="S17" s="254">
        <f t="shared" si="16"/>
        <v>1</v>
      </c>
      <c r="T17" s="254">
        <f t="shared" si="17"/>
        <v>6</v>
      </c>
      <c r="U17" s="254">
        <f t="shared" si="18"/>
        <v>4</v>
      </c>
      <c r="V17" s="254">
        <f t="shared" si="19"/>
        <v>2</v>
      </c>
      <c r="W17" s="254">
        <f t="shared" si="20"/>
        <v>11</v>
      </c>
      <c r="X17" s="259">
        <f>IF('Team Setup'!F18&lt;&gt;"",'Team Setup'!F18,DI17)</f>
        <v>62000</v>
      </c>
      <c r="Y17" s="259">
        <f>RANK(W17,W$16:W$19)</f>
        <v>2</v>
      </c>
      <c r="Z17" s="259">
        <f>SUMPRODUCT((W$16:W$19=W17)*(V$16:V$19&gt;V17))</f>
        <v>0</v>
      </c>
      <c r="AA17" s="259">
        <f>SUMPRODUCT((Y$16:Y$19=Y17)*(Z$16:Z$19=Z17)*(T$16:T$19&gt;T17))</f>
        <v>0</v>
      </c>
      <c r="AB17" s="259">
        <f>SUMPRODUCT((Y$16:Y$19=Y17)*(Z$16:Z$19=Z17)*(T$16:T$19=T17)*(X$16:X$19&gt;X17))</f>
        <v>0</v>
      </c>
      <c r="AC17" s="254">
        <v>2</v>
      </c>
      <c r="AD17" s="254" t="str">
        <f>VLOOKUP(AC17,$A$16:$B$19,2,FALSE)</f>
        <v>Schalke 04</v>
      </c>
      <c r="AE17" s="254">
        <f>VLOOKUP($AD17,$B$16:$W$19,22,FALSE)</f>
        <v>11</v>
      </c>
      <c r="AF17" s="254" t="str">
        <f>IF(OR(AE17=AE16,AE17=AE18),AD17,"")</f>
        <v/>
      </c>
      <c r="AG17" s="259">
        <f>SUMPRODUCT(($BK$4:$BK$99='Dummy Table'!$AF17)*($BL$4:$BL$99&gt;$BM$4:$BM$99))</f>
        <v>0</v>
      </c>
      <c r="AH17" s="259">
        <f>SUMPRODUCT(($BK$4:$BK$99='Dummy Table'!$AF17)*($BL$4:$BL$99=$BM$4:$BM$99))</f>
        <v>90</v>
      </c>
      <c r="AI17" s="259">
        <f>SUMPRODUCT(($BK$4:$BK$99='Dummy Table'!$AF17)*($BL$4:$BL$99&lt;$BM$4:$BM$99))</f>
        <v>0</v>
      </c>
      <c r="AJ17" s="259">
        <f>SUMIF($BK$4:$BK$99,'Dummy Table'!$AF17,$BL$4:$BL$99)</f>
        <v>0</v>
      </c>
      <c r="AK17" s="259">
        <f>SUMIF($BK$4:$BK$99,'Dummy Table'!$AF17,$BM$4:$BM$99)</f>
        <v>0</v>
      </c>
      <c r="AL17" s="259">
        <f t="shared" si="21"/>
        <v>0</v>
      </c>
      <c r="AM17" s="259" t="str">
        <f t="shared" si="22"/>
        <v/>
      </c>
      <c r="AN17" s="259">
        <f>SUMPRODUCT(($BN$4:$BN$99='Dummy Table'!$AF17)*($BL$4:$BL$99&lt;$BM$4:$BM$99))</f>
        <v>0</v>
      </c>
      <c r="AO17" s="259">
        <f>SUMPRODUCT(($BN$4:$BN$99='Dummy Table'!$AF17)*($BL$4:$BL$99=$BM$4:$BM$99))</f>
        <v>90</v>
      </c>
      <c r="AP17" s="259">
        <f>SUMPRODUCT(($BN$4:$BN$99='Dummy Table'!$AF17)*($BL$4:$BL$99&gt;$BM$4:$BM$99))</f>
        <v>0</v>
      </c>
      <c r="AQ17" s="259">
        <f>SUMIF($BN$4:$BN$99,'Dummy Table'!$AF17,$BM$4:$BM$99)</f>
        <v>0</v>
      </c>
      <c r="AR17" s="259">
        <f>SUMIF($BN$4:$BN$99,'Dummy Table'!$AF17,$BL$4:$BL$99)</f>
        <v>0</v>
      </c>
      <c r="AS17" s="259">
        <f t="shared" si="23"/>
        <v>0</v>
      </c>
      <c r="AT17" s="259" t="str">
        <f t="shared" si="24"/>
        <v/>
      </c>
      <c r="AU17" s="259">
        <f t="shared" si="25"/>
        <v>0</v>
      </c>
      <c r="AV17" s="259">
        <f t="shared" si="26"/>
        <v>180</v>
      </c>
      <c r="AW17" s="259">
        <f t="shared" si="27"/>
        <v>0</v>
      </c>
      <c r="AX17" s="259">
        <f t="shared" si="28"/>
        <v>0</v>
      </c>
      <c r="AY17" s="259">
        <f t="shared" si="29"/>
        <v>0</v>
      </c>
      <c r="AZ17" s="259">
        <f t="shared" si="30"/>
        <v>0</v>
      </c>
      <c r="BA17" s="259">
        <f t="shared" si="44"/>
        <v>-1</v>
      </c>
      <c r="BB17" s="254" t="str">
        <f t="shared" si="31"/>
        <v/>
      </c>
      <c r="BC17" s="254" t="str">
        <f t="shared" si="32"/>
        <v/>
      </c>
      <c r="BD17" s="254" t="str">
        <f t="shared" si="33"/>
        <v/>
      </c>
      <c r="BE17" s="254">
        <f>RANK(BA17,BA$16:BA$19)</f>
        <v>1</v>
      </c>
      <c r="BF17" s="254">
        <f>SUMPRODUCT((BA$16:BA$19=BA17)*(AZ$16:AZ$19&gt;AZ17))</f>
        <v>0</v>
      </c>
      <c r="BG17" s="254">
        <f>SUMPRODUCT((BA$16:BA$19=BA17)*(BE$16:BE$19=BE17)*(AZ$16:AZ$19=AZ17)*(AQ$16:AQ$19&gt;AQ17))</f>
        <v>0</v>
      </c>
      <c r="BH17" s="254">
        <f>SUMPRODUCT((BA$16:BA$19=BA17)*(BE$16:BE$19=BE17)*(AZ$16:AZ$19=AZ17)*(AQ$16:AQ$19=AQ17)*(BB$16:BB$19&gt;BB17))</f>
        <v>0</v>
      </c>
      <c r="BI17" s="254">
        <f>SUMPRODUCT((BA$16:BA$19=BA17)*(BE$16:BE$19=BE17)*(AZ$16:AZ$19=AZ17)*(AQ$16:AQ$19=AQ17)*(BB$16:BB$19=BB17)*(BC$16:BC$19&gt;BC17))</f>
        <v>0</v>
      </c>
      <c r="BJ17" s="254">
        <f>SUMPRODUCT((BA$16:BA$19=BA17)*(BE$16:BE$19=BE17)*(AZ$16:AZ$19=AZ17)*(AQ$16:AQ$19=AQ17)*(BB$16:BB$19=BB17)*(BC$16:BC$19=BC17)*(BD$16:BD$19&gt;BD17))</f>
        <v>0</v>
      </c>
      <c r="BK17" s="254" t="str">
        <f>IF(AND(COUNTIF($AF$4:$AF$35,'Group Stages'!G23)&gt;0,COUNTIF($AF$4:$AF$35,'Group Stages'!M23)&gt;0,'Group Stages'!I23&lt;&gt;"",'Group Stages'!K23&lt;&gt;""),'Group Stages'!G23,"")</f>
        <v/>
      </c>
      <c r="BL17" s="254" t="str">
        <f>IF($BK17&lt;&gt;"",'Group Stages'!I23,"")</f>
        <v/>
      </c>
      <c r="BM17" s="254" t="str">
        <f>IF($BK17&lt;&gt;"",'Group Stages'!K23,"")</f>
        <v/>
      </c>
      <c r="BN17" s="254" t="str">
        <f>IF($BK17&lt;&gt;"",'Group Stages'!M23,"")</f>
        <v/>
      </c>
      <c r="BO17" s="254" t="str">
        <f t="shared" si="2"/>
        <v/>
      </c>
      <c r="BP17" s="254" t="str">
        <f t="shared" si="34"/>
        <v/>
      </c>
      <c r="BQ17" s="254">
        <f>VLOOKUP($AD17,$B$16:$W$19,22,FALSE)</f>
        <v>11</v>
      </c>
      <c r="BS17" s="261">
        <f>SUMPRODUCT(($CW$4:$CW$99='Dummy Table'!$BR17)*($CX$4:$CX$99&gt;$CY$4:$CY$99))</f>
        <v>0</v>
      </c>
      <c r="BT17" s="261">
        <f>SUMPRODUCT(($CW$4:$CW$99='Dummy Table'!$BR17)*($CX$4:$CX$99=$CY$4:$CY$99))</f>
        <v>94</v>
      </c>
      <c r="BU17" s="261">
        <f>SUMPRODUCT(($CW$4:$CW$99='Dummy Table'!$BR17)*($CX$4:$CX$99&lt;$CY$4:$CY$99))</f>
        <v>0</v>
      </c>
      <c r="BV17" s="261">
        <f>SUMIF($CW$4:$CW$99,'Dummy Table'!$BR17,$CX$4:$CX$99)</f>
        <v>0</v>
      </c>
      <c r="BW17" s="261">
        <f>SUMIF($CW$4:$CW$99,'Dummy Table'!$BR17,$CY$4:$CY$99)</f>
        <v>0</v>
      </c>
      <c r="BX17" s="261">
        <f t="shared" si="35"/>
        <v>0</v>
      </c>
      <c r="BY17" s="261" t="str">
        <f t="shared" si="36"/>
        <v/>
      </c>
      <c r="BZ17" s="261">
        <f>SUMPRODUCT(($CZ$4:$CZ$99='Dummy Table'!$BR17)*($CX$4:$CX$99&lt;$CY$4:$CY$99))</f>
        <v>0</v>
      </c>
      <c r="CA17" s="261">
        <f>SUMPRODUCT(($CZ$4:$CZ$99='Dummy Table'!$BR17)*($CX$4:$CX$99=$CY$4:$CY$99))</f>
        <v>94</v>
      </c>
      <c r="CB17" s="261">
        <f>SUMPRODUCT(($CZ$4:$CZ$99='Dummy Table'!$BR17)*($CX$4:$CX$99&gt;$CY$4:$CY$99))</f>
        <v>0</v>
      </c>
      <c r="CC17" s="261">
        <f>SUMIF($CZ$4:$CZ$99,'Dummy Table'!$BR17,$CY$4:$CY$99)</f>
        <v>0</v>
      </c>
      <c r="CD17" s="261">
        <f>SUMIF($CZ$4:$CZ$99,'Dummy Table'!$BR17,$CX$4:$CX$99)</f>
        <v>0</v>
      </c>
      <c r="CE17" s="261">
        <f t="shared" si="37"/>
        <v>0</v>
      </c>
      <c r="CF17" s="261" t="str">
        <f t="shared" si="38"/>
        <v/>
      </c>
      <c r="CG17" s="261">
        <f t="shared" si="39"/>
        <v>0</v>
      </c>
      <c r="CH17" s="261">
        <f t="shared" si="3"/>
        <v>188</v>
      </c>
      <c r="CI17" s="261">
        <f t="shared" si="4"/>
        <v>0</v>
      </c>
      <c r="CJ17" s="261">
        <f t="shared" si="5"/>
        <v>0</v>
      </c>
      <c r="CK17" s="261">
        <f t="shared" si="6"/>
        <v>0</v>
      </c>
      <c r="CL17" s="261">
        <f t="shared" si="7"/>
        <v>0</v>
      </c>
      <c r="CM17" s="261">
        <f t="shared" si="45"/>
        <v>-1</v>
      </c>
      <c r="CN17" s="259">
        <f t="shared" si="40"/>
        <v>62000</v>
      </c>
      <c r="CO17" s="259">
        <f>SUMIF($CZ$4:$CZ$99,'Dummy Table'!$BR17,$CY$4:$CY$99)*2</f>
        <v>0</v>
      </c>
      <c r="CP17" s="259">
        <f>RANK(CM17,CM$16:CM$19)</f>
        <v>1</v>
      </c>
      <c r="CR17" s="259">
        <f>SUMPRODUCT((CM$16:CM$19=CM17)*(CL$16:CL$19&gt;CL17))</f>
        <v>0</v>
      </c>
      <c r="CS17" s="259">
        <f>SUMPRODUCT((CP$16:CP$19=CP17)*(CR$16:CR$19=CR17)*(CO$16:CO$19&gt;CO17))</f>
        <v>0</v>
      </c>
      <c r="CT17" s="259">
        <f>IF(BR17&lt;&gt;"",SUMPRODUCT((CP$16:CP$19=CP17)*(CR$16:CR$19=CR17)*(CS$16:CS$19=CS17)*(V$16:V$19&gt;V17)),0)</f>
        <v>0</v>
      </c>
      <c r="CU17" s="259">
        <f>IF($BR17&lt;&gt;"",SUMPRODUCT((CP$16:CP$19=CP17)*(CR$16:CR$19=CR17)*(CS$16:CS$19=CS17)*(CT$16:CT$19=CT17)*(T$16:T$19&gt;T17)),0)</f>
        <v>0</v>
      </c>
      <c r="CV17" s="259">
        <f>SUMPRODUCT((CP$16:CP$19=CP17)*(CR$16:CR$19=CR17)*(CS$16:CS$19=CS17)*(CT$16:CT$19=CT17)*(CU$16:CU$19=CU17)*(CN$16:CN$19&gt;CN17))</f>
        <v>1</v>
      </c>
      <c r="CW17" s="254" t="str">
        <f>IF(AND(COUNTIF($BR$4:$BR$35,'Group Stages'!$G23)&gt;0,COUNTIF($BR$4:$BR$35,'Group Stages'!$M23)&gt;0),'Group Stages'!$G23,"")</f>
        <v/>
      </c>
      <c r="CX17" s="254" t="str">
        <f>IF($CW17&lt;&gt;"",'Group Stages'!$I23,"")</f>
        <v/>
      </c>
      <c r="CY17" s="254" t="str">
        <f>IF($CW17&lt;&gt;"",'Group Stages'!$K23,"")</f>
        <v/>
      </c>
      <c r="CZ17" s="254" t="str">
        <f>IF($CW17&lt;&gt;"",'Group Stages'!$M23,"")</f>
        <v/>
      </c>
      <c r="DA17" s="259" t="str">
        <f t="shared" si="8"/>
        <v/>
      </c>
      <c r="DB17" s="254" t="str">
        <f t="shared" si="43"/>
        <v/>
      </c>
      <c r="DC17" s="254">
        <v>2</v>
      </c>
      <c r="DD17" s="254" t="str">
        <f t="shared" si="46"/>
        <v>Schalke 04</v>
      </c>
      <c r="DE17" s="254" t="str">
        <f>IF(AND(DD17="",DD16=""),DC17,IF(AND(DD16&lt;&gt;"",DD17=""),1,""))</f>
        <v/>
      </c>
      <c r="DF17" s="254" t="str">
        <f>VLOOKUP(DE17,$BO$16:$BP$19,2,FALSE)</f>
        <v/>
      </c>
      <c r="DG17" s="254">
        <v>2</v>
      </c>
      <c r="DH17" s="254" t="str">
        <f>IF(DD17="",DF17,DD17)</f>
        <v>Schalke 04</v>
      </c>
      <c r="DI17" s="254">
        <v>14</v>
      </c>
    </row>
    <row r="18" spans="1:113" x14ac:dyDescent="0.2">
      <c r="A18" s="254">
        <f t="shared" si="9"/>
        <v>3</v>
      </c>
      <c r="B18" s="254" t="str">
        <f>'Team Setup'!B19</f>
        <v>Galatasaray</v>
      </c>
      <c r="C18" s="259">
        <f>SUMPRODUCT(('Group Stages'!$I$10:$I$105&lt;&gt;"")*('Group Stages'!$K$10:$K$105&lt;&gt;"")*('Group Stages'!$G$10:$G$105='Dummy Table'!$B18)*('Group Stages'!$I$10:$I$105&gt;'Group Stages'!$K$10:$K$105))</f>
        <v>1</v>
      </c>
      <c r="D18" s="259">
        <f>SUMPRODUCT(('Group Stages'!$I$10:$I$105&lt;&gt;"")*('Group Stages'!$K$10:$K$105&lt;&gt;"")*('Group Stages'!$G$10:$G$105='Dummy Table'!$B18)*('Group Stages'!$I$10:$I$105='Group Stages'!$K$10:$K$105))</f>
        <v>1</v>
      </c>
      <c r="E18" s="259">
        <f>SUMPRODUCT(('Group Stages'!$I$10:$I$105&lt;&gt;"")*('Group Stages'!$K$10:$K$105&lt;&gt;"")*('Group Stages'!$G$10:$G$105='Dummy Table'!$B18)*('Group Stages'!$I$10:$I$105&lt;'Group Stages'!$K$10:$K$105))</f>
        <v>1</v>
      </c>
      <c r="F18" s="259">
        <f>SUMIF('Group Stages'!$G$10:$G$105,'Dummy Table'!$B18,'Group Stages'!$I$10:$I$105)</f>
        <v>5</v>
      </c>
      <c r="G18" s="259">
        <f>SUMIF('Group Stages'!$G$10:$G$105,'Dummy Table'!$B18,'Group Stages'!$K$10:$K$105)</f>
        <v>3</v>
      </c>
      <c r="H18" s="259">
        <f t="shared" si="10"/>
        <v>2</v>
      </c>
      <c r="I18" s="259">
        <f t="shared" si="11"/>
        <v>4</v>
      </c>
      <c r="J18" s="254">
        <f>SUMPRODUCT(('Group Stages'!$I$10:$I$105&lt;&gt;"")*('Group Stages'!$K$10:$K$105&lt;&gt;"")*('Group Stages'!$M$10:$M$105='Dummy Table'!$B18)*('Group Stages'!$I$10:$I$105&lt;'Group Stages'!$K$10:$K$105))</f>
        <v>0</v>
      </c>
      <c r="K18" s="254">
        <f>SUMPRODUCT(('Group Stages'!$I$10:$I$105&lt;&gt;"")*('Group Stages'!$K$10:$K$105&lt;&gt;"")*('Group Stages'!$M$10:$M$105='Dummy Table'!$B18)*('Group Stages'!$I$10:$I$105='Group Stages'!$K$10:$K$105))</f>
        <v>0</v>
      </c>
      <c r="L18" s="254">
        <f>SUMPRODUCT(('Group Stages'!$I$10:$I$105&lt;&gt;"")*('Group Stages'!$K$10:$K$105&lt;&gt;"")*('Group Stages'!$M$10:$M$105='Dummy Table'!$B18)*('Group Stages'!$I$10:$I$105&gt;'Group Stages'!$K$10:$K$105))</f>
        <v>3</v>
      </c>
      <c r="M18" s="254">
        <f>SUMIF('Group Stages'!$M$10:$M$105,'Dummy Table'!$B18,'Group Stages'!$K$10:$K$105)</f>
        <v>0</v>
      </c>
      <c r="N18" s="254">
        <f>SUMIF('Group Stages'!$M$10:$M$105,'Dummy Table'!$B18,'Group Stages'!$I$10:$I$105)</f>
        <v>5</v>
      </c>
      <c r="O18" s="254">
        <f t="shared" si="12"/>
        <v>-5</v>
      </c>
      <c r="P18" s="254">
        <f t="shared" si="13"/>
        <v>0</v>
      </c>
      <c r="Q18" s="254">
        <f t="shared" si="14"/>
        <v>1</v>
      </c>
      <c r="R18" s="254">
        <f t="shared" si="15"/>
        <v>1</v>
      </c>
      <c r="S18" s="254">
        <f t="shared" si="16"/>
        <v>4</v>
      </c>
      <c r="T18" s="254">
        <f t="shared" si="17"/>
        <v>5</v>
      </c>
      <c r="U18" s="254">
        <f t="shared" si="18"/>
        <v>8</v>
      </c>
      <c r="V18" s="254">
        <f t="shared" si="19"/>
        <v>-3</v>
      </c>
      <c r="W18" s="254">
        <f t="shared" si="20"/>
        <v>4</v>
      </c>
      <c r="X18" s="259">
        <f>IF('Team Setup'!F19&lt;&gt;"",'Team Setup'!F19,DI18)</f>
        <v>29500</v>
      </c>
      <c r="Y18" s="259">
        <f>RANK(W18,W$16:W$19)</f>
        <v>3</v>
      </c>
      <c r="Z18" s="259">
        <f>SUMPRODUCT((W$16:W$19=W18)*(V$16:V$19&gt;V18))</f>
        <v>0</v>
      </c>
      <c r="AA18" s="259">
        <f>SUMPRODUCT((Y$16:Y$19=Y18)*(Z$16:Z$19=Z18)*(T$16:T$19&gt;T18))</f>
        <v>0</v>
      </c>
      <c r="AB18" s="259">
        <f>SUMPRODUCT((Y$16:Y$19=Y18)*(Z$16:Z$19=Z18)*(T$16:T$19=T18)*(X$16:X$19&gt;X18))</f>
        <v>0</v>
      </c>
      <c r="AC18" s="254">
        <v>3</v>
      </c>
      <c r="AD18" s="254" t="str">
        <f>VLOOKUP(AC18,$A$16:$B$19,2,FALSE)</f>
        <v>Galatasaray</v>
      </c>
      <c r="AE18" s="254">
        <f>VLOOKUP($AD18,$B$16:$W$19,22,FALSE)</f>
        <v>4</v>
      </c>
      <c r="AF18" s="254" t="str">
        <f>IF(AE18=AE17,AD18,"")</f>
        <v/>
      </c>
      <c r="AG18" s="259">
        <f>SUMPRODUCT(($BK$4:$BK$99='Dummy Table'!$AF18)*($BL$4:$BL$99&gt;$BM$4:$BM$99))</f>
        <v>0</v>
      </c>
      <c r="AH18" s="259">
        <f>SUMPRODUCT(($BK$4:$BK$99='Dummy Table'!$AF18)*($BL$4:$BL$99=$BM$4:$BM$99))</f>
        <v>90</v>
      </c>
      <c r="AI18" s="259">
        <f>SUMPRODUCT(($BK$4:$BK$99='Dummy Table'!$AF18)*($BL$4:$BL$99&lt;$BM$4:$BM$99))</f>
        <v>0</v>
      </c>
      <c r="AJ18" s="259">
        <f>SUMIF($BK$4:$BK$99,'Dummy Table'!$AF18,$BL$4:$BL$99)</f>
        <v>0</v>
      </c>
      <c r="AK18" s="259">
        <f>SUMIF($BK$4:$BK$99,'Dummy Table'!$AF18,$BM$4:$BM$99)</f>
        <v>0</v>
      </c>
      <c r="AL18" s="259">
        <f t="shared" si="21"/>
        <v>0</v>
      </c>
      <c r="AM18" s="259" t="str">
        <f t="shared" si="22"/>
        <v/>
      </c>
      <c r="AN18" s="259">
        <f>SUMPRODUCT(($BN$4:$BN$99='Dummy Table'!$AF18)*($BL$4:$BL$99&lt;$BM$4:$BM$99))</f>
        <v>0</v>
      </c>
      <c r="AO18" s="259">
        <f>SUMPRODUCT(($BN$4:$BN$99='Dummy Table'!$AF18)*($BL$4:$BL$99=$BM$4:$BM$99))</f>
        <v>90</v>
      </c>
      <c r="AP18" s="259">
        <f>SUMPRODUCT(($BN$4:$BN$99='Dummy Table'!$AF18)*($BL$4:$BL$99&gt;$BM$4:$BM$99))</f>
        <v>0</v>
      </c>
      <c r="AQ18" s="259">
        <f>SUMIF($BN$4:$BN$99,'Dummy Table'!$AF18,$BM$4:$BM$99)</f>
        <v>0</v>
      </c>
      <c r="AR18" s="259">
        <f>SUMIF($BN$4:$BN$99,'Dummy Table'!$AF18,$BL$4:$BL$99)</f>
        <v>0</v>
      </c>
      <c r="AS18" s="259">
        <f t="shared" si="23"/>
        <v>0</v>
      </c>
      <c r="AT18" s="259" t="str">
        <f t="shared" si="24"/>
        <v/>
      </c>
      <c r="AU18" s="259">
        <f t="shared" si="25"/>
        <v>0</v>
      </c>
      <c r="AV18" s="259">
        <f t="shared" si="26"/>
        <v>180</v>
      </c>
      <c r="AW18" s="259">
        <f t="shared" si="27"/>
        <v>0</v>
      </c>
      <c r="AX18" s="259">
        <f t="shared" si="28"/>
        <v>0</v>
      </c>
      <c r="AY18" s="259">
        <f t="shared" si="29"/>
        <v>0</v>
      </c>
      <c r="AZ18" s="259">
        <f t="shared" si="30"/>
        <v>0</v>
      </c>
      <c r="BA18" s="259">
        <f t="shared" si="44"/>
        <v>-1</v>
      </c>
      <c r="BB18" s="254" t="str">
        <f t="shared" si="31"/>
        <v/>
      </c>
      <c r="BC18" s="254" t="str">
        <f t="shared" si="32"/>
        <v/>
      </c>
      <c r="BD18" s="254" t="str">
        <f t="shared" si="33"/>
        <v/>
      </c>
      <c r="BE18" s="254">
        <f>RANK(BA18,BA$16:BA$19)</f>
        <v>1</v>
      </c>
      <c r="BF18" s="254">
        <f>SUMPRODUCT((BA$16:BA$19=BA18)*(AZ$16:AZ$19&gt;AZ18))</f>
        <v>0</v>
      </c>
      <c r="BG18" s="254">
        <f>SUMPRODUCT((BA$16:BA$19=BA18)*(BE$16:BE$19=BE18)*(AZ$16:AZ$19=AZ18)*(AQ$16:AQ$19&gt;AQ18))</f>
        <v>0</v>
      </c>
      <c r="BH18" s="254">
        <f>SUMPRODUCT((BA$16:BA$19=BA18)*(BE$16:BE$19=BE18)*(AZ$16:AZ$19=AZ18)*(AQ$16:AQ$19=AQ18)*(BB$16:BB$19&gt;BB18))</f>
        <v>0</v>
      </c>
      <c r="BI18" s="254">
        <f>SUMPRODUCT((BA$16:BA$19=BA18)*(BE$16:BE$19=BE18)*(AZ$16:AZ$19=AZ18)*(AQ$16:AQ$19=AQ18)*(BB$16:BB$19=BB18)*(BC$16:BC$19&gt;BC18))</f>
        <v>0</v>
      </c>
      <c r="BJ18" s="254">
        <f>SUMPRODUCT((BA$16:BA$19=BA18)*(BE$16:BE$19=BE18)*(AZ$16:AZ$19=AZ18)*(AQ$16:AQ$19=AQ18)*(BB$16:BB$19=BB18)*(BC$16:BC$19=BC18)*(BD$16:BD$19&gt;BD18))</f>
        <v>0</v>
      </c>
      <c r="BK18" s="254" t="str">
        <f>IF(AND(COUNTIF($AF$4:$AF$35,'Group Stages'!G24)&gt;0,COUNTIF($AF$4:$AF$35,'Group Stages'!M24)&gt;0,'Group Stages'!I24&lt;&gt;"",'Group Stages'!K24&lt;&gt;""),'Group Stages'!G24,"")</f>
        <v/>
      </c>
      <c r="BL18" s="254" t="str">
        <f>IF($BK18&lt;&gt;"",'Group Stages'!I24,"")</f>
        <v/>
      </c>
      <c r="BM18" s="254" t="str">
        <f>IF($BK18&lt;&gt;"",'Group Stages'!K24,"")</f>
        <v/>
      </c>
      <c r="BN18" s="254" t="str">
        <f>IF($BK18&lt;&gt;"",'Group Stages'!M24,"")</f>
        <v/>
      </c>
      <c r="BO18" s="254" t="str">
        <f t="shared" si="2"/>
        <v/>
      </c>
      <c r="BP18" s="254" t="str">
        <f t="shared" si="34"/>
        <v/>
      </c>
      <c r="BQ18" s="254">
        <f>VLOOKUP($AD18,$B$16:$W$19,22,FALSE)</f>
        <v>4</v>
      </c>
      <c r="BR18" s="254" t="str">
        <f>IF(AND(BQ18&lt;&gt;BQ17,BQ18=BQ19),AD18,"")</f>
        <v/>
      </c>
      <c r="BS18" s="261">
        <f>SUMPRODUCT(($CW$4:$CW$99='Dummy Table'!$BR18)*($CX$4:$CX$99&gt;$CY$4:$CY$99))</f>
        <v>0</v>
      </c>
      <c r="BT18" s="261">
        <f>SUMPRODUCT(($CW$4:$CW$99='Dummy Table'!$BR18)*($CX$4:$CX$99=$CY$4:$CY$99))</f>
        <v>94</v>
      </c>
      <c r="BU18" s="261">
        <f>SUMPRODUCT(($CW$4:$CW$99='Dummy Table'!$BR18)*($CX$4:$CX$99&lt;$CY$4:$CY$99))</f>
        <v>0</v>
      </c>
      <c r="BV18" s="261">
        <f>SUMIF($CW$4:$CW$99,'Dummy Table'!$BR18,$CX$4:$CX$99)</f>
        <v>0</v>
      </c>
      <c r="BW18" s="261">
        <f>SUMIF($CW$4:$CW$99,'Dummy Table'!$BR18,$CY$4:$CY$99)</f>
        <v>0</v>
      </c>
      <c r="BX18" s="261">
        <f t="shared" si="35"/>
        <v>0</v>
      </c>
      <c r="BY18" s="261" t="str">
        <f t="shared" si="36"/>
        <v/>
      </c>
      <c r="BZ18" s="261">
        <f>SUMPRODUCT(($CZ$4:$CZ$99='Dummy Table'!$BR18)*($CX$4:$CX$99&lt;$CY$4:$CY$99))</f>
        <v>0</v>
      </c>
      <c r="CA18" s="261">
        <f>SUMPRODUCT(($CZ$4:$CZ$99='Dummy Table'!$BR18)*($CX$4:$CX$99=$CY$4:$CY$99))</f>
        <v>94</v>
      </c>
      <c r="CB18" s="261">
        <f>SUMPRODUCT(($CZ$4:$CZ$99='Dummy Table'!$BR18)*($CX$4:$CX$99&gt;$CY$4:$CY$99))</f>
        <v>0</v>
      </c>
      <c r="CC18" s="261">
        <f>SUMIF($CZ$4:$CZ$99,'Dummy Table'!$BR18,$CY$4:$CY$99)</f>
        <v>0</v>
      </c>
      <c r="CD18" s="261">
        <f>SUMIF($CZ$4:$CZ$99,'Dummy Table'!$BR18,$CX$4:$CX$99)</f>
        <v>0</v>
      </c>
      <c r="CE18" s="261">
        <f t="shared" si="37"/>
        <v>0</v>
      </c>
      <c r="CF18" s="261" t="str">
        <f t="shared" si="38"/>
        <v/>
      </c>
      <c r="CG18" s="261">
        <f t="shared" si="39"/>
        <v>0</v>
      </c>
      <c r="CH18" s="261">
        <f t="shared" si="3"/>
        <v>188</v>
      </c>
      <c r="CI18" s="261">
        <f t="shared" si="4"/>
        <v>0</v>
      </c>
      <c r="CJ18" s="261">
        <f t="shared" si="5"/>
        <v>0</v>
      </c>
      <c r="CK18" s="261">
        <f t="shared" si="6"/>
        <v>0</v>
      </c>
      <c r="CL18" s="261">
        <f t="shared" si="7"/>
        <v>0</v>
      </c>
      <c r="CM18" s="261">
        <f t="shared" si="45"/>
        <v>-1</v>
      </c>
      <c r="CN18" s="259">
        <f t="shared" si="40"/>
        <v>29500</v>
      </c>
      <c r="CO18" s="259">
        <f>SUMIF($CZ$4:$CZ$99,'Dummy Table'!$BR18,$CY$4:$CY$99)*2</f>
        <v>0</v>
      </c>
      <c r="CP18" s="259">
        <f>RANK(CM18,CM$16:CM$19)</f>
        <v>1</v>
      </c>
      <c r="CR18" s="259">
        <f>SUMPRODUCT((CM$16:CM$19=CM18)*(CL$16:CL$19&gt;CL18))</f>
        <v>0</v>
      </c>
      <c r="CS18" s="259">
        <f>SUMPRODUCT((CP$16:CP$19=CP18)*(CR$16:CR$19=CR18)*(CO$16:CO$19&gt;CO18))</f>
        <v>0</v>
      </c>
      <c r="CT18" s="259">
        <f>IF(BR18&lt;&gt;"",SUMPRODUCT((CP$16:CP$19=CP18)*(CR$16:CR$19=CR18)*(CS$16:CS$19=CS18)*(V$16:V$19&gt;V18)),0)</f>
        <v>0</v>
      </c>
      <c r="CU18" s="259">
        <f>IF($BR18&lt;&gt;"",SUMPRODUCT((CP$16:CP$19=CP18)*(CR$16:CR$19=CR18)*(CS$16:CS$19=CS18)*(CT$16:CT$19=CT18)*(T$16:T$19&gt;T18)),0)</f>
        <v>0</v>
      </c>
      <c r="CV18" s="259">
        <f>SUMPRODUCT((CP$16:CP$19=CP18)*(CR$16:CR$19=CR18)*(CS$16:CS$19=CS18)*(CT$16:CT$19=CT18)*(CU$16:CU$19=CU18)*(CN$16:CN$19&gt;CN18))</f>
        <v>2</v>
      </c>
      <c r="CW18" s="254" t="str">
        <f>IF(AND(COUNTIF($BR$4:$BR$35,'Group Stages'!$G24)&gt;0,COUNTIF($BR$4:$BR$35,'Group Stages'!$M24)&gt;0),'Group Stages'!$G24,"")</f>
        <v/>
      </c>
      <c r="CX18" s="254" t="str">
        <f>IF($CW18&lt;&gt;"",'Group Stages'!$I24,"")</f>
        <v/>
      </c>
      <c r="CY18" s="254" t="str">
        <f>IF($CW18&lt;&gt;"",'Group Stages'!$K24,"")</f>
        <v/>
      </c>
      <c r="CZ18" s="254" t="str">
        <f>IF($CW18&lt;&gt;"",'Group Stages'!$M24,"")</f>
        <v/>
      </c>
      <c r="DA18" s="259" t="str">
        <f t="shared" si="8"/>
        <v/>
      </c>
      <c r="DB18" s="254" t="str">
        <f t="shared" si="43"/>
        <v/>
      </c>
      <c r="DC18" s="254">
        <v>3</v>
      </c>
      <c r="DD18" s="254" t="str">
        <f t="shared" si="46"/>
        <v>Galatasaray</v>
      </c>
      <c r="DE18" s="254" t="str">
        <f>IF(AND(DD18="",DD17="",DD16=""),DC18,IF(AND(DD16&lt;&gt;"",DD17="",DD18=""),2,IF(AND(DD16&lt;&gt;"",DD17&lt;&gt;"",DD18=""),1,"")))</f>
        <v/>
      </c>
      <c r="DF18" s="254" t="str">
        <f>VLOOKUP(DE18,$BO$16:$BP$19,2,FALSE)</f>
        <v/>
      </c>
      <c r="DG18" s="254">
        <v>3</v>
      </c>
      <c r="DH18" s="254" t="str">
        <f>IF(DB18&lt;&gt;"",IF(DA18&lt;DA19,DB18,DB19),IF(DF18&lt;&gt;"",DF18,DD18))</f>
        <v>Galatasaray</v>
      </c>
      <c r="DI18" s="254">
        <v>15</v>
      </c>
    </row>
    <row r="19" spans="1:113" x14ac:dyDescent="0.2">
      <c r="A19" s="254">
        <f t="shared" si="9"/>
        <v>4</v>
      </c>
      <c r="B19" s="254" t="str">
        <f>'Team Setup'!B20</f>
        <v>Lokomotiv Moscow</v>
      </c>
      <c r="C19" s="259">
        <f>SUMPRODUCT(('Group Stages'!$I$10:$I$105&lt;&gt;"")*('Group Stages'!$K$10:$K$105&lt;&gt;"")*('Group Stages'!$G$10:$G$105='Dummy Table'!$B19)*('Group Stages'!$I$10:$I$105&gt;'Group Stages'!$K$10:$K$105))</f>
        <v>1</v>
      </c>
      <c r="D19" s="259">
        <f>SUMPRODUCT(('Group Stages'!$I$10:$I$105&lt;&gt;"")*('Group Stages'!$K$10:$K$105&lt;&gt;"")*('Group Stages'!$G$10:$G$105='Dummy Table'!$B19)*('Group Stages'!$I$10:$I$105='Group Stages'!$K$10:$K$105))</f>
        <v>0</v>
      </c>
      <c r="E19" s="259">
        <f>SUMPRODUCT(('Group Stages'!$I$10:$I$105&lt;&gt;"")*('Group Stages'!$K$10:$K$105&lt;&gt;"")*('Group Stages'!$G$10:$G$105='Dummy Table'!$B19)*('Group Stages'!$I$10:$I$105&lt;'Group Stages'!$K$10:$K$105))</f>
        <v>2</v>
      </c>
      <c r="F19" s="259">
        <f>SUMIF('Group Stages'!$G$10:$G$105,'Dummy Table'!$B19,'Group Stages'!$I$10:$I$105)</f>
        <v>3</v>
      </c>
      <c r="G19" s="259">
        <f>SUMIF('Group Stages'!$G$10:$G$105,'Dummy Table'!$B19,'Group Stages'!$K$10:$K$105)</f>
        <v>4</v>
      </c>
      <c r="H19" s="259">
        <f t="shared" si="10"/>
        <v>-1</v>
      </c>
      <c r="I19" s="259">
        <f t="shared" si="11"/>
        <v>3</v>
      </c>
      <c r="J19" s="254">
        <f>SUMPRODUCT(('Group Stages'!$I$10:$I$105&lt;&gt;"")*('Group Stages'!$K$10:$K$105&lt;&gt;"")*('Group Stages'!$M$10:$M$105='Dummy Table'!$B19)*('Group Stages'!$I$10:$I$105&lt;'Group Stages'!$K$10:$K$105))</f>
        <v>0</v>
      </c>
      <c r="K19" s="254">
        <f>SUMPRODUCT(('Group Stages'!$I$10:$I$105&lt;&gt;"")*('Group Stages'!$K$10:$K$105&lt;&gt;"")*('Group Stages'!$M$10:$M$105='Dummy Table'!$B19)*('Group Stages'!$I$10:$I$105='Group Stages'!$K$10:$K$105))</f>
        <v>0</v>
      </c>
      <c r="L19" s="254">
        <f>SUMPRODUCT(('Group Stages'!$I$10:$I$105&lt;&gt;"")*('Group Stages'!$K$10:$K$105&lt;&gt;"")*('Group Stages'!$M$10:$M$105='Dummy Table'!$B19)*('Group Stages'!$I$10:$I$105&gt;'Group Stages'!$K$10:$K$105))</f>
        <v>3</v>
      </c>
      <c r="M19" s="254">
        <f>SUMIF('Group Stages'!$M$10:$M$105,'Dummy Table'!$B19,'Group Stages'!$K$10:$K$105)</f>
        <v>1</v>
      </c>
      <c r="N19" s="254">
        <f>SUMIF('Group Stages'!$M$10:$M$105,'Dummy Table'!$B19,'Group Stages'!$I$10:$I$105)</f>
        <v>8</v>
      </c>
      <c r="O19" s="254">
        <f t="shared" si="12"/>
        <v>-7</v>
      </c>
      <c r="P19" s="254">
        <f t="shared" si="13"/>
        <v>0</v>
      </c>
      <c r="Q19" s="254">
        <f t="shared" si="14"/>
        <v>1</v>
      </c>
      <c r="R19" s="254">
        <f t="shared" si="15"/>
        <v>0</v>
      </c>
      <c r="S19" s="254">
        <f t="shared" si="16"/>
        <v>5</v>
      </c>
      <c r="T19" s="254">
        <f t="shared" si="17"/>
        <v>4</v>
      </c>
      <c r="U19" s="254">
        <f t="shared" si="18"/>
        <v>12</v>
      </c>
      <c r="V19" s="254">
        <f t="shared" si="19"/>
        <v>-8</v>
      </c>
      <c r="W19" s="254">
        <f t="shared" si="20"/>
        <v>3</v>
      </c>
      <c r="X19" s="259">
        <f>IF('Team Setup'!F20&lt;&gt;"",'Team Setup'!F20,DI19)</f>
        <v>22500</v>
      </c>
      <c r="Y19" s="259">
        <f>RANK(W19,W$16:W$19)</f>
        <v>4</v>
      </c>
      <c r="Z19" s="259">
        <f>SUMPRODUCT((W$16:W$19=W19)*(V$16:V$19&gt;V19))</f>
        <v>0</v>
      </c>
      <c r="AA19" s="259">
        <f>SUMPRODUCT((Y$16:Y$19=Y19)*(Z$16:Z$19=Z19)*(T$16:T$19&gt;T19))</f>
        <v>0</v>
      </c>
      <c r="AB19" s="259">
        <f>SUMPRODUCT((Y$16:Y$19=Y19)*(Z$16:Z$19=Z19)*(T$16:T$19=T19)*(X$16:X$19&gt;X19))</f>
        <v>0</v>
      </c>
      <c r="AC19" s="254">
        <v>4</v>
      </c>
      <c r="AD19" s="254" t="str">
        <f>VLOOKUP(AC19,$A$16:$B$19,2,FALSE)</f>
        <v>Lokomotiv Moscow</v>
      </c>
      <c r="AE19" s="254">
        <f>VLOOKUP($AD19,$B$16:$W$19,22,FALSE)</f>
        <v>3</v>
      </c>
      <c r="AF19" s="254" t="str">
        <f>IF(AND(AE19=AE18,AE18=AE17),AD19,"")</f>
        <v/>
      </c>
      <c r="AG19" s="259">
        <f>SUMPRODUCT(($BK$4:$BK$99='Dummy Table'!$AF19)*($BL$4:$BL$99&gt;$BM$4:$BM$99))</f>
        <v>0</v>
      </c>
      <c r="AH19" s="259">
        <f>SUMPRODUCT(($BK$4:$BK$99='Dummy Table'!$AF19)*($BL$4:$BL$99=$BM$4:$BM$99))</f>
        <v>90</v>
      </c>
      <c r="AI19" s="259">
        <f>SUMPRODUCT(($BK$4:$BK$99='Dummy Table'!$AF19)*($BL$4:$BL$99&lt;$BM$4:$BM$99))</f>
        <v>0</v>
      </c>
      <c r="AJ19" s="259">
        <f>SUMIF($BK$4:$BK$99,'Dummy Table'!$AF19,$BL$4:$BL$99)</f>
        <v>0</v>
      </c>
      <c r="AK19" s="259">
        <f>SUMIF($BK$4:$BK$99,'Dummy Table'!$AF19,$BM$4:$BM$99)</f>
        <v>0</v>
      </c>
      <c r="AL19" s="259">
        <f t="shared" si="21"/>
        <v>0</v>
      </c>
      <c r="AM19" s="259" t="str">
        <f t="shared" si="22"/>
        <v/>
      </c>
      <c r="AN19" s="259">
        <f>SUMPRODUCT(($BN$4:$BN$99='Dummy Table'!$AF19)*($BL$4:$BL$99&lt;$BM$4:$BM$99))</f>
        <v>0</v>
      </c>
      <c r="AO19" s="259">
        <f>SUMPRODUCT(($BN$4:$BN$99='Dummy Table'!$AF19)*($BL$4:$BL$99=$BM$4:$BM$99))</f>
        <v>90</v>
      </c>
      <c r="AP19" s="259">
        <f>SUMPRODUCT(($BN$4:$BN$99='Dummy Table'!$AF19)*($BL$4:$BL$99&gt;$BM$4:$BM$99))</f>
        <v>0</v>
      </c>
      <c r="AQ19" s="259">
        <f>SUMIF($BN$4:$BN$99,'Dummy Table'!$AF19,$BM$4:$BM$99)</f>
        <v>0</v>
      </c>
      <c r="AR19" s="259">
        <f>SUMIF($BN$4:$BN$99,'Dummy Table'!$AF19,$BL$4:$BL$99)</f>
        <v>0</v>
      </c>
      <c r="AS19" s="259">
        <f t="shared" si="23"/>
        <v>0</v>
      </c>
      <c r="AT19" s="259" t="str">
        <f t="shared" si="24"/>
        <v/>
      </c>
      <c r="AU19" s="259">
        <f t="shared" si="25"/>
        <v>0</v>
      </c>
      <c r="AV19" s="259">
        <f t="shared" si="26"/>
        <v>180</v>
      </c>
      <c r="AW19" s="259">
        <f t="shared" si="27"/>
        <v>0</v>
      </c>
      <c r="AX19" s="259">
        <f t="shared" si="28"/>
        <v>0</v>
      </c>
      <c r="AY19" s="259">
        <f t="shared" si="29"/>
        <v>0</v>
      </c>
      <c r="AZ19" s="259">
        <f t="shared" si="30"/>
        <v>0</v>
      </c>
      <c r="BA19" s="259">
        <f t="shared" si="44"/>
        <v>-1</v>
      </c>
      <c r="BB19" s="254" t="str">
        <f t="shared" si="31"/>
        <v/>
      </c>
      <c r="BC19" s="254" t="str">
        <f t="shared" si="32"/>
        <v/>
      </c>
      <c r="BD19" s="254" t="str">
        <f t="shared" si="33"/>
        <v/>
      </c>
      <c r="BE19" s="254">
        <f>RANK(BA19,BA$16:BA$19)</f>
        <v>1</v>
      </c>
      <c r="BF19" s="254">
        <f>SUMPRODUCT((BA$16:BA$19=BA19)*(AZ$16:AZ$19&gt;AZ19))</f>
        <v>0</v>
      </c>
      <c r="BG19" s="254">
        <f>SUMPRODUCT((BA$16:BA$19=BA19)*(BE$16:BE$19=BE19)*(AZ$16:AZ$19=AZ19)*(AQ$16:AQ$19&gt;AQ19))</f>
        <v>0</v>
      </c>
      <c r="BH19" s="254">
        <f>SUMPRODUCT((BA$16:BA$19=BA19)*(BE$16:BE$19=BE19)*(AZ$16:AZ$19=AZ19)*(AQ$16:AQ$19=AQ19)*(BB$16:BB$19&gt;BB19))</f>
        <v>0</v>
      </c>
      <c r="BI19" s="254">
        <f>SUMPRODUCT((BA$16:BA$19=BA19)*(BE$16:BE$19=BE19)*(AZ$16:AZ$19=AZ19)*(AQ$16:AQ$19=AQ19)*(BB$16:BB$19=BB19)*(BC$16:BC$19&gt;BC19))</f>
        <v>0</v>
      </c>
      <c r="BJ19" s="254">
        <f>SUMPRODUCT((BA$16:BA$19=BA19)*(BE$16:BE$19=BE19)*(AZ$16:AZ$19=AZ19)*(AQ$16:AQ$19=AQ19)*(BB$16:BB$19=BB19)*(BC$16:BC$19=BC19)*(BD$16:BD$19&gt;BD19))</f>
        <v>0</v>
      </c>
      <c r="BK19" s="254" t="str">
        <f>IF(AND(COUNTIF($AF$4:$AF$35,'Group Stages'!G25)&gt;0,COUNTIF($AF$4:$AF$35,'Group Stages'!M25)&gt;0,'Group Stages'!I25&lt;&gt;"",'Group Stages'!K25&lt;&gt;""),'Group Stages'!G25,"")</f>
        <v/>
      </c>
      <c r="BL19" s="254" t="str">
        <f>IF($BK19&lt;&gt;"",'Group Stages'!I25,"")</f>
        <v/>
      </c>
      <c r="BM19" s="254" t="str">
        <f>IF($BK19&lt;&gt;"",'Group Stages'!K25,"")</f>
        <v/>
      </c>
      <c r="BN19" s="254" t="str">
        <f>IF($BK19&lt;&gt;"",'Group Stages'!M25,"")</f>
        <v/>
      </c>
      <c r="BO19" s="254" t="str">
        <f t="shared" si="2"/>
        <v/>
      </c>
      <c r="BP19" s="254" t="str">
        <f t="shared" si="34"/>
        <v/>
      </c>
      <c r="BQ19" s="254">
        <f>VLOOKUP($AD19,$B$16:$W$19,22,FALSE)</f>
        <v>3</v>
      </c>
      <c r="BR19" s="254" t="str">
        <f>IF(BR18&lt;&gt;"",AD19,"")</f>
        <v/>
      </c>
      <c r="BS19" s="261">
        <f>SUMPRODUCT(($CW$4:$CW$99='Dummy Table'!$BR19)*($CX$4:$CX$99&gt;$CY$4:$CY$99))</f>
        <v>0</v>
      </c>
      <c r="BT19" s="261">
        <f>SUMPRODUCT(($CW$4:$CW$99='Dummy Table'!$BR19)*($CX$4:$CX$99=$CY$4:$CY$99))</f>
        <v>94</v>
      </c>
      <c r="BU19" s="261">
        <f>SUMPRODUCT(($CW$4:$CW$99='Dummy Table'!$BR19)*($CX$4:$CX$99&lt;$CY$4:$CY$99))</f>
        <v>0</v>
      </c>
      <c r="BV19" s="261">
        <f>SUMIF($CW$4:$CW$99,'Dummy Table'!$BR19,$CX$4:$CX$99)</f>
        <v>0</v>
      </c>
      <c r="BW19" s="261">
        <f>SUMIF($CW$4:$CW$99,'Dummy Table'!$BR19,$CY$4:$CY$99)</f>
        <v>0</v>
      </c>
      <c r="BX19" s="261">
        <f t="shared" si="35"/>
        <v>0</v>
      </c>
      <c r="BY19" s="261" t="str">
        <f t="shared" si="36"/>
        <v/>
      </c>
      <c r="BZ19" s="261">
        <f>SUMPRODUCT(($CZ$4:$CZ$99='Dummy Table'!$BR19)*($CX$4:$CX$99&lt;$CY$4:$CY$99))</f>
        <v>0</v>
      </c>
      <c r="CA19" s="261">
        <f>SUMPRODUCT(($CZ$4:$CZ$99='Dummy Table'!$BR19)*($CX$4:$CX$99=$CY$4:$CY$99))</f>
        <v>94</v>
      </c>
      <c r="CB19" s="261">
        <f>SUMPRODUCT(($CZ$4:$CZ$99='Dummy Table'!$BR19)*($CX$4:$CX$99&gt;$CY$4:$CY$99))</f>
        <v>0</v>
      </c>
      <c r="CC19" s="261">
        <f>SUMIF($CZ$4:$CZ$99,'Dummy Table'!$BR19,$CY$4:$CY$99)</f>
        <v>0</v>
      </c>
      <c r="CD19" s="261">
        <f>SUMIF($CZ$4:$CZ$99,'Dummy Table'!$BR19,$CX$4:$CX$99)</f>
        <v>0</v>
      </c>
      <c r="CE19" s="261">
        <f t="shared" si="37"/>
        <v>0</v>
      </c>
      <c r="CF19" s="261" t="str">
        <f t="shared" si="38"/>
        <v/>
      </c>
      <c r="CG19" s="261">
        <f t="shared" si="39"/>
        <v>0</v>
      </c>
      <c r="CH19" s="261">
        <f t="shared" si="3"/>
        <v>188</v>
      </c>
      <c r="CI19" s="261">
        <f t="shared" si="4"/>
        <v>0</v>
      </c>
      <c r="CJ19" s="261">
        <f t="shared" si="5"/>
        <v>0</v>
      </c>
      <c r="CK19" s="261">
        <f t="shared" si="6"/>
        <v>0</v>
      </c>
      <c r="CL19" s="261">
        <f t="shared" si="7"/>
        <v>0</v>
      </c>
      <c r="CM19" s="261">
        <f t="shared" si="45"/>
        <v>-1</v>
      </c>
      <c r="CN19" s="259">
        <f t="shared" si="40"/>
        <v>22500</v>
      </c>
      <c r="CO19" s="259">
        <f>SUMIF($CZ$4:$CZ$99,'Dummy Table'!$BR19,$CY$4:$CY$99)*2</f>
        <v>0</v>
      </c>
      <c r="CP19" s="259">
        <f>RANK(CM19,CM$16:CM$19)</f>
        <v>1</v>
      </c>
      <c r="CR19" s="259">
        <f>SUMPRODUCT((CM$16:CM$19=CM19)*(CL$16:CL$19&gt;CL19))</f>
        <v>0</v>
      </c>
      <c r="CS19" s="259">
        <f>SUMPRODUCT((CP$16:CP$19=CP19)*(CR$16:CR$19=CR19)*(CO$16:CO$19&gt;CO19))</f>
        <v>0</v>
      </c>
      <c r="CT19" s="259">
        <f>IF(BR19&lt;&gt;"",SUMPRODUCT((CP$16:CP$19=CP19)*(CR$16:CR$19=CR19)*(CS$16:CS$19=CS19)*(V$16:V$19&gt;V19)),0)</f>
        <v>0</v>
      </c>
      <c r="CU19" s="259">
        <f>IF($BR19&lt;&gt;"",SUMPRODUCT((CP$16:CP$19=CP19)*(CR$16:CR$19=CR19)*(CS$16:CS$19=CS19)*(CT$16:CT$19=CT19)*(T$16:T$19&gt;T19)),0)</f>
        <v>0</v>
      </c>
      <c r="CV19" s="259">
        <f>SUMPRODUCT((CP$16:CP$19=CP19)*(CR$16:CR$19=CR19)*(CS$16:CS$19=CS19)*(CT$16:CT$19=CT19)*(CU$16:CU$19=CU19)*(CN$16:CN$19&gt;CN19))</f>
        <v>3</v>
      </c>
      <c r="CW19" s="254" t="str">
        <f>IF(AND(COUNTIF($BR$4:$BR$35,'Group Stages'!$G25)&gt;0,COUNTIF($BR$4:$BR$35,'Group Stages'!$M25)&gt;0),'Group Stages'!$G25,"")</f>
        <v/>
      </c>
      <c r="CX19" s="254" t="str">
        <f>IF($CW19&lt;&gt;"",'Group Stages'!$I25,"")</f>
        <v/>
      </c>
      <c r="CY19" s="254" t="str">
        <f>IF($CW19&lt;&gt;"",'Group Stages'!$K25,"")</f>
        <v/>
      </c>
      <c r="CZ19" s="254" t="str">
        <f>IF($CW19&lt;&gt;"",'Group Stages'!$M25,"")</f>
        <v/>
      </c>
      <c r="DA19" s="259" t="str">
        <f t="shared" si="8"/>
        <v/>
      </c>
      <c r="DB19" s="254" t="str">
        <f t="shared" si="43"/>
        <v/>
      </c>
      <c r="DC19" s="254">
        <v>4</v>
      </c>
      <c r="DD19" s="254" t="str">
        <f t="shared" si="46"/>
        <v>Lokomotiv Moscow</v>
      </c>
      <c r="DE19" s="254" t="str">
        <f>IF(AND(DD19="",DD18="",DD17="",DD16=""),4,IF(AND(DD19="",DD18="",DD17=""),3,IF(AND(DD17&lt;&gt;"",DD18="",DD19=""),2,IF(AND(DD17&lt;&gt;"",DD18&lt;&gt;"",DD19=""),1,""))))</f>
        <v/>
      </c>
      <c r="DF19" s="254" t="str">
        <f>VLOOKUP(DE19,$BO$16:$BP$19,2,FALSE)</f>
        <v/>
      </c>
      <c r="DG19" s="254">
        <v>4</v>
      </c>
      <c r="DH19" s="254" t="str">
        <f>IF(DB19&lt;&gt;"",IF(DA18&lt;DA19,DB19,DB18),IF(DF19&lt;&gt;"",DF19,DD19))</f>
        <v>Lokomotiv Moscow</v>
      </c>
      <c r="DI19" s="254">
        <v>16</v>
      </c>
    </row>
    <row r="20" spans="1:113" x14ac:dyDescent="0.2">
      <c r="A20" s="254">
        <f t="shared" si="9"/>
        <v>1</v>
      </c>
      <c r="B20" s="254" t="str">
        <f>'Team Setup'!B21</f>
        <v>Bayern Munich</v>
      </c>
      <c r="C20" s="259">
        <f>SUMPRODUCT(('Group Stages'!$I$10:$I$105&lt;&gt;"")*('Group Stages'!$K$10:$K$105&lt;&gt;"")*('Group Stages'!$G$10:$G$105='Dummy Table'!$B20)*('Group Stages'!$I$10:$I$105&gt;'Group Stages'!$K$10:$K$105))</f>
        <v>2</v>
      </c>
      <c r="D20" s="259">
        <f>SUMPRODUCT(('Group Stages'!$I$10:$I$105&lt;&gt;"")*('Group Stages'!$K$10:$K$105&lt;&gt;"")*('Group Stages'!$G$10:$G$105='Dummy Table'!$B20)*('Group Stages'!$I$10:$I$105='Group Stages'!$K$10:$K$105))</f>
        <v>1</v>
      </c>
      <c r="E20" s="259">
        <f>SUMPRODUCT(('Group Stages'!$I$10:$I$105&lt;&gt;"")*('Group Stages'!$K$10:$K$105&lt;&gt;"")*('Group Stages'!$G$10:$G$105='Dummy Table'!$B20)*('Group Stages'!$I$10:$I$105&lt;'Group Stages'!$K$10:$K$105))</f>
        <v>0</v>
      </c>
      <c r="F20" s="259">
        <f>SUMIF('Group Stages'!$G$10:$G$105,'Dummy Table'!$B20,'Group Stages'!$I$10:$I$105)</f>
        <v>8</v>
      </c>
      <c r="G20" s="259">
        <f>SUMIF('Group Stages'!$G$10:$G$105,'Dummy Table'!$B20,'Group Stages'!$K$10:$K$105)</f>
        <v>2</v>
      </c>
      <c r="H20" s="259">
        <f t="shared" si="10"/>
        <v>6</v>
      </c>
      <c r="I20" s="259">
        <f t="shared" si="11"/>
        <v>7</v>
      </c>
      <c r="J20" s="254">
        <f>SUMPRODUCT(('Group Stages'!$I$10:$I$105&lt;&gt;"")*('Group Stages'!$K$10:$K$105&lt;&gt;"")*('Group Stages'!$M$10:$M$105='Dummy Table'!$B20)*('Group Stages'!$I$10:$I$105&lt;'Group Stages'!$K$10:$K$105))</f>
        <v>2</v>
      </c>
      <c r="K20" s="254">
        <f>SUMPRODUCT(('Group Stages'!$I$10:$I$105&lt;&gt;"")*('Group Stages'!$K$10:$K$105&lt;&gt;"")*('Group Stages'!$M$10:$M$105='Dummy Table'!$B20)*('Group Stages'!$I$10:$I$105='Group Stages'!$K$10:$K$105))</f>
        <v>1</v>
      </c>
      <c r="L20" s="254">
        <f>SUMPRODUCT(('Group Stages'!$I$10:$I$105&lt;&gt;"")*('Group Stages'!$K$10:$K$105&lt;&gt;"")*('Group Stages'!$M$10:$M$105='Dummy Table'!$B20)*('Group Stages'!$I$10:$I$105&gt;'Group Stages'!$K$10:$K$105))</f>
        <v>0</v>
      </c>
      <c r="M20" s="254">
        <f>SUMIF('Group Stages'!$M$10:$M$105,'Dummy Table'!$B20,'Group Stages'!$K$10:$K$105)</f>
        <v>7</v>
      </c>
      <c r="N20" s="254">
        <f>SUMIF('Group Stages'!$M$10:$M$105,'Dummy Table'!$B20,'Group Stages'!$I$10:$I$105)</f>
        <v>3</v>
      </c>
      <c r="O20" s="254">
        <f t="shared" si="12"/>
        <v>4</v>
      </c>
      <c r="P20" s="254">
        <f t="shared" si="13"/>
        <v>7</v>
      </c>
      <c r="Q20" s="254">
        <f t="shared" si="14"/>
        <v>4</v>
      </c>
      <c r="R20" s="254">
        <f t="shared" si="15"/>
        <v>2</v>
      </c>
      <c r="S20" s="254">
        <f t="shared" si="16"/>
        <v>0</v>
      </c>
      <c r="T20" s="254">
        <f t="shared" si="17"/>
        <v>15</v>
      </c>
      <c r="U20" s="254">
        <f t="shared" si="18"/>
        <v>5</v>
      </c>
      <c r="V20" s="254">
        <f t="shared" si="19"/>
        <v>10</v>
      </c>
      <c r="W20" s="254">
        <f t="shared" si="20"/>
        <v>14</v>
      </c>
      <c r="X20" s="259">
        <f>IF('Team Setup'!F21&lt;&gt;"",'Team Setup'!F21,DI20)</f>
        <v>135000</v>
      </c>
      <c r="Y20" s="259">
        <f>RANK(W20,W$20:W$23)</f>
        <v>1</v>
      </c>
      <c r="Z20" s="259">
        <f>SUMPRODUCT((W$20:W$23=W20)*(V$20:V$23&gt;V20))</f>
        <v>0</v>
      </c>
      <c r="AA20" s="259">
        <f>SUMPRODUCT((Y$20:Y$23=Y20)*(Z$20:Z$23=Z20)*(T$20:T$23&gt;T20))</f>
        <v>0</v>
      </c>
      <c r="AB20" s="259">
        <f>SUMPRODUCT((Y$20:Y$23=Y20)*(Z$20:Z$23=Z20)*(T$20:T$23=T20)*(X$20:X$23&gt;X20))</f>
        <v>0</v>
      </c>
      <c r="AC20" s="254">
        <v>1</v>
      </c>
      <c r="AD20" s="254" t="str">
        <f>VLOOKUP(AC20,$A$20:$B$23,2,FALSE)</f>
        <v>Bayern Munich</v>
      </c>
      <c r="AE20" s="254">
        <f>VLOOKUP($AD20,$B$20:$W$23,22,FALSE)</f>
        <v>14</v>
      </c>
      <c r="AF20" s="254" t="str">
        <f>IF(AE20=AE21,AD20,"")</f>
        <v/>
      </c>
      <c r="AG20" s="259">
        <f>SUMPRODUCT(($BK$4:$BK$99='Dummy Table'!$AF20)*($BL$4:$BL$99&gt;$BM$4:$BM$99))</f>
        <v>0</v>
      </c>
      <c r="AH20" s="259">
        <f>SUMPRODUCT(($BK$4:$BK$99='Dummy Table'!$AF20)*($BL$4:$BL$99=$BM$4:$BM$99))</f>
        <v>90</v>
      </c>
      <c r="AI20" s="259">
        <f>SUMPRODUCT(($BK$4:$BK$99='Dummy Table'!$AF20)*($BL$4:$BL$99&lt;$BM$4:$BM$99))</f>
        <v>0</v>
      </c>
      <c r="AJ20" s="259">
        <f>SUMIF($BK$4:$BK$99,'Dummy Table'!$AF20,$BL$4:$BL$99)</f>
        <v>0</v>
      </c>
      <c r="AK20" s="259">
        <f>SUMIF($BK$4:$BK$99,'Dummy Table'!$AF20,$BM$4:$BM$99)</f>
        <v>0</v>
      </c>
      <c r="AL20" s="259">
        <f t="shared" si="21"/>
        <v>0</v>
      </c>
      <c r="AM20" s="259" t="str">
        <f t="shared" si="22"/>
        <v/>
      </c>
      <c r="AN20" s="259">
        <f>SUMPRODUCT(($BN$4:$BN$99='Dummy Table'!$AF20)*($BL$4:$BL$99&lt;$BM$4:$BM$99))</f>
        <v>0</v>
      </c>
      <c r="AO20" s="259">
        <f>SUMPRODUCT(($BN$4:$BN$99='Dummy Table'!$AF20)*($BL$4:$BL$99=$BM$4:$BM$99))</f>
        <v>90</v>
      </c>
      <c r="AP20" s="259">
        <f>SUMPRODUCT(($BN$4:$BN$99='Dummy Table'!$AF20)*($BL$4:$BL$99&gt;$BM$4:$BM$99))</f>
        <v>0</v>
      </c>
      <c r="AQ20" s="259">
        <f>SUMIF($BN$4:$BN$99,'Dummy Table'!$AF20,$BM$4:$BM$99)</f>
        <v>0</v>
      </c>
      <c r="AR20" s="259">
        <f>SUMIF($BN$4:$BN$99,'Dummy Table'!$AF20,$BL$4:$BL$99)</f>
        <v>0</v>
      </c>
      <c r="AS20" s="259">
        <f t="shared" si="23"/>
        <v>0</v>
      </c>
      <c r="AT20" s="259" t="str">
        <f t="shared" si="24"/>
        <v/>
      </c>
      <c r="AU20" s="259">
        <f t="shared" si="25"/>
        <v>0</v>
      </c>
      <c r="AV20" s="259">
        <f t="shared" si="26"/>
        <v>180</v>
      </c>
      <c r="AW20" s="259">
        <f t="shared" si="27"/>
        <v>0</v>
      </c>
      <c r="AX20" s="259">
        <f t="shared" si="28"/>
        <v>0</v>
      </c>
      <c r="AY20" s="259">
        <f t="shared" si="29"/>
        <v>0</v>
      </c>
      <c r="AZ20" s="259">
        <f t="shared" si="30"/>
        <v>0</v>
      </c>
      <c r="BA20" s="259">
        <f t="shared" si="44"/>
        <v>-1</v>
      </c>
      <c r="BB20" s="254" t="str">
        <f t="shared" si="31"/>
        <v/>
      </c>
      <c r="BC20" s="254" t="str">
        <f t="shared" si="32"/>
        <v/>
      </c>
      <c r="BD20" s="254" t="str">
        <f t="shared" si="33"/>
        <v/>
      </c>
      <c r="BE20" s="254">
        <f>RANK(BA20,BA$20:BA$23)</f>
        <v>1</v>
      </c>
      <c r="BF20" s="254">
        <f>SUMPRODUCT((BA$20:BA$23=BA20)*(AZ$20:AZ$23&gt;AZ20))</f>
        <v>0</v>
      </c>
      <c r="BG20" s="254">
        <f>SUMPRODUCT((BA$20:BA$23=BA20)*(BE$20:BE$23=BE20)*(AZ$20:AZ$23=AZ20)*(AQ$20:AQ$23&gt;AQ20))</f>
        <v>0</v>
      </c>
      <c r="BH20" s="254">
        <f>SUMPRODUCT((BA$20:BA$23=BA20)*(BE$20:BE$23=BE20)*(AZ$20:AZ$23=AZ20)*(AQ$20:AQ$23=AQ20)*(BB$20:BB$23&gt;BB20))</f>
        <v>0</v>
      </c>
      <c r="BI20" s="254">
        <f>SUMPRODUCT((BA$20:BA$23=BA20)*(BE$20:BE$23=BE20)*(AZ$20:AZ$23=AZ20)*(AQ$20:AQ$23=AQ20)*(BB$20:BB$23=BB20)*(BC$20:BC$23&gt;BC20))</f>
        <v>0</v>
      </c>
      <c r="BJ20" s="254">
        <f>SUMPRODUCT((BA$20:BA$23=BA20)*(BE$20:BE$23=BE20)*(AZ$20:AZ$23=AZ20)*(AQ$20:AQ$23=AQ20)*(BB$20:BB$23=BB20)*(BC$20:BC$23=BC20)*(BD$20:BD$23&gt;BD20))</f>
        <v>0</v>
      </c>
      <c r="BK20" s="254" t="str">
        <f>IF(AND(COUNTIF($AF$4:$AF$35,'Group Stages'!G26)&gt;0,COUNTIF($AF$4:$AF$35,'Group Stages'!M26)&gt;0,'Group Stages'!I26&lt;&gt;"",'Group Stages'!K26&lt;&gt;""),'Group Stages'!G26,"")</f>
        <v/>
      </c>
      <c r="BL20" s="254" t="str">
        <f>IF($BK20&lt;&gt;"",'Group Stages'!I26,"")</f>
        <v/>
      </c>
      <c r="BM20" s="254" t="str">
        <f>IF($BK20&lt;&gt;"",'Group Stages'!K26,"")</f>
        <v/>
      </c>
      <c r="BN20" s="254" t="str">
        <f>IF($BK20&lt;&gt;"",'Group Stages'!M26,"")</f>
        <v/>
      </c>
      <c r="BO20" s="254" t="str">
        <f t="shared" si="2"/>
        <v/>
      </c>
      <c r="BP20" s="254" t="str">
        <f t="shared" si="34"/>
        <v/>
      </c>
      <c r="BQ20" s="254">
        <f>VLOOKUP($AD20,$B$20:$W$23,22,FALSE)</f>
        <v>14</v>
      </c>
      <c r="BS20" s="261">
        <f>SUMPRODUCT(($CW$4:$CW$99='Dummy Table'!$BR20)*($CX$4:$CX$99&gt;$CY$4:$CY$99))</f>
        <v>0</v>
      </c>
      <c r="BT20" s="261">
        <f>SUMPRODUCT(($CW$4:$CW$99='Dummy Table'!$BR20)*($CX$4:$CX$99=$CY$4:$CY$99))</f>
        <v>94</v>
      </c>
      <c r="BU20" s="261">
        <f>SUMPRODUCT(($CW$4:$CW$99='Dummy Table'!$BR20)*($CX$4:$CX$99&lt;$CY$4:$CY$99))</f>
        <v>0</v>
      </c>
      <c r="BV20" s="261">
        <f>SUMIF($CW$4:$CW$99,'Dummy Table'!$BR20,$CX$4:$CX$99)</f>
        <v>0</v>
      </c>
      <c r="BW20" s="261">
        <f>SUMIF($CW$4:$CW$99,'Dummy Table'!$BR20,$CY$4:$CY$99)</f>
        <v>0</v>
      </c>
      <c r="BX20" s="261">
        <f t="shared" si="35"/>
        <v>0</v>
      </c>
      <c r="BY20" s="261" t="str">
        <f t="shared" si="36"/>
        <v/>
      </c>
      <c r="BZ20" s="261">
        <f>SUMPRODUCT(($CZ$4:$CZ$99='Dummy Table'!$BR20)*($CX$4:$CX$99&lt;$CY$4:$CY$99))</f>
        <v>0</v>
      </c>
      <c r="CA20" s="261">
        <f>SUMPRODUCT(($CZ$4:$CZ$99='Dummy Table'!$BR20)*($CX$4:$CX$99=$CY$4:$CY$99))</f>
        <v>94</v>
      </c>
      <c r="CB20" s="261">
        <f>SUMPRODUCT(($CZ$4:$CZ$99='Dummy Table'!$BR20)*($CX$4:$CX$99&gt;$CY$4:$CY$99))</f>
        <v>0</v>
      </c>
      <c r="CC20" s="261">
        <f>SUMIF($CZ$4:$CZ$99,'Dummy Table'!$BR20,$CY$4:$CY$99)</f>
        <v>0</v>
      </c>
      <c r="CD20" s="261">
        <f>SUMIF($CZ$4:$CZ$99,'Dummy Table'!$BR20,$CX$4:$CX$99)</f>
        <v>0</v>
      </c>
      <c r="CE20" s="261">
        <f t="shared" si="37"/>
        <v>0</v>
      </c>
      <c r="CF20" s="261" t="str">
        <f t="shared" si="38"/>
        <v/>
      </c>
      <c r="CG20" s="261">
        <f t="shared" si="39"/>
        <v>0</v>
      </c>
      <c r="CH20" s="261">
        <f t="shared" si="3"/>
        <v>188</v>
      </c>
      <c r="CI20" s="261">
        <f t="shared" si="4"/>
        <v>0</v>
      </c>
      <c r="CJ20" s="261">
        <f t="shared" si="5"/>
        <v>0</v>
      </c>
      <c r="CK20" s="261">
        <f t="shared" si="6"/>
        <v>0</v>
      </c>
      <c r="CL20" s="261">
        <f t="shared" si="7"/>
        <v>0</v>
      </c>
      <c r="CM20" s="261">
        <f t="shared" si="45"/>
        <v>-1</v>
      </c>
      <c r="CN20" s="259">
        <f t="shared" si="40"/>
        <v>135000</v>
      </c>
      <c r="CO20" s="259">
        <f>SUMIF($CZ$4:$CZ$99,'Dummy Table'!$BR20,$CY$4:$CY$99)*2</f>
        <v>0</v>
      </c>
      <c r="CP20" s="259">
        <f>RANK(CM20,CM$20:CM$23)</f>
        <v>1</v>
      </c>
      <c r="CR20" s="259">
        <f>SUMPRODUCT((CM$20:CM$23=CM20)*(CL$20:CL$23&gt;CL20))</f>
        <v>0</v>
      </c>
      <c r="CS20" s="259">
        <f>SUMPRODUCT((CP$20:CP$23=CP20)*(CR$20:CR$23=CR20)*(CO$20:CO$23&gt;CO20))</f>
        <v>0</v>
      </c>
      <c r="CT20" s="259">
        <f>IF(BR20&lt;&gt;"",SUMPRODUCT((CP$20:CP$23=CP20)*(CR$20:CR$23=CR20)*(CS$20:CS$23=CS20)*(V$20:V$23&gt;V20)),0)</f>
        <v>0</v>
      </c>
      <c r="CU20" s="259">
        <f>IF($BR20&lt;&gt;"",SUMPRODUCT((CP$20:CP$23=CP20)*(CR$20:CR$23=CR20)*(CS$20:CS$23=CS20)*(CT$20:CT$23=CT20)*(T$20:T$23&gt;T20)),0)</f>
        <v>0</v>
      </c>
      <c r="CV20" s="259">
        <f>SUMPRODUCT((CP$20:CP$23=CP20)*(CR$20:CR$23=CR20)*(CS$20:CS$23=CS20)*(CT$20:CT$23=CT20)*(CU$20:CU$23=CU20)*(CN$20:CN$23&gt;CN20))</f>
        <v>0</v>
      </c>
      <c r="CW20" s="254" t="str">
        <f>IF(AND(COUNTIF($BR$4:$BR$35,'Group Stages'!$G26)&gt;0,COUNTIF($BR$4:$BR$35,'Group Stages'!$M26)&gt;0),'Group Stages'!$G26,"")</f>
        <v/>
      </c>
      <c r="CX20" s="254" t="str">
        <f>IF($CW20&lt;&gt;"",'Group Stages'!$I26,"")</f>
        <v/>
      </c>
      <c r="CY20" s="254" t="str">
        <f>IF($CW20&lt;&gt;"",'Group Stages'!$K26,"")</f>
        <v/>
      </c>
      <c r="CZ20" s="254" t="str">
        <f>IF($CW20&lt;&gt;"",'Group Stages'!$M26,"")</f>
        <v/>
      </c>
      <c r="DA20" s="259" t="str">
        <f t="shared" si="8"/>
        <v/>
      </c>
      <c r="DB20" s="254" t="str">
        <f t="shared" si="43"/>
        <v/>
      </c>
      <c r="DC20" s="254">
        <v>1</v>
      </c>
      <c r="DD20" s="254" t="str">
        <f t="shared" si="46"/>
        <v>Bayern Munich</v>
      </c>
      <c r="DE20" s="254" t="str">
        <f>IF(DD20="",DC20,"")</f>
        <v/>
      </c>
      <c r="DF20" s="254" t="str">
        <f>VLOOKUP(DE20,$BO$20:$BP$23,2,FALSE)</f>
        <v/>
      </c>
      <c r="DG20" s="254">
        <v>1</v>
      </c>
      <c r="DH20" s="254" t="str">
        <f>IF(DD20="",DF20,DD20)</f>
        <v>Bayern Munich</v>
      </c>
      <c r="DI20" s="254">
        <v>17</v>
      </c>
    </row>
    <row r="21" spans="1:113" x14ac:dyDescent="0.2">
      <c r="A21" s="254">
        <f t="shared" si="9"/>
        <v>3</v>
      </c>
      <c r="B21" s="254" t="str">
        <f>'Team Setup'!B22</f>
        <v>Benfica</v>
      </c>
      <c r="C21" s="259">
        <f>SUMPRODUCT(('Group Stages'!$I$10:$I$105&lt;&gt;"")*('Group Stages'!$K$10:$K$105&lt;&gt;"")*('Group Stages'!$G$10:$G$105='Dummy Table'!$B21)*('Group Stages'!$I$10:$I$105&gt;'Group Stages'!$K$10:$K$105))</f>
        <v>1</v>
      </c>
      <c r="D21" s="259">
        <f>SUMPRODUCT(('Group Stages'!$I$10:$I$105&lt;&gt;"")*('Group Stages'!$K$10:$K$105&lt;&gt;"")*('Group Stages'!$G$10:$G$105='Dummy Table'!$B21)*('Group Stages'!$I$10:$I$105='Group Stages'!$K$10:$K$105))</f>
        <v>1</v>
      </c>
      <c r="E21" s="259">
        <f>SUMPRODUCT(('Group Stages'!$I$10:$I$105&lt;&gt;"")*('Group Stages'!$K$10:$K$105&lt;&gt;"")*('Group Stages'!$G$10:$G$105='Dummy Table'!$B21)*('Group Stages'!$I$10:$I$105&lt;'Group Stages'!$K$10:$K$105))</f>
        <v>1</v>
      </c>
      <c r="F21" s="259">
        <f>SUMIF('Group Stages'!$G$10:$G$105,'Dummy Table'!$B21,'Group Stages'!$I$10:$I$105)</f>
        <v>2</v>
      </c>
      <c r="G21" s="259">
        <f>SUMIF('Group Stages'!$G$10:$G$105,'Dummy Table'!$B21,'Group Stages'!$K$10:$K$105)</f>
        <v>3</v>
      </c>
      <c r="H21" s="259">
        <f t="shared" si="10"/>
        <v>-1</v>
      </c>
      <c r="I21" s="259">
        <f t="shared" si="11"/>
        <v>4</v>
      </c>
      <c r="J21" s="254">
        <f>SUMPRODUCT(('Group Stages'!$I$10:$I$105&lt;&gt;"")*('Group Stages'!$K$10:$K$105&lt;&gt;"")*('Group Stages'!$M$10:$M$105='Dummy Table'!$B21)*('Group Stages'!$I$10:$I$105&lt;'Group Stages'!$K$10:$K$105))</f>
        <v>1</v>
      </c>
      <c r="K21" s="254">
        <f>SUMPRODUCT(('Group Stages'!$I$10:$I$105&lt;&gt;"")*('Group Stages'!$K$10:$K$105&lt;&gt;"")*('Group Stages'!$M$10:$M$105='Dummy Table'!$B21)*('Group Stages'!$I$10:$I$105='Group Stages'!$K$10:$K$105))</f>
        <v>0</v>
      </c>
      <c r="L21" s="254">
        <f>SUMPRODUCT(('Group Stages'!$I$10:$I$105&lt;&gt;"")*('Group Stages'!$K$10:$K$105&lt;&gt;"")*('Group Stages'!$M$10:$M$105='Dummy Table'!$B21)*('Group Stages'!$I$10:$I$105&gt;'Group Stages'!$K$10:$K$105))</f>
        <v>2</v>
      </c>
      <c r="M21" s="254">
        <f>SUMIF('Group Stages'!$M$10:$M$105,'Dummy Table'!$B21,'Group Stages'!$K$10:$K$105)</f>
        <v>4</v>
      </c>
      <c r="N21" s="254">
        <f>SUMIF('Group Stages'!$M$10:$M$105,'Dummy Table'!$B21,'Group Stages'!$I$10:$I$105)</f>
        <v>8</v>
      </c>
      <c r="O21" s="254">
        <f t="shared" si="12"/>
        <v>-4</v>
      </c>
      <c r="P21" s="254">
        <f t="shared" si="13"/>
        <v>3</v>
      </c>
      <c r="Q21" s="254">
        <f t="shared" si="14"/>
        <v>2</v>
      </c>
      <c r="R21" s="254">
        <f t="shared" si="15"/>
        <v>1</v>
      </c>
      <c r="S21" s="254">
        <f t="shared" si="16"/>
        <v>3</v>
      </c>
      <c r="T21" s="254">
        <f t="shared" si="17"/>
        <v>6</v>
      </c>
      <c r="U21" s="254">
        <f t="shared" si="18"/>
        <v>11</v>
      </c>
      <c r="V21" s="254">
        <f t="shared" si="19"/>
        <v>-5</v>
      </c>
      <c r="W21" s="254">
        <f t="shared" si="20"/>
        <v>7</v>
      </c>
      <c r="X21" s="259">
        <f>IF('Team Setup'!F22&lt;&gt;"",'Team Setup'!F22,DI21)</f>
        <v>80000</v>
      </c>
      <c r="Y21" s="259">
        <f>RANK(W21,W$20:W$23)</f>
        <v>3</v>
      </c>
      <c r="Z21" s="259">
        <f>SUMPRODUCT((W$20:W$23=W21)*(V$20:V$23&gt;V21))</f>
        <v>0</v>
      </c>
      <c r="AA21" s="259">
        <f>SUMPRODUCT((Y$20:Y$23=Y21)*(Z$20:Z$23=Z21)*(T$20:T$23&gt;T21))</f>
        <v>0</v>
      </c>
      <c r="AB21" s="259">
        <f>SUMPRODUCT((Y$20:Y$23=Y21)*(Z$20:Z$23=Z21)*(T$20:T$23=T21)*(X$20:X$23&gt;X21))</f>
        <v>0</v>
      </c>
      <c r="AC21" s="254">
        <v>2</v>
      </c>
      <c r="AD21" s="254" t="str">
        <f>VLOOKUP(AC21,$A$20:$B$23,2,FALSE)</f>
        <v>Ajax</v>
      </c>
      <c r="AE21" s="254">
        <f>VLOOKUP($AD21,$B$20:$W$23,22,FALSE)</f>
        <v>12</v>
      </c>
      <c r="AF21" s="254" t="str">
        <f>IF(OR(AE21=AE20,AE21=AE22),AD21,"")</f>
        <v/>
      </c>
      <c r="AG21" s="259">
        <f>SUMPRODUCT(($BK$4:$BK$99='Dummy Table'!$AF21)*($BL$4:$BL$99&gt;$BM$4:$BM$99))</f>
        <v>0</v>
      </c>
      <c r="AH21" s="259">
        <f>SUMPRODUCT(($BK$4:$BK$99='Dummy Table'!$AF21)*($BL$4:$BL$99=$BM$4:$BM$99))</f>
        <v>90</v>
      </c>
      <c r="AI21" s="259">
        <f>SUMPRODUCT(($BK$4:$BK$99='Dummy Table'!$AF21)*($BL$4:$BL$99&lt;$BM$4:$BM$99))</f>
        <v>0</v>
      </c>
      <c r="AJ21" s="259">
        <f>SUMIF($BK$4:$BK$99,'Dummy Table'!$AF21,$BL$4:$BL$99)</f>
        <v>0</v>
      </c>
      <c r="AK21" s="259">
        <f>SUMIF($BK$4:$BK$99,'Dummy Table'!$AF21,$BM$4:$BM$99)</f>
        <v>0</v>
      </c>
      <c r="AL21" s="259">
        <f t="shared" si="21"/>
        <v>0</v>
      </c>
      <c r="AM21" s="259" t="str">
        <f t="shared" si="22"/>
        <v/>
      </c>
      <c r="AN21" s="259">
        <f>SUMPRODUCT(($BN$4:$BN$99='Dummy Table'!$AF21)*($BL$4:$BL$99&lt;$BM$4:$BM$99))</f>
        <v>0</v>
      </c>
      <c r="AO21" s="259">
        <f>SUMPRODUCT(($BN$4:$BN$99='Dummy Table'!$AF21)*($BL$4:$BL$99=$BM$4:$BM$99))</f>
        <v>90</v>
      </c>
      <c r="AP21" s="259">
        <f>SUMPRODUCT(($BN$4:$BN$99='Dummy Table'!$AF21)*($BL$4:$BL$99&gt;$BM$4:$BM$99))</f>
        <v>0</v>
      </c>
      <c r="AQ21" s="259">
        <f>SUMIF($BN$4:$BN$99,'Dummy Table'!$AF21,$BM$4:$BM$99)</f>
        <v>0</v>
      </c>
      <c r="AR21" s="259">
        <f>SUMIF($BN$4:$BN$99,'Dummy Table'!$AF21,$BL$4:$BL$99)</f>
        <v>0</v>
      </c>
      <c r="AS21" s="259">
        <f t="shared" si="23"/>
        <v>0</v>
      </c>
      <c r="AT21" s="259" t="str">
        <f t="shared" si="24"/>
        <v/>
      </c>
      <c r="AU21" s="259">
        <f t="shared" si="25"/>
        <v>0</v>
      </c>
      <c r="AV21" s="259">
        <f t="shared" si="26"/>
        <v>180</v>
      </c>
      <c r="AW21" s="259">
        <f t="shared" si="27"/>
        <v>0</v>
      </c>
      <c r="AX21" s="259">
        <f t="shared" si="28"/>
        <v>0</v>
      </c>
      <c r="AY21" s="259">
        <f t="shared" si="29"/>
        <v>0</v>
      </c>
      <c r="AZ21" s="259">
        <f t="shared" si="30"/>
        <v>0</v>
      </c>
      <c r="BA21" s="259">
        <f t="shared" si="44"/>
        <v>-1</v>
      </c>
      <c r="BB21" s="254" t="str">
        <f t="shared" si="31"/>
        <v/>
      </c>
      <c r="BC21" s="254" t="str">
        <f t="shared" si="32"/>
        <v/>
      </c>
      <c r="BD21" s="254" t="str">
        <f t="shared" si="33"/>
        <v/>
      </c>
      <c r="BE21" s="254">
        <f>RANK(BA21,BA$20:BA$23)</f>
        <v>1</v>
      </c>
      <c r="BF21" s="254">
        <f>SUMPRODUCT((BA$20:BA$23=BA21)*(AZ$20:AZ$23&gt;AZ21))</f>
        <v>0</v>
      </c>
      <c r="BG21" s="254">
        <f>SUMPRODUCT((BA$20:BA$23=BA21)*(BE$20:BE$23=BE21)*(AZ$20:AZ$23=AZ21)*(AQ$20:AQ$23&gt;AQ21))</f>
        <v>0</v>
      </c>
      <c r="BH21" s="254">
        <f>SUMPRODUCT((BA$20:BA$23=BA21)*(BE$20:BE$23=BE21)*(AZ$20:AZ$23=AZ21)*(AQ$20:AQ$23=AQ21)*(BB$20:BB$23&gt;BB21))</f>
        <v>0</v>
      </c>
      <c r="BI21" s="254">
        <f>SUMPRODUCT((BA$20:BA$23=BA21)*(BE$20:BE$23=BE21)*(AZ$20:AZ$23=AZ21)*(AQ$20:AQ$23=AQ21)*(BB$20:BB$23=BB21)*(BC$20:BC$23&gt;BC21))</f>
        <v>0</v>
      </c>
      <c r="BJ21" s="254">
        <f>SUMPRODUCT((BA$20:BA$23=BA21)*(BE$20:BE$23=BE21)*(AZ$20:AZ$23=AZ21)*(AQ$20:AQ$23=AQ21)*(BB$20:BB$23=BB21)*(BC$20:BC$23=BC21)*(BD$20:BD$23&gt;BD21))</f>
        <v>0</v>
      </c>
      <c r="BK21" s="254" t="str">
        <f>IF(AND(COUNTIF($AF$4:$AF$35,'Group Stages'!G27)&gt;0,COUNTIF($AF$4:$AF$35,'Group Stages'!M27)&gt;0,'Group Stages'!I27&lt;&gt;"",'Group Stages'!K27&lt;&gt;""),'Group Stages'!G27,"")</f>
        <v/>
      </c>
      <c r="BL21" s="254" t="str">
        <f>IF($BK21&lt;&gt;"",'Group Stages'!I27,"")</f>
        <v/>
      </c>
      <c r="BM21" s="254" t="str">
        <f>IF($BK21&lt;&gt;"",'Group Stages'!K27,"")</f>
        <v/>
      </c>
      <c r="BN21" s="254" t="str">
        <f>IF($BK21&lt;&gt;"",'Group Stages'!M27,"")</f>
        <v/>
      </c>
      <c r="BO21" s="254" t="str">
        <f t="shared" si="2"/>
        <v/>
      </c>
      <c r="BP21" s="254" t="str">
        <f t="shared" si="34"/>
        <v/>
      </c>
      <c r="BQ21" s="254">
        <f>VLOOKUP($AD21,$B$20:$W$23,22,FALSE)</f>
        <v>12</v>
      </c>
      <c r="BS21" s="261">
        <f>SUMPRODUCT(($CW$4:$CW$99='Dummy Table'!$BR21)*($CX$4:$CX$99&gt;$CY$4:$CY$99))</f>
        <v>0</v>
      </c>
      <c r="BT21" s="261">
        <f>SUMPRODUCT(($CW$4:$CW$99='Dummy Table'!$BR21)*($CX$4:$CX$99=$CY$4:$CY$99))</f>
        <v>94</v>
      </c>
      <c r="BU21" s="261">
        <f>SUMPRODUCT(($CW$4:$CW$99='Dummy Table'!$BR21)*($CX$4:$CX$99&lt;$CY$4:$CY$99))</f>
        <v>0</v>
      </c>
      <c r="BV21" s="261">
        <f>SUMIF($CW$4:$CW$99,'Dummy Table'!$BR21,$CX$4:$CX$99)</f>
        <v>0</v>
      </c>
      <c r="BW21" s="261">
        <f>SUMIF($CW$4:$CW$99,'Dummy Table'!$BR21,$CY$4:$CY$99)</f>
        <v>0</v>
      </c>
      <c r="BX21" s="261">
        <f t="shared" si="35"/>
        <v>0</v>
      </c>
      <c r="BY21" s="261" t="str">
        <f t="shared" si="36"/>
        <v/>
      </c>
      <c r="BZ21" s="261">
        <f>SUMPRODUCT(($CZ$4:$CZ$99='Dummy Table'!$BR21)*($CX$4:$CX$99&lt;$CY$4:$CY$99))</f>
        <v>0</v>
      </c>
      <c r="CA21" s="261">
        <f>SUMPRODUCT(($CZ$4:$CZ$99='Dummy Table'!$BR21)*($CX$4:$CX$99=$CY$4:$CY$99))</f>
        <v>94</v>
      </c>
      <c r="CB21" s="261">
        <f>SUMPRODUCT(($CZ$4:$CZ$99='Dummy Table'!$BR21)*($CX$4:$CX$99&gt;$CY$4:$CY$99))</f>
        <v>0</v>
      </c>
      <c r="CC21" s="261">
        <f>SUMIF($CZ$4:$CZ$99,'Dummy Table'!$BR21,$CY$4:$CY$99)</f>
        <v>0</v>
      </c>
      <c r="CD21" s="261">
        <f>SUMIF($CZ$4:$CZ$99,'Dummy Table'!$BR21,$CX$4:$CX$99)</f>
        <v>0</v>
      </c>
      <c r="CE21" s="261">
        <f t="shared" si="37"/>
        <v>0</v>
      </c>
      <c r="CF21" s="261" t="str">
        <f t="shared" si="38"/>
        <v/>
      </c>
      <c r="CG21" s="261">
        <f t="shared" si="39"/>
        <v>0</v>
      </c>
      <c r="CH21" s="261">
        <f t="shared" si="3"/>
        <v>188</v>
      </c>
      <c r="CI21" s="261">
        <f t="shared" si="4"/>
        <v>0</v>
      </c>
      <c r="CJ21" s="261">
        <f t="shared" si="5"/>
        <v>0</v>
      </c>
      <c r="CK21" s="261">
        <f t="shared" si="6"/>
        <v>0</v>
      </c>
      <c r="CL21" s="261">
        <f t="shared" si="7"/>
        <v>0</v>
      </c>
      <c r="CM21" s="261">
        <f t="shared" si="45"/>
        <v>-1</v>
      </c>
      <c r="CN21" s="259">
        <f t="shared" si="40"/>
        <v>80000</v>
      </c>
      <c r="CO21" s="259">
        <f>SUMIF($CZ$4:$CZ$99,'Dummy Table'!$BR21,$CY$4:$CY$99)*2</f>
        <v>0</v>
      </c>
      <c r="CP21" s="259">
        <f>RANK(CM21,CM$20:CM$23)</f>
        <v>1</v>
      </c>
      <c r="CR21" s="259">
        <f>SUMPRODUCT((CM$20:CM$23=CM21)*(CL$20:CL$23&gt;CL21))</f>
        <v>0</v>
      </c>
      <c r="CS21" s="259">
        <f>SUMPRODUCT((CP$20:CP$23=CP21)*(CR$20:CR$23=CR21)*(CO$20:CO$23&gt;CO21))</f>
        <v>0</v>
      </c>
      <c r="CT21" s="259">
        <f>IF(BR21&lt;&gt;"",SUMPRODUCT((CP$20:CP$23=CP21)*(CR$20:CR$23=CR21)*(CS$20:CS$23=CS21)*(V$20:V$23&gt;V21)),0)</f>
        <v>0</v>
      </c>
      <c r="CU21" s="259">
        <f>IF($BR21&lt;&gt;"",SUMPRODUCT((CP$20:CP$23=CP21)*(CR$20:CR$23=CR21)*(CS$20:CS$23=CS21)*(CT$20:CT$23=CT21)*(T$20:T$23&gt;T21)),0)</f>
        <v>0</v>
      </c>
      <c r="CV21" s="259">
        <f>SUMPRODUCT((CP$20:CP$23=CP21)*(CR$20:CR$23=CR21)*(CS$20:CS$23=CS21)*(CT$20:CT$23=CT21)*(CU$20:CU$23=CU21)*(CN$20:CN$23&gt;CN21))</f>
        <v>1</v>
      </c>
      <c r="CW21" s="254" t="str">
        <f>IF(AND(COUNTIF($BR$4:$BR$35,'Group Stages'!$G27)&gt;0,COUNTIF($BR$4:$BR$35,'Group Stages'!$M27)&gt;0),'Group Stages'!$G27,"")</f>
        <v/>
      </c>
      <c r="CX21" s="254" t="str">
        <f>IF($CW21&lt;&gt;"",'Group Stages'!$I27,"")</f>
        <v/>
      </c>
      <c r="CY21" s="254" t="str">
        <f>IF($CW21&lt;&gt;"",'Group Stages'!$K27,"")</f>
        <v/>
      </c>
      <c r="CZ21" s="254" t="str">
        <f>IF($CW21&lt;&gt;"",'Group Stages'!$M27,"")</f>
        <v/>
      </c>
      <c r="DA21" s="259" t="str">
        <f t="shared" si="8"/>
        <v/>
      </c>
      <c r="DB21" s="254" t="str">
        <f t="shared" si="43"/>
        <v/>
      </c>
      <c r="DC21" s="254">
        <v>2</v>
      </c>
      <c r="DD21" s="254" t="str">
        <f t="shared" si="46"/>
        <v>Ajax</v>
      </c>
      <c r="DE21" s="254" t="str">
        <f>IF(AND(DD21="",DD20=""),DC21,IF(AND(DD20&lt;&gt;"",DD21=""),1,""))</f>
        <v/>
      </c>
      <c r="DF21" s="254" t="str">
        <f>VLOOKUP(DE21,$BO$20:$BP$23,2,FALSE)</f>
        <v/>
      </c>
      <c r="DG21" s="254">
        <v>2</v>
      </c>
      <c r="DH21" s="254" t="str">
        <f>IF(DD21="",DF21,DD21)</f>
        <v>Ajax</v>
      </c>
      <c r="DI21" s="254">
        <v>18</v>
      </c>
    </row>
    <row r="22" spans="1:113" x14ac:dyDescent="0.2">
      <c r="A22" s="254">
        <f t="shared" si="9"/>
        <v>2</v>
      </c>
      <c r="B22" s="254" t="str">
        <f>'Team Setup'!B23</f>
        <v>Ajax</v>
      </c>
      <c r="C22" s="259">
        <f>SUMPRODUCT(('Group Stages'!$I$10:$I$105&lt;&gt;"")*('Group Stages'!$K$10:$K$105&lt;&gt;"")*('Group Stages'!$G$10:$G$105='Dummy Table'!$B22)*('Group Stages'!$I$10:$I$105&gt;'Group Stages'!$K$10:$K$105))</f>
        <v>2</v>
      </c>
      <c r="D22" s="259">
        <f>SUMPRODUCT(('Group Stages'!$I$10:$I$105&lt;&gt;"")*('Group Stages'!$K$10:$K$105&lt;&gt;"")*('Group Stages'!$G$10:$G$105='Dummy Table'!$B22)*('Group Stages'!$I$10:$I$105='Group Stages'!$K$10:$K$105))</f>
        <v>1</v>
      </c>
      <c r="E22" s="259">
        <f>SUMPRODUCT(('Group Stages'!$I$10:$I$105&lt;&gt;"")*('Group Stages'!$K$10:$K$105&lt;&gt;"")*('Group Stages'!$G$10:$G$105='Dummy Table'!$B22)*('Group Stages'!$I$10:$I$105&lt;'Group Stages'!$K$10:$K$105))</f>
        <v>0</v>
      </c>
      <c r="F22" s="259">
        <f>SUMIF('Group Stages'!$G$10:$G$105,'Dummy Table'!$B22,'Group Stages'!$I$10:$I$105)</f>
        <v>7</v>
      </c>
      <c r="G22" s="259">
        <f>SUMIF('Group Stages'!$G$10:$G$105,'Dummy Table'!$B22,'Group Stages'!$K$10:$K$105)</f>
        <v>3</v>
      </c>
      <c r="H22" s="259">
        <f t="shared" si="10"/>
        <v>4</v>
      </c>
      <c r="I22" s="259">
        <f t="shared" si="11"/>
        <v>7</v>
      </c>
      <c r="J22" s="254">
        <f>SUMPRODUCT(('Group Stages'!$I$10:$I$105&lt;&gt;"")*('Group Stages'!$K$10:$K$105&lt;&gt;"")*('Group Stages'!$M$10:$M$105='Dummy Table'!$B22)*('Group Stages'!$I$10:$I$105&lt;'Group Stages'!$K$10:$K$105))</f>
        <v>1</v>
      </c>
      <c r="K22" s="254">
        <f>SUMPRODUCT(('Group Stages'!$I$10:$I$105&lt;&gt;"")*('Group Stages'!$K$10:$K$105&lt;&gt;"")*('Group Stages'!$M$10:$M$105='Dummy Table'!$B22)*('Group Stages'!$I$10:$I$105='Group Stages'!$K$10:$K$105))</f>
        <v>2</v>
      </c>
      <c r="L22" s="254">
        <f>SUMPRODUCT(('Group Stages'!$I$10:$I$105&lt;&gt;"")*('Group Stages'!$K$10:$K$105&lt;&gt;"")*('Group Stages'!$M$10:$M$105='Dummy Table'!$B22)*('Group Stages'!$I$10:$I$105&gt;'Group Stages'!$K$10:$K$105))</f>
        <v>0</v>
      </c>
      <c r="M22" s="254">
        <f>SUMIF('Group Stages'!$M$10:$M$105,'Dummy Table'!$B22,'Group Stages'!$K$10:$K$105)</f>
        <v>4</v>
      </c>
      <c r="N22" s="254">
        <f>SUMIF('Group Stages'!$M$10:$M$105,'Dummy Table'!$B22,'Group Stages'!$I$10:$I$105)</f>
        <v>2</v>
      </c>
      <c r="O22" s="254">
        <f t="shared" si="12"/>
        <v>2</v>
      </c>
      <c r="P22" s="254">
        <f t="shared" si="13"/>
        <v>5</v>
      </c>
      <c r="Q22" s="254">
        <f t="shared" si="14"/>
        <v>3</v>
      </c>
      <c r="R22" s="254">
        <f t="shared" si="15"/>
        <v>3</v>
      </c>
      <c r="S22" s="254">
        <f t="shared" si="16"/>
        <v>0</v>
      </c>
      <c r="T22" s="254">
        <f t="shared" si="17"/>
        <v>11</v>
      </c>
      <c r="U22" s="254">
        <f t="shared" si="18"/>
        <v>5</v>
      </c>
      <c r="V22" s="254">
        <f t="shared" si="19"/>
        <v>6</v>
      </c>
      <c r="W22" s="254">
        <f t="shared" si="20"/>
        <v>12</v>
      </c>
      <c r="X22" s="259">
        <f>IF('Team Setup'!F23&lt;&gt;"",'Team Setup'!F23,DI22)</f>
        <v>53500</v>
      </c>
      <c r="Y22" s="259">
        <f>RANK(W22,W$20:W$23)</f>
        <v>2</v>
      </c>
      <c r="Z22" s="259">
        <f>SUMPRODUCT((W$20:W$23=W22)*(V$20:V$23&gt;V22))</f>
        <v>0</v>
      </c>
      <c r="AA22" s="259">
        <f>SUMPRODUCT((Y$20:Y$23=Y22)*(Z$20:Z$23=Z22)*(T$20:T$23&gt;T22))</f>
        <v>0</v>
      </c>
      <c r="AB22" s="259">
        <f>SUMPRODUCT((Y$20:Y$23=Y22)*(Z$20:Z$23=Z22)*(T$20:T$23=T22)*(X$20:X$23&gt;X22))</f>
        <v>0</v>
      </c>
      <c r="AC22" s="254">
        <v>3</v>
      </c>
      <c r="AD22" s="254" t="str">
        <f>VLOOKUP(AC22,$A$20:$B$23,2,FALSE)</f>
        <v>Benfica</v>
      </c>
      <c r="AE22" s="254">
        <f>VLOOKUP($AD22,$B$20:$W$23,22,FALSE)</f>
        <v>7</v>
      </c>
      <c r="AF22" s="254" t="str">
        <f>IF(AE22=AE21,AD22,"")</f>
        <v/>
      </c>
      <c r="AG22" s="259">
        <f>SUMPRODUCT(($BK$4:$BK$99='Dummy Table'!$AF22)*($BL$4:$BL$99&gt;$BM$4:$BM$99))</f>
        <v>0</v>
      </c>
      <c r="AH22" s="259">
        <f>SUMPRODUCT(($BK$4:$BK$99='Dummy Table'!$AF22)*($BL$4:$BL$99=$BM$4:$BM$99))</f>
        <v>90</v>
      </c>
      <c r="AI22" s="259">
        <f>SUMPRODUCT(($BK$4:$BK$99='Dummy Table'!$AF22)*($BL$4:$BL$99&lt;$BM$4:$BM$99))</f>
        <v>0</v>
      </c>
      <c r="AJ22" s="259">
        <f>SUMIF($BK$4:$BK$99,'Dummy Table'!$AF22,$BL$4:$BL$99)</f>
        <v>0</v>
      </c>
      <c r="AK22" s="259">
        <f>SUMIF($BK$4:$BK$99,'Dummy Table'!$AF22,$BM$4:$BM$99)</f>
        <v>0</v>
      </c>
      <c r="AL22" s="259">
        <f t="shared" si="21"/>
        <v>0</v>
      </c>
      <c r="AM22" s="259" t="str">
        <f t="shared" si="22"/>
        <v/>
      </c>
      <c r="AN22" s="259">
        <f>SUMPRODUCT(($BN$4:$BN$99='Dummy Table'!$AF22)*($BL$4:$BL$99&lt;$BM$4:$BM$99))</f>
        <v>0</v>
      </c>
      <c r="AO22" s="259">
        <f>SUMPRODUCT(($BN$4:$BN$99='Dummy Table'!$AF22)*($BL$4:$BL$99=$BM$4:$BM$99))</f>
        <v>90</v>
      </c>
      <c r="AP22" s="259">
        <f>SUMPRODUCT(($BN$4:$BN$99='Dummy Table'!$AF22)*($BL$4:$BL$99&gt;$BM$4:$BM$99))</f>
        <v>0</v>
      </c>
      <c r="AQ22" s="259">
        <f>SUMIF($BN$4:$BN$99,'Dummy Table'!$AF22,$BM$4:$BM$99)</f>
        <v>0</v>
      </c>
      <c r="AR22" s="259">
        <f>SUMIF($BN$4:$BN$99,'Dummy Table'!$AF22,$BL$4:$BL$99)</f>
        <v>0</v>
      </c>
      <c r="AS22" s="259">
        <f t="shared" si="23"/>
        <v>0</v>
      </c>
      <c r="AT22" s="259" t="str">
        <f t="shared" si="24"/>
        <v/>
      </c>
      <c r="AU22" s="259">
        <f t="shared" si="25"/>
        <v>0</v>
      </c>
      <c r="AV22" s="259">
        <f t="shared" si="26"/>
        <v>180</v>
      </c>
      <c r="AW22" s="259">
        <f t="shared" si="27"/>
        <v>0</v>
      </c>
      <c r="AX22" s="259">
        <f t="shared" si="28"/>
        <v>0</v>
      </c>
      <c r="AY22" s="259">
        <f t="shared" si="29"/>
        <v>0</v>
      </c>
      <c r="AZ22" s="259">
        <f t="shared" si="30"/>
        <v>0</v>
      </c>
      <c r="BA22" s="259">
        <f t="shared" si="44"/>
        <v>-1</v>
      </c>
      <c r="BB22" s="254" t="str">
        <f t="shared" si="31"/>
        <v/>
      </c>
      <c r="BC22" s="254" t="str">
        <f t="shared" si="32"/>
        <v/>
      </c>
      <c r="BD22" s="254" t="str">
        <f t="shared" si="33"/>
        <v/>
      </c>
      <c r="BE22" s="254">
        <f>RANK(BA22,BA$20:BA$23)</f>
        <v>1</v>
      </c>
      <c r="BF22" s="254">
        <f>SUMPRODUCT((BA$20:BA$23=BA22)*(AZ$20:AZ$23&gt;AZ22))</f>
        <v>0</v>
      </c>
      <c r="BG22" s="254">
        <f>SUMPRODUCT((BA$20:BA$23=BA22)*(BE$20:BE$23=BE22)*(AZ$20:AZ$23=AZ22)*(AQ$20:AQ$23&gt;AQ22))</f>
        <v>0</v>
      </c>
      <c r="BH22" s="254">
        <f>SUMPRODUCT((BA$20:BA$23=BA22)*(BE$20:BE$23=BE22)*(AZ$20:AZ$23=AZ22)*(AQ$20:AQ$23=AQ22)*(BB$20:BB$23&gt;BB22))</f>
        <v>0</v>
      </c>
      <c r="BI22" s="254">
        <f>SUMPRODUCT((BA$20:BA$23=BA22)*(BE$20:BE$23=BE22)*(AZ$20:AZ$23=AZ22)*(AQ$20:AQ$23=AQ22)*(BB$20:BB$23=BB22)*(BC$20:BC$23&gt;BC22))</f>
        <v>0</v>
      </c>
      <c r="BJ22" s="254">
        <f>SUMPRODUCT((BA$20:BA$23=BA22)*(BE$20:BE$23=BE22)*(AZ$20:AZ$23=AZ22)*(AQ$20:AQ$23=AQ22)*(BB$20:BB$23=BB22)*(BC$20:BC$23=BC22)*(BD$20:BD$23&gt;BD22))</f>
        <v>0</v>
      </c>
      <c r="BK22" s="254" t="str">
        <f>IF(AND(COUNTIF($AF$4:$AF$35,'Group Stages'!G28)&gt;0,COUNTIF($AF$4:$AF$35,'Group Stages'!M28)&gt;0,'Group Stages'!I28&lt;&gt;"",'Group Stages'!K28&lt;&gt;""),'Group Stages'!G28,"")</f>
        <v/>
      </c>
      <c r="BL22" s="254" t="str">
        <f>IF($BK22&lt;&gt;"",'Group Stages'!I28,"")</f>
        <v/>
      </c>
      <c r="BM22" s="254" t="str">
        <f>IF($BK22&lt;&gt;"",'Group Stages'!K28,"")</f>
        <v/>
      </c>
      <c r="BN22" s="254" t="str">
        <f>IF($BK22&lt;&gt;"",'Group Stages'!M28,"")</f>
        <v/>
      </c>
      <c r="BO22" s="254" t="str">
        <f t="shared" si="2"/>
        <v/>
      </c>
      <c r="BP22" s="254" t="str">
        <f t="shared" si="34"/>
        <v/>
      </c>
      <c r="BQ22" s="254">
        <f>VLOOKUP($AD22,$B$20:$W$23,22,FALSE)</f>
        <v>7</v>
      </c>
      <c r="BR22" s="254" t="str">
        <f>IF(AND(BQ22&lt;&gt;BQ21,BQ22=BQ23),AD22,"")</f>
        <v/>
      </c>
      <c r="BS22" s="261">
        <f>SUMPRODUCT(($CW$4:$CW$99='Dummy Table'!$BR22)*($CX$4:$CX$99&gt;$CY$4:$CY$99))</f>
        <v>0</v>
      </c>
      <c r="BT22" s="261">
        <f>SUMPRODUCT(($CW$4:$CW$99='Dummy Table'!$BR22)*($CX$4:$CX$99=$CY$4:$CY$99))</f>
        <v>94</v>
      </c>
      <c r="BU22" s="261">
        <f>SUMPRODUCT(($CW$4:$CW$99='Dummy Table'!$BR22)*($CX$4:$CX$99&lt;$CY$4:$CY$99))</f>
        <v>0</v>
      </c>
      <c r="BV22" s="261">
        <f>SUMIF($CW$4:$CW$99,'Dummy Table'!$BR22,$CX$4:$CX$99)</f>
        <v>0</v>
      </c>
      <c r="BW22" s="261">
        <f>SUMIF($CW$4:$CW$99,'Dummy Table'!$BR22,$CY$4:$CY$99)</f>
        <v>0</v>
      </c>
      <c r="BX22" s="261">
        <f t="shared" si="35"/>
        <v>0</v>
      </c>
      <c r="BY22" s="261" t="str">
        <f t="shared" si="36"/>
        <v/>
      </c>
      <c r="BZ22" s="261">
        <f>SUMPRODUCT(($CZ$4:$CZ$99='Dummy Table'!$BR22)*($CX$4:$CX$99&lt;$CY$4:$CY$99))</f>
        <v>0</v>
      </c>
      <c r="CA22" s="261">
        <f>SUMPRODUCT(($CZ$4:$CZ$99='Dummy Table'!$BR22)*($CX$4:$CX$99=$CY$4:$CY$99))</f>
        <v>94</v>
      </c>
      <c r="CB22" s="261">
        <f>SUMPRODUCT(($CZ$4:$CZ$99='Dummy Table'!$BR22)*($CX$4:$CX$99&gt;$CY$4:$CY$99))</f>
        <v>0</v>
      </c>
      <c r="CC22" s="261">
        <f>SUMIF($CZ$4:$CZ$99,'Dummy Table'!$BR22,$CY$4:$CY$99)</f>
        <v>0</v>
      </c>
      <c r="CD22" s="261">
        <f>SUMIF($CZ$4:$CZ$99,'Dummy Table'!$BR22,$CX$4:$CX$99)</f>
        <v>0</v>
      </c>
      <c r="CE22" s="261">
        <f t="shared" si="37"/>
        <v>0</v>
      </c>
      <c r="CF22" s="261" t="str">
        <f t="shared" si="38"/>
        <v/>
      </c>
      <c r="CG22" s="261">
        <f t="shared" si="39"/>
        <v>0</v>
      </c>
      <c r="CH22" s="261">
        <f t="shared" si="3"/>
        <v>188</v>
      </c>
      <c r="CI22" s="261">
        <f t="shared" si="4"/>
        <v>0</v>
      </c>
      <c r="CJ22" s="261">
        <f t="shared" si="5"/>
        <v>0</v>
      </c>
      <c r="CK22" s="261">
        <f t="shared" si="6"/>
        <v>0</v>
      </c>
      <c r="CL22" s="261">
        <f t="shared" si="7"/>
        <v>0</v>
      </c>
      <c r="CM22" s="261">
        <f t="shared" si="45"/>
        <v>-1</v>
      </c>
      <c r="CN22" s="259">
        <f t="shared" si="40"/>
        <v>53500</v>
      </c>
      <c r="CO22" s="259">
        <f>SUMIF($CZ$4:$CZ$99,'Dummy Table'!$BR22,$CY$4:$CY$99)*2</f>
        <v>0</v>
      </c>
      <c r="CP22" s="259">
        <f>RANK(CM22,CM$20:CM$23)</f>
        <v>1</v>
      </c>
      <c r="CR22" s="259">
        <f>SUMPRODUCT((CM$20:CM$23=CM22)*(CL$20:CL$23&gt;CL22))</f>
        <v>0</v>
      </c>
      <c r="CS22" s="259">
        <f>SUMPRODUCT((CP$20:CP$23=CP22)*(CR$20:CR$23=CR22)*(CO$20:CO$23&gt;CO22))</f>
        <v>0</v>
      </c>
      <c r="CT22" s="259">
        <f>IF(BR22&lt;&gt;"",SUMPRODUCT((CP$20:CP$23=CP22)*(CR$20:CR$23=CR22)*(CS$20:CS$23=CS22)*(V$20:V$23&gt;V22)),0)</f>
        <v>0</v>
      </c>
      <c r="CU22" s="259">
        <f>IF($BR22&lt;&gt;"",SUMPRODUCT((CP$20:CP$23=CP22)*(CR$20:CR$23=CR22)*(CS$20:CS$23=CS22)*(CT$20:CT$23=CT22)*(T$20:T$23&gt;T22)),0)</f>
        <v>0</v>
      </c>
      <c r="CV22" s="259">
        <f>SUMPRODUCT((CP$20:CP$23=CP22)*(CR$20:CR$23=CR22)*(CS$20:CS$23=CS22)*(CT$20:CT$23=CT22)*(CU$20:CU$23=CU22)*(CN$20:CN$23&gt;CN22))</f>
        <v>2</v>
      </c>
      <c r="CW22" s="254" t="str">
        <f>IF(AND(COUNTIF($BR$4:$BR$35,'Group Stages'!$G28)&gt;0,COUNTIF($BR$4:$BR$35,'Group Stages'!$M28)&gt;0),'Group Stages'!$G28,"")</f>
        <v/>
      </c>
      <c r="CX22" s="254" t="str">
        <f>IF($CW22&lt;&gt;"",'Group Stages'!$I28,"")</f>
        <v/>
      </c>
      <c r="CY22" s="254" t="str">
        <f>IF($CW22&lt;&gt;"",'Group Stages'!$K28,"")</f>
        <v/>
      </c>
      <c r="CZ22" s="254" t="str">
        <f>IF($CW22&lt;&gt;"",'Group Stages'!$M28,"")</f>
        <v/>
      </c>
      <c r="DA22" s="259" t="str">
        <f t="shared" si="8"/>
        <v/>
      </c>
      <c r="DB22" s="254" t="str">
        <f t="shared" si="43"/>
        <v/>
      </c>
      <c r="DC22" s="254">
        <v>3</v>
      </c>
      <c r="DD22" s="254" t="str">
        <f t="shared" si="46"/>
        <v>Benfica</v>
      </c>
      <c r="DE22" s="254" t="str">
        <f>IF(AND(DD22="",DD21="",DD20=""),DC22,IF(AND(DD20&lt;&gt;"",DD21="",DD22=""),2,IF(AND(DD20&lt;&gt;"",DD21&lt;&gt;"",DD22=""),1,"")))</f>
        <v/>
      </c>
      <c r="DF22" s="254" t="str">
        <f>VLOOKUP(DE22,$BO$20:$BP$23,2,FALSE)</f>
        <v/>
      </c>
      <c r="DG22" s="254">
        <v>3</v>
      </c>
      <c r="DH22" s="254" t="str">
        <f>IF(DB22&lt;&gt;"",IF(DA22&lt;DA23,DB22,DB23),IF(DF22&lt;&gt;"",DF22,DD22))</f>
        <v>Benfica</v>
      </c>
      <c r="DI22" s="254">
        <v>19</v>
      </c>
    </row>
    <row r="23" spans="1:113" x14ac:dyDescent="0.2">
      <c r="A23" s="254">
        <f t="shared" si="9"/>
        <v>4</v>
      </c>
      <c r="B23" s="254" t="str">
        <f>'Team Setup'!B24</f>
        <v>AEK Athens</v>
      </c>
      <c r="C23" s="259">
        <f>SUMPRODUCT(('Group Stages'!$I$10:$I$105&lt;&gt;"")*('Group Stages'!$K$10:$K$105&lt;&gt;"")*('Group Stages'!$G$10:$G$105='Dummy Table'!$B23)*('Group Stages'!$I$10:$I$105&gt;'Group Stages'!$K$10:$K$105))</f>
        <v>0</v>
      </c>
      <c r="D23" s="259">
        <f>SUMPRODUCT(('Group Stages'!$I$10:$I$105&lt;&gt;"")*('Group Stages'!$K$10:$K$105&lt;&gt;"")*('Group Stages'!$G$10:$G$105='Dummy Table'!$B23)*('Group Stages'!$I$10:$I$105='Group Stages'!$K$10:$K$105))</f>
        <v>0</v>
      </c>
      <c r="E23" s="259">
        <f>SUMPRODUCT(('Group Stages'!$I$10:$I$105&lt;&gt;"")*('Group Stages'!$K$10:$K$105&lt;&gt;"")*('Group Stages'!$G$10:$G$105='Dummy Table'!$B23)*('Group Stages'!$I$10:$I$105&lt;'Group Stages'!$K$10:$K$105))</f>
        <v>3</v>
      </c>
      <c r="F23" s="259">
        <f>SUMIF('Group Stages'!$G$10:$G$105,'Dummy Table'!$B23,'Group Stages'!$I$10:$I$105)</f>
        <v>2</v>
      </c>
      <c r="G23" s="259">
        <f>SUMIF('Group Stages'!$G$10:$G$105,'Dummy Table'!$B23,'Group Stages'!$K$10:$K$105)</f>
        <v>7</v>
      </c>
      <c r="H23" s="259">
        <f t="shared" si="10"/>
        <v>-5</v>
      </c>
      <c r="I23" s="259">
        <f t="shared" si="11"/>
        <v>0</v>
      </c>
      <c r="J23" s="254">
        <f>SUMPRODUCT(('Group Stages'!$I$10:$I$105&lt;&gt;"")*('Group Stages'!$K$10:$K$105&lt;&gt;"")*('Group Stages'!$M$10:$M$105='Dummy Table'!$B23)*('Group Stages'!$I$10:$I$105&lt;'Group Stages'!$K$10:$K$105))</f>
        <v>0</v>
      </c>
      <c r="K23" s="254">
        <f>SUMPRODUCT(('Group Stages'!$I$10:$I$105&lt;&gt;"")*('Group Stages'!$K$10:$K$105&lt;&gt;"")*('Group Stages'!$M$10:$M$105='Dummy Table'!$B23)*('Group Stages'!$I$10:$I$105='Group Stages'!$K$10:$K$105))</f>
        <v>0</v>
      </c>
      <c r="L23" s="254">
        <f>SUMPRODUCT(('Group Stages'!$I$10:$I$105&lt;&gt;"")*('Group Stages'!$K$10:$K$105&lt;&gt;"")*('Group Stages'!$M$10:$M$105='Dummy Table'!$B23)*('Group Stages'!$I$10:$I$105&gt;'Group Stages'!$K$10:$K$105))</f>
        <v>3</v>
      </c>
      <c r="M23" s="254">
        <f>SUMIF('Group Stages'!$M$10:$M$105,'Dummy Table'!$B23,'Group Stages'!$K$10:$K$105)</f>
        <v>0</v>
      </c>
      <c r="N23" s="254">
        <f>SUMIF('Group Stages'!$M$10:$M$105,'Dummy Table'!$B23,'Group Stages'!$I$10:$I$105)</f>
        <v>6</v>
      </c>
      <c r="O23" s="254">
        <f t="shared" si="12"/>
        <v>-6</v>
      </c>
      <c r="P23" s="254">
        <f t="shared" si="13"/>
        <v>0</v>
      </c>
      <c r="Q23" s="254">
        <f t="shared" si="14"/>
        <v>0</v>
      </c>
      <c r="R23" s="254">
        <f t="shared" si="15"/>
        <v>0</v>
      </c>
      <c r="S23" s="254">
        <f t="shared" si="16"/>
        <v>6</v>
      </c>
      <c r="T23" s="254">
        <f t="shared" si="17"/>
        <v>2</v>
      </c>
      <c r="U23" s="254">
        <f t="shared" si="18"/>
        <v>13</v>
      </c>
      <c r="V23" s="254">
        <f t="shared" si="19"/>
        <v>-11</v>
      </c>
      <c r="W23" s="254">
        <f t="shared" si="20"/>
        <v>0</v>
      </c>
      <c r="X23" s="259">
        <f>IF('Team Setup'!F24&lt;&gt;"",'Team Setup'!F24,DI23)</f>
        <v>10000</v>
      </c>
      <c r="Y23" s="259">
        <f>RANK(W23,W$20:W$23)</f>
        <v>4</v>
      </c>
      <c r="Z23" s="259">
        <f>SUMPRODUCT((W$20:W$23=W23)*(V$20:V$23&gt;V23))</f>
        <v>0</v>
      </c>
      <c r="AA23" s="259">
        <f>SUMPRODUCT((Y$20:Y$23=Y23)*(Z$20:Z$23=Z23)*(T$20:T$23&gt;T23))</f>
        <v>0</v>
      </c>
      <c r="AB23" s="259">
        <f>SUMPRODUCT((Y$20:Y$23=Y23)*(Z$20:Z$23=Z23)*(T$20:T$23=T23)*(X$20:X$23&gt;X23))</f>
        <v>0</v>
      </c>
      <c r="AC23" s="254">
        <v>4</v>
      </c>
      <c r="AD23" s="254" t="str">
        <f>VLOOKUP(AC23,$A$20:$B$23,2,FALSE)</f>
        <v>AEK Athens</v>
      </c>
      <c r="AE23" s="254">
        <f>VLOOKUP($AD23,$B$20:$W$23,22,FALSE)</f>
        <v>0</v>
      </c>
      <c r="AF23" s="254" t="str">
        <f>IF(AND(AE23=AE22,AE22=AE21),AD23,"")</f>
        <v/>
      </c>
      <c r="AG23" s="259">
        <f>SUMPRODUCT(($BK$4:$BK$99='Dummy Table'!$AF23)*($BL$4:$BL$99&gt;$BM$4:$BM$99))</f>
        <v>0</v>
      </c>
      <c r="AH23" s="259">
        <f>SUMPRODUCT(($BK$4:$BK$99='Dummy Table'!$AF23)*($BL$4:$BL$99=$BM$4:$BM$99))</f>
        <v>90</v>
      </c>
      <c r="AI23" s="259">
        <f>SUMPRODUCT(($BK$4:$BK$99='Dummy Table'!$AF23)*($BL$4:$BL$99&lt;$BM$4:$BM$99))</f>
        <v>0</v>
      </c>
      <c r="AJ23" s="259">
        <f>SUMIF($BK$4:$BK$99,'Dummy Table'!$AF23,$BL$4:$BL$99)</f>
        <v>0</v>
      </c>
      <c r="AK23" s="259">
        <f>SUMIF($BK$4:$BK$99,'Dummy Table'!$AF23,$BM$4:$BM$99)</f>
        <v>0</v>
      </c>
      <c r="AL23" s="259">
        <f t="shared" si="21"/>
        <v>0</v>
      </c>
      <c r="AM23" s="259" t="str">
        <f t="shared" si="22"/>
        <v/>
      </c>
      <c r="AN23" s="259">
        <f>SUMPRODUCT(($BN$4:$BN$99='Dummy Table'!$AF23)*($BL$4:$BL$99&lt;$BM$4:$BM$99))</f>
        <v>0</v>
      </c>
      <c r="AO23" s="259">
        <f>SUMPRODUCT(($BN$4:$BN$99='Dummy Table'!$AF23)*($BL$4:$BL$99=$BM$4:$BM$99))</f>
        <v>90</v>
      </c>
      <c r="AP23" s="259">
        <f>SUMPRODUCT(($BN$4:$BN$99='Dummy Table'!$AF23)*($BL$4:$BL$99&gt;$BM$4:$BM$99))</f>
        <v>0</v>
      </c>
      <c r="AQ23" s="259">
        <f>SUMIF($BN$4:$BN$99,'Dummy Table'!$AF23,$BM$4:$BM$99)</f>
        <v>0</v>
      </c>
      <c r="AR23" s="259">
        <f>SUMIF($BN$4:$BN$99,'Dummy Table'!$AF23,$BL$4:$BL$99)</f>
        <v>0</v>
      </c>
      <c r="AS23" s="259">
        <f t="shared" si="23"/>
        <v>0</v>
      </c>
      <c r="AT23" s="259" t="str">
        <f t="shared" si="24"/>
        <v/>
      </c>
      <c r="AU23" s="259">
        <f t="shared" si="25"/>
        <v>0</v>
      </c>
      <c r="AV23" s="259">
        <f t="shared" si="26"/>
        <v>180</v>
      </c>
      <c r="AW23" s="259">
        <f t="shared" si="27"/>
        <v>0</v>
      </c>
      <c r="AX23" s="259">
        <f t="shared" si="28"/>
        <v>0</v>
      </c>
      <c r="AY23" s="259">
        <f t="shared" si="29"/>
        <v>0</v>
      </c>
      <c r="AZ23" s="259">
        <f t="shared" si="30"/>
        <v>0</v>
      </c>
      <c r="BA23" s="259">
        <f t="shared" si="44"/>
        <v>-1</v>
      </c>
      <c r="BB23" s="254" t="str">
        <f t="shared" si="31"/>
        <v/>
      </c>
      <c r="BC23" s="254" t="str">
        <f t="shared" si="32"/>
        <v/>
      </c>
      <c r="BD23" s="254" t="str">
        <f t="shared" si="33"/>
        <v/>
      </c>
      <c r="BE23" s="254">
        <f>RANK(BA23,BA$20:BA$23)</f>
        <v>1</v>
      </c>
      <c r="BF23" s="254">
        <f>SUMPRODUCT((BA$20:BA$23=BA23)*(AZ$20:AZ$23&gt;AZ23))</f>
        <v>0</v>
      </c>
      <c r="BG23" s="254">
        <f>SUMPRODUCT((BA$20:BA$23=BA23)*(BE$20:BE$23=BE23)*(AZ$20:AZ$23=AZ23)*(AQ$20:AQ$23&gt;AQ23))</f>
        <v>0</v>
      </c>
      <c r="BH23" s="254">
        <f>SUMPRODUCT((BA$20:BA$23=BA23)*(BE$20:BE$23=BE23)*(AZ$20:AZ$23=AZ23)*(AQ$20:AQ$23=AQ23)*(BB$20:BB$23&gt;BB23))</f>
        <v>0</v>
      </c>
      <c r="BI23" s="254">
        <f>SUMPRODUCT((BA$20:BA$23=BA23)*(BE$20:BE$23=BE23)*(AZ$20:AZ$23=AZ23)*(AQ$20:AQ$23=AQ23)*(BB$20:BB$23=BB23)*(BC$20:BC$23&gt;BC23))</f>
        <v>0</v>
      </c>
      <c r="BJ23" s="254">
        <f>SUMPRODUCT((BA$20:BA$23=BA23)*(BE$20:BE$23=BE23)*(AZ$20:AZ$23=AZ23)*(AQ$20:AQ$23=AQ23)*(BB$20:BB$23=BB23)*(BC$20:BC$23=BC23)*(BD$20:BD$23&gt;BD23))</f>
        <v>0</v>
      </c>
      <c r="BK23" s="254" t="str">
        <f>IF(AND(COUNTIF($AF$4:$AF$35,'Group Stages'!G29)&gt;0,COUNTIF($AF$4:$AF$35,'Group Stages'!M29)&gt;0,'Group Stages'!I29&lt;&gt;"",'Group Stages'!K29&lt;&gt;""),'Group Stages'!G29,"")</f>
        <v/>
      </c>
      <c r="BL23" s="254" t="str">
        <f>IF($BK23&lt;&gt;"",'Group Stages'!I29,"")</f>
        <v/>
      </c>
      <c r="BM23" s="254" t="str">
        <f>IF($BK23&lt;&gt;"",'Group Stages'!K29,"")</f>
        <v/>
      </c>
      <c r="BN23" s="254" t="str">
        <f>IF($BK23&lt;&gt;"",'Group Stages'!M29,"")</f>
        <v/>
      </c>
      <c r="BO23" s="254" t="str">
        <f t="shared" si="2"/>
        <v/>
      </c>
      <c r="BP23" s="254" t="str">
        <f t="shared" si="34"/>
        <v/>
      </c>
      <c r="BQ23" s="254">
        <f>VLOOKUP($AD23,$B$20:$W$23,22,FALSE)</f>
        <v>0</v>
      </c>
      <c r="BR23" s="254" t="str">
        <f>IF(BR22&lt;&gt;"",AD23,"")</f>
        <v/>
      </c>
      <c r="BS23" s="261">
        <f>SUMPRODUCT(($CW$4:$CW$99='Dummy Table'!$BR23)*($CX$4:$CX$99&gt;$CY$4:$CY$99))</f>
        <v>0</v>
      </c>
      <c r="BT23" s="261">
        <f>SUMPRODUCT(($CW$4:$CW$99='Dummy Table'!$BR23)*($CX$4:$CX$99=$CY$4:$CY$99))</f>
        <v>94</v>
      </c>
      <c r="BU23" s="261">
        <f>SUMPRODUCT(($CW$4:$CW$99='Dummy Table'!$BR23)*($CX$4:$CX$99&lt;$CY$4:$CY$99))</f>
        <v>0</v>
      </c>
      <c r="BV23" s="261">
        <f>SUMIF($CW$4:$CW$99,'Dummy Table'!$BR23,$CX$4:$CX$99)</f>
        <v>0</v>
      </c>
      <c r="BW23" s="261">
        <f>SUMIF($CW$4:$CW$99,'Dummy Table'!$BR23,$CY$4:$CY$99)</f>
        <v>0</v>
      </c>
      <c r="BX23" s="261">
        <f t="shared" si="35"/>
        <v>0</v>
      </c>
      <c r="BY23" s="261" t="str">
        <f t="shared" si="36"/>
        <v/>
      </c>
      <c r="BZ23" s="261">
        <f>SUMPRODUCT(($CZ$4:$CZ$99='Dummy Table'!$BR23)*($CX$4:$CX$99&lt;$CY$4:$CY$99))</f>
        <v>0</v>
      </c>
      <c r="CA23" s="261">
        <f>SUMPRODUCT(($CZ$4:$CZ$99='Dummy Table'!$BR23)*($CX$4:$CX$99=$CY$4:$CY$99))</f>
        <v>94</v>
      </c>
      <c r="CB23" s="261">
        <f>SUMPRODUCT(($CZ$4:$CZ$99='Dummy Table'!$BR23)*($CX$4:$CX$99&gt;$CY$4:$CY$99))</f>
        <v>0</v>
      </c>
      <c r="CC23" s="261">
        <f>SUMIF($CZ$4:$CZ$99,'Dummy Table'!$BR23,$CY$4:$CY$99)</f>
        <v>0</v>
      </c>
      <c r="CD23" s="261">
        <f>SUMIF($CZ$4:$CZ$99,'Dummy Table'!$BR23,$CX$4:$CX$99)</f>
        <v>0</v>
      </c>
      <c r="CE23" s="261">
        <f t="shared" si="37"/>
        <v>0</v>
      </c>
      <c r="CF23" s="261" t="str">
        <f t="shared" si="38"/>
        <v/>
      </c>
      <c r="CG23" s="261">
        <f t="shared" si="39"/>
        <v>0</v>
      </c>
      <c r="CH23" s="261">
        <f t="shared" si="3"/>
        <v>188</v>
      </c>
      <c r="CI23" s="261">
        <f t="shared" si="4"/>
        <v>0</v>
      </c>
      <c r="CJ23" s="261">
        <f t="shared" si="5"/>
        <v>0</v>
      </c>
      <c r="CK23" s="261">
        <f t="shared" si="6"/>
        <v>0</v>
      </c>
      <c r="CL23" s="261">
        <f t="shared" si="7"/>
        <v>0</v>
      </c>
      <c r="CM23" s="261">
        <f t="shared" si="45"/>
        <v>-1</v>
      </c>
      <c r="CN23" s="259">
        <f t="shared" si="40"/>
        <v>10000</v>
      </c>
      <c r="CO23" s="259">
        <f>SUMIF($CZ$4:$CZ$99,'Dummy Table'!$BR23,$CY$4:$CY$99)*2</f>
        <v>0</v>
      </c>
      <c r="CP23" s="259">
        <f>RANK(CM23,CM$20:CM$23)</f>
        <v>1</v>
      </c>
      <c r="CR23" s="259">
        <f>SUMPRODUCT((CM$20:CM$23=CM23)*(CL$20:CL$23&gt;CL23))</f>
        <v>0</v>
      </c>
      <c r="CS23" s="259">
        <f>SUMPRODUCT((CP$20:CP$23=CP23)*(CR$20:CR$23=CR23)*(CO$20:CO$23&gt;CO23))</f>
        <v>0</v>
      </c>
      <c r="CT23" s="259">
        <f>IF(BR23&lt;&gt;"",SUMPRODUCT((CP$20:CP$23=CP23)*(CR$20:CR$23=CR23)*(CS$20:CS$23=CS23)*(V$20:V$23&gt;V23)),0)</f>
        <v>0</v>
      </c>
      <c r="CU23" s="259">
        <f>IF($BR23&lt;&gt;"",SUMPRODUCT((CP$20:CP$23=CP23)*(CR$20:CR$23=CR23)*(CS$20:CS$23=CS23)*(CT$20:CT$23=CT23)*(T$20:T$23&gt;T23)),0)</f>
        <v>0</v>
      </c>
      <c r="CV23" s="259">
        <f>SUMPRODUCT((CP$20:CP$23=CP23)*(CR$20:CR$23=CR23)*(CS$20:CS$23=CS23)*(CT$20:CT$23=CT23)*(CU$20:CU$23=CU23)*(CN$20:CN$23&gt;CN23))</f>
        <v>3</v>
      </c>
      <c r="CW23" s="254" t="str">
        <f>IF(AND(COUNTIF($BR$4:$BR$35,'Group Stages'!$G29)&gt;0,COUNTIF($BR$4:$BR$35,'Group Stages'!$M29)&gt;0),'Group Stages'!$G29,"")</f>
        <v/>
      </c>
      <c r="CX23" s="254" t="str">
        <f>IF($CW23&lt;&gt;"",'Group Stages'!$I29,"")</f>
        <v/>
      </c>
      <c r="CY23" s="254" t="str">
        <f>IF($CW23&lt;&gt;"",'Group Stages'!$K29,"")</f>
        <v/>
      </c>
      <c r="CZ23" s="254" t="str">
        <f>IF($CW23&lt;&gt;"",'Group Stages'!$M29,"")</f>
        <v/>
      </c>
      <c r="DA23" s="259" t="str">
        <f t="shared" si="8"/>
        <v/>
      </c>
      <c r="DB23" s="254" t="str">
        <f t="shared" si="43"/>
        <v/>
      </c>
      <c r="DC23" s="254">
        <v>4</v>
      </c>
      <c r="DD23" s="254" t="str">
        <f t="shared" si="46"/>
        <v>AEK Athens</v>
      </c>
      <c r="DE23" s="254" t="str">
        <f>IF(AND(DD23="",DD22="",DD21="",DD20=""),4,IF(AND(DD23="",DD22="",DD21=""),3,IF(AND(DD21&lt;&gt;"",DD22="",DD23=""),2,IF(AND(DD21&lt;&gt;"",DD22&lt;&gt;"",DD23=""),1,""))))</f>
        <v/>
      </c>
      <c r="DF23" s="254" t="str">
        <f>VLOOKUP(DE23,$BO$20:$BP$23,2,FALSE)</f>
        <v/>
      </c>
      <c r="DG23" s="254">
        <v>4</v>
      </c>
      <c r="DH23" s="254" t="str">
        <f>IF(DB23&lt;&gt;"",IF(DA22&lt;DA23,DB23,DB22),IF(DF23&lt;&gt;"",DF23,DD23))</f>
        <v>AEK Athens</v>
      </c>
      <c r="DI23" s="254">
        <v>20</v>
      </c>
    </row>
    <row r="24" spans="1:113" x14ac:dyDescent="0.2">
      <c r="A24" s="254">
        <f t="shared" si="9"/>
        <v>1</v>
      </c>
      <c r="B24" s="254" t="str">
        <f>'Team Setup'!B25</f>
        <v>Manchester City</v>
      </c>
      <c r="C24" s="259">
        <f>SUMPRODUCT(('Group Stages'!$I$10:$I$105&lt;&gt;"")*('Group Stages'!$K$10:$K$105&lt;&gt;"")*('Group Stages'!$G$10:$G$105='Dummy Table'!$B24)*('Group Stages'!$I$10:$I$105&gt;'Group Stages'!$K$10:$K$105))</f>
        <v>2</v>
      </c>
      <c r="D24" s="259">
        <f>SUMPRODUCT(('Group Stages'!$I$10:$I$105&lt;&gt;"")*('Group Stages'!$K$10:$K$105&lt;&gt;"")*('Group Stages'!$G$10:$G$105='Dummy Table'!$B24)*('Group Stages'!$I$10:$I$105='Group Stages'!$K$10:$K$105))</f>
        <v>0</v>
      </c>
      <c r="E24" s="259">
        <f>SUMPRODUCT(('Group Stages'!$I$10:$I$105&lt;&gt;"")*('Group Stages'!$K$10:$K$105&lt;&gt;"")*('Group Stages'!$G$10:$G$105='Dummy Table'!$B24)*('Group Stages'!$I$10:$I$105&lt;'Group Stages'!$K$10:$K$105))</f>
        <v>1</v>
      </c>
      <c r="F24" s="259">
        <f>SUMIF('Group Stages'!$G$10:$G$105,'Dummy Table'!$B24,'Group Stages'!$I$10:$I$105)</f>
        <v>9</v>
      </c>
      <c r="G24" s="259">
        <f>SUMIF('Group Stages'!$G$10:$G$105,'Dummy Table'!$B24,'Group Stages'!$K$10:$K$105)</f>
        <v>3</v>
      </c>
      <c r="H24" s="259">
        <f t="shared" si="10"/>
        <v>6</v>
      </c>
      <c r="I24" s="259">
        <f t="shared" si="11"/>
        <v>6</v>
      </c>
      <c r="J24" s="254">
        <f>SUMPRODUCT(('Group Stages'!$I$10:$I$105&lt;&gt;"")*('Group Stages'!$K$10:$K$105&lt;&gt;"")*('Group Stages'!$M$10:$M$105='Dummy Table'!$B24)*('Group Stages'!$I$10:$I$105&lt;'Group Stages'!$K$10:$K$105))</f>
        <v>2</v>
      </c>
      <c r="K24" s="254">
        <f>SUMPRODUCT(('Group Stages'!$I$10:$I$105&lt;&gt;"")*('Group Stages'!$K$10:$K$105&lt;&gt;"")*('Group Stages'!$M$10:$M$105='Dummy Table'!$B24)*('Group Stages'!$I$10:$I$105='Group Stages'!$K$10:$K$105))</f>
        <v>1</v>
      </c>
      <c r="L24" s="254">
        <f>SUMPRODUCT(('Group Stages'!$I$10:$I$105&lt;&gt;"")*('Group Stages'!$K$10:$K$105&lt;&gt;"")*('Group Stages'!$M$10:$M$105='Dummy Table'!$B24)*('Group Stages'!$I$10:$I$105&gt;'Group Stages'!$K$10:$K$105))</f>
        <v>0</v>
      </c>
      <c r="M24" s="254">
        <f>SUMIF('Group Stages'!$M$10:$M$105,'Dummy Table'!$B24,'Group Stages'!$K$10:$K$105)</f>
        <v>7</v>
      </c>
      <c r="N24" s="254">
        <f>SUMIF('Group Stages'!$M$10:$M$105,'Dummy Table'!$B24,'Group Stages'!$I$10:$I$105)</f>
        <v>3</v>
      </c>
      <c r="O24" s="254">
        <f t="shared" si="12"/>
        <v>4</v>
      </c>
      <c r="P24" s="254">
        <f t="shared" si="13"/>
        <v>7</v>
      </c>
      <c r="Q24" s="254">
        <f t="shared" si="14"/>
        <v>4</v>
      </c>
      <c r="R24" s="254">
        <f t="shared" si="15"/>
        <v>1</v>
      </c>
      <c r="S24" s="254">
        <f t="shared" si="16"/>
        <v>1</v>
      </c>
      <c r="T24" s="254">
        <f t="shared" si="17"/>
        <v>16</v>
      </c>
      <c r="U24" s="254">
        <f t="shared" si="18"/>
        <v>6</v>
      </c>
      <c r="V24" s="254">
        <f t="shared" si="19"/>
        <v>10</v>
      </c>
      <c r="W24" s="254">
        <f t="shared" si="20"/>
        <v>13</v>
      </c>
      <c r="X24" s="259">
        <f>IF('Team Setup'!F25&lt;&gt;"",'Team Setup'!F25,DI24)</f>
        <v>100000</v>
      </c>
      <c r="Y24" s="259">
        <f>RANK(W24,W$24:W$27)</f>
        <v>1</v>
      </c>
      <c r="Z24" s="259">
        <f>SUMPRODUCT((W$24:W$27=W24)*(V$24:V$27&gt;V24))</f>
        <v>0</v>
      </c>
      <c r="AA24" s="259">
        <f>SUMPRODUCT((Y$24:Y$27=Y24)*(Z$24:Z$27=Z24)*(T$24:T$27&gt;T24))</f>
        <v>0</v>
      </c>
      <c r="AB24" s="259">
        <f>SUMPRODUCT((Y$24:Y$27=Y24)*(Z$24:Z$27=Z24)*(T$24:T$27=T24)*(X$24:X$27&gt;X24))</f>
        <v>0</v>
      </c>
      <c r="AC24" s="254">
        <v>1</v>
      </c>
      <c r="AD24" s="254" t="str">
        <f>VLOOKUP(AC24,$A$24:$B$27,2,FALSE)</f>
        <v>Manchester City</v>
      </c>
      <c r="AE24" s="254">
        <f>VLOOKUP($AD24,$B$24:$W$27,22,FALSE)</f>
        <v>13</v>
      </c>
      <c r="AF24" s="254" t="str">
        <f>IF(AE24=AE25,AD24,"")</f>
        <v/>
      </c>
      <c r="AG24" s="259">
        <f>SUMPRODUCT(($BK$4:$BK$99='Dummy Table'!$AF24)*($BL$4:$BL$99&gt;$BM$4:$BM$99))</f>
        <v>0</v>
      </c>
      <c r="AH24" s="259">
        <f>SUMPRODUCT(($BK$4:$BK$99='Dummy Table'!$AF24)*($BL$4:$BL$99=$BM$4:$BM$99))</f>
        <v>90</v>
      </c>
      <c r="AI24" s="259">
        <f>SUMPRODUCT(($BK$4:$BK$99='Dummy Table'!$AF24)*($BL$4:$BL$99&lt;$BM$4:$BM$99))</f>
        <v>0</v>
      </c>
      <c r="AJ24" s="259">
        <f>SUMIF($BK$4:$BK$99,'Dummy Table'!$AF24,$BL$4:$BL$99)</f>
        <v>0</v>
      </c>
      <c r="AK24" s="259">
        <f>SUMIF($BK$4:$BK$99,'Dummy Table'!$AF24,$BM$4:$BM$99)</f>
        <v>0</v>
      </c>
      <c r="AL24" s="259">
        <f t="shared" si="21"/>
        <v>0</v>
      </c>
      <c r="AM24" s="259" t="str">
        <f t="shared" si="22"/>
        <v/>
      </c>
      <c r="AN24" s="259">
        <f>SUMPRODUCT(($BN$4:$BN$99='Dummy Table'!$AF24)*($BL$4:$BL$99&lt;$BM$4:$BM$99))</f>
        <v>0</v>
      </c>
      <c r="AO24" s="259">
        <f>SUMPRODUCT(($BN$4:$BN$99='Dummy Table'!$AF24)*($BL$4:$BL$99=$BM$4:$BM$99))</f>
        <v>90</v>
      </c>
      <c r="AP24" s="259">
        <f>SUMPRODUCT(($BN$4:$BN$99='Dummy Table'!$AF24)*($BL$4:$BL$99&gt;$BM$4:$BM$99))</f>
        <v>0</v>
      </c>
      <c r="AQ24" s="259">
        <f>SUMIF($BN$4:$BN$99,'Dummy Table'!$AF24,$BM$4:$BM$99)</f>
        <v>0</v>
      </c>
      <c r="AR24" s="259">
        <f>SUMIF($BN$4:$BN$99,'Dummy Table'!$AF24,$BL$4:$BL$99)</f>
        <v>0</v>
      </c>
      <c r="AS24" s="259">
        <f t="shared" si="23"/>
        <v>0</v>
      </c>
      <c r="AT24" s="259" t="str">
        <f t="shared" si="24"/>
        <v/>
      </c>
      <c r="AU24" s="259">
        <f t="shared" si="25"/>
        <v>0</v>
      </c>
      <c r="AV24" s="259">
        <f t="shared" si="26"/>
        <v>180</v>
      </c>
      <c r="AW24" s="259">
        <f t="shared" si="27"/>
        <v>0</v>
      </c>
      <c r="AX24" s="259">
        <f t="shared" si="28"/>
        <v>0</v>
      </c>
      <c r="AY24" s="259">
        <f t="shared" si="29"/>
        <v>0</v>
      </c>
      <c r="AZ24" s="259">
        <f t="shared" si="30"/>
        <v>0</v>
      </c>
      <c r="BA24" s="259">
        <f t="shared" si="44"/>
        <v>-1</v>
      </c>
      <c r="BB24" s="254" t="str">
        <f t="shared" si="31"/>
        <v/>
      </c>
      <c r="BC24" s="254" t="str">
        <f t="shared" si="32"/>
        <v/>
      </c>
      <c r="BD24" s="254" t="str">
        <f t="shared" si="33"/>
        <v/>
      </c>
      <c r="BE24" s="254">
        <f>RANK(BA24,BA$24:BA$27)</f>
        <v>1</v>
      </c>
      <c r="BF24" s="254">
        <f>SUMPRODUCT((BA$24:BA$27=BA24)*(AZ$24:AZ$27&gt;AZ24))</f>
        <v>0</v>
      </c>
      <c r="BG24" s="254">
        <f>SUMPRODUCT((BA$24:BA$27=BA24)*(BE$24:BE$27=BE24)*(AZ$24:AZ$27=AZ24)*(AQ$24:AQ$27&gt;AQ24))</f>
        <v>0</v>
      </c>
      <c r="BH24" s="254">
        <f>SUMPRODUCT((BA$24:BA$27=BA24)*(BE$24:BE$27=BE24)*(AZ$24:AZ$27=AZ24)*(AQ$24:AQ$27=AQ24)*(BB$24:BB$27&gt;BB24))</f>
        <v>0</v>
      </c>
      <c r="BI24" s="254">
        <f>SUMPRODUCT((BA$24:BA$27=BA24)*(BE$24:BE$27=BE24)*(AZ$24:AZ$27=AZ24)*(AQ$24:AQ$27=AQ24)*(BB$24:BB$27=BB24)*(BC$24:BC$27&gt;BC24))</f>
        <v>0</v>
      </c>
      <c r="BJ24" s="254">
        <f>SUMPRODUCT((BA$24:BA$27=BA24)*(BE$24:BE$27=BE24)*(AZ$24:AZ$27=AZ24)*(AQ$24:AQ$27=AQ24)*(BB$24:BB$27=BB24)*(BC$24:BC$27=BC24)*(BD$24:BD$27&gt;BD24))</f>
        <v>0</v>
      </c>
      <c r="BK24" s="254" t="str">
        <f>IF(AND(COUNTIF($AF$4:$AF$35,'Group Stages'!G30)&gt;0,COUNTIF($AF$4:$AF$35,'Group Stages'!M30)&gt;0,'Group Stages'!I30&lt;&gt;"",'Group Stages'!K30&lt;&gt;""),'Group Stages'!G30,"")</f>
        <v/>
      </c>
      <c r="BL24" s="254" t="str">
        <f>IF($BK24&lt;&gt;"",'Group Stages'!I30,"")</f>
        <v/>
      </c>
      <c r="BM24" s="254" t="str">
        <f>IF($BK24&lt;&gt;"",'Group Stages'!K30,"")</f>
        <v/>
      </c>
      <c r="BN24" s="254" t="str">
        <f>IF($BK24&lt;&gt;"",'Group Stages'!M30,"")</f>
        <v/>
      </c>
      <c r="BO24" s="254" t="str">
        <f t="shared" si="2"/>
        <v/>
      </c>
      <c r="BP24" s="254" t="str">
        <f t="shared" si="34"/>
        <v/>
      </c>
      <c r="BQ24" s="254">
        <f>VLOOKUP($AD24,$B$24:$W$27,22,FALSE)</f>
        <v>13</v>
      </c>
      <c r="BS24" s="261">
        <f>SUMPRODUCT(($CW$4:$CW$99='Dummy Table'!$BR24)*($CX$4:$CX$99&gt;$CY$4:$CY$99))</f>
        <v>0</v>
      </c>
      <c r="BT24" s="261">
        <f>SUMPRODUCT(($CW$4:$CW$99='Dummy Table'!$BR24)*($CX$4:$CX$99=$CY$4:$CY$99))</f>
        <v>94</v>
      </c>
      <c r="BU24" s="261">
        <f>SUMPRODUCT(($CW$4:$CW$99='Dummy Table'!$BR24)*($CX$4:$CX$99&lt;$CY$4:$CY$99))</f>
        <v>0</v>
      </c>
      <c r="BV24" s="261">
        <f>SUMIF($CW$4:$CW$99,'Dummy Table'!$BR24,$CX$4:$CX$99)</f>
        <v>0</v>
      </c>
      <c r="BW24" s="261">
        <f>SUMIF($CW$4:$CW$99,'Dummy Table'!$BR24,$CY$4:$CY$99)</f>
        <v>0</v>
      </c>
      <c r="BX24" s="261">
        <f t="shared" si="35"/>
        <v>0</v>
      </c>
      <c r="BY24" s="261" t="str">
        <f t="shared" si="36"/>
        <v/>
      </c>
      <c r="BZ24" s="261">
        <f>SUMPRODUCT(($CZ$4:$CZ$99='Dummy Table'!$BR24)*($CX$4:$CX$99&lt;$CY$4:$CY$99))</f>
        <v>0</v>
      </c>
      <c r="CA24" s="261">
        <f>SUMPRODUCT(($CZ$4:$CZ$99='Dummy Table'!$BR24)*($CX$4:$CX$99=$CY$4:$CY$99))</f>
        <v>94</v>
      </c>
      <c r="CB24" s="261">
        <f>SUMPRODUCT(($CZ$4:$CZ$99='Dummy Table'!$BR24)*($CX$4:$CX$99&gt;$CY$4:$CY$99))</f>
        <v>0</v>
      </c>
      <c r="CC24" s="261">
        <f>SUMIF($CZ$4:$CZ$99,'Dummy Table'!$BR24,$CY$4:$CY$99)</f>
        <v>0</v>
      </c>
      <c r="CD24" s="261">
        <f>SUMIF($CZ$4:$CZ$99,'Dummy Table'!$BR24,$CX$4:$CX$99)</f>
        <v>0</v>
      </c>
      <c r="CE24" s="261">
        <f t="shared" si="37"/>
        <v>0</v>
      </c>
      <c r="CF24" s="261" t="str">
        <f t="shared" si="38"/>
        <v/>
      </c>
      <c r="CG24" s="261">
        <f t="shared" si="39"/>
        <v>0</v>
      </c>
      <c r="CH24" s="261">
        <f t="shared" si="3"/>
        <v>188</v>
      </c>
      <c r="CI24" s="261">
        <f t="shared" si="4"/>
        <v>0</v>
      </c>
      <c r="CJ24" s="261">
        <f t="shared" si="5"/>
        <v>0</v>
      </c>
      <c r="CK24" s="261">
        <f t="shared" si="6"/>
        <v>0</v>
      </c>
      <c r="CL24" s="261">
        <f t="shared" si="7"/>
        <v>0</v>
      </c>
      <c r="CM24" s="261">
        <f t="shared" si="45"/>
        <v>-1</v>
      </c>
      <c r="CN24" s="259">
        <f t="shared" si="40"/>
        <v>100000</v>
      </c>
      <c r="CO24" s="259">
        <f>SUMIF($CZ$4:$CZ$99,'Dummy Table'!$BR24,$CY$4:$CY$99)*2</f>
        <v>0</v>
      </c>
      <c r="CP24" s="259">
        <f>RANK(CM24,CM$24:CM$27)</f>
        <v>1</v>
      </c>
      <c r="CR24" s="259">
        <f>SUMPRODUCT((CM$24:CM$27=CM24)*(CL$24:CL$27&gt;CL24))</f>
        <v>0</v>
      </c>
      <c r="CS24" s="259">
        <f>SUMPRODUCT((CP$24:CP$27=CP24)*(CR$24:CR$27=CR24)*(CO$24:CO$27&gt;CO24))</f>
        <v>0</v>
      </c>
      <c r="CT24" s="259">
        <f>IF(BR24&lt;&gt;"",SUMPRODUCT((CP$24:CP$27=CP24)*(CR$24:CR$27=CR24)*(CS$24:CS$27=CS24)*(V$24:V$27&gt;V24)),0)</f>
        <v>0</v>
      </c>
      <c r="CU24" s="259">
        <f>IF($BR24&lt;&gt;"",SUMPRODUCT((CP$24:CP$27=CP24)*(CR$24:CR$27=CR24)*(CS$24:CS$27=CS24)*(CT$24:CT$27=CT24)*(T$24:T$27&gt;T24)),0)</f>
        <v>0</v>
      </c>
      <c r="CV24" s="259">
        <f>SUMPRODUCT((CP$24:CP$27=CP24)*(CR$24:CR$27=CR24)*(CS$24:CS$27=CS24)*(CT$24:CT$27=CT24)*(CU$24:CU$27=CU24)*(CN$24:CN$27&gt;CN24))</f>
        <v>0</v>
      </c>
      <c r="CW24" s="254" t="str">
        <f>IF(AND(COUNTIF($BR$4:$BR$35,'Group Stages'!$G30)&gt;0,COUNTIF($BR$4:$BR$35,'Group Stages'!$M30)&gt;0),'Group Stages'!$G30,"")</f>
        <v/>
      </c>
      <c r="CX24" s="254" t="str">
        <f>IF($CW24&lt;&gt;"",'Group Stages'!$I30,"")</f>
        <v/>
      </c>
      <c r="CY24" s="254" t="str">
        <f>IF($CW24&lt;&gt;"",'Group Stages'!$K30,"")</f>
        <v/>
      </c>
      <c r="CZ24" s="254" t="str">
        <f>IF($CW24&lt;&gt;"",'Group Stages'!$M30,"")</f>
        <v/>
      </c>
      <c r="DA24" s="259" t="str">
        <f t="shared" si="8"/>
        <v/>
      </c>
      <c r="DB24" s="254" t="str">
        <f t="shared" si="43"/>
        <v/>
      </c>
      <c r="DC24" s="254">
        <v>1</v>
      </c>
      <c r="DD24" s="254" t="str">
        <f t="shared" si="46"/>
        <v>Manchester City</v>
      </c>
      <c r="DE24" s="254" t="str">
        <f>IF(DD24="",DC24,"")</f>
        <v/>
      </c>
      <c r="DF24" s="254" t="str">
        <f>VLOOKUP(DE24,$BO$24:$BP$27,2,FALSE)</f>
        <v/>
      </c>
      <c r="DG24" s="254">
        <v>1</v>
      </c>
      <c r="DH24" s="254" t="str">
        <f>IF(DD24="",DF24,DD24)</f>
        <v>Manchester City</v>
      </c>
      <c r="DI24" s="254">
        <v>21</v>
      </c>
    </row>
    <row r="25" spans="1:113" x14ac:dyDescent="0.2">
      <c r="A25" s="254">
        <f t="shared" si="9"/>
        <v>3</v>
      </c>
      <c r="B25" s="254" t="str">
        <f>'Team Setup'!B26</f>
        <v>Shakhtar Donetsk</v>
      </c>
      <c r="C25" s="259">
        <f>SUMPRODUCT(('Group Stages'!$I$10:$I$105&lt;&gt;"")*('Group Stages'!$K$10:$K$105&lt;&gt;"")*('Group Stages'!$G$10:$G$105='Dummy Table'!$B25)*('Group Stages'!$I$10:$I$105&gt;'Group Stages'!$K$10:$K$105))</f>
        <v>0</v>
      </c>
      <c r="D25" s="259">
        <f>SUMPRODUCT(('Group Stages'!$I$10:$I$105&lt;&gt;"")*('Group Stages'!$K$10:$K$105&lt;&gt;"")*('Group Stages'!$G$10:$G$105='Dummy Table'!$B25)*('Group Stages'!$I$10:$I$105='Group Stages'!$K$10:$K$105))</f>
        <v>2</v>
      </c>
      <c r="E25" s="259">
        <f>SUMPRODUCT(('Group Stages'!$I$10:$I$105&lt;&gt;"")*('Group Stages'!$K$10:$K$105&lt;&gt;"")*('Group Stages'!$G$10:$G$105='Dummy Table'!$B25)*('Group Stages'!$I$10:$I$105&lt;'Group Stages'!$K$10:$K$105))</f>
        <v>1</v>
      </c>
      <c r="F25" s="259">
        <f>SUMIF('Group Stages'!$G$10:$G$105,'Dummy Table'!$B25,'Group Stages'!$I$10:$I$105)</f>
        <v>3</v>
      </c>
      <c r="G25" s="259">
        <f>SUMIF('Group Stages'!$G$10:$G$105,'Dummy Table'!$B25,'Group Stages'!$K$10:$K$105)</f>
        <v>6</v>
      </c>
      <c r="H25" s="259">
        <f t="shared" si="10"/>
        <v>-3</v>
      </c>
      <c r="I25" s="259">
        <f t="shared" si="11"/>
        <v>2</v>
      </c>
      <c r="J25" s="254">
        <f>SUMPRODUCT(('Group Stages'!$I$10:$I$105&lt;&gt;"")*('Group Stages'!$K$10:$K$105&lt;&gt;"")*('Group Stages'!$M$10:$M$105='Dummy Table'!$B25)*('Group Stages'!$I$10:$I$105&lt;'Group Stages'!$K$10:$K$105))</f>
        <v>1</v>
      </c>
      <c r="K25" s="254">
        <f>SUMPRODUCT(('Group Stages'!$I$10:$I$105&lt;&gt;"")*('Group Stages'!$K$10:$K$105&lt;&gt;"")*('Group Stages'!$M$10:$M$105='Dummy Table'!$B25)*('Group Stages'!$I$10:$I$105='Group Stages'!$K$10:$K$105))</f>
        <v>1</v>
      </c>
      <c r="L25" s="254">
        <f>SUMPRODUCT(('Group Stages'!$I$10:$I$105&lt;&gt;"")*('Group Stages'!$K$10:$K$105&lt;&gt;"")*('Group Stages'!$M$10:$M$105='Dummy Table'!$B25)*('Group Stages'!$I$10:$I$105&gt;'Group Stages'!$K$10:$K$105))</f>
        <v>1</v>
      </c>
      <c r="M25" s="254">
        <f>SUMIF('Group Stages'!$M$10:$M$105,'Dummy Table'!$B25,'Group Stages'!$K$10:$K$105)</f>
        <v>5</v>
      </c>
      <c r="N25" s="254">
        <f>SUMIF('Group Stages'!$M$10:$M$105,'Dummy Table'!$B25,'Group Stages'!$I$10:$I$105)</f>
        <v>10</v>
      </c>
      <c r="O25" s="254">
        <f t="shared" si="12"/>
        <v>-5</v>
      </c>
      <c r="P25" s="254">
        <f t="shared" si="13"/>
        <v>4</v>
      </c>
      <c r="Q25" s="254">
        <f t="shared" si="14"/>
        <v>1</v>
      </c>
      <c r="R25" s="254">
        <f t="shared" si="15"/>
        <v>3</v>
      </c>
      <c r="S25" s="254">
        <f t="shared" si="16"/>
        <v>2</v>
      </c>
      <c r="T25" s="254">
        <f t="shared" si="17"/>
        <v>8</v>
      </c>
      <c r="U25" s="254">
        <f t="shared" si="18"/>
        <v>16</v>
      </c>
      <c r="V25" s="254">
        <f t="shared" si="19"/>
        <v>-8</v>
      </c>
      <c r="W25" s="254">
        <f t="shared" si="20"/>
        <v>6</v>
      </c>
      <c r="X25" s="259">
        <f>IF('Team Setup'!F26&lt;&gt;"",'Team Setup'!F26,DI25)</f>
        <v>81000</v>
      </c>
      <c r="Y25" s="259">
        <f>RANK(W25,W$24:W$27)</f>
        <v>3</v>
      </c>
      <c r="Z25" s="259">
        <f>SUMPRODUCT((W$24:W$27=W25)*(V$24:V$27&gt;V25))</f>
        <v>0</v>
      </c>
      <c r="AA25" s="259">
        <f>SUMPRODUCT((Y$24:Y$27=Y25)*(Z$24:Z$27=Z25)*(T$24:T$27&gt;T25))</f>
        <v>0</v>
      </c>
      <c r="AB25" s="259">
        <f>SUMPRODUCT((Y$24:Y$27=Y25)*(Z$24:Z$27=Z25)*(T$24:T$27=T25)*(X$24:X$27&gt;X25))</f>
        <v>0</v>
      </c>
      <c r="AC25" s="254">
        <v>2</v>
      </c>
      <c r="AD25" s="254" t="str">
        <f>VLOOKUP(AC25,$A$24:$B$27,2,FALSE)</f>
        <v>Lyon</v>
      </c>
      <c r="AE25" s="254">
        <f>VLOOKUP($AD25,$B$24:$W$27,22,FALSE)</f>
        <v>8</v>
      </c>
      <c r="AF25" s="254" t="str">
        <f>IF(OR(AE25=AE24,AE25=AE26),AD25,"")</f>
        <v/>
      </c>
      <c r="AG25" s="259">
        <f>SUMPRODUCT(($BK$4:$BK$99='Dummy Table'!$AF25)*($BL$4:$BL$99&gt;$BM$4:$BM$99))</f>
        <v>0</v>
      </c>
      <c r="AH25" s="259">
        <f>SUMPRODUCT(($BK$4:$BK$99='Dummy Table'!$AF25)*($BL$4:$BL$99=$BM$4:$BM$99))</f>
        <v>90</v>
      </c>
      <c r="AI25" s="259">
        <f>SUMPRODUCT(($BK$4:$BK$99='Dummy Table'!$AF25)*($BL$4:$BL$99&lt;$BM$4:$BM$99))</f>
        <v>0</v>
      </c>
      <c r="AJ25" s="259">
        <f>SUMIF($BK$4:$BK$99,'Dummy Table'!$AF25,$BL$4:$BL$99)</f>
        <v>0</v>
      </c>
      <c r="AK25" s="259">
        <f>SUMIF($BK$4:$BK$99,'Dummy Table'!$AF25,$BM$4:$BM$99)</f>
        <v>0</v>
      </c>
      <c r="AL25" s="259">
        <f t="shared" si="21"/>
        <v>0</v>
      </c>
      <c r="AM25" s="259" t="str">
        <f t="shared" si="22"/>
        <v/>
      </c>
      <c r="AN25" s="259">
        <f>SUMPRODUCT(($BN$4:$BN$99='Dummy Table'!$AF25)*($BL$4:$BL$99&lt;$BM$4:$BM$99))</f>
        <v>0</v>
      </c>
      <c r="AO25" s="259">
        <f>SUMPRODUCT(($BN$4:$BN$99='Dummy Table'!$AF25)*($BL$4:$BL$99=$BM$4:$BM$99))</f>
        <v>90</v>
      </c>
      <c r="AP25" s="259">
        <f>SUMPRODUCT(($BN$4:$BN$99='Dummy Table'!$AF25)*($BL$4:$BL$99&gt;$BM$4:$BM$99))</f>
        <v>0</v>
      </c>
      <c r="AQ25" s="259">
        <f>SUMIF($BN$4:$BN$99,'Dummy Table'!$AF25,$BM$4:$BM$99)</f>
        <v>0</v>
      </c>
      <c r="AR25" s="259">
        <f>SUMIF($BN$4:$BN$99,'Dummy Table'!$AF25,$BL$4:$BL$99)</f>
        <v>0</v>
      </c>
      <c r="AS25" s="259">
        <f t="shared" si="23"/>
        <v>0</v>
      </c>
      <c r="AT25" s="259" t="str">
        <f t="shared" si="24"/>
        <v/>
      </c>
      <c r="AU25" s="259">
        <f t="shared" si="25"/>
        <v>0</v>
      </c>
      <c r="AV25" s="259">
        <f t="shared" si="26"/>
        <v>180</v>
      </c>
      <c r="AW25" s="259">
        <f t="shared" si="27"/>
        <v>0</v>
      </c>
      <c r="AX25" s="259">
        <f t="shared" si="28"/>
        <v>0</v>
      </c>
      <c r="AY25" s="259">
        <f t="shared" si="29"/>
        <v>0</v>
      </c>
      <c r="AZ25" s="259">
        <f t="shared" si="30"/>
        <v>0</v>
      </c>
      <c r="BA25" s="259">
        <f t="shared" si="44"/>
        <v>-1</v>
      </c>
      <c r="BB25" s="254" t="str">
        <f t="shared" si="31"/>
        <v/>
      </c>
      <c r="BC25" s="254" t="str">
        <f t="shared" si="32"/>
        <v/>
      </c>
      <c r="BD25" s="254" t="str">
        <f t="shared" si="33"/>
        <v/>
      </c>
      <c r="BE25" s="254">
        <f>RANK(BA25,BA$24:BA$27)</f>
        <v>1</v>
      </c>
      <c r="BF25" s="254">
        <f>SUMPRODUCT((BA$24:BA$27=BA25)*(AZ$24:AZ$27&gt;AZ25))</f>
        <v>0</v>
      </c>
      <c r="BG25" s="254">
        <f>SUMPRODUCT((BA$24:BA$27=BA25)*(BE$24:BE$27=BE25)*(AZ$24:AZ$27=AZ25)*(AQ$24:AQ$27&gt;AQ25))</f>
        <v>0</v>
      </c>
      <c r="BH25" s="254">
        <f>SUMPRODUCT((BA$24:BA$27=BA25)*(BE$24:BE$27=BE25)*(AZ$24:AZ$27=AZ25)*(AQ$24:AQ$27=AQ25)*(BB$24:BB$27&gt;BB25))</f>
        <v>0</v>
      </c>
      <c r="BI25" s="254">
        <f>SUMPRODUCT((BA$24:BA$27=BA25)*(BE$24:BE$27=BE25)*(AZ$24:AZ$27=AZ25)*(AQ$24:AQ$27=AQ25)*(BB$24:BB$27=BB25)*(BC$24:BC$27&gt;BC25))</f>
        <v>0</v>
      </c>
      <c r="BJ25" s="254">
        <f>SUMPRODUCT((BA$24:BA$27=BA25)*(BE$24:BE$27=BE25)*(AZ$24:AZ$27=AZ25)*(AQ$24:AQ$27=AQ25)*(BB$24:BB$27=BB25)*(BC$24:BC$27=BC25)*(BD$24:BD$27&gt;BD25))</f>
        <v>0</v>
      </c>
      <c r="BK25" s="254" t="str">
        <f>IF(AND(COUNTIF($AF$4:$AF$35,'Group Stages'!G31)&gt;0,COUNTIF($AF$4:$AF$35,'Group Stages'!M31)&gt;0,'Group Stages'!I31&lt;&gt;"",'Group Stages'!K31&lt;&gt;""),'Group Stages'!G31,"")</f>
        <v/>
      </c>
      <c r="BL25" s="254" t="str">
        <f>IF($BK25&lt;&gt;"",'Group Stages'!I31,"")</f>
        <v/>
      </c>
      <c r="BM25" s="254" t="str">
        <f>IF($BK25&lt;&gt;"",'Group Stages'!K31,"")</f>
        <v/>
      </c>
      <c r="BN25" s="254" t="str">
        <f>IF($BK25&lt;&gt;"",'Group Stages'!M31,"")</f>
        <v/>
      </c>
      <c r="BO25" s="254" t="str">
        <f t="shared" si="2"/>
        <v/>
      </c>
      <c r="BP25" s="254" t="str">
        <f t="shared" si="34"/>
        <v/>
      </c>
      <c r="BQ25" s="254">
        <f>VLOOKUP($AD25,$B$24:$W$27,22,FALSE)</f>
        <v>8</v>
      </c>
      <c r="BS25" s="261">
        <f>SUMPRODUCT(($CW$4:$CW$99='Dummy Table'!$BR25)*($CX$4:$CX$99&gt;$CY$4:$CY$99))</f>
        <v>0</v>
      </c>
      <c r="BT25" s="261">
        <f>SUMPRODUCT(($CW$4:$CW$99='Dummy Table'!$BR25)*($CX$4:$CX$99=$CY$4:$CY$99))</f>
        <v>94</v>
      </c>
      <c r="BU25" s="261">
        <f>SUMPRODUCT(($CW$4:$CW$99='Dummy Table'!$BR25)*($CX$4:$CX$99&lt;$CY$4:$CY$99))</f>
        <v>0</v>
      </c>
      <c r="BV25" s="261">
        <f>SUMIF($CW$4:$CW$99,'Dummy Table'!$BR25,$CX$4:$CX$99)</f>
        <v>0</v>
      </c>
      <c r="BW25" s="261">
        <f>SUMIF($CW$4:$CW$99,'Dummy Table'!$BR25,$CY$4:$CY$99)</f>
        <v>0</v>
      </c>
      <c r="BX25" s="261">
        <f t="shared" si="35"/>
        <v>0</v>
      </c>
      <c r="BY25" s="261" t="str">
        <f t="shared" si="36"/>
        <v/>
      </c>
      <c r="BZ25" s="261">
        <f>SUMPRODUCT(($CZ$4:$CZ$99='Dummy Table'!$BR25)*($CX$4:$CX$99&lt;$CY$4:$CY$99))</f>
        <v>0</v>
      </c>
      <c r="CA25" s="261">
        <f>SUMPRODUCT(($CZ$4:$CZ$99='Dummy Table'!$BR25)*($CX$4:$CX$99=$CY$4:$CY$99))</f>
        <v>94</v>
      </c>
      <c r="CB25" s="261">
        <f>SUMPRODUCT(($CZ$4:$CZ$99='Dummy Table'!$BR25)*($CX$4:$CX$99&gt;$CY$4:$CY$99))</f>
        <v>0</v>
      </c>
      <c r="CC25" s="261">
        <f>SUMIF($CZ$4:$CZ$99,'Dummy Table'!$BR25,$CY$4:$CY$99)</f>
        <v>0</v>
      </c>
      <c r="CD25" s="261">
        <f>SUMIF($CZ$4:$CZ$99,'Dummy Table'!$BR25,$CX$4:$CX$99)</f>
        <v>0</v>
      </c>
      <c r="CE25" s="261">
        <f t="shared" si="37"/>
        <v>0</v>
      </c>
      <c r="CF25" s="261" t="str">
        <f t="shared" si="38"/>
        <v/>
      </c>
      <c r="CG25" s="261">
        <f t="shared" si="39"/>
        <v>0</v>
      </c>
      <c r="CH25" s="261">
        <f t="shared" si="3"/>
        <v>188</v>
      </c>
      <c r="CI25" s="261">
        <f t="shared" si="4"/>
        <v>0</v>
      </c>
      <c r="CJ25" s="261">
        <f t="shared" si="5"/>
        <v>0</v>
      </c>
      <c r="CK25" s="261">
        <f t="shared" si="6"/>
        <v>0</v>
      </c>
      <c r="CL25" s="261">
        <f t="shared" si="7"/>
        <v>0</v>
      </c>
      <c r="CM25" s="261">
        <f t="shared" si="45"/>
        <v>-1</v>
      </c>
      <c r="CN25" s="259">
        <f t="shared" si="40"/>
        <v>81000</v>
      </c>
      <c r="CO25" s="259">
        <f>SUMIF($CZ$4:$CZ$99,'Dummy Table'!$BR25,$CY$4:$CY$99)*2</f>
        <v>0</v>
      </c>
      <c r="CP25" s="259">
        <f>RANK(CM25,CM$24:CM$27)</f>
        <v>1</v>
      </c>
      <c r="CR25" s="259">
        <f>SUMPRODUCT((CM$24:CM$27=CM25)*(CL$24:CL$27&gt;CL25))</f>
        <v>0</v>
      </c>
      <c r="CS25" s="259">
        <f>SUMPRODUCT((CP$24:CP$27=CP25)*(CR$24:CR$27=CR25)*(CO$24:CO$27&gt;CO25))</f>
        <v>0</v>
      </c>
      <c r="CT25" s="259">
        <f>IF(BR25&lt;&gt;"",SUMPRODUCT((CP$24:CP$27=CP25)*(CR$24:CR$27=CR25)*(CS$24:CS$27=CS25)*(V$24:V$27&gt;V25)),0)</f>
        <v>0</v>
      </c>
      <c r="CU25" s="259">
        <f>IF($BR25&lt;&gt;"",SUMPRODUCT((CP$24:CP$27=CP25)*(CR$24:CR$27=CR25)*(CS$24:CS$27=CS25)*(CT$24:CT$27=CT25)*(T$24:T$27&gt;T25)),0)</f>
        <v>0</v>
      </c>
      <c r="CV25" s="259">
        <f>SUMPRODUCT((CP$24:CP$27=CP25)*(CR$24:CR$27=CR25)*(CS$24:CS$27=CS25)*(CT$24:CT$27=CT25)*(CU$24:CU$27=CU25)*(CN$24:CN$27&gt;CN25))</f>
        <v>1</v>
      </c>
      <c r="CW25" s="254" t="str">
        <f>IF(AND(COUNTIF($BR$4:$BR$35,'Group Stages'!$G31)&gt;0,COUNTIF($BR$4:$BR$35,'Group Stages'!$M31)&gt;0),'Group Stages'!$G31,"")</f>
        <v/>
      </c>
      <c r="CX25" s="254" t="str">
        <f>IF($CW25&lt;&gt;"",'Group Stages'!$I31,"")</f>
        <v/>
      </c>
      <c r="CY25" s="254" t="str">
        <f>IF($CW25&lt;&gt;"",'Group Stages'!$K31,"")</f>
        <v/>
      </c>
      <c r="CZ25" s="254" t="str">
        <f>IF($CW25&lt;&gt;"",'Group Stages'!$M31,"")</f>
        <v/>
      </c>
      <c r="DA25" s="259" t="str">
        <f t="shared" si="8"/>
        <v/>
      </c>
      <c r="DB25" s="254" t="str">
        <f t="shared" si="43"/>
        <v/>
      </c>
      <c r="DC25" s="254">
        <v>2</v>
      </c>
      <c r="DD25" s="254" t="str">
        <f t="shared" si="46"/>
        <v>Lyon</v>
      </c>
      <c r="DE25" s="254" t="str">
        <f>IF(AND(DD25="",DD24=""),DC25,IF(AND(DD24&lt;&gt;"",DD25=""),1,""))</f>
        <v/>
      </c>
      <c r="DF25" s="254" t="str">
        <f>VLOOKUP(DE25,$BO$24:$BP$27,2,FALSE)</f>
        <v/>
      </c>
      <c r="DG25" s="254">
        <v>2</v>
      </c>
      <c r="DH25" s="254" t="str">
        <f>IF(DD25="",DF25,DD25)</f>
        <v>Lyon</v>
      </c>
      <c r="DI25" s="254">
        <v>22</v>
      </c>
    </row>
    <row r="26" spans="1:113" x14ac:dyDescent="0.2">
      <c r="A26" s="254">
        <f t="shared" si="9"/>
        <v>2</v>
      </c>
      <c r="B26" s="254" t="str">
        <f>'Team Setup'!B27</f>
        <v>Lyon</v>
      </c>
      <c r="C26" s="259">
        <f>SUMPRODUCT(('Group Stages'!$I$10:$I$105&lt;&gt;"")*('Group Stages'!$K$10:$K$105&lt;&gt;"")*('Group Stages'!$G$10:$G$105='Dummy Table'!$B26)*('Group Stages'!$I$10:$I$105&gt;'Group Stages'!$K$10:$K$105))</f>
        <v>0</v>
      </c>
      <c r="D26" s="259">
        <f>SUMPRODUCT(('Group Stages'!$I$10:$I$105&lt;&gt;"")*('Group Stages'!$K$10:$K$105&lt;&gt;"")*('Group Stages'!$G$10:$G$105='Dummy Table'!$B26)*('Group Stages'!$I$10:$I$105='Group Stages'!$K$10:$K$105))</f>
        <v>3</v>
      </c>
      <c r="E26" s="259">
        <f>SUMPRODUCT(('Group Stages'!$I$10:$I$105&lt;&gt;"")*('Group Stages'!$K$10:$K$105&lt;&gt;"")*('Group Stages'!$G$10:$G$105='Dummy Table'!$B26)*('Group Stages'!$I$10:$I$105&lt;'Group Stages'!$K$10:$K$105))</f>
        <v>0</v>
      </c>
      <c r="F26" s="259">
        <f>SUMIF('Group Stages'!$G$10:$G$105,'Dummy Table'!$B26,'Group Stages'!$I$10:$I$105)</f>
        <v>6</v>
      </c>
      <c r="G26" s="259">
        <f>SUMIF('Group Stages'!$G$10:$G$105,'Dummy Table'!$B26,'Group Stages'!$K$10:$K$105)</f>
        <v>6</v>
      </c>
      <c r="H26" s="259">
        <f t="shared" si="10"/>
        <v>0</v>
      </c>
      <c r="I26" s="259">
        <f t="shared" si="11"/>
        <v>3</v>
      </c>
      <c r="J26" s="254">
        <f>SUMPRODUCT(('Group Stages'!$I$10:$I$105&lt;&gt;"")*('Group Stages'!$K$10:$K$105&lt;&gt;"")*('Group Stages'!$M$10:$M$105='Dummy Table'!$B26)*('Group Stages'!$I$10:$I$105&lt;'Group Stages'!$K$10:$K$105))</f>
        <v>1</v>
      </c>
      <c r="K26" s="254">
        <f>SUMPRODUCT(('Group Stages'!$I$10:$I$105&lt;&gt;"")*('Group Stages'!$K$10:$K$105&lt;&gt;"")*('Group Stages'!$M$10:$M$105='Dummy Table'!$B26)*('Group Stages'!$I$10:$I$105='Group Stages'!$K$10:$K$105))</f>
        <v>2</v>
      </c>
      <c r="L26" s="254">
        <f>SUMPRODUCT(('Group Stages'!$I$10:$I$105&lt;&gt;"")*('Group Stages'!$K$10:$K$105&lt;&gt;"")*('Group Stages'!$M$10:$M$105='Dummy Table'!$B26)*('Group Stages'!$I$10:$I$105&gt;'Group Stages'!$K$10:$K$105))</f>
        <v>0</v>
      </c>
      <c r="M26" s="254">
        <f>SUMIF('Group Stages'!$M$10:$M$105,'Dummy Table'!$B26,'Group Stages'!$K$10:$K$105)</f>
        <v>6</v>
      </c>
      <c r="N26" s="254">
        <f>SUMIF('Group Stages'!$M$10:$M$105,'Dummy Table'!$B26,'Group Stages'!$I$10:$I$105)</f>
        <v>5</v>
      </c>
      <c r="O26" s="254">
        <f t="shared" si="12"/>
        <v>1</v>
      </c>
      <c r="P26" s="254">
        <f t="shared" si="13"/>
        <v>5</v>
      </c>
      <c r="Q26" s="254">
        <f t="shared" si="14"/>
        <v>1</v>
      </c>
      <c r="R26" s="254">
        <f t="shared" si="15"/>
        <v>5</v>
      </c>
      <c r="S26" s="254">
        <f t="shared" si="16"/>
        <v>0</v>
      </c>
      <c r="T26" s="254">
        <f t="shared" si="17"/>
        <v>12</v>
      </c>
      <c r="U26" s="254">
        <f t="shared" si="18"/>
        <v>11</v>
      </c>
      <c r="V26" s="254">
        <f t="shared" si="19"/>
        <v>1</v>
      </c>
      <c r="W26" s="254">
        <f t="shared" si="20"/>
        <v>8</v>
      </c>
      <c r="X26" s="259">
        <f>IF('Team Setup'!F27&lt;&gt;"",'Team Setup'!F27,DI26)</f>
        <v>59500</v>
      </c>
      <c r="Y26" s="259">
        <f>RANK(W26,W$24:W$27)</f>
        <v>2</v>
      </c>
      <c r="Z26" s="259">
        <f>SUMPRODUCT((W$24:W$27=W26)*(V$24:V$27&gt;V26))</f>
        <v>0</v>
      </c>
      <c r="AA26" s="259">
        <f>SUMPRODUCT((Y$24:Y$27=Y26)*(Z$24:Z$27=Z26)*(T$24:T$27&gt;T26))</f>
        <v>0</v>
      </c>
      <c r="AB26" s="259">
        <f>SUMPRODUCT((Y$24:Y$27=Y26)*(Z$24:Z$27=Z26)*(T$24:T$27=T26)*(X$24:X$27&gt;X26))</f>
        <v>0</v>
      </c>
      <c r="AC26" s="254">
        <v>3</v>
      </c>
      <c r="AD26" s="254" t="str">
        <f>VLOOKUP(AC26,$A$24:$B$27,2,FALSE)</f>
        <v>Shakhtar Donetsk</v>
      </c>
      <c r="AE26" s="254">
        <f>VLOOKUP($AD26,$B$24:$W$27,22,FALSE)</f>
        <v>6</v>
      </c>
      <c r="AF26" s="254" t="str">
        <f>IF(AE26=AE25,AD26,"")</f>
        <v/>
      </c>
      <c r="AG26" s="259">
        <f>SUMPRODUCT(($BK$4:$BK$99='Dummy Table'!$AF26)*($BL$4:$BL$99&gt;$BM$4:$BM$99))</f>
        <v>0</v>
      </c>
      <c r="AH26" s="259">
        <f>SUMPRODUCT(($BK$4:$BK$99='Dummy Table'!$AF26)*($BL$4:$BL$99=$BM$4:$BM$99))</f>
        <v>90</v>
      </c>
      <c r="AI26" s="259">
        <f>SUMPRODUCT(($BK$4:$BK$99='Dummy Table'!$AF26)*($BL$4:$BL$99&lt;$BM$4:$BM$99))</f>
        <v>0</v>
      </c>
      <c r="AJ26" s="259">
        <f>SUMIF($BK$4:$BK$99,'Dummy Table'!$AF26,$BL$4:$BL$99)</f>
        <v>0</v>
      </c>
      <c r="AK26" s="259">
        <f>SUMIF($BK$4:$BK$99,'Dummy Table'!$AF26,$BM$4:$BM$99)</f>
        <v>0</v>
      </c>
      <c r="AL26" s="259">
        <f t="shared" si="21"/>
        <v>0</v>
      </c>
      <c r="AM26" s="259" t="str">
        <f t="shared" si="22"/>
        <v/>
      </c>
      <c r="AN26" s="259">
        <f>SUMPRODUCT(($BN$4:$BN$99='Dummy Table'!$AF26)*($BL$4:$BL$99&lt;$BM$4:$BM$99))</f>
        <v>0</v>
      </c>
      <c r="AO26" s="259">
        <f>SUMPRODUCT(($BN$4:$BN$99='Dummy Table'!$AF26)*($BL$4:$BL$99=$BM$4:$BM$99))</f>
        <v>90</v>
      </c>
      <c r="AP26" s="259">
        <f>SUMPRODUCT(($BN$4:$BN$99='Dummy Table'!$AF26)*($BL$4:$BL$99&gt;$BM$4:$BM$99))</f>
        <v>0</v>
      </c>
      <c r="AQ26" s="259">
        <f>SUMIF($BN$4:$BN$99,'Dummy Table'!$AF26,$BM$4:$BM$99)</f>
        <v>0</v>
      </c>
      <c r="AR26" s="259">
        <f>SUMIF($BN$4:$BN$99,'Dummy Table'!$AF26,$BL$4:$BL$99)</f>
        <v>0</v>
      </c>
      <c r="AS26" s="259">
        <f t="shared" si="23"/>
        <v>0</v>
      </c>
      <c r="AT26" s="259" t="str">
        <f t="shared" si="24"/>
        <v/>
      </c>
      <c r="AU26" s="259">
        <f t="shared" si="25"/>
        <v>0</v>
      </c>
      <c r="AV26" s="259">
        <f t="shared" si="26"/>
        <v>180</v>
      </c>
      <c r="AW26" s="259">
        <f t="shared" si="27"/>
        <v>0</v>
      </c>
      <c r="AX26" s="259">
        <f t="shared" si="28"/>
        <v>0</v>
      </c>
      <c r="AY26" s="259">
        <f t="shared" si="29"/>
        <v>0</v>
      </c>
      <c r="AZ26" s="259">
        <f t="shared" si="30"/>
        <v>0</v>
      </c>
      <c r="BA26" s="259">
        <f t="shared" si="44"/>
        <v>-1</v>
      </c>
      <c r="BB26" s="254" t="str">
        <f t="shared" si="31"/>
        <v/>
      </c>
      <c r="BC26" s="254" t="str">
        <f t="shared" si="32"/>
        <v/>
      </c>
      <c r="BD26" s="254" t="str">
        <f t="shared" si="33"/>
        <v/>
      </c>
      <c r="BE26" s="254">
        <f>RANK(BA26,BA$24:BA$27)</f>
        <v>1</v>
      </c>
      <c r="BF26" s="254">
        <f>SUMPRODUCT((BA$24:BA$27=BA26)*(AZ$24:AZ$27&gt;AZ26))</f>
        <v>0</v>
      </c>
      <c r="BG26" s="254">
        <f>SUMPRODUCT((BA$24:BA$27=BA26)*(BE$24:BE$27=BE26)*(AZ$24:AZ$27=AZ26)*(AQ$24:AQ$27&gt;AQ26))</f>
        <v>0</v>
      </c>
      <c r="BH26" s="254">
        <f>SUMPRODUCT((BA$24:BA$27=BA26)*(BE$24:BE$27=BE26)*(AZ$24:AZ$27=AZ26)*(AQ$24:AQ$27=AQ26)*(BB$24:BB$27&gt;BB26))</f>
        <v>0</v>
      </c>
      <c r="BI26" s="254">
        <f>SUMPRODUCT((BA$24:BA$27=BA26)*(BE$24:BE$27=BE26)*(AZ$24:AZ$27=AZ26)*(AQ$24:AQ$27=AQ26)*(BB$24:BB$27=BB26)*(BC$24:BC$27&gt;BC26))</f>
        <v>0</v>
      </c>
      <c r="BJ26" s="254">
        <f>SUMPRODUCT((BA$24:BA$27=BA26)*(BE$24:BE$27=BE26)*(AZ$24:AZ$27=AZ26)*(AQ$24:AQ$27=AQ26)*(BB$24:BB$27=BB26)*(BC$24:BC$27=BC26)*(BD$24:BD$27&gt;BD26))</f>
        <v>0</v>
      </c>
      <c r="BK26" s="254" t="str">
        <f>IF(AND(COUNTIF($AF$4:$AF$35,'Group Stages'!G32)&gt;0,COUNTIF($AF$4:$AF$35,'Group Stages'!M32)&gt;0,'Group Stages'!I32&lt;&gt;"",'Group Stages'!K32&lt;&gt;""),'Group Stages'!G32,"")</f>
        <v/>
      </c>
      <c r="BL26" s="254" t="str">
        <f>IF($BK26&lt;&gt;"",'Group Stages'!I32,"")</f>
        <v/>
      </c>
      <c r="BM26" s="254" t="str">
        <f>IF($BK26&lt;&gt;"",'Group Stages'!K32,"")</f>
        <v/>
      </c>
      <c r="BN26" s="254" t="str">
        <f>IF($BK26&lt;&gt;"",'Group Stages'!M32,"")</f>
        <v/>
      </c>
      <c r="BO26" s="254" t="str">
        <f t="shared" si="2"/>
        <v/>
      </c>
      <c r="BP26" s="254" t="str">
        <f t="shared" si="34"/>
        <v/>
      </c>
      <c r="BQ26" s="254">
        <f>VLOOKUP($AD26,$B$24:$W$27,22,FALSE)</f>
        <v>6</v>
      </c>
      <c r="BR26" s="254" t="str">
        <f>IF(AND(BQ26&lt;&gt;BQ25,BQ26=BQ27),AD26,"")</f>
        <v/>
      </c>
      <c r="BS26" s="261">
        <f>SUMPRODUCT(($CW$4:$CW$99='Dummy Table'!$BR26)*($CX$4:$CX$99&gt;$CY$4:$CY$99))</f>
        <v>0</v>
      </c>
      <c r="BT26" s="261">
        <f>SUMPRODUCT(($CW$4:$CW$99='Dummy Table'!$BR26)*($CX$4:$CX$99=$CY$4:$CY$99))</f>
        <v>94</v>
      </c>
      <c r="BU26" s="261">
        <f>SUMPRODUCT(($CW$4:$CW$99='Dummy Table'!$BR26)*($CX$4:$CX$99&lt;$CY$4:$CY$99))</f>
        <v>0</v>
      </c>
      <c r="BV26" s="261">
        <f>SUMIF($CW$4:$CW$99,'Dummy Table'!$BR26,$CX$4:$CX$99)</f>
        <v>0</v>
      </c>
      <c r="BW26" s="261">
        <f>SUMIF($CW$4:$CW$99,'Dummy Table'!$BR26,$CY$4:$CY$99)</f>
        <v>0</v>
      </c>
      <c r="BX26" s="261">
        <f t="shared" si="35"/>
        <v>0</v>
      </c>
      <c r="BY26" s="261" t="str">
        <f t="shared" si="36"/>
        <v/>
      </c>
      <c r="BZ26" s="261">
        <f>SUMPRODUCT(($CZ$4:$CZ$99='Dummy Table'!$BR26)*($CX$4:$CX$99&lt;$CY$4:$CY$99))</f>
        <v>0</v>
      </c>
      <c r="CA26" s="261">
        <f>SUMPRODUCT(($CZ$4:$CZ$99='Dummy Table'!$BR26)*($CX$4:$CX$99=$CY$4:$CY$99))</f>
        <v>94</v>
      </c>
      <c r="CB26" s="261">
        <f>SUMPRODUCT(($CZ$4:$CZ$99='Dummy Table'!$BR26)*($CX$4:$CX$99&gt;$CY$4:$CY$99))</f>
        <v>0</v>
      </c>
      <c r="CC26" s="261">
        <f>SUMIF($CZ$4:$CZ$99,'Dummy Table'!$BR26,$CY$4:$CY$99)</f>
        <v>0</v>
      </c>
      <c r="CD26" s="261">
        <f>SUMIF($CZ$4:$CZ$99,'Dummy Table'!$BR26,$CX$4:$CX$99)</f>
        <v>0</v>
      </c>
      <c r="CE26" s="261">
        <f t="shared" si="37"/>
        <v>0</v>
      </c>
      <c r="CF26" s="261" t="str">
        <f t="shared" si="38"/>
        <v/>
      </c>
      <c r="CG26" s="261">
        <f t="shared" si="39"/>
        <v>0</v>
      </c>
      <c r="CH26" s="261">
        <f t="shared" si="3"/>
        <v>188</v>
      </c>
      <c r="CI26" s="261">
        <f t="shared" si="4"/>
        <v>0</v>
      </c>
      <c r="CJ26" s="261">
        <f t="shared" si="5"/>
        <v>0</v>
      </c>
      <c r="CK26" s="261">
        <f t="shared" si="6"/>
        <v>0</v>
      </c>
      <c r="CL26" s="261">
        <f t="shared" si="7"/>
        <v>0</v>
      </c>
      <c r="CM26" s="261">
        <f t="shared" si="45"/>
        <v>-1</v>
      </c>
      <c r="CN26" s="259">
        <f t="shared" si="40"/>
        <v>59500</v>
      </c>
      <c r="CO26" s="259">
        <f>SUMIF($CZ$4:$CZ$99,'Dummy Table'!$BR26,$CY$4:$CY$99)*2</f>
        <v>0</v>
      </c>
      <c r="CP26" s="259">
        <f>RANK(CM26,CM$24:CM$27)</f>
        <v>1</v>
      </c>
      <c r="CR26" s="259">
        <f>SUMPRODUCT((CM$24:CM$27=CM26)*(CL$24:CL$27&gt;CL26))</f>
        <v>0</v>
      </c>
      <c r="CS26" s="259">
        <f>SUMPRODUCT((CP$24:CP$27=CP26)*(CR$24:CR$27=CR26)*(CO$24:CO$27&gt;CO26))</f>
        <v>0</v>
      </c>
      <c r="CT26" s="259">
        <f>IF(BR26&lt;&gt;"",SUMPRODUCT((CP$24:CP$27=CP26)*(CR$24:CR$27=CR26)*(CS$24:CS$27=CS26)*(V$24:V$27&gt;V26)),0)</f>
        <v>0</v>
      </c>
      <c r="CU26" s="259">
        <f>IF($BR26&lt;&gt;"",SUMPRODUCT((CP$24:CP$27=CP26)*(CR$24:CR$27=CR26)*(CS$24:CS$27=CS26)*(CT$24:CT$27=CT26)*(T$24:T$27&gt;T26)),0)</f>
        <v>0</v>
      </c>
      <c r="CV26" s="259">
        <f>SUMPRODUCT((CP$24:CP$27=CP26)*(CR$24:CR$27=CR26)*(CS$24:CS$27=CS26)*(CT$24:CT$27=CT26)*(CU$24:CU$27=CU26)*(CN$24:CN$27&gt;CN26))</f>
        <v>2</v>
      </c>
      <c r="CW26" s="254" t="str">
        <f>IF(AND(COUNTIF($BR$4:$BR$35,'Group Stages'!$G32)&gt;0,COUNTIF($BR$4:$BR$35,'Group Stages'!$M32)&gt;0),'Group Stages'!$G32,"")</f>
        <v/>
      </c>
      <c r="CX26" s="254" t="str">
        <f>IF($CW26&lt;&gt;"",'Group Stages'!$I32,"")</f>
        <v/>
      </c>
      <c r="CY26" s="254" t="str">
        <f>IF($CW26&lt;&gt;"",'Group Stages'!$K32,"")</f>
        <v/>
      </c>
      <c r="CZ26" s="254" t="str">
        <f>IF($CW26&lt;&gt;"",'Group Stages'!$M32,"")</f>
        <v/>
      </c>
      <c r="DA26" s="259" t="str">
        <f t="shared" si="8"/>
        <v/>
      </c>
      <c r="DB26" s="254" t="str">
        <f t="shared" si="43"/>
        <v/>
      </c>
      <c r="DC26" s="254">
        <v>3</v>
      </c>
      <c r="DD26" s="254" t="str">
        <f t="shared" si="46"/>
        <v>Shakhtar Donetsk</v>
      </c>
      <c r="DE26" s="254" t="str">
        <f>IF(AND(DD26="",DD25="",DD24=""),DC26,IF(AND(DD24&lt;&gt;"",DD25="",DD26=""),2,IF(AND(DD24&lt;&gt;"",DD25&lt;&gt;"",DD26=""),1,"")))</f>
        <v/>
      </c>
      <c r="DF26" s="254" t="str">
        <f>VLOOKUP(DE26,$BO$24:$BP$27,2,FALSE)</f>
        <v/>
      </c>
      <c r="DG26" s="254">
        <v>3</v>
      </c>
      <c r="DH26" s="254" t="str">
        <f>IF(DB26&lt;&gt;"",IF(DA26&lt;DA27,DB26,DB27),IF(DF26&lt;&gt;"",DF26,DD26))</f>
        <v>Shakhtar Donetsk</v>
      </c>
      <c r="DI26" s="254">
        <v>23</v>
      </c>
    </row>
    <row r="27" spans="1:113" x14ac:dyDescent="0.2">
      <c r="A27" s="254">
        <f t="shared" si="9"/>
        <v>4</v>
      </c>
      <c r="B27" s="254" t="str">
        <f>'Team Setup'!B28</f>
        <v>Hoffenheim</v>
      </c>
      <c r="C27" s="259">
        <f>SUMPRODUCT(('Group Stages'!$I$10:$I$105&lt;&gt;"")*('Group Stages'!$K$10:$K$105&lt;&gt;"")*('Group Stages'!$G$10:$G$105='Dummy Table'!$B27)*('Group Stages'!$I$10:$I$105&gt;'Group Stages'!$K$10:$K$105))</f>
        <v>0</v>
      </c>
      <c r="D27" s="259">
        <f>SUMPRODUCT(('Group Stages'!$I$10:$I$105&lt;&gt;"")*('Group Stages'!$K$10:$K$105&lt;&gt;"")*('Group Stages'!$G$10:$G$105='Dummy Table'!$B27)*('Group Stages'!$I$10:$I$105='Group Stages'!$K$10:$K$105))</f>
        <v>1</v>
      </c>
      <c r="E27" s="259">
        <f>SUMPRODUCT(('Group Stages'!$I$10:$I$105&lt;&gt;"")*('Group Stages'!$K$10:$K$105&lt;&gt;"")*('Group Stages'!$G$10:$G$105='Dummy Table'!$B27)*('Group Stages'!$I$10:$I$105&lt;'Group Stages'!$K$10:$K$105))</f>
        <v>2</v>
      </c>
      <c r="F27" s="259">
        <f>SUMIF('Group Stages'!$G$10:$G$105,'Dummy Table'!$B27,'Group Stages'!$I$10:$I$105)</f>
        <v>6</v>
      </c>
      <c r="G27" s="259">
        <f>SUMIF('Group Stages'!$G$10:$G$105,'Dummy Table'!$B27,'Group Stages'!$K$10:$K$105)</f>
        <v>8</v>
      </c>
      <c r="H27" s="259">
        <f t="shared" si="10"/>
        <v>-2</v>
      </c>
      <c r="I27" s="259">
        <f t="shared" si="11"/>
        <v>1</v>
      </c>
      <c r="J27" s="254">
        <f>SUMPRODUCT(('Group Stages'!$I$10:$I$105&lt;&gt;"")*('Group Stages'!$K$10:$K$105&lt;&gt;"")*('Group Stages'!$M$10:$M$105='Dummy Table'!$B27)*('Group Stages'!$I$10:$I$105&lt;'Group Stages'!$K$10:$K$105))</f>
        <v>0</v>
      </c>
      <c r="K27" s="254">
        <f>SUMPRODUCT(('Group Stages'!$I$10:$I$105&lt;&gt;"")*('Group Stages'!$K$10:$K$105&lt;&gt;"")*('Group Stages'!$M$10:$M$105='Dummy Table'!$B27)*('Group Stages'!$I$10:$I$105='Group Stages'!$K$10:$K$105))</f>
        <v>2</v>
      </c>
      <c r="L27" s="254">
        <f>SUMPRODUCT(('Group Stages'!$I$10:$I$105&lt;&gt;"")*('Group Stages'!$K$10:$K$105&lt;&gt;"")*('Group Stages'!$M$10:$M$105='Dummy Table'!$B27)*('Group Stages'!$I$10:$I$105&gt;'Group Stages'!$K$10:$K$105))</f>
        <v>1</v>
      </c>
      <c r="M27" s="254">
        <f>SUMIF('Group Stages'!$M$10:$M$105,'Dummy Table'!$B27,'Group Stages'!$K$10:$K$105)</f>
        <v>5</v>
      </c>
      <c r="N27" s="254">
        <f>SUMIF('Group Stages'!$M$10:$M$105,'Dummy Table'!$B27,'Group Stages'!$I$10:$I$105)</f>
        <v>6</v>
      </c>
      <c r="O27" s="254">
        <f t="shared" si="12"/>
        <v>-1</v>
      </c>
      <c r="P27" s="254">
        <f t="shared" si="13"/>
        <v>2</v>
      </c>
      <c r="Q27" s="254">
        <f t="shared" si="14"/>
        <v>0</v>
      </c>
      <c r="R27" s="254">
        <f t="shared" si="15"/>
        <v>3</v>
      </c>
      <c r="S27" s="254">
        <f t="shared" si="16"/>
        <v>3</v>
      </c>
      <c r="T27" s="254">
        <f t="shared" si="17"/>
        <v>11</v>
      </c>
      <c r="U27" s="254">
        <f t="shared" si="18"/>
        <v>14</v>
      </c>
      <c r="V27" s="254">
        <f t="shared" si="19"/>
        <v>-3</v>
      </c>
      <c r="W27" s="254">
        <f t="shared" si="20"/>
        <v>3</v>
      </c>
      <c r="X27" s="259">
        <f>IF('Team Setup'!F28&lt;&gt;"",'Team Setup'!F28,DI27)</f>
        <v>4000</v>
      </c>
      <c r="Y27" s="259">
        <f>RANK(W27,W$24:W$27)</f>
        <v>4</v>
      </c>
      <c r="Z27" s="259">
        <f>SUMPRODUCT((W$24:W$27=W27)*(V$24:V$27&gt;V27))</f>
        <v>0</v>
      </c>
      <c r="AA27" s="259">
        <f>SUMPRODUCT((Y$24:Y$27=Y27)*(Z$24:Z$27=Z27)*(T$24:T$27&gt;T27))</f>
        <v>0</v>
      </c>
      <c r="AB27" s="259">
        <f>SUMPRODUCT((Y$24:Y$27=Y27)*(Z$24:Z$27=Z27)*(T$24:T$27=T27)*(X$24:X$27&gt;X27))</f>
        <v>0</v>
      </c>
      <c r="AC27" s="254">
        <v>4</v>
      </c>
      <c r="AD27" s="254" t="str">
        <f>VLOOKUP(AC27,$A$24:$B$27,2,FALSE)</f>
        <v>Hoffenheim</v>
      </c>
      <c r="AE27" s="254">
        <f>VLOOKUP($AD27,$B$24:$W$27,22,FALSE)</f>
        <v>3</v>
      </c>
      <c r="AF27" s="254" t="str">
        <f>IF(AND(AE27=AE26,AE26=AE25),AD27,"")</f>
        <v/>
      </c>
      <c r="AG27" s="259">
        <f>SUMPRODUCT(($BK$4:$BK$99='Dummy Table'!$AF27)*($BL$4:$BL$99&gt;$BM$4:$BM$99))</f>
        <v>0</v>
      </c>
      <c r="AH27" s="259">
        <f>SUMPRODUCT(($BK$4:$BK$99='Dummy Table'!$AF27)*($BL$4:$BL$99=$BM$4:$BM$99))</f>
        <v>90</v>
      </c>
      <c r="AI27" s="259">
        <f>SUMPRODUCT(($BK$4:$BK$99='Dummy Table'!$AF27)*($BL$4:$BL$99&lt;$BM$4:$BM$99))</f>
        <v>0</v>
      </c>
      <c r="AJ27" s="259">
        <f>SUMIF($BK$4:$BK$99,'Dummy Table'!$AF27,$BL$4:$BL$99)</f>
        <v>0</v>
      </c>
      <c r="AK27" s="259">
        <f>SUMIF($BK$4:$BK$99,'Dummy Table'!$AF27,$BM$4:$BM$99)</f>
        <v>0</v>
      </c>
      <c r="AL27" s="259">
        <f t="shared" si="21"/>
        <v>0</v>
      </c>
      <c r="AM27" s="259" t="str">
        <f t="shared" si="22"/>
        <v/>
      </c>
      <c r="AN27" s="259">
        <f>SUMPRODUCT(($BN$4:$BN$99='Dummy Table'!$AF27)*($BL$4:$BL$99&lt;$BM$4:$BM$99))</f>
        <v>0</v>
      </c>
      <c r="AO27" s="259">
        <f>SUMPRODUCT(($BN$4:$BN$99='Dummy Table'!$AF27)*($BL$4:$BL$99=$BM$4:$BM$99))</f>
        <v>90</v>
      </c>
      <c r="AP27" s="259">
        <f>SUMPRODUCT(($BN$4:$BN$99='Dummy Table'!$AF27)*($BL$4:$BL$99&gt;$BM$4:$BM$99))</f>
        <v>0</v>
      </c>
      <c r="AQ27" s="259">
        <f>SUMIF($BN$4:$BN$99,'Dummy Table'!$AF27,$BM$4:$BM$99)</f>
        <v>0</v>
      </c>
      <c r="AR27" s="259">
        <f>SUMIF($BN$4:$BN$99,'Dummy Table'!$AF27,$BL$4:$BL$99)</f>
        <v>0</v>
      </c>
      <c r="AS27" s="259">
        <f t="shared" si="23"/>
        <v>0</v>
      </c>
      <c r="AT27" s="259" t="str">
        <f t="shared" si="24"/>
        <v/>
      </c>
      <c r="AU27" s="259">
        <f t="shared" si="25"/>
        <v>0</v>
      </c>
      <c r="AV27" s="259">
        <f t="shared" si="26"/>
        <v>180</v>
      </c>
      <c r="AW27" s="259">
        <f t="shared" si="27"/>
        <v>0</v>
      </c>
      <c r="AX27" s="259">
        <f t="shared" si="28"/>
        <v>0</v>
      </c>
      <c r="AY27" s="259">
        <f t="shared" si="29"/>
        <v>0</v>
      </c>
      <c r="AZ27" s="259">
        <f t="shared" si="30"/>
        <v>0</v>
      </c>
      <c r="BA27" s="259">
        <f t="shared" si="44"/>
        <v>-1</v>
      </c>
      <c r="BB27" s="254" t="str">
        <f t="shared" si="31"/>
        <v/>
      </c>
      <c r="BC27" s="254" t="str">
        <f t="shared" si="32"/>
        <v/>
      </c>
      <c r="BD27" s="254" t="str">
        <f t="shared" si="33"/>
        <v/>
      </c>
      <c r="BE27" s="254">
        <f>RANK(BA27,BA$24:BA$27)</f>
        <v>1</v>
      </c>
      <c r="BF27" s="254">
        <f>SUMPRODUCT((BA$24:BA$27=BA27)*(AZ$24:AZ$27&gt;AZ27))</f>
        <v>0</v>
      </c>
      <c r="BG27" s="254">
        <f>SUMPRODUCT((BA$24:BA$27=BA27)*(BE$24:BE$27=BE27)*(AZ$24:AZ$27=AZ27)*(AQ$24:AQ$27&gt;AQ27))</f>
        <v>0</v>
      </c>
      <c r="BH27" s="254">
        <f>SUMPRODUCT((BA$24:BA$27=BA27)*(BE$24:BE$27=BE27)*(AZ$24:AZ$27=AZ27)*(AQ$24:AQ$27=AQ27)*(BB$24:BB$27&gt;BB27))</f>
        <v>0</v>
      </c>
      <c r="BI27" s="254">
        <f>SUMPRODUCT((BA$24:BA$27=BA27)*(BE$24:BE$27=BE27)*(AZ$24:AZ$27=AZ27)*(AQ$24:AQ$27=AQ27)*(BB$24:BB$27=BB27)*(BC$24:BC$27&gt;BC27))</f>
        <v>0</v>
      </c>
      <c r="BJ27" s="254">
        <f>SUMPRODUCT((BA$24:BA$27=BA27)*(BE$24:BE$27=BE27)*(AZ$24:AZ$27=AZ27)*(AQ$24:AQ$27=AQ27)*(BB$24:BB$27=BB27)*(BC$24:BC$27=BC27)*(BD$24:BD$27&gt;BD27))</f>
        <v>0</v>
      </c>
      <c r="BK27" s="254" t="str">
        <f>IF(AND(COUNTIF($AF$4:$AF$35,'Group Stages'!G33)&gt;0,COUNTIF($AF$4:$AF$35,'Group Stages'!M33)&gt;0,'Group Stages'!I33&lt;&gt;"",'Group Stages'!K33&lt;&gt;""),'Group Stages'!G33,"")</f>
        <v/>
      </c>
      <c r="BL27" s="254" t="str">
        <f>IF($BK27&lt;&gt;"",'Group Stages'!I33,"")</f>
        <v/>
      </c>
      <c r="BM27" s="254" t="str">
        <f>IF($BK27&lt;&gt;"",'Group Stages'!K33,"")</f>
        <v/>
      </c>
      <c r="BN27" s="254" t="str">
        <f>IF($BK27&lt;&gt;"",'Group Stages'!M33,"")</f>
        <v/>
      </c>
      <c r="BO27" s="254" t="str">
        <f t="shared" si="2"/>
        <v/>
      </c>
      <c r="BP27" s="254" t="str">
        <f t="shared" si="34"/>
        <v/>
      </c>
      <c r="BQ27" s="254">
        <f>VLOOKUP($AD27,$B$24:$W$27,22,FALSE)</f>
        <v>3</v>
      </c>
      <c r="BR27" s="254" t="str">
        <f>IF(BR26&lt;&gt;"",AD27,"")</f>
        <v/>
      </c>
      <c r="BS27" s="261">
        <f>SUMPRODUCT(($CW$4:$CW$99='Dummy Table'!$BR27)*($CX$4:$CX$99&gt;$CY$4:$CY$99))</f>
        <v>0</v>
      </c>
      <c r="BT27" s="261">
        <f>SUMPRODUCT(($CW$4:$CW$99='Dummy Table'!$BR27)*($CX$4:$CX$99=$CY$4:$CY$99))</f>
        <v>94</v>
      </c>
      <c r="BU27" s="261">
        <f>SUMPRODUCT(($CW$4:$CW$99='Dummy Table'!$BR27)*($CX$4:$CX$99&lt;$CY$4:$CY$99))</f>
        <v>0</v>
      </c>
      <c r="BV27" s="261">
        <f>SUMIF($CW$4:$CW$99,'Dummy Table'!$BR27,$CX$4:$CX$99)</f>
        <v>0</v>
      </c>
      <c r="BW27" s="261">
        <f>SUMIF($CW$4:$CW$99,'Dummy Table'!$BR27,$CY$4:$CY$99)</f>
        <v>0</v>
      </c>
      <c r="BX27" s="261">
        <f t="shared" si="35"/>
        <v>0</v>
      </c>
      <c r="BY27" s="261" t="str">
        <f t="shared" si="36"/>
        <v/>
      </c>
      <c r="BZ27" s="261">
        <f>SUMPRODUCT(($CZ$4:$CZ$99='Dummy Table'!$BR27)*($CX$4:$CX$99&lt;$CY$4:$CY$99))</f>
        <v>0</v>
      </c>
      <c r="CA27" s="261">
        <f>SUMPRODUCT(($CZ$4:$CZ$99='Dummy Table'!$BR27)*($CX$4:$CX$99=$CY$4:$CY$99))</f>
        <v>94</v>
      </c>
      <c r="CB27" s="261">
        <f>SUMPRODUCT(($CZ$4:$CZ$99='Dummy Table'!$BR27)*($CX$4:$CX$99&gt;$CY$4:$CY$99))</f>
        <v>0</v>
      </c>
      <c r="CC27" s="261">
        <f>SUMIF($CZ$4:$CZ$99,'Dummy Table'!$BR27,$CY$4:$CY$99)</f>
        <v>0</v>
      </c>
      <c r="CD27" s="261">
        <f>SUMIF($CZ$4:$CZ$99,'Dummy Table'!$BR27,$CX$4:$CX$99)</f>
        <v>0</v>
      </c>
      <c r="CE27" s="261">
        <f t="shared" si="37"/>
        <v>0</v>
      </c>
      <c r="CF27" s="261" t="str">
        <f t="shared" si="38"/>
        <v/>
      </c>
      <c r="CG27" s="261">
        <f t="shared" si="39"/>
        <v>0</v>
      </c>
      <c r="CH27" s="261">
        <f t="shared" si="3"/>
        <v>188</v>
      </c>
      <c r="CI27" s="261">
        <f t="shared" si="4"/>
        <v>0</v>
      </c>
      <c r="CJ27" s="261">
        <f t="shared" si="5"/>
        <v>0</v>
      </c>
      <c r="CK27" s="261">
        <f t="shared" si="6"/>
        <v>0</v>
      </c>
      <c r="CL27" s="261">
        <f t="shared" si="7"/>
        <v>0</v>
      </c>
      <c r="CM27" s="261">
        <f t="shared" si="45"/>
        <v>-1</v>
      </c>
      <c r="CN27" s="259">
        <f t="shared" si="40"/>
        <v>4000</v>
      </c>
      <c r="CO27" s="259">
        <f>SUMIF($CZ$4:$CZ$99,'Dummy Table'!$BR27,$CY$4:$CY$99)*2</f>
        <v>0</v>
      </c>
      <c r="CP27" s="259">
        <f>RANK(CM27,CM$24:CM$27)</f>
        <v>1</v>
      </c>
      <c r="CR27" s="259">
        <f>SUMPRODUCT((CM$24:CM$27=CM27)*(CL$24:CL$27&gt;CL27))</f>
        <v>0</v>
      </c>
      <c r="CS27" s="259">
        <f>SUMPRODUCT((CP$24:CP$27=CP27)*(CR$24:CR$27=CR27)*(CO$24:CO$27&gt;CO27))</f>
        <v>0</v>
      </c>
      <c r="CT27" s="259">
        <f>IF(BR27&lt;&gt;"",SUMPRODUCT((CP$24:CP$27=CP27)*(CR$24:CR$27=CR27)*(CS$24:CS$27=CS27)*(V$24:V$27&gt;V27)),0)</f>
        <v>0</v>
      </c>
      <c r="CU27" s="259">
        <f>IF($BR27&lt;&gt;"",SUMPRODUCT((CP$24:CP$27=CP27)*(CR$24:CR$27=CR27)*(CS$24:CS$27=CS27)*(CT$24:CT$27=CT27)*(T$24:T$27&gt;T27)),0)</f>
        <v>0</v>
      </c>
      <c r="CV27" s="259">
        <f>SUMPRODUCT((CP$24:CP$27=CP27)*(CR$24:CR$27=CR27)*(CS$24:CS$27=CS27)*(CT$24:CT$27=CT27)*(CU$24:CU$27=CU27)*(CN$24:CN$27&gt;CN27))</f>
        <v>3</v>
      </c>
      <c r="CW27" s="254" t="str">
        <f>IF(AND(COUNTIF($BR$4:$BR$35,'Group Stages'!$G33)&gt;0,COUNTIF($BR$4:$BR$35,'Group Stages'!$M33)&gt;0),'Group Stages'!$G33,"")</f>
        <v/>
      </c>
      <c r="CX27" s="254" t="str">
        <f>IF($CW27&lt;&gt;"",'Group Stages'!$I33,"")</f>
        <v/>
      </c>
      <c r="CY27" s="254" t="str">
        <f>IF($CW27&lt;&gt;"",'Group Stages'!$K33,"")</f>
        <v/>
      </c>
      <c r="CZ27" s="254" t="str">
        <f>IF($CW27&lt;&gt;"",'Group Stages'!$M33,"")</f>
        <v/>
      </c>
      <c r="DA27" s="259" t="str">
        <f t="shared" si="8"/>
        <v/>
      </c>
      <c r="DB27" s="254" t="str">
        <f t="shared" si="43"/>
        <v/>
      </c>
      <c r="DC27" s="254">
        <v>4</v>
      </c>
      <c r="DD27" s="254" t="str">
        <f t="shared" si="46"/>
        <v>Hoffenheim</v>
      </c>
      <c r="DE27" s="254" t="str">
        <f>IF(AND(DD27="",DD26="",DD25="",DD24=""),4,IF(AND(DD27="",DD26="",DD25=""),3,IF(AND(DD25&lt;&gt;"",DD26="",DD27=""),2,IF(AND(DD25&lt;&gt;"",DD26&lt;&gt;"",DD27=""),1,""))))</f>
        <v/>
      </c>
      <c r="DF27" s="254" t="str">
        <f>VLOOKUP(DE27,$BO$24:$BP$27,2,FALSE)</f>
        <v/>
      </c>
      <c r="DG27" s="254">
        <v>4</v>
      </c>
      <c r="DH27" s="254" t="str">
        <f>IF(DB27&lt;&gt;"",IF(DA26&lt;DA27,DB27,DB26),IF(DF27&lt;&gt;"",DF27,DD27))</f>
        <v>Hoffenheim</v>
      </c>
      <c r="DI27" s="254">
        <v>24</v>
      </c>
    </row>
    <row r="28" spans="1:113" x14ac:dyDescent="0.2">
      <c r="A28" s="254">
        <f t="shared" si="9"/>
        <v>1</v>
      </c>
      <c r="B28" s="254" t="str">
        <f>'Team Setup'!B29</f>
        <v>Real Madrid</v>
      </c>
      <c r="C28" s="259">
        <f>SUMPRODUCT(('Group Stages'!$I$10:$I$105&lt;&gt;"")*('Group Stages'!$K$10:$K$105&lt;&gt;"")*('Group Stages'!$G$10:$G$105='Dummy Table'!$B28)*('Group Stages'!$I$10:$I$105&gt;'Group Stages'!$K$10:$K$105))</f>
        <v>2</v>
      </c>
      <c r="D28" s="259">
        <f>SUMPRODUCT(('Group Stages'!$I$10:$I$105&lt;&gt;"")*('Group Stages'!$K$10:$K$105&lt;&gt;"")*('Group Stages'!$G$10:$G$105='Dummy Table'!$B28)*('Group Stages'!$I$10:$I$105='Group Stages'!$K$10:$K$105))</f>
        <v>0</v>
      </c>
      <c r="E28" s="259">
        <f>SUMPRODUCT(('Group Stages'!$I$10:$I$105&lt;&gt;"")*('Group Stages'!$K$10:$K$105&lt;&gt;"")*('Group Stages'!$G$10:$G$105='Dummy Table'!$B28)*('Group Stages'!$I$10:$I$105&lt;'Group Stages'!$K$10:$K$105))</f>
        <v>1</v>
      </c>
      <c r="F28" s="259">
        <f>SUMIF('Group Stages'!$G$10:$G$105,'Dummy Table'!$B28,'Group Stages'!$I$10:$I$105)</f>
        <v>5</v>
      </c>
      <c r="G28" s="259">
        <f>SUMIF('Group Stages'!$G$10:$G$105,'Dummy Table'!$B28,'Group Stages'!$K$10:$K$105)</f>
        <v>4</v>
      </c>
      <c r="H28" s="259">
        <f t="shared" si="10"/>
        <v>1</v>
      </c>
      <c r="I28" s="259">
        <f t="shared" si="11"/>
        <v>6</v>
      </c>
      <c r="J28" s="254">
        <f>SUMPRODUCT(('Group Stages'!$I$10:$I$105&lt;&gt;"")*('Group Stages'!$K$10:$K$105&lt;&gt;"")*('Group Stages'!$M$10:$M$105='Dummy Table'!$B28)*('Group Stages'!$I$10:$I$105&lt;'Group Stages'!$K$10:$K$105))</f>
        <v>2</v>
      </c>
      <c r="K28" s="254">
        <f>SUMPRODUCT(('Group Stages'!$I$10:$I$105&lt;&gt;"")*('Group Stages'!$K$10:$K$105&lt;&gt;"")*('Group Stages'!$M$10:$M$105='Dummy Table'!$B28)*('Group Stages'!$I$10:$I$105='Group Stages'!$K$10:$K$105))</f>
        <v>0</v>
      </c>
      <c r="L28" s="254">
        <f>SUMPRODUCT(('Group Stages'!$I$10:$I$105&lt;&gt;"")*('Group Stages'!$K$10:$K$105&lt;&gt;"")*('Group Stages'!$M$10:$M$105='Dummy Table'!$B28)*('Group Stages'!$I$10:$I$105&gt;'Group Stages'!$K$10:$K$105))</f>
        <v>1</v>
      </c>
      <c r="M28" s="254">
        <f>SUMIF('Group Stages'!$M$10:$M$105,'Dummy Table'!$B28,'Group Stages'!$K$10:$K$105)</f>
        <v>7</v>
      </c>
      <c r="N28" s="254">
        <f>SUMIF('Group Stages'!$M$10:$M$105,'Dummy Table'!$B28,'Group Stages'!$I$10:$I$105)</f>
        <v>1</v>
      </c>
      <c r="O28" s="254">
        <f t="shared" si="12"/>
        <v>6</v>
      </c>
      <c r="P28" s="254">
        <f t="shared" si="13"/>
        <v>6</v>
      </c>
      <c r="Q28" s="254">
        <f t="shared" si="14"/>
        <v>4</v>
      </c>
      <c r="R28" s="254">
        <f t="shared" si="15"/>
        <v>0</v>
      </c>
      <c r="S28" s="254">
        <f t="shared" si="16"/>
        <v>2</v>
      </c>
      <c r="T28" s="254">
        <f t="shared" si="17"/>
        <v>12</v>
      </c>
      <c r="U28" s="254">
        <f t="shared" si="18"/>
        <v>5</v>
      </c>
      <c r="V28" s="254">
        <f t="shared" si="19"/>
        <v>7</v>
      </c>
      <c r="W28" s="254">
        <f t="shared" si="20"/>
        <v>12</v>
      </c>
      <c r="X28" s="259">
        <f>IF('Team Setup'!F29&lt;&gt;"",'Team Setup'!F29,DI28)</f>
        <v>162000</v>
      </c>
      <c r="Y28" s="259">
        <f>RANK(W28,W$28:W$31)</f>
        <v>1</v>
      </c>
      <c r="Z28" s="259">
        <f>SUMPRODUCT((W$28:W$31=W28)*(V$28:V$31&gt;V28))</f>
        <v>0</v>
      </c>
      <c r="AA28" s="259">
        <f>SUMPRODUCT((Y$28:Y$31=Y28)*(Z$28:Z$31=Z28)*(T$28:T$31&gt;T28))</f>
        <v>0</v>
      </c>
      <c r="AB28" s="259">
        <f>SUMPRODUCT((Y$28:Y$31=Y28)*(Z$28:Z$31=Z28)*(T$28:T$31=T28)*(X$28:X$31&gt;X28))</f>
        <v>0</v>
      </c>
      <c r="AC28" s="254">
        <v>1</v>
      </c>
      <c r="AD28" s="254" t="str">
        <f>VLOOKUP(AC28,$A$28:$B$31,2,FALSE)</f>
        <v>Real Madrid</v>
      </c>
      <c r="AE28" s="254">
        <f>VLOOKUP($AD28,$B$28:$W$31,22,FALSE)</f>
        <v>12</v>
      </c>
      <c r="AF28" s="254" t="str">
        <f>IF(AE28=AE29,AD28,"")</f>
        <v/>
      </c>
      <c r="AG28" s="259">
        <f>SUMPRODUCT(($BK$4:$BK$99='Dummy Table'!$AF28)*($BL$4:$BL$99&gt;$BM$4:$BM$99))</f>
        <v>0</v>
      </c>
      <c r="AH28" s="259">
        <f>SUMPRODUCT(($BK$4:$BK$99='Dummy Table'!$AF28)*($BL$4:$BL$99=$BM$4:$BM$99))</f>
        <v>90</v>
      </c>
      <c r="AI28" s="259">
        <f>SUMPRODUCT(($BK$4:$BK$99='Dummy Table'!$AF28)*($BL$4:$BL$99&lt;$BM$4:$BM$99))</f>
        <v>0</v>
      </c>
      <c r="AJ28" s="259">
        <f>SUMIF($BK$4:$BK$99,'Dummy Table'!$AF28,$BL$4:$BL$99)</f>
        <v>0</v>
      </c>
      <c r="AK28" s="259">
        <f>SUMIF($BK$4:$BK$99,'Dummy Table'!$AF28,$BM$4:$BM$99)</f>
        <v>0</v>
      </c>
      <c r="AL28" s="259">
        <f t="shared" si="21"/>
        <v>0</v>
      </c>
      <c r="AM28" s="259" t="str">
        <f t="shared" si="22"/>
        <v/>
      </c>
      <c r="AN28" s="259">
        <f>SUMPRODUCT(($BN$4:$BN$99='Dummy Table'!$AF28)*($BL$4:$BL$99&lt;$BM$4:$BM$99))</f>
        <v>0</v>
      </c>
      <c r="AO28" s="259">
        <f>SUMPRODUCT(($BN$4:$BN$99='Dummy Table'!$AF28)*($BL$4:$BL$99=$BM$4:$BM$99))</f>
        <v>90</v>
      </c>
      <c r="AP28" s="259">
        <f>SUMPRODUCT(($BN$4:$BN$99='Dummy Table'!$AF28)*($BL$4:$BL$99&gt;$BM$4:$BM$99))</f>
        <v>0</v>
      </c>
      <c r="AQ28" s="259">
        <f>SUMIF($BN$4:$BN$99,'Dummy Table'!$AF28,$BM$4:$BM$99)</f>
        <v>0</v>
      </c>
      <c r="AR28" s="259">
        <f>SUMIF($BN$4:$BN$99,'Dummy Table'!$AF28,$BL$4:$BL$99)</f>
        <v>0</v>
      </c>
      <c r="AS28" s="259">
        <f t="shared" si="23"/>
        <v>0</v>
      </c>
      <c r="AT28" s="259" t="str">
        <f t="shared" si="24"/>
        <v/>
      </c>
      <c r="AU28" s="259">
        <f t="shared" si="25"/>
        <v>0</v>
      </c>
      <c r="AV28" s="259">
        <f t="shared" si="26"/>
        <v>180</v>
      </c>
      <c r="AW28" s="259">
        <f t="shared" si="27"/>
        <v>0</v>
      </c>
      <c r="AX28" s="259">
        <f t="shared" si="28"/>
        <v>0</v>
      </c>
      <c r="AY28" s="259">
        <f t="shared" si="29"/>
        <v>0</v>
      </c>
      <c r="AZ28" s="259">
        <f t="shared" si="30"/>
        <v>0</v>
      </c>
      <c r="BA28" s="259">
        <f t="shared" si="44"/>
        <v>-1</v>
      </c>
      <c r="BB28" s="254" t="str">
        <f t="shared" si="31"/>
        <v/>
      </c>
      <c r="BC28" s="254" t="str">
        <f t="shared" si="32"/>
        <v/>
      </c>
      <c r="BD28" s="254" t="str">
        <f t="shared" si="33"/>
        <v/>
      </c>
      <c r="BE28" s="254">
        <f>RANK(BA28,BA$28:BA$31)</f>
        <v>1</v>
      </c>
      <c r="BF28" s="254">
        <f>SUMPRODUCT((BA$28:BA$31=BA28)*(AZ$28:AZ$31&gt;AZ28))</f>
        <v>0</v>
      </c>
      <c r="BG28" s="254">
        <f>SUMPRODUCT((BA$28:BA$31=BA28)*(BE$28:BE$31=BE28)*(AZ$28:AZ$31=AZ28)*(AQ$28:AQ$31&gt;AQ28))</f>
        <v>0</v>
      </c>
      <c r="BH28" s="254">
        <f>SUMPRODUCT((BA$28:BA$31=BA28)*(BE$28:BE$31=BE28)*(AZ$28:AZ$31=AZ28)*(AQ$28:AQ$31=AQ28)*(BB$28:BB$31&gt;BB28))</f>
        <v>0</v>
      </c>
      <c r="BI28" s="254">
        <f>SUMPRODUCT((BA$28:BA$31=BA28)*(BE$28:BE$31=BE28)*(AZ$28:AZ$31=AZ28)*(AQ$28:AQ$31=AQ28)*(BB$28:BB$31=BB28)*(BC$28:BC$31&gt;BC28))</f>
        <v>0</v>
      </c>
      <c r="BJ28" s="254">
        <f>SUMPRODUCT((BA$28:BA$31=BA28)*(BE$28:BE$31=BE28)*(AZ$28:AZ$31=AZ28)*(AQ$28:AQ$31=AQ28)*(BB$28:BB$31=BB28)*(BC$28:BC$31=BC28)*(BD$28:BD$31&gt;BD28))</f>
        <v>0</v>
      </c>
      <c r="BK28" s="254" t="str">
        <f>IF(AND(COUNTIF($AF$4:$AF$35,'Group Stages'!G34)&gt;0,COUNTIF($AF$4:$AF$35,'Group Stages'!M34)&gt;0,'Group Stages'!I34&lt;&gt;"",'Group Stages'!K34&lt;&gt;""),'Group Stages'!G34,"")</f>
        <v/>
      </c>
      <c r="BL28" s="254" t="str">
        <f>IF($BK28&lt;&gt;"",'Group Stages'!I34,"")</f>
        <v/>
      </c>
      <c r="BM28" s="254" t="str">
        <f>IF($BK28&lt;&gt;"",'Group Stages'!K34,"")</f>
        <v/>
      </c>
      <c r="BN28" s="254" t="str">
        <f>IF($BK28&lt;&gt;"",'Group Stages'!M34,"")</f>
        <v/>
      </c>
      <c r="BO28" s="254" t="str">
        <f t="shared" si="2"/>
        <v/>
      </c>
      <c r="BP28" s="254" t="str">
        <f t="shared" si="34"/>
        <v/>
      </c>
      <c r="BQ28" s="254">
        <f>VLOOKUP($AD28,$B$28:$W$31,22,FALSE)</f>
        <v>12</v>
      </c>
      <c r="BS28" s="261">
        <f>SUMPRODUCT(($CW$4:$CW$99='Dummy Table'!$BR28)*($CX$4:$CX$99&gt;$CY$4:$CY$99))</f>
        <v>0</v>
      </c>
      <c r="BT28" s="261">
        <f>SUMPRODUCT(($CW$4:$CW$99='Dummy Table'!$BR28)*($CX$4:$CX$99=$CY$4:$CY$99))</f>
        <v>94</v>
      </c>
      <c r="BU28" s="261">
        <f>SUMPRODUCT(($CW$4:$CW$99='Dummy Table'!$BR28)*($CX$4:$CX$99&lt;$CY$4:$CY$99))</f>
        <v>0</v>
      </c>
      <c r="BV28" s="261">
        <f>SUMIF($CW$4:$CW$99,'Dummy Table'!$BR28,$CX$4:$CX$99)</f>
        <v>0</v>
      </c>
      <c r="BW28" s="261">
        <f>SUMIF($CW$4:$CW$99,'Dummy Table'!$BR28,$CY$4:$CY$99)</f>
        <v>0</v>
      </c>
      <c r="BX28" s="261">
        <f t="shared" si="35"/>
        <v>0</v>
      </c>
      <c r="BY28" s="261" t="str">
        <f t="shared" si="36"/>
        <v/>
      </c>
      <c r="BZ28" s="261">
        <f>SUMPRODUCT(($CZ$4:$CZ$99='Dummy Table'!$BR28)*($CX$4:$CX$99&lt;$CY$4:$CY$99))</f>
        <v>0</v>
      </c>
      <c r="CA28" s="261">
        <f>SUMPRODUCT(($CZ$4:$CZ$99='Dummy Table'!$BR28)*($CX$4:$CX$99=$CY$4:$CY$99))</f>
        <v>94</v>
      </c>
      <c r="CB28" s="261">
        <f>SUMPRODUCT(($CZ$4:$CZ$99='Dummy Table'!$BR28)*($CX$4:$CX$99&gt;$CY$4:$CY$99))</f>
        <v>0</v>
      </c>
      <c r="CC28" s="261">
        <f>SUMIF($CZ$4:$CZ$99,'Dummy Table'!$BR28,$CY$4:$CY$99)</f>
        <v>0</v>
      </c>
      <c r="CD28" s="261">
        <f>SUMIF($CZ$4:$CZ$99,'Dummy Table'!$BR28,$CX$4:$CX$99)</f>
        <v>0</v>
      </c>
      <c r="CE28" s="261">
        <f t="shared" si="37"/>
        <v>0</v>
      </c>
      <c r="CF28" s="261" t="str">
        <f t="shared" si="38"/>
        <v/>
      </c>
      <c r="CG28" s="261">
        <f t="shared" si="39"/>
        <v>0</v>
      </c>
      <c r="CH28" s="261">
        <f t="shared" si="3"/>
        <v>188</v>
      </c>
      <c r="CI28" s="261">
        <f t="shared" si="4"/>
        <v>0</v>
      </c>
      <c r="CJ28" s="261">
        <f t="shared" si="5"/>
        <v>0</v>
      </c>
      <c r="CK28" s="261">
        <f t="shared" si="6"/>
        <v>0</v>
      </c>
      <c r="CL28" s="261">
        <f t="shared" si="7"/>
        <v>0</v>
      </c>
      <c r="CM28" s="261">
        <f t="shared" si="45"/>
        <v>-1</v>
      </c>
      <c r="CN28" s="259">
        <f t="shared" si="40"/>
        <v>162000</v>
      </c>
      <c r="CO28" s="259">
        <f>SUMIF($CZ$4:$CZ$99,'Dummy Table'!$BR28,$CY$4:$CY$99)*2</f>
        <v>0</v>
      </c>
      <c r="CP28" s="259">
        <f>RANK(CM28,CM$28:CM$31)</f>
        <v>3</v>
      </c>
      <c r="CR28" s="259">
        <f>SUMPRODUCT((CM$28:CM$31=CM28)*(CL$28:CL$31&gt;CL28))</f>
        <v>0</v>
      </c>
      <c r="CS28" s="259">
        <f>SUMPRODUCT((CP$28:CP$31=CP28)*(CR$28:CR$31=CR28)*(CO$28:CO$31&gt;CO28))</f>
        <v>0</v>
      </c>
      <c r="CT28" s="259">
        <f>IF(BR28&lt;&gt;"",SUMPRODUCT((CP$28:CP$31=CP28)*(CR$28:CR$31=CR28)*(CS$28:CS$31=CS28)*(V$28:V$31&gt;V28)),0)</f>
        <v>0</v>
      </c>
      <c r="CU28" s="259">
        <f>IF($BR28&lt;&gt;"",SUMPRODUCT((CP$28:CP$31=CP28)*(CR$28:CR$31=CR28)*(CS$28:CS$31=CS28)*(CT$28:CT$31=CT28)*(T$28:T$31&gt;T28)),0)</f>
        <v>0</v>
      </c>
      <c r="CV28" s="259">
        <f>SUMPRODUCT((CP$28:CP$31=CP28)*(CR$28:CR$31=CR28)*(CS$28:CS$31=CS28)*(CT$28:CT$31=CT28)*(CU$28:CU$31=CU28)*(CN$28:CN$31&gt;CN28))</f>
        <v>0</v>
      </c>
      <c r="CW28" s="254" t="str">
        <f>IF(AND(COUNTIF($BR$4:$BR$35,'Group Stages'!$G34)&gt;0,COUNTIF($BR$4:$BR$35,'Group Stages'!$M34)&gt;0),'Group Stages'!$G34,"")</f>
        <v/>
      </c>
      <c r="CX28" s="254" t="str">
        <f>IF($CW28&lt;&gt;"",'Group Stages'!$I34,"")</f>
        <v/>
      </c>
      <c r="CY28" s="254" t="str">
        <f>IF($CW28&lt;&gt;"",'Group Stages'!$K34,"")</f>
        <v/>
      </c>
      <c r="CZ28" s="254" t="str">
        <f>IF($CW28&lt;&gt;"",'Group Stages'!$M34,"")</f>
        <v/>
      </c>
      <c r="DA28" s="259" t="str">
        <f t="shared" si="8"/>
        <v/>
      </c>
      <c r="DB28" s="254" t="str">
        <f t="shared" si="43"/>
        <v/>
      </c>
      <c r="DC28" s="254">
        <v>1</v>
      </c>
      <c r="DD28" s="254" t="str">
        <f t="shared" si="46"/>
        <v>Real Madrid</v>
      </c>
      <c r="DE28" s="254" t="str">
        <f>IF(DD28="",DC28,"")</f>
        <v/>
      </c>
      <c r="DF28" s="254" t="str">
        <f>VLOOKUP(DE28,$BO$28:$BP$31,2,FALSE)</f>
        <v/>
      </c>
      <c r="DG28" s="254">
        <v>1</v>
      </c>
      <c r="DH28" s="254" t="str">
        <f>IF(DD28="",DF28,DD28)</f>
        <v>Real Madrid</v>
      </c>
      <c r="DI28" s="254">
        <v>25</v>
      </c>
    </row>
    <row r="29" spans="1:113" x14ac:dyDescent="0.2">
      <c r="A29" s="254">
        <f t="shared" si="9"/>
        <v>2</v>
      </c>
      <c r="B29" s="254" t="str">
        <f>'Team Setup'!B30</f>
        <v>AS Roma</v>
      </c>
      <c r="C29" s="259">
        <f>SUMPRODUCT(('Group Stages'!$I$10:$I$105&lt;&gt;"")*('Group Stages'!$K$10:$K$105&lt;&gt;"")*('Group Stages'!$G$10:$G$105='Dummy Table'!$B29)*('Group Stages'!$I$10:$I$105&gt;'Group Stages'!$K$10:$K$105))</f>
        <v>2</v>
      </c>
      <c r="D29" s="259">
        <f>SUMPRODUCT(('Group Stages'!$I$10:$I$105&lt;&gt;"")*('Group Stages'!$K$10:$K$105&lt;&gt;"")*('Group Stages'!$G$10:$G$105='Dummy Table'!$B29)*('Group Stages'!$I$10:$I$105='Group Stages'!$K$10:$K$105))</f>
        <v>0</v>
      </c>
      <c r="E29" s="259">
        <f>SUMPRODUCT(('Group Stages'!$I$10:$I$105&lt;&gt;"")*('Group Stages'!$K$10:$K$105&lt;&gt;"")*('Group Stages'!$G$10:$G$105='Dummy Table'!$B29)*('Group Stages'!$I$10:$I$105&lt;'Group Stages'!$K$10:$K$105))</f>
        <v>1</v>
      </c>
      <c r="F29" s="259">
        <f>SUMIF('Group Stages'!$G$10:$G$105,'Dummy Table'!$B29,'Group Stages'!$I$10:$I$105)</f>
        <v>8</v>
      </c>
      <c r="G29" s="259">
        <f>SUMIF('Group Stages'!$G$10:$G$105,'Dummy Table'!$B29,'Group Stages'!$K$10:$K$105)</f>
        <v>2</v>
      </c>
      <c r="H29" s="259">
        <f t="shared" si="10"/>
        <v>6</v>
      </c>
      <c r="I29" s="259">
        <f t="shared" si="11"/>
        <v>6</v>
      </c>
      <c r="J29" s="254">
        <f>SUMPRODUCT(('Group Stages'!$I$10:$I$105&lt;&gt;"")*('Group Stages'!$K$10:$K$105&lt;&gt;"")*('Group Stages'!$M$10:$M$105='Dummy Table'!$B29)*('Group Stages'!$I$10:$I$105&lt;'Group Stages'!$K$10:$K$105))</f>
        <v>1</v>
      </c>
      <c r="K29" s="254">
        <f>SUMPRODUCT(('Group Stages'!$I$10:$I$105&lt;&gt;"")*('Group Stages'!$K$10:$K$105&lt;&gt;"")*('Group Stages'!$M$10:$M$105='Dummy Table'!$B29)*('Group Stages'!$I$10:$I$105='Group Stages'!$K$10:$K$105))</f>
        <v>0</v>
      </c>
      <c r="L29" s="254">
        <f>SUMPRODUCT(('Group Stages'!$I$10:$I$105&lt;&gt;"")*('Group Stages'!$K$10:$K$105&lt;&gt;"")*('Group Stages'!$M$10:$M$105='Dummy Table'!$B29)*('Group Stages'!$I$10:$I$105&gt;'Group Stages'!$K$10:$K$105))</f>
        <v>2</v>
      </c>
      <c r="M29" s="254">
        <f>SUMIF('Group Stages'!$M$10:$M$105,'Dummy Table'!$B29,'Group Stages'!$K$10:$K$105)</f>
        <v>3</v>
      </c>
      <c r="N29" s="254">
        <f>SUMIF('Group Stages'!$M$10:$M$105,'Dummy Table'!$B29,'Group Stages'!$I$10:$I$105)</f>
        <v>6</v>
      </c>
      <c r="O29" s="254">
        <f t="shared" si="12"/>
        <v>-3</v>
      </c>
      <c r="P29" s="254">
        <f t="shared" si="13"/>
        <v>3</v>
      </c>
      <c r="Q29" s="254">
        <f t="shared" si="14"/>
        <v>3</v>
      </c>
      <c r="R29" s="254">
        <f t="shared" si="15"/>
        <v>0</v>
      </c>
      <c r="S29" s="254">
        <f t="shared" si="16"/>
        <v>3</v>
      </c>
      <c r="T29" s="254">
        <f t="shared" si="17"/>
        <v>11</v>
      </c>
      <c r="U29" s="254">
        <f t="shared" si="18"/>
        <v>8</v>
      </c>
      <c r="V29" s="254">
        <f t="shared" si="19"/>
        <v>3</v>
      </c>
      <c r="W29" s="254">
        <f t="shared" si="20"/>
        <v>9</v>
      </c>
      <c r="X29" s="259">
        <f>IF('Team Setup'!F30&lt;&gt;"",'Team Setup'!F30,DI29)</f>
        <v>64000</v>
      </c>
      <c r="Y29" s="259">
        <f>RANK(W29,W$28:W$31)</f>
        <v>2</v>
      </c>
      <c r="Z29" s="259">
        <f>SUMPRODUCT((W$28:W$31=W29)*(V$28:V$31&gt;V29))</f>
        <v>0</v>
      </c>
      <c r="AA29" s="259">
        <f>SUMPRODUCT((Y$28:Y$31=Y29)*(Z$28:Z$31=Z29)*(T$28:T$31&gt;T29))</f>
        <v>0</v>
      </c>
      <c r="AB29" s="259">
        <f>SUMPRODUCT((Y$28:Y$31=Y29)*(Z$28:Z$31=Z29)*(T$28:T$31=T29)*(X$28:X$31&gt;X29))</f>
        <v>0</v>
      </c>
      <c r="AC29" s="254">
        <v>2</v>
      </c>
      <c r="AD29" s="254" t="str">
        <f>VLOOKUP(AC29,$A$28:$B$31,2,FALSE)</f>
        <v>AS Roma</v>
      </c>
      <c r="AE29" s="254">
        <f>VLOOKUP($AD29,$B$28:$W$31,22,FALSE)</f>
        <v>9</v>
      </c>
      <c r="AF29" s="254" t="str">
        <f>IF(OR(AE29=AE28,AE29=AE30),AD29,"")</f>
        <v/>
      </c>
      <c r="AG29" s="259">
        <f>SUMPRODUCT(($BK$4:$BK$99='Dummy Table'!$AF29)*($BL$4:$BL$99&gt;$BM$4:$BM$99))</f>
        <v>0</v>
      </c>
      <c r="AH29" s="259">
        <f>SUMPRODUCT(($BK$4:$BK$99='Dummy Table'!$AF29)*($BL$4:$BL$99=$BM$4:$BM$99))</f>
        <v>90</v>
      </c>
      <c r="AI29" s="259">
        <f>SUMPRODUCT(($BK$4:$BK$99='Dummy Table'!$AF29)*($BL$4:$BL$99&lt;$BM$4:$BM$99))</f>
        <v>0</v>
      </c>
      <c r="AJ29" s="259">
        <f>SUMIF($BK$4:$BK$99,'Dummy Table'!$AF29,$BL$4:$BL$99)</f>
        <v>0</v>
      </c>
      <c r="AK29" s="259">
        <f>SUMIF($BK$4:$BK$99,'Dummy Table'!$AF29,$BM$4:$BM$99)</f>
        <v>0</v>
      </c>
      <c r="AL29" s="259">
        <f t="shared" si="21"/>
        <v>0</v>
      </c>
      <c r="AM29" s="259" t="str">
        <f t="shared" si="22"/>
        <v/>
      </c>
      <c r="AN29" s="259">
        <f>SUMPRODUCT(($BN$4:$BN$99='Dummy Table'!$AF29)*($BL$4:$BL$99&lt;$BM$4:$BM$99))</f>
        <v>0</v>
      </c>
      <c r="AO29" s="259">
        <f>SUMPRODUCT(($BN$4:$BN$99='Dummy Table'!$AF29)*($BL$4:$BL$99=$BM$4:$BM$99))</f>
        <v>90</v>
      </c>
      <c r="AP29" s="259">
        <f>SUMPRODUCT(($BN$4:$BN$99='Dummy Table'!$AF29)*($BL$4:$BL$99&gt;$BM$4:$BM$99))</f>
        <v>0</v>
      </c>
      <c r="AQ29" s="259">
        <f>SUMIF($BN$4:$BN$99,'Dummy Table'!$AF29,$BM$4:$BM$99)</f>
        <v>0</v>
      </c>
      <c r="AR29" s="259">
        <f>SUMIF($BN$4:$BN$99,'Dummy Table'!$AF29,$BL$4:$BL$99)</f>
        <v>0</v>
      </c>
      <c r="AS29" s="259">
        <f t="shared" si="23"/>
        <v>0</v>
      </c>
      <c r="AT29" s="259" t="str">
        <f t="shared" si="24"/>
        <v/>
      </c>
      <c r="AU29" s="259">
        <f t="shared" si="25"/>
        <v>0</v>
      </c>
      <c r="AV29" s="259">
        <f t="shared" si="26"/>
        <v>180</v>
      </c>
      <c r="AW29" s="259">
        <f t="shared" si="27"/>
        <v>0</v>
      </c>
      <c r="AX29" s="259">
        <f t="shared" si="28"/>
        <v>0</v>
      </c>
      <c r="AY29" s="259">
        <f t="shared" si="29"/>
        <v>0</v>
      </c>
      <c r="AZ29" s="259">
        <f t="shared" si="30"/>
        <v>0</v>
      </c>
      <c r="BA29" s="259">
        <f t="shared" si="44"/>
        <v>-1</v>
      </c>
      <c r="BB29" s="254" t="str">
        <f t="shared" si="31"/>
        <v/>
      </c>
      <c r="BC29" s="254" t="str">
        <f t="shared" si="32"/>
        <v/>
      </c>
      <c r="BD29" s="254" t="str">
        <f t="shared" si="33"/>
        <v/>
      </c>
      <c r="BE29" s="254">
        <f>RANK(BA29,BA$28:BA$31)</f>
        <v>1</v>
      </c>
      <c r="BF29" s="254">
        <f>SUMPRODUCT((BA$28:BA$31=BA29)*(AZ$28:AZ$31&gt;AZ29))</f>
        <v>0</v>
      </c>
      <c r="BG29" s="254">
        <f>SUMPRODUCT((BA$28:BA$31=BA29)*(BE$28:BE$31=BE29)*(AZ$28:AZ$31=AZ29)*(AQ$28:AQ$31&gt;AQ29))</f>
        <v>0</v>
      </c>
      <c r="BH29" s="254">
        <f>SUMPRODUCT((BA$28:BA$31=BA29)*(BE$28:BE$31=BE29)*(AZ$28:AZ$31=AZ29)*(AQ$28:AQ$31=AQ29)*(BB$28:BB$31&gt;BB29))</f>
        <v>0</v>
      </c>
      <c r="BI29" s="254">
        <f>SUMPRODUCT((BA$28:BA$31=BA29)*(BE$28:BE$31=BE29)*(AZ$28:AZ$31=AZ29)*(AQ$28:AQ$31=AQ29)*(BB$28:BB$31=BB29)*(BC$28:BC$31&gt;BC29))</f>
        <v>0</v>
      </c>
      <c r="BJ29" s="254">
        <f>SUMPRODUCT((BA$28:BA$31=BA29)*(BE$28:BE$31=BE29)*(AZ$28:AZ$31=AZ29)*(AQ$28:AQ$31=AQ29)*(BB$28:BB$31=BB29)*(BC$28:BC$31=BC29)*(BD$28:BD$31&gt;BD29))</f>
        <v>0</v>
      </c>
      <c r="BK29" s="254" t="str">
        <f>IF(AND(COUNTIF($AF$4:$AF$35,'Group Stages'!G35)&gt;0,COUNTIF($AF$4:$AF$35,'Group Stages'!M35)&gt;0,'Group Stages'!I35&lt;&gt;"",'Group Stages'!K35&lt;&gt;""),'Group Stages'!G35,"")</f>
        <v/>
      </c>
      <c r="BL29" s="254" t="str">
        <f>IF($BK29&lt;&gt;"",'Group Stages'!I35,"")</f>
        <v/>
      </c>
      <c r="BM29" s="254" t="str">
        <f>IF($BK29&lt;&gt;"",'Group Stages'!K35,"")</f>
        <v/>
      </c>
      <c r="BN29" s="254" t="str">
        <f>IF($BK29&lt;&gt;"",'Group Stages'!M35,"")</f>
        <v/>
      </c>
      <c r="BO29" s="254" t="str">
        <f t="shared" si="2"/>
        <v/>
      </c>
      <c r="BP29" s="254" t="str">
        <f t="shared" si="34"/>
        <v/>
      </c>
      <c r="BQ29" s="254">
        <f>VLOOKUP($AD29,$B$28:$W$31,22,FALSE)</f>
        <v>9</v>
      </c>
      <c r="BS29" s="261">
        <f>SUMPRODUCT(($CW$4:$CW$99='Dummy Table'!$BR29)*($CX$4:$CX$99&gt;$CY$4:$CY$99))</f>
        <v>0</v>
      </c>
      <c r="BT29" s="261">
        <f>SUMPRODUCT(($CW$4:$CW$99='Dummy Table'!$BR29)*($CX$4:$CX$99=$CY$4:$CY$99))</f>
        <v>94</v>
      </c>
      <c r="BU29" s="261">
        <f>SUMPRODUCT(($CW$4:$CW$99='Dummy Table'!$BR29)*($CX$4:$CX$99&lt;$CY$4:$CY$99))</f>
        <v>0</v>
      </c>
      <c r="BV29" s="261">
        <f>SUMIF($CW$4:$CW$99,'Dummy Table'!$BR29,$CX$4:$CX$99)</f>
        <v>0</v>
      </c>
      <c r="BW29" s="261">
        <f>SUMIF($CW$4:$CW$99,'Dummy Table'!$BR29,$CY$4:$CY$99)</f>
        <v>0</v>
      </c>
      <c r="BX29" s="261">
        <f t="shared" si="35"/>
        <v>0</v>
      </c>
      <c r="BY29" s="261" t="str">
        <f t="shared" si="36"/>
        <v/>
      </c>
      <c r="BZ29" s="261">
        <f>SUMPRODUCT(($CZ$4:$CZ$99='Dummy Table'!$BR29)*($CX$4:$CX$99&lt;$CY$4:$CY$99))</f>
        <v>0</v>
      </c>
      <c r="CA29" s="261">
        <f>SUMPRODUCT(($CZ$4:$CZ$99='Dummy Table'!$BR29)*($CX$4:$CX$99=$CY$4:$CY$99))</f>
        <v>94</v>
      </c>
      <c r="CB29" s="261">
        <f>SUMPRODUCT(($CZ$4:$CZ$99='Dummy Table'!$BR29)*($CX$4:$CX$99&gt;$CY$4:$CY$99))</f>
        <v>0</v>
      </c>
      <c r="CC29" s="261">
        <f>SUMIF($CZ$4:$CZ$99,'Dummy Table'!$BR29,$CY$4:$CY$99)</f>
        <v>0</v>
      </c>
      <c r="CD29" s="261">
        <f>SUMIF($CZ$4:$CZ$99,'Dummy Table'!$BR29,$CX$4:$CX$99)</f>
        <v>0</v>
      </c>
      <c r="CE29" s="261">
        <f t="shared" si="37"/>
        <v>0</v>
      </c>
      <c r="CF29" s="261" t="str">
        <f t="shared" si="38"/>
        <v/>
      </c>
      <c r="CG29" s="261">
        <f t="shared" si="39"/>
        <v>0</v>
      </c>
      <c r="CH29" s="261">
        <f t="shared" si="3"/>
        <v>188</v>
      </c>
      <c r="CI29" s="261">
        <f t="shared" si="4"/>
        <v>0</v>
      </c>
      <c r="CJ29" s="261">
        <f t="shared" si="5"/>
        <v>0</v>
      </c>
      <c r="CK29" s="261">
        <f t="shared" si="6"/>
        <v>0</v>
      </c>
      <c r="CL29" s="261">
        <f t="shared" si="7"/>
        <v>0</v>
      </c>
      <c r="CM29" s="261">
        <f t="shared" si="45"/>
        <v>-1</v>
      </c>
      <c r="CN29" s="259">
        <f t="shared" si="40"/>
        <v>64000</v>
      </c>
      <c r="CO29" s="259">
        <f>SUMIF($CZ$4:$CZ$99,'Dummy Table'!$BR29,$CY$4:$CY$99)*2</f>
        <v>0</v>
      </c>
      <c r="CP29" s="259">
        <f>RANK(CM29,CM$28:CM$31)</f>
        <v>3</v>
      </c>
      <c r="CR29" s="259">
        <f>SUMPRODUCT((CM$28:CM$31=CM29)*(CL$28:CL$31&gt;CL29))</f>
        <v>0</v>
      </c>
      <c r="CS29" s="259">
        <f>SUMPRODUCT((CP$28:CP$31=CP29)*(CR$28:CR$31=CR29)*(CO$28:CO$31&gt;CO29))</f>
        <v>0</v>
      </c>
      <c r="CT29" s="259">
        <f>IF(BR29&lt;&gt;"",SUMPRODUCT((CP$28:CP$31=CP29)*(CR$28:CR$31=CR29)*(CS$28:CS$31=CS29)*(V$28:V$31&gt;V29)),0)</f>
        <v>0</v>
      </c>
      <c r="CU29" s="259">
        <f>IF($BR29&lt;&gt;"",SUMPRODUCT((CP$28:CP$31=CP29)*(CR$28:CR$31=CR29)*(CS$28:CS$31=CS29)*(CT$28:CT$31=CT29)*(T$28:T$31&gt;T29)),0)</f>
        <v>0</v>
      </c>
      <c r="CV29" s="259">
        <f>SUMPRODUCT((CP$28:CP$31=CP29)*(CR$28:CR$31=CR29)*(CS$28:CS$31=CS29)*(CT$28:CT$31=CT29)*(CU$28:CU$31=CU29)*(CN$28:CN$31&gt;CN29))</f>
        <v>1</v>
      </c>
      <c r="CW29" s="254" t="str">
        <f>IF(AND(COUNTIF($BR$4:$BR$35,'Group Stages'!$G35)&gt;0,COUNTIF($BR$4:$BR$35,'Group Stages'!$M35)&gt;0),'Group Stages'!$G35,"")</f>
        <v/>
      </c>
      <c r="CX29" s="254" t="str">
        <f>IF($CW29&lt;&gt;"",'Group Stages'!$I35,"")</f>
        <v/>
      </c>
      <c r="CY29" s="254" t="str">
        <f>IF($CW29&lt;&gt;"",'Group Stages'!$K35,"")</f>
        <v/>
      </c>
      <c r="CZ29" s="254" t="str">
        <f>IF($CW29&lt;&gt;"",'Group Stages'!$M35,"")</f>
        <v/>
      </c>
      <c r="DA29" s="259" t="str">
        <f t="shared" si="8"/>
        <v/>
      </c>
      <c r="DB29" s="254" t="str">
        <f t="shared" si="43"/>
        <v/>
      </c>
      <c r="DC29" s="254">
        <v>2</v>
      </c>
      <c r="DD29" s="254" t="str">
        <f t="shared" si="46"/>
        <v>AS Roma</v>
      </c>
      <c r="DE29" s="254" t="str">
        <f>IF(AND(DD29="",DD28=""),DC29,IF(AND(DD28&lt;&gt;"",DD29=""),1,""))</f>
        <v/>
      </c>
      <c r="DF29" s="254" t="str">
        <f>VLOOKUP(DE29,$BO$28:$BP$31,2,FALSE)</f>
        <v/>
      </c>
      <c r="DG29" s="254">
        <v>2</v>
      </c>
      <c r="DH29" s="254" t="str">
        <f>IF(DD29="",DF29,DD29)</f>
        <v>AS Roma</v>
      </c>
      <c r="DI29" s="254">
        <v>26</v>
      </c>
    </row>
    <row r="30" spans="1:113" x14ac:dyDescent="0.2">
      <c r="A30" s="254">
        <f t="shared" si="9"/>
        <v>3</v>
      </c>
      <c r="B30" s="254" t="str">
        <f>'Team Setup'!B31</f>
        <v>CSKA Moscow</v>
      </c>
      <c r="C30" s="259">
        <f>SUMPRODUCT(('Group Stages'!$I$10:$I$105&lt;&gt;"")*('Group Stages'!$K$10:$K$105&lt;&gt;"")*('Group Stages'!$G$10:$G$105='Dummy Table'!$B30)*('Group Stages'!$I$10:$I$105&gt;'Group Stages'!$K$10:$K$105))</f>
        <v>1</v>
      </c>
      <c r="D30" s="259">
        <f>SUMPRODUCT(('Group Stages'!$I$10:$I$105&lt;&gt;"")*('Group Stages'!$K$10:$K$105&lt;&gt;"")*('Group Stages'!$G$10:$G$105='Dummy Table'!$B30)*('Group Stages'!$I$10:$I$105='Group Stages'!$K$10:$K$105))</f>
        <v>0</v>
      </c>
      <c r="E30" s="259">
        <f>SUMPRODUCT(('Group Stages'!$I$10:$I$105&lt;&gt;"")*('Group Stages'!$K$10:$K$105&lt;&gt;"")*('Group Stages'!$G$10:$G$105='Dummy Table'!$B30)*('Group Stages'!$I$10:$I$105&lt;'Group Stages'!$K$10:$K$105))</f>
        <v>2</v>
      </c>
      <c r="F30" s="259">
        <f>SUMIF('Group Stages'!$G$10:$G$105,'Dummy Table'!$B30,'Group Stages'!$I$10:$I$105)</f>
        <v>3</v>
      </c>
      <c r="G30" s="259">
        <f>SUMIF('Group Stages'!$G$10:$G$105,'Dummy Table'!$B30,'Group Stages'!$K$10:$K$105)</f>
        <v>4</v>
      </c>
      <c r="H30" s="259">
        <f t="shared" si="10"/>
        <v>-1</v>
      </c>
      <c r="I30" s="259">
        <f t="shared" si="11"/>
        <v>3</v>
      </c>
      <c r="J30" s="254">
        <f>SUMPRODUCT(('Group Stages'!$I$10:$I$105&lt;&gt;"")*('Group Stages'!$K$10:$K$105&lt;&gt;"")*('Group Stages'!$M$10:$M$105='Dummy Table'!$B30)*('Group Stages'!$I$10:$I$105&lt;'Group Stages'!$K$10:$K$105))</f>
        <v>1</v>
      </c>
      <c r="K30" s="254">
        <f>SUMPRODUCT(('Group Stages'!$I$10:$I$105&lt;&gt;"")*('Group Stages'!$K$10:$K$105&lt;&gt;"")*('Group Stages'!$M$10:$M$105='Dummy Table'!$B30)*('Group Stages'!$I$10:$I$105='Group Stages'!$K$10:$K$105))</f>
        <v>1</v>
      </c>
      <c r="L30" s="254">
        <f>SUMPRODUCT(('Group Stages'!$I$10:$I$105&lt;&gt;"")*('Group Stages'!$K$10:$K$105&lt;&gt;"")*('Group Stages'!$M$10:$M$105='Dummy Table'!$B30)*('Group Stages'!$I$10:$I$105&gt;'Group Stages'!$K$10:$K$105))</f>
        <v>1</v>
      </c>
      <c r="M30" s="254">
        <f>SUMIF('Group Stages'!$M$10:$M$105,'Dummy Table'!$B30,'Group Stages'!$K$10:$K$105)</f>
        <v>5</v>
      </c>
      <c r="N30" s="254">
        <f>SUMIF('Group Stages'!$M$10:$M$105,'Dummy Table'!$B30,'Group Stages'!$I$10:$I$105)</f>
        <v>5</v>
      </c>
      <c r="O30" s="254">
        <f t="shared" si="12"/>
        <v>0</v>
      </c>
      <c r="P30" s="254">
        <f t="shared" si="13"/>
        <v>4</v>
      </c>
      <c r="Q30" s="254">
        <f t="shared" si="14"/>
        <v>2</v>
      </c>
      <c r="R30" s="254">
        <f t="shared" si="15"/>
        <v>1</v>
      </c>
      <c r="S30" s="254">
        <f t="shared" si="16"/>
        <v>3</v>
      </c>
      <c r="T30" s="254">
        <f t="shared" si="17"/>
        <v>8</v>
      </c>
      <c r="U30" s="254">
        <f t="shared" si="18"/>
        <v>9</v>
      </c>
      <c r="V30" s="254">
        <f t="shared" si="19"/>
        <v>-1</v>
      </c>
      <c r="W30" s="254">
        <f t="shared" si="20"/>
        <v>7</v>
      </c>
      <c r="X30" s="259">
        <f>IF('Team Setup'!F31&lt;&gt;"",'Team Setup'!F31,DI30)</f>
        <v>45000</v>
      </c>
      <c r="Y30" s="259">
        <f>RANK(W30,W$28:W$31)</f>
        <v>3</v>
      </c>
      <c r="Z30" s="259">
        <f>SUMPRODUCT((W$28:W$31=W30)*(V$28:V$31&gt;V30))</f>
        <v>0</v>
      </c>
      <c r="AA30" s="259">
        <f>SUMPRODUCT((Y$28:Y$31=Y30)*(Z$28:Z$31=Z30)*(T$28:T$31&gt;T30))</f>
        <v>0</v>
      </c>
      <c r="AB30" s="259">
        <f>SUMPRODUCT((Y$28:Y$31=Y30)*(Z$28:Z$31=Z30)*(T$28:T$31=T30)*(X$28:X$31&gt;X30))</f>
        <v>0</v>
      </c>
      <c r="AC30" s="254">
        <v>3</v>
      </c>
      <c r="AD30" s="254" t="str">
        <f>VLOOKUP(AC30,$A$28:$B$31,2,FALSE)</f>
        <v>CSKA Moscow</v>
      </c>
      <c r="AE30" s="254">
        <f>VLOOKUP($AD30,$B$28:$W$31,22,FALSE)</f>
        <v>7</v>
      </c>
      <c r="AF30" s="254" t="str">
        <f>IF(AE30=AE29,AD30,"")</f>
        <v/>
      </c>
      <c r="AG30" s="259">
        <f>SUMPRODUCT(($BK$4:$BK$99='Dummy Table'!$AF30)*($BL$4:$BL$99&gt;$BM$4:$BM$99))</f>
        <v>0</v>
      </c>
      <c r="AH30" s="259">
        <f>SUMPRODUCT(($BK$4:$BK$99='Dummy Table'!$AF30)*($BL$4:$BL$99=$BM$4:$BM$99))</f>
        <v>90</v>
      </c>
      <c r="AI30" s="259">
        <f>SUMPRODUCT(($BK$4:$BK$99='Dummy Table'!$AF30)*($BL$4:$BL$99&lt;$BM$4:$BM$99))</f>
        <v>0</v>
      </c>
      <c r="AJ30" s="259">
        <f>SUMIF($BK$4:$BK$99,'Dummy Table'!$AF30,$BL$4:$BL$99)</f>
        <v>0</v>
      </c>
      <c r="AK30" s="259">
        <f>SUMIF($BK$4:$BK$99,'Dummy Table'!$AF30,$BM$4:$BM$99)</f>
        <v>0</v>
      </c>
      <c r="AL30" s="259">
        <f t="shared" si="21"/>
        <v>0</v>
      </c>
      <c r="AM30" s="259" t="str">
        <f t="shared" si="22"/>
        <v/>
      </c>
      <c r="AN30" s="259">
        <f>SUMPRODUCT(($BN$4:$BN$99='Dummy Table'!$AF30)*($BL$4:$BL$99&lt;$BM$4:$BM$99))</f>
        <v>0</v>
      </c>
      <c r="AO30" s="259">
        <f>SUMPRODUCT(($BN$4:$BN$99='Dummy Table'!$AF30)*($BL$4:$BL$99=$BM$4:$BM$99))</f>
        <v>90</v>
      </c>
      <c r="AP30" s="259">
        <f>SUMPRODUCT(($BN$4:$BN$99='Dummy Table'!$AF30)*($BL$4:$BL$99&gt;$BM$4:$BM$99))</f>
        <v>0</v>
      </c>
      <c r="AQ30" s="259">
        <f>SUMIF($BN$4:$BN$99,'Dummy Table'!$AF30,$BM$4:$BM$99)</f>
        <v>0</v>
      </c>
      <c r="AR30" s="259">
        <f>SUMIF($BN$4:$BN$99,'Dummy Table'!$AF30,$BL$4:$BL$99)</f>
        <v>0</v>
      </c>
      <c r="AS30" s="259">
        <f t="shared" si="23"/>
        <v>0</v>
      </c>
      <c r="AT30" s="259" t="str">
        <f t="shared" si="24"/>
        <v/>
      </c>
      <c r="AU30" s="259">
        <f t="shared" si="25"/>
        <v>0</v>
      </c>
      <c r="AV30" s="259">
        <f t="shared" si="26"/>
        <v>180</v>
      </c>
      <c r="AW30" s="259">
        <f t="shared" si="27"/>
        <v>0</v>
      </c>
      <c r="AX30" s="259">
        <f t="shared" si="28"/>
        <v>0</v>
      </c>
      <c r="AY30" s="259">
        <f t="shared" si="29"/>
        <v>0</v>
      </c>
      <c r="AZ30" s="259">
        <f t="shared" si="30"/>
        <v>0</v>
      </c>
      <c r="BA30" s="259">
        <f t="shared" si="44"/>
        <v>-1</v>
      </c>
      <c r="BB30" s="254" t="str">
        <f t="shared" si="31"/>
        <v/>
      </c>
      <c r="BC30" s="254" t="str">
        <f t="shared" si="32"/>
        <v/>
      </c>
      <c r="BD30" s="254" t="str">
        <f t="shared" si="33"/>
        <v/>
      </c>
      <c r="BE30" s="254">
        <f>RANK(BA30,BA$28:BA$31)</f>
        <v>1</v>
      </c>
      <c r="BF30" s="254">
        <f>SUMPRODUCT((BA$28:BA$31=BA30)*(AZ$28:AZ$31&gt;AZ30))</f>
        <v>0</v>
      </c>
      <c r="BG30" s="254">
        <f>SUMPRODUCT((BA$28:BA$31=BA30)*(BE$28:BE$31=BE30)*(AZ$28:AZ$31=AZ30)*(AQ$28:AQ$31&gt;AQ30))</f>
        <v>0</v>
      </c>
      <c r="BH30" s="254">
        <f>SUMPRODUCT((BA$28:BA$31=BA30)*(BE$28:BE$31=BE30)*(AZ$28:AZ$31=AZ30)*(AQ$28:AQ$31=AQ30)*(BB$28:BB$31&gt;BB30))</f>
        <v>0</v>
      </c>
      <c r="BI30" s="254">
        <f>SUMPRODUCT((BA$28:BA$31=BA30)*(BE$28:BE$31=BE30)*(AZ$28:AZ$31=AZ30)*(AQ$28:AQ$31=AQ30)*(BB$28:BB$31=BB30)*(BC$28:BC$31&gt;BC30))</f>
        <v>0</v>
      </c>
      <c r="BJ30" s="254">
        <f>SUMPRODUCT((BA$28:BA$31=BA30)*(BE$28:BE$31=BE30)*(AZ$28:AZ$31=AZ30)*(AQ$28:AQ$31=AQ30)*(BB$28:BB$31=BB30)*(BC$28:BC$31=BC30)*(BD$28:BD$31&gt;BD30))</f>
        <v>0</v>
      </c>
      <c r="BK30" s="254" t="str">
        <f>IF(AND(COUNTIF($AF$4:$AF$35,'Group Stages'!G36)&gt;0,COUNTIF($AF$4:$AF$35,'Group Stages'!M36)&gt;0,'Group Stages'!I36&lt;&gt;"",'Group Stages'!K36&lt;&gt;""),'Group Stages'!G36,"")</f>
        <v/>
      </c>
      <c r="BL30" s="254" t="str">
        <f>IF($BK30&lt;&gt;"",'Group Stages'!I36,"")</f>
        <v/>
      </c>
      <c r="BM30" s="254" t="str">
        <f>IF($BK30&lt;&gt;"",'Group Stages'!K36,"")</f>
        <v/>
      </c>
      <c r="BN30" s="254" t="str">
        <f>IF($BK30&lt;&gt;"",'Group Stages'!M36,"")</f>
        <v/>
      </c>
      <c r="BO30" s="254" t="str">
        <f t="shared" si="2"/>
        <v/>
      </c>
      <c r="BP30" s="254" t="str">
        <f t="shared" si="34"/>
        <v/>
      </c>
      <c r="BQ30" s="254">
        <f>VLOOKUP($AD30,$B$28:$W$31,22,FALSE)</f>
        <v>7</v>
      </c>
      <c r="BR30" s="254" t="str">
        <f>IF(AND(BQ30&lt;&gt;BQ29,BQ30=BQ31),AD30,"")</f>
        <v>CSKA Moscow</v>
      </c>
      <c r="BS30" s="261">
        <f>SUMPRODUCT(($CW$4:$CW$99='Dummy Table'!$BR30)*($CX$4:$CX$99&gt;$CY$4:$CY$99))</f>
        <v>0</v>
      </c>
      <c r="BT30" s="261">
        <f>SUMPRODUCT(($CW$4:$CW$99='Dummy Table'!$BR30)*($CX$4:$CX$99=$CY$4:$CY$99))</f>
        <v>0</v>
      </c>
      <c r="BU30" s="261">
        <f>SUMPRODUCT(($CW$4:$CW$99='Dummy Table'!$BR30)*($CX$4:$CX$99&lt;$CY$4:$CY$99))</f>
        <v>1</v>
      </c>
      <c r="BV30" s="261">
        <f>SUMIF($CW$4:$CW$99,'Dummy Table'!$BR30,$CX$4:$CX$99)</f>
        <v>1</v>
      </c>
      <c r="BW30" s="261">
        <f>SUMIF($CW$4:$CW$99,'Dummy Table'!$BR30,$CY$4:$CY$99)</f>
        <v>2</v>
      </c>
      <c r="BX30" s="261">
        <f t="shared" si="35"/>
        <v>-1</v>
      </c>
      <c r="BY30" s="261">
        <f t="shared" si="36"/>
        <v>0</v>
      </c>
      <c r="BZ30" s="261">
        <f>SUMPRODUCT(($CZ$4:$CZ$99='Dummy Table'!$BR30)*($CX$4:$CX$99&lt;$CY$4:$CY$99))</f>
        <v>0</v>
      </c>
      <c r="CA30" s="261">
        <f>SUMPRODUCT(($CZ$4:$CZ$99='Dummy Table'!$BR30)*($CX$4:$CX$99=$CY$4:$CY$99))</f>
        <v>1</v>
      </c>
      <c r="CB30" s="261">
        <f>SUMPRODUCT(($CZ$4:$CZ$99='Dummy Table'!$BR30)*($CX$4:$CX$99&gt;$CY$4:$CY$99))</f>
        <v>0</v>
      </c>
      <c r="CC30" s="261">
        <f>SUMIF($CZ$4:$CZ$99,'Dummy Table'!$BR30,$CY$4:$CY$99)</f>
        <v>2</v>
      </c>
      <c r="CD30" s="261">
        <f>SUMIF($CZ$4:$CZ$99,'Dummy Table'!$BR30,$CX$4:$CX$99)</f>
        <v>2</v>
      </c>
      <c r="CE30" s="261">
        <f t="shared" si="37"/>
        <v>0</v>
      </c>
      <c r="CF30" s="261">
        <f t="shared" si="38"/>
        <v>1</v>
      </c>
      <c r="CG30" s="261">
        <f t="shared" si="39"/>
        <v>0</v>
      </c>
      <c r="CH30" s="261">
        <f t="shared" si="3"/>
        <v>1</v>
      </c>
      <c r="CI30" s="261">
        <f t="shared" si="4"/>
        <v>1</v>
      </c>
      <c r="CJ30" s="261">
        <f t="shared" si="5"/>
        <v>3</v>
      </c>
      <c r="CK30" s="261">
        <f t="shared" si="6"/>
        <v>4</v>
      </c>
      <c r="CL30" s="261">
        <f t="shared" si="7"/>
        <v>-1</v>
      </c>
      <c r="CM30" s="261">
        <f t="shared" si="45"/>
        <v>1</v>
      </c>
      <c r="CN30" s="259">
        <f t="shared" si="40"/>
        <v>45000</v>
      </c>
      <c r="CO30" s="259">
        <f>SUMIF($CZ$4:$CZ$99,'Dummy Table'!$BR30,$CY$4:$CY$99)*2</f>
        <v>4</v>
      </c>
      <c r="CP30" s="259">
        <f>RANK(CM30,CM$28:CM$31)</f>
        <v>2</v>
      </c>
      <c r="CR30" s="259">
        <f>SUMPRODUCT((CM$28:CM$31=CM30)*(CL$28:CL$31&gt;CL30))</f>
        <v>0</v>
      </c>
      <c r="CS30" s="259">
        <f>SUMPRODUCT((CP$28:CP$31=CP30)*(CR$28:CR$31=CR30)*(CO$28:CO$31&gt;CO30))</f>
        <v>0</v>
      </c>
      <c r="CT30" s="259">
        <f>IF(BR30&lt;&gt;"",SUMPRODUCT((CP$28:CP$31=CP30)*(CR$28:CR$31=CR30)*(CS$28:CS$31=CS30)*(V$28:V$31&gt;V30)),0)</f>
        <v>0</v>
      </c>
      <c r="CU30" s="259">
        <f>IF($BR30&lt;&gt;"",SUMPRODUCT((CP$28:CP$31=CP30)*(CR$28:CR$31=CR30)*(CS$28:CS$31=CS30)*(CT$28:CT$31=CT30)*(T$28:T$31&gt;T30)),0)</f>
        <v>0</v>
      </c>
      <c r="CV30" s="259">
        <f>SUMPRODUCT((CP$28:CP$31=CP30)*(CR$28:CR$31=CR30)*(CS$28:CS$31=CS30)*(CT$28:CT$31=CT30)*(CU$28:CU$31=CU30)*(CN$28:CN$31&gt;CN30))</f>
        <v>0</v>
      </c>
      <c r="CW30" s="254" t="str">
        <f>IF(AND(COUNTIF($BR$4:$BR$35,'Group Stages'!$G36)&gt;0,COUNTIF($BR$4:$BR$35,'Group Stages'!$M36)&gt;0),'Group Stages'!$G36,"")</f>
        <v/>
      </c>
      <c r="CX30" s="254" t="str">
        <f>IF($CW30&lt;&gt;"",'Group Stages'!$I36,"")</f>
        <v/>
      </c>
      <c r="CY30" s="254" t="str">
        <f>IF($CW30&lt;&gt;"",'Group Stages'!$K36,"")</f>
        <v/>
      </c>
      <c r="CZ30" s="254" t="str">
        <f>IF($CW30&lt;&gt;"",'Group Stages'!$M36,"")</f>
        <v/>
      </c>
      <c r="DA30" s="259">
        <f t="shared" si="8"/>
        <v>2</v>
      </c>
      <c r="DB30" s="254" t="str">
        <f t="shared" si="43"/>
        <v>CSKA Moscow</v>
      </c>
      <c r="DC30" s="254">
        <v>3</v>
      </c>
      <c r="DD30" s="254" t="str">
        <f t="shared" si="46"/>
        <v>CSKA Moscow</v>
      </c>
      <c r="DE30" s="254" t="str">
        <f>IF(AND(DD30="",DD29="",DD28=""),DC30,IF(AND(DD28&lt;&gt;"",DD29="",DD30=""),2,IF(AND(DD28&lt;&gt;"",DD29&lt;&gt;"",DD30=""),1,"")))</f>
        <v/>
      </c>
      <c r="DF30" s="254" t="str">
        <f>VLOOKUP(DE30,$BO$28:$BP$31,2,FALSE)</f>
        <v/>
      </c>
      <c r="DG30" s="254">
        <v>3</v>
      </c>
      <c r="DH30" s="254" t="str">
        <f>IF(DB30&lt;&gt;"",IF(DA30&lt;DA31,DB30,DB31),IF(DF30&lt;&gt;"",DF30,DD30))</f>
        <v>Plzen</v>
      </c>
      <c r="DI30" s="254">
        <v>27</v>
      </c>
    </row>
    <row r="31" spans="1:113" x14ac:dyDescent="0.2">
      <c r="A31" s="254">
        <f t="shared" si="9"/>
        <v>4</v>
      </c>
      <c r="B31" s="254" t="str">
        <f>'Team Setup'!B32</f>
        <v>Plzen</v>
      </c>
      <c r="C31" s="259">
        <f>SUMPRODUCT(('Group Stages'!$I$10:$I$105&lt;&gt;"")*('Group Stages'!$K$10:$K$105&lt;&gt;"")*('Group Stages'!$G$10:$G$105='Dummy Table'!$B31)*('Group Stages'!$I$10:$I$105&gt;'Group Stages'!$K$10:$K$105))</f>
        <v>1</v>
      </c>
      <c r="D31" s="259">
        <f>SUMPRODUCT(('Group Stages'!$I$10:$I$105&lt;&gt;"")*('Group Stages'!$K$10:$K$105&lt;&gt;"")*('Group Stages'!$G$10:$G$105='Dummy Table'!$B31)*('Group Stages'!$I$10:$I$105='Group Stages'!$K$10:$K$105))</f>
        <v>1</v>
      </c>
      <c r="E31" s="259">
        <f>SUMPRODUCT(('Group Stages'!$I$10:$I$105&lt;&gt;"")*('Group Stages'!$K$10:$K$105&lt;&gt;"")*('Group Stages'!$G$10:$G$105='Dummy Table'!$B31)*('Group Stages'!$I$10:$I$105&lt;'Group Stages'!$K$10:$K$105))</f>
        <v>1</v>
      </c>
      <c r="F31" s="259">
        <f>SUMIF('Group Stages'!$G$10:$G$105,'Dummy Table'!$B31,'Group Stages'!$I$10:$I$105)</f>
        <v>4</v>
      </c>
      <c r="G31" s="259">
        <f>SUMIF('Group Stages'!$G$10:$G$105,'Dummy Table'!$B31,'Group Stages'!$K$10:$K$105)</f>
        <v>8</v>
      </c>
      <c r="H31" s="259">
        <f t="shared" si="10"/>
        <v>-4</v>
      </c>
      <c r="I31" s="259">
        <f t="shared" si="11"/>
        <v>4</v>
      </c>
      <c r="J31" s="254">
        <f>SUMPRODUCT(('Group Stages'!$I$10:$I$105&lt;&gt;"")*('Group Stages'!$K$10:$K$105&lt;&gt;"")*('Group Stages'!$M$10:$M$105='Dummy Table'!$B31)*('Group Stages'!$I$10:$I$105&lt;'Group Stages'!$K$10:$K$105))</f>
        <v>1</v>
      </c>
      <c r="K31" s="254">
        <f>SUMPRODUCT(('Group Stages'!$I$10:$I$105&lt;&gt;"")*('Group Stages'!$K$10:$K$105&lt;&gt;"")*('Group Stages'!$M$10:$M$105='Dummy Table'!$B31)*('Group Stages'!$I$10:$I$105='Group Stages'!$K$10:$K$105))</f>
        <v>0</v>
      </c>
      <c r="L31" s="254">
        <f>SUMPRODUCT(('Group Stages'!$I$10:$I$105&lt;&gt;"")*('Group Stages'!$K$10:$K$105&lt;&gt;"")*('Group Stages'!$M$10:$M$105='Dummy Table'!$B31)*('Group Stages'!$I$10:$I$105&gt;'Group Stages'!$K$10:$K$105))</f>
        <v>2</v>
      </c>
      <c r="M31" s="254">
        <f>SUMIF('Group Stages'!$M$10:$M$105,'Dummy Table'!$B31,'Group Stages'!$K$10:$K$105)</f>
        <v>3</v>
      </c>
      <c r="N31" s="254">
        <f>SUMIF('Group Stages'!$M$10:$M$105,'Dummy Table'!$B31,'Group Stages'!$I$10:$I$105)</f>
        <v>8</v>
      </c>
      <c r="O31" s="254">
        <f t="shared" si="12"/>
        <v>-5</v>
      </c>
      <c r="P31" s="254">
        <f t="shared" si="13"/>
        <v>3</v>
      </c>
      <c r="Q31" s="254">
        <f t="shared" si="14"/>
        <v>2</v>
      </c>
      <c r="R31" s="254">
        <f t="shared" si="15"/>
        <v>1</v>
      </c>
      <c r="S31" s="254">
        <f t="shared" si="16"/>
        <v>3</v>
      </c>
      <c r="T31" s="254">
        <f t="shared" si="17"/>
        <v>7</v>
      </c>
      <c r="U31" s="254">
        <f t="shared" si="18"/>
        <v>16</v>
      </c>
      <c r="V31" s="254">
        <f t="shared" si="19"/>
        <v>-9</v>
      </c>
      <c r="W31" s="254">
        <f t="shared" si="20"/>
        <v>7</v>
      </c>
      <c r="X31" s="259">
        <f>IF('Team Setup'!F32&lt;&gt;"",'Team Setup'!F32,DI31)</f>
        <v>33000</v>
      </c>
      <c r="Y31" s="259">
        <f>RANK(W31,W$28:W$31)</f>
        <v>3</v>
      </c>
      <c r="Z31" s="259">
        <f>SUMPRODUCT((W$28:W$31=W31)*(V$28:V$31&gt;V31))</f>
        <v>1</v>
      </c>
      <c r="AA31" s="259">
        <f>SUMPRODUCT((Y$28:Y$31=Y31)*(Z$28:Z$31=Z31)*(T$28:T$31&gt;T31))</f>
        <v>0</v>
      </c>
      <c r="AB31" s="259">
        <f>SUMPRODUCT((Y$28:Y$31=Y31)*(Z$28:Z$31=Z31)*(T$28:T$31=T31)*(X$28:X$31&gt;X31))</f>
        <v>0</v>
      </c>
      <c r="AC31" s="254">
        <v>4</v>
      </c>
      <c r="AD31" s="254" t="str">
        <f>VLOOKUP(AC31,$A$28:$B$31,2,FALSE)</f>
        <v>Plzen</v>
      </c>
      <c r="AE31" s="254">
        <f>VLOOKUP($AD31,$B$28:$W$31,22,FALSE)</f>
        <v>7</v>
      </c>
      <c r="AF31" s="254" t="str">
        <f>IF(AND(AE31=AE30,AE30=AE29),AD31,"")</f>
        <v/>
      </c>
      <c r="AG31" s="259">
        <f>SUMPRODUCT(($BK$4:$BK$99='Dummy Table'!$AF31)*($BL$4:$BL$99&gt;$BM$4:$BM$99))</f>
        <v>0</v>
      </c>
      <c r="AH31" s="259">
        <f>SUMPRODUCT(($BK$4:$BK$99='Dummy Table'!$AF31)*($BL$4:$BL$99=$BM$4:$BM$99))</f>
        <v>90</v>
      </c>
      <c r="AI31" s="259">
        <f>SUMPRODUCT(($BK$4:$BK$99='Dummy Table'!$AF31)*($BL$4:$BL$99&lt;$BM$4:$BM$99))</f>
        <v>0</v>
      </c>
      <c r="AJ31" s="259">
        <f>SUMIF($BK$4:$BK$99,'Dummy Table'!$AF31,$BL$4:$BL$99)</f>
        <v>0</v>
      </c>
      <c r="AK31" s="259">
        <f>SUMIF($BK$4:$BK$99,'Dummy Table'!$AF31,$BM$4:$BM$99)</f>
        <v>0</v>
      </c>
      <c r="AL31" s="259">
        <f t="shared" si="21"/>
        <v>0</v>
      </c>
      <c r="AM31" s="259" t="str">
        <f t="shared" si="22"/>
        <v/>
      </c>
      <c r="AN31" s="259">
        <f>SUMPRODUCT(($BN$4:$BN$99='Dummy Table'!$AF31)*($BL$4:$BL$99&lt;$BM$4:$BM$99))</f>
        <v>0</v>
      </c>
      <c r="AO31" s="259">
        <f>SUMPRODUCT(($BN$4:$BN$99='Dummy Table'!$AF31)*($BL$4:$BL$99=$BM$4:$BM$99))</f>
        <v>90</v>
      </c>
      <c r="AP31" s="259">
        <f>SUMPRODUCT(($BN$4:$BN$99='Dummy Table'!$AF31)*($BL$4:$BL$99&gt;$BM$4:$BM$99))</f>
        <v>0</v>
      </c>
      <c r="AQ31" s="259">
        <f>SUMIF($BN$4:$BN$99,'Dummy Table'!$AF31,$BM$4:$BM$99)</f>
        <v>0</v>
      </c>
      <c r="AR31" s="259">
        <f>SUMIF($BN$4:$BN$99,'Dummy Table'!$AF31,$BL$4:$BL$99)</f>
        <v>0</v>
      </c>
      <c r="AS31" s="259">
        <f t="shared" si="23"/>
        <v>0</v>
      </c>
      <c r="AT31" s="259" t="str">
        <f t="shared" si="24"/>
        <v/>
      </c>
      <c r="AU31" s="259">
        <f t="shared" si="25"/>
        <v>0</v>
      </c>
      <c r="AV31" s="259">
        <f t="shared" si="26"/>
        <v>180</v>
      </c>
      <c r="AW31" s="259">
        <f t="shared" si="27"/>
        <v>0</v>
      </c>
      <c r="AX31" s="259">
        <f t="shared" si="28"/>
        <v>0</v>
      </c>
      <c r="AY31" s="259">
        <f t="shared" si="29"/>
        <v>0</v>
      </c>
      <c r="AZ31" s="259">
        <f t="shared" si="30"/>
        <v>0</v>
      </c>
      <c r="BA31" s="259">
        <f t="shared" si="44"/>
        <v>-1</v>
      </c>
      <c r="BB31" s="254" t="str">
        <f t="shared" si="31"/>
        <v/>
      </c>
      <c r="BC31" s="254" t="str">
        <f t="shared" si="32"/>
        <v/>
      </c>
      <c r="BD31" s="254" t="str">
        <f t="shared" si="33"/>
        <v/>
      </c>
      <c r="BE31" s="254">
        <f>RANK(BA31,BA$28:BA$31)</f>
        <v>1</v>
      </c>
      <c r="BF31" s="254">
        <f>SUMPRODUCT((BA$28:BA$31=BA31)*(AZ$28:AZ$31&gt;AZ31))</f>
        <v>0</v>
      </c>
      <c r="BG31" s="254">
        <f>SUMPRODUCT((BA$28:BA$31=BA31)*(BE$28:BE$31=BE31)*(AZ$28:AZ$31=AZ31)*(AQ$28:AQ$31&gt;AQ31))</f>
        <v>0</v>
      </c>
      <c r="BH31" s="254">
        <f>SUMPRODUCT((BA$28:BA$31=BA31)*(BE$28:BE$31=BE31)*(AZ$28:AZ$31=AZ31)*(AQ$28:AQ$31=AQ31)*(BB$28:BB$31&gt;BB31))</f>
        <v>0</v>
      </c>
      <c r="BI31" s="254">
        <f>SUMPRODUCT((BA$28:BA$31=BA31)*(BE$28:BE$31=BE31)*(AZ$28:AZ$31=AZ31)*(AQ$28:AQ$31=AQ31)*(BB$28:BB$31=BB31)*(BC$28:BC$31&gt;BC31))</f>
        <v>0</v>
      </c>
      <c r="BJ31" s="254">
        <f>SUMPRODUCT((BA$28:BA$31=BA31)*(BE$28:BE$31=BE31)*(AZ$28:AZ$31=AZ31)*(AQ$28:AQ$31=AQ31)*(BB$28:BB$31=BB31)*(BC$28:BC$31=BC31)*(BD$28:BD$31&gt;BD31))</f>
        <v>0</v>
      </c>
      <c r="BK31" s="254" t="str">
        <f>IF(AND(COUNTIF($AF$4:$AF$35,'Group Stages'!G37)&gt;0,COUNTIF($AF$4:$AF$35,'Group Stages'!M37)&gt;0,'Group Stages'!I37&lt;&gt;"",'Group Stages'!K37&lt;&gt;""),'Group Stages'!G37,"")</f>
        <v/>
      </c>
      <c r="BL31" s="254" t="str">
        <f>IF($BK31&lt;&gt;"",'Group Stages'!I37,"")</f>
        <v/>
      </c>
      <c r="BM31" s="254" t="str">
        <f>IF($BK31&lt;&gt;"",'Group Stages'!K37,"")</f>
        <v/>
      </c>
      <c r="BN31" s="254" t="str">
        <f>IF($BK31&lt;&gt;"",'Group Stages'!M37,"")</f>
        <v/>
      </c>
      <c r="BO31" s="254" t="str">
        <f t="shared" si="2"/>
        <v/>
      </c>
      <c r="BP31" s="254" t="str">
        <f t="shared" si="34"/>
        <v/>
      </c>
      <c r="BQ31" s="254">
        <f>VLOOKUP($AD31,$B$28:$W$31,22,FALSE)</f>
        <v>7</v>
      </c>
      <c r="BR31" s="254" t="str">
        <f>IF(BR30&lt;&gt;"",AD31,"")</f>
        <v>Plzen</v>
      </c>
      <c r="BS31" s="261">
        <f>SUMPRODUCT(($CW$4:$CW$99='Dummy Table'!$BR31)*($CX$4:$CX$99&gt;$CY$4:$CY$99))</f>
        <v>0</v>
      </c>
      <c r="BT31" s="261">
        <f>SUMPRODUCT(($CW$4:$CW$99='Dummy Table'!$BR31)*($CX$4:$CX$99=$CY$4:$CY$99))</f>
        <v>1</v>
      </c>
      <c r="BU31" s="261">
        <f>SUMPRODUCT(($CW$4:$CW$99='Dummy Table'!$BR31)*($CX$4:$CX$99&lt;$CY$4:$CY$99))</f>
        <v>0</v>
      </c>
      <c r="BV31" s="261">
        <f>SUMIF($CW$4:$CW$99,'Dummy Table'!$BR31,$CX$4:$CX$99)</f>
        <v>2</v>
      </c>
      <c r="BW31" s="261">
        <f>SUMIF($CW$4:$CW$99,'Dummy Table'!$BR31,$CY$4:$CY$99)</f>
        <v>2</v>
      </c>
      <c r="BX31" s="261">
        <f t="shared" si="35"/>
        <v>0</v>
      </c>
      <c r="BY31" s="261">
        <f t="shared" si="36"/>
        <v>1</v>
      </c>
      <c r="BZ31" s="261">
        <f>SUMPRODUCT(($CZ$4:$CZ$99='Dummy Table'!$BR31)*($CX$4:$CX$99&lt;$CY$4:$CY$99))</f>
        <v>1</v>
      </c>
      <c r="CA31" s="261">
        <f>SUMPRODUCT(($CZ$4:$CZ$99='Dummy Table'!$BR31)*($CX$4:$CX$99=$CY$4:$CY$99))</f>
        <v>0</v>
      </c>
      <c r="CB31" s="261">
        <f>SUMPRODUCT(($CZ$4:$CZ$99='Dummy Table'!$BR31)*($CX$4:$CX$99&gt;$CY$4:$CY$99))</f>
        <v>0</v>
      </c>
      <c r="CC31" s="261">
        <f>SUMIF($CZ$4:$CZ$99,'Dummy Table'!$BR31,$CY$4:$CY$99)</f>
        <v>2</v>
      </c>
      <c r="CD31" s="261">
        <f>SUMIF($CZ$4:$CZ$99,'Dummy Table'!$BR31,$CX$4:$CX$99)</f>
        <v>1</v>
      </c>
      <c r="CE31" s="261">
        <f t="shared" si="37"/>
        <v>1</v>
      </c>
      <c r="CF31" s="261">
        <f t="shared" si="38"/>
        <v>3</v>
      </c>
      <c r="CG31" s="261">
        <f t="shared" si="39"/>
        <v>1</v>
      </c>
      <c r="CH31" s="261">
        <f t="shared" si="3"/>
        <v>1</v>
      </c>
      <c r="CI31" s="261">
        <f t="shared" si="4"/>
        <v>0</v>
      </c>
      <c r="CJ31" s="261">
        <f t="shared" si="5"/>
        <v>4</v>
      </c>
      <c r="CK31" s="261">
        <f t="shared" si="6"/>
        <v>3</v>
      </c>
      <c r="CL31" s="261">
        <f t="shared" si="7"/>
        <v>1</v>
      </c>
      <c r="CM31" s="261">
        <f t="shared" si="45"/>
        <v>4</v>
      </c>
      <c r="CN31" s="259">
        <f t="shared" si="40"/>
        <v>33000</v>
      </c>
      <c r="CO31" s="259">
        <f>SUMIF($CZ$4:$CZ$99,'Dummy Table'!$BR31,$CY$4:$CY$99)*2</f>
        <v>4</v>
      </c>
      <c r="CP31" s="259">
        <f>RANK(CM31,CM$28:CM$31)</f>
        <v>1</v>
      </c>
      <c r="CR31" s="259">
        <f>SUMPRODUCT((CM$28:CM$31=CM31)*(CL$28:CL$31&gt;CL31))</f>
        <v>0</v>
      </c>
      <c r="CS31" s="259">
        <f>SUMPRODUCT((CP$28:CP$31=CP31)*(CR$28:CR$31=CR31)*(CO$28:CO$31&gt;CO31))</f>
        <v>0</v>
      </c>
      <c r="CT31" s="259">
        <f>IF(BR31&lt;&gt;"",SUMPRODUCT((CP$28:CP$31=CP31)*(CR$28:CR$31=CR31)*(CS$28:CS$31=CS31)*(V$28:V$31&gt;V31)),0)</f>
        <v>0</v>
      </c>
      <c r="CU31" s="259">
        <f>IF($BR31&lt;&gt;"",SUMPRODUCT((CP$28:CP$31=CP31)*(CR$28:CR$31=CR31)*(CS$28:CS$31=CS31)*(CT$28:CT$31=CT31)*(T$28:T$31&gt;T31)),0)</f>
        <v>0</v>
      </c>
      <c r="CV31" s="259">
        <f>SUMPRODUCT((CP$28:CP$31=CP31)*(CR$28:CR$31=CR31)*(CS$28:CS$31=CS31)*(CT$28:CT$31=CT31)*(CU$28:CU$31=CU31)*(CN$28:CN$31&gt;CN31))</f>
        <v>0</v>
      </c>
      <c r="CW31" s="254" t="str">
        <f>IF(AND(COUNTIF($BR$4:$BR$35,'Group Stages'!$G37)&gt;0,COUNTIF($BR$4:$BR$35,'Group Stages'!$M37)&gt;0),'Group Stages'!$G37,"")</f>
        <v/>
      </c>
      <c r="CX31" s="254" t="str">
        <f>IF($CW31&lt;&gt;"",'Group Stages'!$I37,"")</f>
        <v/>
      </c>
      <c r="CY31" s="254" t="str">
        <f>IF($CW31&lt;&gt;"",'Group Stages'!$K37,"")</f>
        <v/>
      </c>
      <c r="CZ31" s="254" t="str">
        <f>IF($CW31&lt;&gt;"",'Group Stages'!$M37,"")</f>
        <v/>
      </c>
      <c r="DA31" s="259">
        <f t="shared" si="8"/>
        <v>1</v>
      </c>
      <c r="DB31" s="254" t="str">
        <f t="shared" si="43"/>
        <v>Plzen</v>
      </c>
      <c r="DC31" s="254">
        <v>4</v>
      </c>
      <c r="DD31" s="254" t="str">
        <f t="shared" si="46"/>
        <v>Plzen</v>
      </c>
      <c r="DE31" s="254" t="str">
        <f>IF(AND(DD31="",DD30="",DD29="",DD28=""),4,IF(AND(DD31="",DD30="",DD29=""),3,IF(AND(DD29&lt;&gt;"",DD30="",DD31=""),2,IF(AND(DD29&lt;&gt;"",DD30&lt;&gt;"",DD31=""),1,""))))</f>
        <v/>
      </c>
      <c r="DF31" s="254" t="str">
        <f>VLOOKUP(DE31,$BO$28:$BP$31,2,FALSE)</f>
        <v/>
      </c>
      <c r="DG31" s="254">
        <v>4</v>
      </c>
      <c r="DH31" s="254" t="str">
        <f>IF(DB31&lt;&gt;"",IF(DA30&lt;DA31,DB31,DB30),IF(DF31&lt;&gt;"",DF31,DD31))</f>
        <v>CSKA Moscow</v>
      </c>
      <c r="DI31" s="254">
        <v>28</v>
      </c>
    </row>
    <row r="32" spans="1:113" x14ac:dyDescent="0.2">
      <c r="A32" s="254">
        <f t="shared" si="9"/>
        <v>1</v>
      </c>
      <c r="B32" s="254" t="str">
        <f>'Team Setup'!B33</f>
        <v>Juventus</v>
      </c>
      <c r="C32" s="259">
        <f>SUMPRODUCT(('Group Stages'!$I$10:$I$105&lt;&gt;"")*('Group Stages'!$K$10:$K$105&lt;&gt;"")*('Group Stages'!$G$10:$G$105='Dummy Table'!$B32)*('Group Stages'!$I$10:$I$105&gt;'Group Stages'!$K$10:$K$105))</f>
        <v>2</v>
      </c>
      <c r="D32" s="259">
        <f>SUMPRODUCT(('Group Stages'!$I$10:$I$105&lt;&gt;"")*('Group Stages'!$K$10:$K$105&lt;&gt;"")*('Group Stages'!$G$10:$G$105='Dummy Table'!$B32)*('Group Stages'!$I$10:$I$105='Group Stages'!$K$10:$K$105))</f>
        <v>0</v>
      </c>
      <c r="E32" s="259">
        <f>SUMPRODUCT(('Group Stages'!$I$10:$I$105&lt;&gt;"")*('Group Stages'!$K$10:$K$105&lt;&gt;"")*('Group Stages'!$G$10:$G$105='Dummy Table'!$B32)*('Group Stages'!$I$10:$I$105&lt;'Group Stages'!$K$10:$K$105))</f>
        <v>1</v>
      </c>
      <c r="F32" s="259">
        <f>SUMIF('Group Stages'!$G$10:$G$105,'Dummy Table'!$B32,'Group Stages'!$I$10:$I$105)</f>
        <v>5</v>
      </c>
      <c r="G32" s="259">
        <f>SUMIF('Group Stages'!$G$10:$G$105,'Dummy Table'!$B32,'Group Stages'!$K$10:$K$105)</f>
        <v>2</v>
      </c>
      <c r="H32" s="259">
        <f t="shared" si="10"/>
        <v>3</v>
      </c>
      <c r="I32" s="259">
        <f t="shared" si="11"/>
        <v>6</v>
      </c>
      <c r="J32" s="254">
        <f>SUMPRODUCT(('Group Stages'!$I$10:$I$105&lt;&gt;"")*('Group Stages'!$K$10:$K$105&lt;&gt;"")*('Group Stages'!$M$10:$M$105='Dummy Table'!$B32)*('Group Stages'!$I$10:$I$105&lt;'Group Stages'!$K$10:$K$105))</f>
        <v>2</v>
      </c>
      <c r="K32" s="254">
        <f>SUMPRODUCT(('Group Stages'!$I$10:$I$105&lt;&gt;"")*('Group Stages'!$K$10:$K$105&lt;&gt;"")*('Group Stages'!$M$10:$M$105='Dummy Table'!$B32)*('Group Stages'!$I$10:$I$105='Group Stages'!$K$10:$K$105))</f>
        <v>0</v>
      </c>
      <c r="L32" s="254">
        <f>SUMPRODUCT(('Group Stages'!$I$10:$I$105&lt;&gt;"")*('Group Stages'!$K$10:$K$105&lt;&gt;"")*('Group Stages'!$M$10:$M$105='Dummy Table'!$B32)*('Group Stages'!$I$10:$I$105&gt;'Group Stages'!$K$10:$K$105))</f>
        <v>1</v>
      </c>
      <c r="M32" s="254">
        <f>SUMIF('Group Stages'!$M$10:$M$105,'Dummy Table'!$B32,'Group Stages'!$K$10:$K$105)</f>
        <v>4</v>
      </c>
      <c r="N32" s="254">
        <f>SUMIF('Group Stages'!$M$10:$M$105,'Dummy Table'!$B32,'Group Stages'!$I$10:$I$105)</f>
        <v>2</v>
      </c>
      <c r="O32" s="254">
        <f t="shared" si="12"/>
        <v>2</v>
      </c>
      <c r="P32" s="254">
        <f t="shared" si="13"/>
        <v>6</v>
      </c>
      <c r="Q32" s="254">
        <f t="shared" si="14"/>
        <v>4</v>
      </c>
      <c r="R32" s="254">
        <f t="shared" si="15"/>
        <v>0</v>
      </c>
      <c r="S32" s="254">
        <f t="shared" si="16"/>
        <v>2</v>
      </c>
      <c r="T32" s="254">
        <f t="shared" si="17"/>
        <v>9</v>
      </c>
      <c r="U32" s="254">
        <f t="shared" si="18"/>
        <v>4</v>
      </c>
      <c r="V32" s="254">
        <f t="shared" si="19"/>
        <v>5</v>
      </c>
      <c r="W32" s="254">
        <f t="shared" si="20"/>
        <v>12</v>
      </c>
      <c r="X32" s="259">
        <f>IF('Team Setup'!F33&lt;&gt;"",'Team Setup'!F33,DI32)</f>
        <v>126000</v>
      </c>
      <c r="Y32" s="259">
        <f>RANK(W32,W$32:W$35)</f>
        <v>1</v>
      </c>
      <c r="Z32" s="259">
        <f>SUMPRODUCT((W$32:W$35=W32)*(V$32:V$35&gt;V32))</f>
        <v>0</v>
      </c>
      <c r="AA32" s="259">
        <f>SUMPRODUCT((Y$32:Y$35=Y32)*(Z$32:Z$35=Z32)*(T$32:T$35&gt;T32))</f>
        <v>0</v>
      </c>
      <c r="AB32" s="259">
        <f>SUMPRODUCT((Y$32:Y$35=Y32)*(Z$32:Z$35=Z32)*(T$32:T$35=T32)*(X$32:X$35&gt;X32))</f>
        <v>0</v>
      </c>
      <c r="AC32" s="254">
        <v>1</v>
      </c>
      <c r="AD32" s="254" t="str">
        <f>VLOOKUP(AC32,$A$32:$B$35,2,FALSE)</f>
        <v>Juventus</v>
      </c>
      <c r="AE32" s="254">
        <f>VLOOKUP($AD32,$B$32:$W$35,22,FALSE)</f>
        <v>12</v>
      </c>
      <c r="AF32" s="254" t="str">
        <f>IF(AE32=AE33,AD32,"")</f>
        <v/>
      </c>
      <c r="AG32" s="259">
        <f>SUMPRODUCT(($BK$4:$BK$99='Dummy Table'!$AF32)*($BL$4:$BL$99&gt;$BM$4:$BM$99))</f>
        <v>0</v>
      </c>
      <c r="AH32" s="259">
        <f>SUMPRODUCT(($BK$4:$BK$99='Dummy Table'!$AF32)*($BL$4:$BL$99=$BM$4:$BM$99))</f>
        <v>90</v>
      </c>
      <c r="AI32" s="259">
        <f>SUMPRODUCT(($BK$4:$BK$99='Dummy Table'!$AF32)*($BL$4:$BL$99&lt;$BM$4:$BM$99))</f>
        <v>0</v>
      </c>
      <c r="AJ32" s="259">
        <f>SUMIF($BK$4:$BK$99,'Dummy Table'!$AF32,$BL$4:$BL$99)</f>
        <v>0</v>
      </c>
      <c r="AK32" s="259">
        <f>SUMIF($BK$4:$BK$99,'Dummy Table'!$AF32,$BM$4:$BM$99)</f>
        <v>0</v>
      </c>
      <c r="AL32" s="259">
        <f t="shared" si="21"/>
        <v>0</v>
      </c>
      <c r="AM32" s="259" t="str">
        <f t="shared" si="22"/>
        <v/>
      </c>
      <c r="AN32" s="259">
        <f>SUMPRODUCT(($BN$4:$BN$99='Dummy Table'!$AF32)*($BL$4:$BL$99&lt;$BM$4:$BM$99))</f>
        <v>0</v>
      </c>
      <c r="AO32" s="259">
        <f>SUMPRODUCT(($BN$4:$BN$99='Dummy Table'!$AF32)*($BL$4:$BL$99=$BM$4:$BM$99))</f>
        <v>90</v>
      </c>
      <c r="AP32" s="259">
        <f>SUMPRODUCT(($BN$4:$BN$99='Dummy Table'!$AF32)*($BL$4:$BL$99&gt;$BM$4:$BM$99))</f>
        <v>0</v>
      </c>
      <c r="AQ32" s="259">
        <f>SUMIF($BN$4:$BN$99,'Dummy Table'!$AF32,$BM$4:$BM$99)</f>
        <v>0</v>
      </c>
      <c r="AR32" s="259">
        <f>SUMIF($BN$4:$BN$99,'Dummy Table'!$AF32,$BL$4:$BL$99)</f>
        <v>0</v>
      </c>
      <c r="AS32" s="259">
        <f t="shared" si="23"/>
        <v>0</v>
      </c>
      <c r="AT32" s="259" t="str">
        <f t="shared" si="24"/>
        <v/>
      </c>
      <c r="AU32" s="259">
        <f t="shared" si="25"/>
        <v>0</v>
      </c>
      <c r="AV32" s="259">
        <f t="shared" si="26"/>
        <v>180</v>
      </c>
      <c r="AW32" s="259">
        <f t="shared" si="27"/>
        <v>0</v>
      </c>
      <c r="AX32" s="259">
        <f t="shared" si="28"/>
        <v>0</v>
      </c>
      <c r="AY32" s="259">
        <f t="shared" si="29"/>
        <v>0</v>
      </c>
      <c r="AZ32" s="259">
        <f t="shared" si="30"/>
        <v>0</v>
      </c>
      <c r="BA32" s="259">
        <f t="shared" si="44"/>
        <v>-1</v>
      </c>
      <c r="BB32" s="254" t="str">
        <f t="shared" si="31"/>
        <v/>
      </c>
      <c r="BC32" s="254" t="str">
        <f t="shared" si="32"/>
        <v/>
      </c>
      <c r="BD32" s="254" t="str">
        <f t="shared" si="33"/>
        <v/>
      </c>
      <c r="BE32" s="254">
        <f>RANK(BA32,BA$32:BA$35)</f>
        <v>1</v>
      </c>
      <c r="BF32" s="254">
        <f>SUMPRODUCT((BA$32:BA$35=BA32)*(AZ$32:AZ$35&gt;AZ32))</f>
        <v>0</v>
      </c>
      <c r="BG32" s="254">
        <f>SUMPRODUCT((BA$32:BA$35=BA32)*(BE$32:BE$35=BE32)*(AZ$32:AZ$35=AZ32)*(AQ$32:AQ$35&gt;AQ32))</f>
        <v>0</v>
      </c>
      <c r="BH32" s="254">
        <f>SUMPRODUCT((BA$32:BA$35=BA32)*(BE$32:BE$35=BE32)*(AZ$32:AZ$35=AZ32)*(AQ$32:AQ$35=AQ32)*(BB$32:BB$35&gt;BB32))</f>
        <v>0</v>
      </c>
      <c r="BI32" s="254">
        <f>SUMPRODUCT((BA$32:BA$35=BA32)*(BE$32:BE$35=BE32)*(AZ$32:AZ$35=AZ32)*(AQ$32:AQ$35=AQ32)*(BB$32:BB$35=BB32)*(BC$32:BC$35&gt;BC32))</f>
        <v>0</v>
      </c>
      <c r="BJ32" s="254">
        <f>SUMPRODUCT((BA$32:BA$35=BA32)*(BE$32:BE$35=BE32)*(AZ$32:AZ$35=AZ32)*(AQ$32:AQ$35=AQ32)*(BB$32:BB$35=BB32)*(BC$32:BC$35=BC32)*(BD$32:BD$35&gt;BD32))</f>
        <v>0</v>
      </c>
      <c r="BK32" s="254" t="str">
        <f>IF(AND(COUNTIF($AF$4:$AF$35,'Group Stages'!G38)&gt;0,COUNTIF($AF$4:$AF$35,'Group Stages'!M38)&gt;0,'Group Stages'!I38&lt;&gt;"",'Group Stages'!K38&lt;&gt;""),'Group Stages'!G38,"")</f>
        <v/>
      </c>
      <c r="BL32" s="254" t="str">
        <f>IF($BK32&lt;&gt;"",'Group Stages'!I38,"")</f>
        <v/>
      </c>
      <c r="BM32" s="254" t="str">
        <f>IF($BK32&lt;&gt;"",'Group Stages'!K38,"")</f>
        <v/>
      </c>
      <c r="BN32" s="254" t="str">
        <f>IF($BK32&lt;&gt;"",'Group Stages'!M38,"")</f>
        <v/>
      </c>
      <c r="BO32" s="254" t="str">
        <f t="shared" si="2"/>
        <v/>
      </c>
      <c r="BP32" s="254" t="str">
        <f t="shared" si="34"/>
        <v/>
      </c>
      <c r="BQ32" s="254">
        <f>VLOOKUP($AD32,$B$32:$W$35,22,FALSE)</f>
        <v>12</v>
      </c>
      <c r="BS32" s="261">
        <f>SUMPRODUCT(($CW$4:$CW$99='Dummy Table'!$BR32)*($CX$4:$CX$99&gt;$CY$4:$CY$99))</f>
        <v>0</v>
      </c>
      <c r="BT32" s="261">
        <f>SUMPRODUCT(($CW$4:$CW$99='Dummy Table'!$BR32)*($CX$4:$CX$99=$CY$4:$CY$99))</f>
        <v>94</v>
      </c>
      <c r="BU32" s="261">
        <f>SUMPRODUCT(($CW$4:$CW$99='Dummy Table'!$BR32)*($CX$4:$CX$99&lt;$CY$4:$CY$99))</f>
        <v>0</v>
      </c>
      <c r="BV32" s="261">
        <f>SUMIF($CW$4:$CW$99,'Dummy Table'!$BR32,$CX$4:$CX$99)</f>
        <v>0</v>
      </c>
      <c r="BW32" s="261">
        <f>SUMIF($CW$4:$CW$99,'Dummy Table'!$BR32,$CY$4:$CY$99)</f>
        <v>0</v>
      </c>
      <c r="BX32" s="261">
        <f t="shared" si="35"/>
        <v>0</v>
      </c>
      <c r="BY32" s="261" t="str">
        <f t="shared" si="36"/>
        <v/>
      </c>
      <c r="BZ32" s="261">
        <f>SUMPRODUCT(($CZ$4:$CZ$99='Dummy Table'!$BR32)*($CX$4:$CX$99&lt;$CY$4:$CY$99))</f>
        <v>0</v>
      </c>
      <c r="CA32" s="261">
        <f>SUMPRODUCT(($CZ$4:$CZ$99='Dummy Table'!$BR32)*($CX$4:$CX$99=$CY$4:$CY$99))</f>
        <v>94</v>
      </c>
      <c r="CB32" s="261">
        <f>SUMPRODUCT(($CZ$4:$CZ$99='Dummy Table'!$BR32)*($CX$4:$CX$99&gt;$CY$4:$CY$99))</f>
        <v>0</v>
      </c>
      <c r="CC32" s="261">
        <f>SUMIF($CZ$4:$CZ$99,'Dummy Table'!$BR32,$CY$4:$CY$99)</f>
        <v>0</v>
      </c>
      <c r="CD32" s="261">
        <f>SUMIF($CZ$4:$CZ$99,'Dummy Table'!$BR32,$CX$4:$CX$99)</f>
        <v>0</v>
      </c>
      <c r="CE32" s="261">
        <f t="shared" si="37"/>
        <v>0</v>
      </c>
      <c r="CF32" s="261" t="str">
        <f t="shared" si="38"/>
        <v/>
      </c>
      <c r="CG32" s="261">
        <f t="shared" si="39"/>
        <v>0</v>
      </c>
      <c r="CH32" s="261">
        <f t="shared" si="3"/>
        <v>188</v>
      </c>
      <c r="CI32" s="261">
        <f t="shared" si="4"/>
        <v>0</v>
      </c>
      <c r="CJ32" s="261">
        <f t="shared" si="5"/>
        <v>0</v>
      </c>
      <c r="CK32" s="261">
        <f t="shared" si="6"/>
        <v>0</v>
      </c>
      <c r="CL32" s="261">
        <f t="shared" si="7"/>
        <v>0</v>
      </c>
      <c r="CM32" s="261">
        <f t="shared" si="45"/>
        <v>-1</v>
      </c>
      <c r="CN32" s="259">
        <f t="shared" si="40"/>
        <v>126000</v>
      </c>
      <c r="CO32" s="259">
        <f>SUMIF($CZ$4:$CZ$99,'Dummy Table'!$BR32,$CY$4:$CY$99)*2</f>
        <v>0</v>
      </c>
      <c r="CP32" s="259">
        <f>RANK(CM32,CM$32:CM$35)</f>
        <v>1</v>
      </c>
      <c r="CR32" s="259">
        <f>SUMPRODUCT((CM$32:CM$35=CM32)*(CL$32:CL$35&gt;CL32))</f>
        <v>0</v>
      </c>
      <c r="CS32" s="259">
        <f>SUMPRODUCT((CP$32:CP$35=CP32)*(CR$32:CR$35=CR32)*(CO$32:CO$35&gt;CO32))</f>
        <v>0</v>
      </c>
      <c r="CT32" s="259">
        <f>IF(BR32&lt;&gt;"",SUMPRODUCT((CP$32:CP$35=CP32)*(CR$32:CR$35=CR32)*(CS$32:CS$35=CS32)*(V$32:V$35&gt;V32)),0)</f>
        <v>0</v>
      </c>
      <c r="CU32" s="259">
        <f>IF($BR32&lt;&gt;"",SUMPRODUCT((CP$32:CP$35=CP32)*(CR$32:CR$35=CR32)*(CS$32:CS$35=CS32)*(CT$32:CT$35=CT32)*(T$32:T$35&gt;T32)),0)</f>
        <v>0</v>
      </c>
      <c r="CV32" s="259">
        <f>SUMPRODUCT((CP$32:CP$35=CP32)*(CR$32:CR$35=CR32)*(CS$32:CS$35=CS32)*(CT$32:CT$35=CT32)*(CU$32:CU$35=CU32)*(CN$32:CN$35&gt;CN32))</f>
        <v>0</v>
      </c>
      <c r="CW32" s="254" t="str">
        <f>IF(AND(COUNTIF($BR$4:$BR$35,'Group Stages'!$G38)&gt;0,COUNTIF($BR$4:$BR$35,'Group Stages'!$M38)&gt;0),'Group Stages'!$G38,"")</f>
        <v/>
      </c>
      <c r="CX32" s="254" t="str">
        <f>IF($CW32&lt;&gt;"",'Group Stages'!$I38,"")</f>
        <v/>
      </c>
      <c r="CY32" s="254" t="str">
        <f>IF($CW32&lt;&gt;"",'Group Stages'!$K38,"")</f>
        <v/>
      </c>
      <c r="CZ32" s="254" t="str">
        <f>IF($CW32&lt;&gt;"",'Group Stages'!$M38,"")</f>
        <v/>
      </c>
      <c r="DA32" s="259" t="str">
        <f t="shared" si="8"/>
        <v/>
      </c>
      <c r="DB32" s="254" t="str">
        <f t="shared" si="43"/>
        <v/>
      </c>
      <c r="DC32" s="254">
        <v>1</v>
      </c>
      <c r="DD32" s="254" t="str">
        <f t="shared" si="46"/>
        <v>Juventus</v>
      </c>
      <c r="DE32" s="254" t="str">
        <f>IF(DD32="",DC32,"")</f>
        <v/>
      </c>
      <c r="DF32" s="254" t="str">
        <f>VLOOKUP(DE32,$BO$32:$BP$35,2,FALSE)</f>
        <v/>
      </c>
      <c r="DG32" s="254">
        <v>1</v>
      </c>
      <c r="DH32" s="254" t="str">
        <f>IF(DD32="",DF32,DD32)</f>
        <v>Juventus</v>
      </c>
      <c r="DI32" s="254">
        <v>29</v>
      </c>
    </row>
    <row r="33" spans="1:113" x14ac:dyDescent="0.2">
      <c r="A33" s="254">
        <f t="shared" si="9"/>
        <v>2</v>
      </c>
      <c r="B33" s="254" t="str">
        <f>'Team Setup'!B34</f>
        <v>Manchester United</v>
      </c>
      <c r="C33" s="259">
        <f>SUMPRODUCT(('Group Stages'!$I$10:$I$105&lt;&gt;"")*('Group Stages'!$K$10:$K$105&lt;&gt;"")*('Group Stages'!$G$10:$G$105='Dummy Table'!$B33)*('Group Stages'!$I$10:$I$105&gt;'Group Stages'!$K$10:$K$105))</f>
        <v>1</v>
      </c>
      <c r="D33" s="259">
        <f>SUMPRODUCT(('Group Stages'!$I$10:$I$105&lt;&gt;"")*('Group Stages'!$K$10:$K$105&lt;&gt;"")*('Group Stages'!$G$10:$G$105='Dummy Table'!$B33)*('Group Stages'!$I$10:$I$105='Group Stages'!$K$10:$K$105))</f>
        <v>1</v>
      </c>
      <c r="E33" s="259">
        <f>SUMPRODUCT(('Group Stages'!$I$10:$I$105&lt;&gt;"")*('Group Stages'!$K$10:$K$105&lt;&gt;"")*('Group Stages'!$G$10:$G$105='Dummy Table'!$B33)*('Group Stages'!$I$10:$I$105&lt;'Group Stages'!$K$10:$K$105))</f>
        <v>1</v>
      </c>
      <c r="F33" s="259">
        <f>SUMIF('Group Stages'!$G$10:$G$105,'Dummy Table'!$B33,'Group Stages'!$I$10:$I$105)</f>
        <v>1</v>
      </c>
      <c r="G33" s="259">
        <f>SUMIF('Group Stages'!$G$10:$G$105,'Dummy Table'!$B33,'Group Stages'!$K$10:$K$105)</f>
        <v>1</v>
      </c>
      <c r="H33" s="259">
        <f t="shared" si="10"/>
        <v>0</v>
      </c>
      <c r="I33" s="259">
        <f t="shared" si="11"/>
        <v>4</v>
      </c>
      <c r="J33" s="254">
        <f>SUMPRODUCT(('Group Stages'!$I$10:$I$105&lt;&gt;"")*('Group Stages'!$K$10:$K$105&lt;&gt;"")*('Group Stages'!$M$10:$M$105='Dummy Table'!$B33)*('Group Stages'!$I$10:$I$105&lt;'Group Stages'!$K$10:$K$105))</f>
        <v>2</v>
      </c>
      <c r="K33" s="254">
        <f>SUMPRODUCT(('Group Stages'!$I$10:$I$105&lt;&gt;"")*('Group Stages'!$K$10:$K$105&lt;&gt;"")*('Group Stages'!$M$10:$M$105='Dummy Table'!$B33)*('Group Stages'!$I$10:$I$105='Group Stages'!$K$10:$K$105))</f>
        <v>0</v>
      </c>
      <c r="L33" s="254">
        <f>SUMPRODUCT(('Group Stages'!$I$10:$I$105&lt;&gt;"")*('Group Stages'!$K$10:$K$105&lt;&gt;"")*('Group Stages'!$M$10:$M$105='Dummy Table'!$B33)*('Group Stages'!$I$10:$I$105&gt;'Group Stages'!$K$10:$K$105))</f>
        <v>1</v>
      </c>
      <c r="M33" s="254">
        <f>SUMIF('Group Stages'!$M$10:$M$105,'Dummy Table'!$B33,'Group Stages'!$K$10:$K$105)</f>
        <v>6</v>
      </c>
      <c r="N33" s="254">
        <f>SUMIF('Group Stages'!$M$10:$M$105,'Dummy Table'!$B33,'Group Stages'!$I$10:$I$105)</f>
        <v>3</v>
      </c>
      <c r="O33" s="254">
        <f t="shared" si="12"/>
        <v>3</v>
      </c>
      <c r="P33" s="254">
        <f t="shared" si="13"/>
        <v>6</v>
      </c>
      <c r="Q33" s="254">
        <f t="shared" si="14"/>
        <v>3</v>
      </c>
      <c r="R33" s="254">
        <f t="shared" si="15"/>
        <v>1</v>
      </c>
      <c r="S33" s="254">
        <f t="shared" si="16"/>
        <v>2</v>
      </c>
      <c r="T33" s="254">
        <f t="shared" si="17"/>
        <v>7</v>
      </c>
      <c r="U33" s="254">
        <f t="shared" si="18"/>
        <v>4</v>
      </c>
      <c r="V33" s="254">
        <f t="shared" si="19"/>
        <v>3</v>
      </c>
      <c r="W33" s="254">
        <f t="shared" si="20"/>
        <v>10</v>
      </c>
      <c r="X33" s="259">
        <f>IF('Team Setup'!F34&lt;&gt;"",'Team Setup'!F34,DI33)</f>
        <v>82000</v>
      </c>
      <c r="Y33" s="259">
        <f>RANK(W33,W$32:W$35)</f>
        <v>2</v>
      </c>
      <c r="Z33" s="259">
        <f>SUMPRODUCT((W$32:W$35=W33)*(V$32:V$35&gt;V33))</f>
        <v>0</v>
      </c>
      <c r="AA33" s="259">
        <f>SUMPRODUCT((Y$32:Y$35=Y33)*(Z$32:Z$35=Z33)*(T$32:T$35&gt;T33))</f>
        <v>0</v>
      </c>
      <c r="AB33" s="259">
        <f>SUMPRODUCT((Y$32:Y$35=Y33)*(Z$32:Z$35=Z33)*(T$32:T$35=T33)*(X$32:X$35&gt;X33))</f>
        <v>0</v>
      </c>
      <c r="AC33" s="254">
        <v>2</v>
      </c>
      <c r="AD33" s="254" t="str">
        <f>VLOOKUP(AC33,$A$32:$B$35,2,FALSE)</f>
        <v>Manchester United</v>
      </c>
      <c r="AE33" s="254">
        <f>VLOOKUP($AD33,$B$32:$W$35,22,FALSE)</f>
        <v>10</v>
      </c>
      <c r="AF33" s="254" t="str">
        <f>IF(OR(AE33=AE32,AE33=AE34),AD33,"")</f>
        <v/>
      </c>
      <c r="AG33" s="259">
        <f>SUMPRODUCT(($BK$4:$BK$99='Dummy Table'!$AF33)*($BL$4:$BL$99&gt;$BM$4:$BM$99))</f>
        <v>0</v>
      </c>
      <c r="AH33" s="259">
        <f>SUMPRODUCT(($BK$4:$BK$99='Dummy Table'!$AF33)*($BL$4:$BL$99=$BM$4:$BM$99))</f>
        <v>90</v>
      </c>
      <c r="AI33" s="259">
        <f>SUMPRODUCT(($BK$4:$BK$99='Dummy Table'!$AF33)*($BL$4:$BL$99&lt;$BM$4:$BM$99))</f>
        <v>0</v>
      </c>
      <c r="AJ33" s="259">
        <f>SUMIF($BK$4:$BK$99,'Dummy Table'!$AF33,$BL$4:$BL$99)</f>
        <v>0</v>
      </c>
      <c r="AK33" s="259">
        <f>SUMIF($BK$4:$BK$99,'Dummy Table'!$AF33,$BM$4:$BM$99)</f>
        <v>0</v>
      </c>
      <c r="AL33" s="259">
        <f t="shared" si="21"/>
        <v>0</v>
      </c>
      <c r="AM33" s="259" t="str">
        <f t="shared" si="22"/>
        <v/>
      </c>
      <c r="AN33" s="259">
        <f>SUMPRODUCT(($BN$4:$BN$99='Dummy Table'!$AF33)*($BL$4:$BL$99&lt;$BM$4:$BM$99))</f>
        <v>0</v>
      </c>
      <c r="AO33" s="259">
        <f>SUMPRODUCT(($BN$4:$BN$99='Dummy Table'!$AF33)*($BL$4:$BL$99=$BM$4:$BM$99))</f>
        <v>90</v>
      </c>
      <c r="AP33" s="259">
        <f>SUMPRODUCT(($BN$4:$BN$99='Dummy Table'!$AF33)*($BL$4:$BL$99&gt;$BM$4:$BM$99))</f>
        <v>0</v>
      </c>
      <c r="AQ33" s="259">
        <f>SUMIF($BN$4:$BN$99,'Dummy Table'!$AF33,$BM$4:$BM$99)</f>
        <v>0</v>
      </c>
      <c r="AR33" s="259">
        <f>SUMIF($BN$4:$BN$99,'Dummy Table'!$AF33,$BL$4:$BL$99)</f>
        <v>0</v>
      </c>
      <c r="AS33" s="259">
        <f t="shared" si="23"/>
        <v>0</v>
      </c>
      <c r="AT33" s="259" t="str">
        <f t="shared" si="24"/>
        <v/>
      </c>
      <c r="AU33" s="259">
        <f t="shared" si="25"/>
        <v>0</v>
      </c>
      <c r="AV33" s="259">
        <f t="shared" si="26"/>
        <v>180</v>
      </c>
      <c r="AW33" s="259">
        <f t="shared" si="27"/>
        <v>0</v>
      </c>
      <c r="AX33" s="259">
        <f t="shared" si="28"/>
        <v>0</v>
      </c>
      <c r="AY33" s="259">
        <f t="shared" si="29"/>
        <v>0</v>
      </c>
      <c r="AZ33" s="259">
        <f t="shared" si="30"/>
        <v>0</v>
      </c>
      <c r="BA33" s="259">
        <f t="shared" si="44"/>
        <v>-1</v>
      </c>
      <c r="BB33" s="254" t="str">
        <f t="shared" si="31"/>
        <v/>
      </c>
      <c r="BC33" s="254" t="str">
        <f t="shared" si="32"/>
        <v/>
      </c>
      <c r="BD33" s="254" t="str">
        <f t="shared" si="33"/>
        <v/>
      </c>
      <c r="BE33" s="254">
        <f>RANK(BA33,BA$32:BA$35)</f>
        <v>1</v>
      </c>
      <c r="BF33" s="254">
        <f>SUMPRODUCT((BA$32:BA$35=BA33)*(AZ$32:AZ$35&gt;AZ33))</f>
        <v>0</v>
      </c>
      <c r="BG33" s="254">
        <f>SUMPRODUCT((BA$32:BA$35=BA33)*(BE$32:BE$35=BE33)*(AZ$32:AZ$35=AZ33)*(AQ$32:AQ$35&gt;AQ33))</f>
        <v>0</v>
      </c>
      <c r="BH33" s="254">
        <f>SUMPRODUCT((BA$32:BA$35=BA33)*(BE$32:BE$35=BE33)*(AZ$32:AZ$35=AZ33)*(AQ$32:AQ$35=AQ33)*(BB$32:BB$35&gt;BB33))</f>
        <v>0</v>
      </c>
      <c r="BI33" s="254">
        <f>SUMPRODUCT((BA$32:BA$35=BA33)*(BE$32:BE$35=BE33)*(AZ$32:AZ$35=AZ33)*(AQ$32:AQ$35=AQ33)*(BB$32:BB$35=BB33)*(BC$32:BC$35&gt;BC33))</f>
        <v>0</v>
      </c>
      <c r="BJ33" s="254">
        <f>SUMPRODUCT((BA$32:BA$35=BA33)*(BE$32:BE$35=BE33)*(AZ$32:AZ$35=AZ33)*(AQ$32:AQ$35=AQ33)*(BB$32:BB$35=BB33)*(BC$32:BC$35=BC33)*(BD$32:BD$35&gt;BD33))</f>
        <v>0</v>
      </c>
      <c r="BK33" s="254" t="str">
        <f>IF(AND(COUNTIF($AF$4:$AF$35,'Group Stages'!G39)&gt;0,COUNTIF($AF$4:$AF$35,'Group Stages'!M39)&gt;0,'Group Stages'!I39&lt;&gt;"",'Group Stages'!K39&lt;&gt;""),'Group Stages'!G39,"")</f>
        <v>Napoli</v>
      </c>
      <c r="BL33" s="254">
        <f>IF($BK33&lt;&gt;"",'Group Stages'!I39,"")</f>
        <v>1</v>
      </c>
      <c r="BM33" s="254">
        <f>IF($BK33&lt;&gt;"",'Group Stages'!K39,"")</f>
        <v>0</v>
      </c>
      <c r="BN33" s="254" t="str">
        <f>IF($BK33&lt;&gt;"",'Group Stages'!M39,"")</f>
        <v>Liverpool</v>
      </c>
      <c r="BO33" s="254" t="str">
        <f t="shared" si="2"/>
        <v/>
      </c>
      <c r="BP33" s="254" t="str">
        <f t="shared" si="34"/>
        <v/>
      </c>
      <c r="BQ33" s="254">
        <f>VLOOKUP($AD33,$B$32:$W$35,22,FALSE)</f>
        <v>10</v>
      </c>
      <c r="BS33" s="261">
        <f>SUMPRODUCT(($CW$4:$CW$99='Dummy Table'!$BR33)*($CX$4:$CX$99&gt;$CY$4:$CY$99))</f>
        <v>0</v>
      </c>
      <c r="BT33" s="261">
        <f>SUMPRODUCT(($CW$4:$CW$99='Dummy Table'!$BR33)*($CX$4:$CX$99=$CY$4:$CY$99))</f>
        <v>94</v>
      </c>
      <c r="BU33" s="261">
        <f>SUMPRODUCT(($CW$4:$CW$99='Dummy Table'!$BR33)*($CX$4:$CX$99&lt;$CY$4:$CY$99))</f>
        <v>0</v>
      </c>
      <c r="BV33" s="261">
        <f>SUMIF($CW$4:$CW$99,'Dummy Table'!$BR33,$CX$4:$CX$99)</f>
        <v>0</v>
      </c>
      <c r="BW33" s="261">
        <f>SUMIF($CW$4:$CW$99,'Dummy Table'!$BR33,$CY$4:$CY$99)</f>
        <v>0</v>
      </c>
      <c r="BX33" s="261">
        <f t="shared" si="35"/>
        <v>0</v>
      </c>
      <c r="BY33" s="261" t="str">
        <f t="shared" si="36"/>
        <v/>
      </c>
      <c r="BZ33" s="261">
        <f>SUMPRODUCT(($CZ$4:$CZ$99='Dummy Table'!$BR33)*($CX$4:$CX$99&lt;$CY$4:$CY$99))</f>
        <v>0</v>
      </c>
      <c r="CA33" s="261">
        <f>SUMPRODUCT(($CZ$4:$CZ$99='Dummy Table'!$BR33)*($CX$4:$CX$99=$CY$4:$CY$99))</f>
        <v>94</v>
      </c>
      <c r="CB33" s="261">
        <f>SUMPRODUCT(($CZ$4:$CZ$99='Dummy Table'!$BR33)*($CX$4:$CX$99&gt;$CY$4:$CY$99))</f>
        <v>0</v>
      </c>
      <c r="CC33" s="261">
        <f>SUMIF($CZ$4:$CZ$99,'Dummy Table'!$BR33,$CY$4:$CY$99)</f>
        <v>0</v>
      </c>
      <c r="CD33" s="261">
        <f>SUMIF($CZ$4:$CZ$99,'Dummy Table'!$BR33,$CX$4:$CX$99)</f>
        <v>0</v>
      </c>
      <c r="CE33" s="261">
        <f t="shared" si="37"/>
        <v>0</v>
      </c>
      <c r="CF33" s="261" t="str">
        <f t="shared" si="38"/>
        <v/>
      </c>
      <c r="CG33" s="261">
        <f t="shared" si="39"/>
        <v>0</v>
      </c>
      <c r="CH33" s="261">
        <f t="shared" si="3"/>
        <v>188</v>
      </c>
      <c r="CI33" s="261">
        <f t="shared" si="4"/>
        <v>0</v>
      </c>
      <c r="CJ33" s="261">
        <f t="shared" si="5"/>
        <v>0</v>
      </c>
      <c r="CK33" s="261">
        <f t="shared" si="6"/>
        <v>0</v>
      </c>
      <c r="CL33" s="261">
        <f t="shared" si="7"/>
        <v>0</v>
      </c>
      <c r="CM33" s="261">
        <f t="shared" si="45"/>
        <v>-1</v>
      </c>
      <c r="CN33" s="259">
        <f t="shared" si="40"/>
        <v>82000</v>
      </c>
      <c r="CO33" s="259">
        <f>SUMIF($CZ$4:$CZ$99,'Dummy Table'!$BR33,$CY$4:$CY$99)*2</f>
        <v>0</v>
      </c>
      <c r="CP33" s="259">
        <f>RANK(CM33,CM$32:CM$35)</f>
        <v>1</v>
      </c>
      <c r="CR33" s="259">
        <f>SUMPRODUCT((CM$32:CM$35=CM33)*(CL$32:CL$35&gt;CL33))</f>
        <v>0</v>
      </c>
      <c r="CS33" s="259">
        <f>SUMPRODUCT((CP$32:CP$35=CP33)*(CR$32:CR$35=CR33)*(CO$32:CO$35&gt;CO33))</f>
        <v>0</v>
      </c>
      <c r="CT33" s="259">
        <f>IF(BR33&lt;&gt;"",SUMPRODUCT((CP$32:CP$35=CP33)*(CR$32:CR$35=CR33)*(CS$32:CS$35=CS33)*(V$32:V$35&gt;V33)),0)</f>
        <v>0</v>
      </c>
      <c r="CU33" s="259">
        <f>IF($BR33&lt;&gt;"",SUMPRODUCT((CP$32:CP$35=CP33)*(CR$32:CR$35=CR33)*(CS$32:CS$35=CS33)*(CT$32:CT$35=CT33)*(T$32:T$35&gt;T33)),0)</f>
        <v>0</v>
      </c>
      <c r="CV33" s="259">
        <f>SUMPRODUCT((CP$32:CP$35=CP33)*(CR$32:CR$35=CR33)*(CS$32:CS$35=CS33)*(CT$32:CT$35=CT33)*(CU$32:CU$35=CU33)*(CN$32:CN$35&gt;CN33))</f>
        <v>1</v>
      </c>
      <c r="CW33" s="254" t="str">
        <f>IF(AND(COUNTIF($BR$4:$BR$35,'Group Stages'!$G39)&gt;0,COUNTIF($BR$4:$BR$35,'Group Stages'!$M39)&gt;0),'Group Stages'!$G39,"")</f>
        <v/>
      </c>
      <c r="CX33" s="254" t="str">
        <f>IF($CW33&lt;&gt;"",'Group Stages'!$I39,"")</f>
        <v/>
      </c>
      <c r="CY33" s="254" t="str">
        <f>IF($CW33&lt;&gt;"",'Group Stages'!$K39,"")</f>
        <v/>
      </c>
      <c r="CZ33" s="254" t="str">
        <f>IF($CW33&lt;&gt;"",'Group Stages'!$M39,"")</f>
        <v/>
      </c>
      <c r="DA33" s="259" t="str">
        <f t="shared" si="8"/>
        <v/>
      </c>
      <c r="DB33" s="254" t="str">
        <f t="shared" si="43"/>
        <v/>
      </c>
      <c r="DC33" s="254">
        <v>2</v>
      </c>
      <c r="DD33" s="254" t="str">
        <f t="shared" si="46"/>
        <v>Manchester United</v>
      </c>
      <c r="DE33" s="254" t="str">
        <f>IF(AND(DD33="",DD32=""),DC33,IF(AND(DD32&lt;&gt;"",DD33=""),1,""))</f>
        <v/>
      </c>
      <c r="DF33" s="254" t="str">
        <f>VLOOKUP(DE33,$BO$32:$BP$35,2,FALSE)</f>
        <v/>
      </c>
      <c r="DG33" s="254">
        <v>2</v>
      </c>
      <c r="DH33" s="254" t="str">
        <f>IF(DD33="",DF33,DD33)</f>
        <v>Manchester United</v>
      </c>
      <c r="DI33" s="254">
        <v>30</v>
      </c>
    </row>
    <row r="34" spans="1:113" x14ac:dyDescent="0.2">
      <c r="A34" s="254">
        <f t="shared" si="9"/>
        <v>3</v>
      </c>
      <c r="B34" s="254" t="str">
        <f>'Team Setup'!B35</f>
        <v>Valencia</v>
      </c>
      <c r="C34" s="259">
        <f>SUMPRODUCT(('Group Stages'!$I$10:$I$105&lt;&gt;"")*('Group Stages'!$K$10:$K$105&lt;&gt;"")*('Group Stages'!$G$10:$G$105='Dummy Table'!$B34)*('Group Stages'!$I$10:$I$105&gt;'Group Stages'!$K$10:$K$105))</f>
        <v>2</v>
      </c>
      <c r="D34" s="259">
        <f>SUMPRODUCT(('Group Stages'!$I$10:$I$105&lt;&gt;"")*('Group Stages'!$K$10:$K$105&lt;&gt;"")*('Group Stages'!$G$10:$G$105='Dummy Table'!$B34)*('Group Stages'!$I$10:$I$105='Group Stages'!$K$10:$K$105))</f>
        <v>0</v>
      </c>
      <c r="E34" s="259">
        <f>SUMPRODUCT(('Group Stages'!$I$10:$I$105&lt;&gt;"")*('Group Stages'!$K$10:$K$105&lt;&gt;"")*('Group Stages'!$G$10:$G$105='Dummy Table'!$B34)*('Group Stages'!$I$10:$I$105&lt;'Group Stages'!$K$10:$K$105))</f>
        <v>1</v>
      </c>
      <c r="F34" s="259">
        <f>SUMIF('Group Stages'!$G$10:$G$105,'Dummy Table'!$B34,'Group Stages'!$I$10:$I$105)</f>
        <v>5</v>
      </c>
      <c r="G34" s="259">
        <f>SUMIF('Group Stages'!$G$10:$G$105,'Dummy Table'!$B34,'Group Stages'!$K$10:$K$105)</f>
        <v>4</v>
      </c>
      <c r="H34" s="259">
        <f t="shared" si="10"/>
        <v>1</v>
      </c>
      <c r="I34" s="259">
        <f t="shared" si="11"/>
        <v>6</v>
      </c>
      <c r="J34" s="254">
        <f>SUMPRODUCT(('Group Stages'!$I$10:$I$105&lt;&gt;"")*('Group Stages'!$K$10:$K$105&lt;&gt;"")*('Group Stages'!$M$10:$M$105='Dummy Table'!$B34)*('Group Stages'!$I$10:$I$105&lt;'Group Stages'!$K$10:$K$105))</f>
        <v>0</v>
      </c>
      <c r="K34" s="254">
        <f>SUMPRODUCT(('Group Stages'!$I$10:$I$105&lt;&gt;"")*('Group Stages'!$K$10:$K$105&lt;&gt;"")*('Group Stages'!$M$10:$M$105='Dummy Table'!$B34)*('Group Stages'!$I$10:$I$105='Group Stages'!$K$10:$K$105))</f>
        <v>2</v>
      </c>
      <c r="L34" s="254">
        <f>SUMPRODUCT(('Group Stages'!$I$10:$I$105&lt;&gt;"")*('Group Stages'!$K$10:$K$105&lt;&gt;"")*('Group Stages'!$M$10:$M$105='Dummy Table'!$B34)*('Group Stages'!$I$10:$I$105&gt;'Group Stages'!$K$10:$K$105))</f>
        <v>1</v>
      </c>
      <c r="M34" s="254">
        <f>SUMIF('Group Stages'!$M$10:$M$105,'Dummy Table'!$B34,'Group Stages'!$K$10:$K$105)</f>
        <v>1</v>
      </c>
      <c r="N34" s="254">
        <f>SUMIF('Group Stages'!$M$10:$M$105,'Dummy Table'!$B34,'Group Stages'!$I$10:$I$105)</f>
        <v>2</v>
      </c>
      <c r="O34" s="254">
        <f t="shared" si="12"/>
        <v>-1</v>
      </c>
      <c r="P34" s="254">
        <f t="shared" si="13"/>
        <v>2</v>
      </c>
      <c r="Q34" s="254">
        <f t="shared" si="14"/>
        <v>2</v>
      </c>
      <c r="R34" s="254">
        <f t="shared" si="15"/>
        <v>2</v>
      </c>
      <c r="S34" s="254">
        <f t="shared" si="16"/>
        <v>2</v>
      </c>
      <c r="T34" s="254">
        <f t="shared" si="17"/>
        <v>6</v>
      </c>
      <c r="U34" s="254">
        <f t="shared" si="18"/>
        <v>6</v>
      </c>
      <c r="V34" s="254">
        <f t="shared" si="19"/>
        <v>0</v>
      </c>
      <c r="W34" s="254">
        <f t="shared" si="20"/>
        <v>8</v>
      </c>
      <c r="X34" s="259">
        <f>IF('Team Setup'!F35&lt;&gt;"",'Team Setup'!F35,DI34)</f>
        <v>36000</v>
      </c>
      <c r="Y34" s="259">
        <f>RANK(W34,W$32:W$35)</f>
        <v>3</v>
      </c>
      <c r="Z34" s="259">
        <f>SUMPRODUCT((W$32:W$35=W34)*(V$32:V$35&gt;V34))</f>
        <v>0</v>
      </c>
      <c r="AA34" s="259">
        <f>SUMPRODUCT((Y$32:Y$35=Y34)*(Z$32:Z$35=Z34)*(T$32:T$35&gt;T34))</f>
        <v>0</v>
      </c>
      <c r="AB34" s="259">
        <f>SUMPRODUCT((Y$32:Y$35=Y34)*(Z$32:Z$35=Z34)*(T$32:T$35=T34)*(X$32:X$35&gt;X34))</f>
        <v>0</v>
      </c>
      <c r="AC34" s="254">
        <v>3</v>
      </c>
      <c r="AD34" s="254" t="str">
        <f>VLOOKUP(AC34,$A$32:$B$35,2,FALSE)</f>
        <v>Valencia</v>
      </c>
      <c r="AE34" s="254">
        <f>VLOOKUP($AD34,$B$32:$W$35,22,FALSE)</f>
        <v>8</v>
      </c>
      <c r="AF34" s="254" t="str">
        <f>IF(AE34=AE33,AD34,"")</f>
        <v/>
      </c>
      <c r="AG34" s="259">
        <f>SUMPRODUCT(($BK$4:$BK$99='Dummy Table'!$AF34)*($BL$4:$BL$99&gt;$BM$4:$BM$99))</f>
        <v>0</v>
      </c>
      <c r="AH34" s="259">
        <f>SUMPRODUCT(($BK$4:$BK$99='Dummy Table'!$AF34)*($BL$4:$BL$99=$BM$4:$BM$99))</f>
        <v>90</v>
      </c>
      <c r="AI34" s="259">
        <f>SUMPRODUCT(($BK$4:$BK$99='Dummy Table'!$AF34)*($BL$4:$BL$99&lt;$BM$4:$BM$99))</f>
        <v>0</v>
      </c>
      <c r="AJ34" s="259">
        <f>SUMIF($BK$4:$BK$99,'Dummy Table'!$AF34,$BL$4:$BL$99)</f>
        <v>0</v>
      </c>
      <c r="AK34" s="259">
        <f>SUMIF($BK$4:$BK$99,'Dummy Table'!$AF34,$BM$4:$BM$99)</f>
        <v>0</v>
      </c>
      <c r="AL34" s="259">
        <f t="shared" si="21"/>
        <v>0</v>
      </c>
      <c r="AM34" s="259" t="str">
        <f t="shared" si="22"/>
        <v/>
      </c>
      <c r="AN34" s="259">
        <f>SUMPRODUCT(($BN$4:$BN$99='Dummy Table'!$AF34)*($BL$4:$BL$99&lt;$BM$4:$BM$99))</f>
        <v>0</v>
      </c>
      <c r="AO34" s="259">
        <f>SUMPRODUCT(($BN$4:$BN$99='Dummy Table'!$AF34)*($BL$4:$BL$99=$BM$4:$BM$99))</f>
        <v>90</v>
      </c>
      <c r="AP34" s="259">
        <f>SUMPRODUCT(($BN$4:$BN$99='Dummy Table'!$AF34)*($BL$4:$BL$99&gt;$BM$4:$BM$99))</f>
        <v>0</v>
      </c>
      <c r="AQ34" s="259">
        <f>SUMIF($BN$4:$BN$99,'Dummy Table'!$AF34,$BM$4:$BM$99)</f>
        <v>0</v>
      </c>
      <c r="AR34" s="259">
        <f>SUMIF($BN$4:$BN$99,'Dummy Table'!$AF34,$BL$4:$BL$99)</f>
        <v>0</v>
      </c>
      <c r="AS34" s="259">
        <f t="shared" si="23"/>
        <v>0</v>
      </c>
      <c r="AT34" s="259" t="str">
        <f t="shared" si="24"/>
        <v/>
      </c>
      <c r="AU34" s="259">
        <f t="shared" si="25"/>
        <v>0</v>
      </c>
      <c r="AV34" s="259">
        <f t="shared" si="26"/>
        <v>180</v>
      </c>
      <c r="AW34" s="259">
        <f t="shared" si="27"/>
        <v>0</v>
      </c>
      <c r="AX34" s="259">
        <f t="shared" si="28"/>
        <v>0</v>
      </c>
      <c r="AY34" s="259">
        <f t="shared" si="29"/>
        <v>0</v>
      </c>
      <c r="AZ34" s="259">
        <f t="shared" si="30"/>
        <v>0</v>
      </c>
      <c r="BA34" s="259">
        <f t="shared" si="44"/>
        <v>-1</v>
      </c>
      <c r="BB34" s="254" t="str">
        <f t="shared" si="31"/>
        <v/>
      </c>
      <c r="BC34" s="254" t="str">
        <f t="shared" si="32"/>
        <v/>
      </c>
      <c r="BD34" s="254" t="str">
        <f t="shared" si="33"/>
        <v/>
      </c>
      <c r="BE34" s="254">
        <f>RANK(BA34,BA$32:BA$35)</f>
        <v>1</v>
      </c>
      <c r="BF34" s="254">
        <f>SUMPRODUCT((BA$32:BA$35=BA34)*(AZ$32:AZ$35&gt;AZ34))</f>
        <v>0</v>
      </c>
      <c r="BG34" s="254">
        <f>SUMPRODUCT((BA$32:BA$35=BA34)*(BE$32:BE$35=BE34)*(AZ$32:AZ$35=AZ34)*(AQ$32:AQ$35&gt;AQ34))</f>
        <v>0</v>
      </c>
      <c r="BH34" s="254">
        <f>SUMPRODUCT((BA$32:BA$35=BA34)*(BE$32:BE$35=BE34)*(AZ$32:AZ$35=AZ34)*(AQ$32:AQ$35=AQ34)*(BB$32:BB$35&gt;BB34))</f>
        <v>0</v>
      </c>
      <c r="BI34" s="254">
        <f>SUMPRODUCT((BA$32:BA$35=BA34)*(BE$32:BE$35=BE34)*(AZ$32:AZ$35=AZ34)*(AQ$32:AQ$35=AQ34)*(BB$32:BB$35=BB34)*(BC$32:BC$35&gt;BC34))</f>
        <v>0</v>
      </c>
      <c r="BJ34" s="254">
        <f>SUMPRODUCT((BA$32:BA$35=BA34)*(BE$32:BE$35=BE34)*(AZ$32:AZ$35=AZ34)*(AQ$32:AQ$35=AQ34)*(BB$32:BB$35=BB34)*(BC$32:BC$35=BC34)*(BD$32:BD$35&gt;BD34))</f>
        <v>0</v>
      </c>
      <c r="BK34" s="254" t="str">
        <f>IF(AND(COUNTIF($AF$4:$AF$35,'Group Stages'!G40)&gt;0,COUNTIF($AF$4:$AF$35,'Group Stages'!M40)&gt;0,'Group Stages'!I40&lt;&gt;"",'Group Stages'!K40&lt;&gt;""),'Group Stages'!G40,"")</f>
        <v/>
      </c>
      <c r="BL34" s="254" t="str">
        <f>IF($BK34&lt;&gt;"",'Group Stages'!I40,"")</f>
        <v/>
      </c>
      <c r="BM34" s="254" t="str">
        <f>IF($BK34&lt;&gt;"",'Group Stages'!K40,"")</f>
        <v/>
      </c>
      <c r="BN34" s="254" t="str">
        <f>IF($BK34&lt;&gt;"",'Group Stages'!M40,"")</f>
        <v/>
      </c>
      <c r="BO34" s="254" t="str">
        <f t="shared" si="2"/>
        <v/>
      </c>
      <c r="BP34" s="254" t="str">
        <f t="shared" si="34"/>
        <v/>
      </c>
      <c r="BQ34" s="254">
        <f>VLOOKUP($AD34,$B$32:$W$35,22,FALSE)</f>
        <v>8</v>
      </c>
      <c r="BR34" s="254" t="str">
        <f>IF(AND(BQ34&lt;&gt;BQ33,BQ34=BQ35),AD34,"")</f>
        <v/>
      </c>
      <c r="BS34" s="261">
        <f>SUMPRODUCT(($CW$4:$CW$99='Dummy Table'!$BR34)*($CX$4:$CX$99&gt;$CY$4:$CY$99))</f>
        <v>0</v>
      </c>
      <c r="BT34" s="261">
        <f>SUMPRODUCT(($CW$4:$CW$99='Dummy Table'!$BR34)*($CX$4:$CX$99=$CY$4:$CY$99))</f>
        <v>94</v>
      </c>
      <c r="BU34" s="261">
        <f>SUMPRODUCT(($CW$4:$CW$99='Dummy Table'!$BR34)*($CX$4:$CX$99&lt;$CY$4:$CY$99))</f>
        <v>0</v>
      </c>
      <c r="BV34" s="261">
        <f>SUMIF($CW$4:$CW$99,'Dummy Table'!$BR34,$CX$4:$CX$99)</f>
        <v>0</v>
      </c>
      <c r="BW34" s="261">
        <f>SUMIF($CW$4:$CW$99,'Dummy Table'!$BR34,$CY$4:$CY$99)</f>
        <v>0</v>
      </c>
      <c r="BX34" s="261">
        <f t="shared" si="35"/>
        <v>0</v>
      </c>
      <c r="BY34" s="261" t="str">
        <f t="shared" si="36"/>
        <v/>
      </c>
      <c r="BZ34" s="261">
        <f>SUMPRODUCT(($CZ$4:$CZ$99='Dummy Table'!$BR34)*($CX$4:$CX$99&lt;$CY$4:$CY$99))</f>
        <v>0</v>
      </c>
      <c r="CA34" s="261">
        <f>SUMPRODUCT(($CZ$4:$CZ$99='Dummy Table'!$BR34)*($CX$4:$CX$99=$CY$4:$CY$99))</f>
        <v>94</v>
      </c>
      <c r="CB34" s="261">
        <f>SUMPRODUCT(($CZ$4:$CZ$99='Dummy Table'!$BR34)*($CX$4:$CX$99&gt;$CY$4:$CY$99))</f>
        <v>0</v>
      </c>
      <c r="CC34" s="261">
        <f>SUMIF($CZ$4:$CZ$99,'Dummy Table'!$BR34,$CY$4:$CY$99)</f>
        <v>0</v>
      </c>
      <c r="CD34" s="261">
        <f>SUMIF($CZ$4:$CZ$99,'Dummy Table'!$BR34,$CX$4:$CX$99)</f>
        <v>0</v>
      </c>
      <c r="CE34" s="261">
        <f t="shared" si="37"/>
        <v>0</v>
      </c>
      <c r="CF34" s="261" t="str">
        <f t="shared" si="38"/>
        <v/>
      </c>
      <c r="CG34" s="261">
        <f t="shared" si="39"/>
        <v>0</v>
      </c>
      <c r="CH34" s="261">
        <f t="shared" si="3"/>
        <v>188</v>
      </c>
      <c r="CI34" s="261">
        <f t="shared" si="4"/>
        <v>0</v>
      </c>
      <c r="CJ34" s="261">
        <f t="shared" si="5"/>
        <v>0</v>
      </c>
      <c r="CK34" s="261">
        <f t="shared" si="6"/>
        <v>0</v>
      </c>
      <c r="CL34" s="261">
        <f t="shared" si="7"/>
        <v>0</v>
      </c>
      <c r="CM34" s="261">
        <f t="shared" si="45"/>
        <v>-1</v>
      </c>
      <c r="CN34" s="259">
        <f t="shared" si="40"/>
        <v>36000</v>
      </c>
      <c r="CO34" s="259">
        <f>SUMIF($CZ$4:$CZ$99,'Dummy Table'!$BR34,$CY$4:$CY$99)*2</f>
        <v>0</v>
      </c>
      <c r="CP34" s="259">
        <f>RANK(CM34,CM$32:CM$35)</f>
        <v>1</v>
      </c>
      <c r="CR34" s="259">
        <f>SUMPRODUCT((CM$32:CM$35=CM34)*(CL$32:CL$35&gt;CL34))</f>
        <v>0</v>
      </c>
      <c r="CS34" s="259">
        <f>SUMPRODUCT((CP$32:CP$35=CP34)*(CR$32:CR$35=CR34)*(CO$32:CO$35&gt;CO34))</f>
        <v>0</v>
      </c>
      <c r="CT34" s="259">
        <f>IF(BR34&lt;&gt;"",SUMPRODUCT((CP$32:CP$35=CP34)*(CR$32:CR$35=CR34)*(CS$32:CS$35=CS34)*(V$32:V$35&gt;V34)),0)</f>
        <v>0</v>
      </c>
      <c r="CU34" s="259">
        <f>IF($BR34&lt;&gt;"",SUMPRODUCT((CP$32:CP$35=CP34)*(CR$32:CR$35=CR34)*(CS$32:CS$35=CS34)*(CT$32:CT$35=CT34)*(T$32:T$35&gt;T34)),0)</f>
        <v>0</v>
      </c>
      <c r="CV34" s="259">
        <f>SUMPRODUCT((CP$32:CP$35=CP34)*(CR$32:CR$35=CR34)*(CS$32:CS$35=CS34)*(CT$32:CT$35=CT34)*(CU$32:CU$35=CU34)*(CN$32:CN$35&gt;CN34))</f>
        <v>2</v>
      </c>
      <c r="CW34" s="254" t="str">
        <f>IF(AND(COUNTIF($BR$4:$BR$35,'Group Stages'!$G40)&gt;0,COUNTIF($BR$4:$BR$35,'Group Stages'!$M40)&gt;0),'Group Stages'!$G40,"")</f>
        <v/>
      </c>
      <c r="CX34" s="254" t="str">
        <f>IF($CW34&lt;&gt;"",'Group Stages'!$I40,"")</f>
        <v/>
      </c>
      <c r="CY34" s="254" t="str">
        <f>IF($CW34&lt;&gt;"",'Group Stages'!$K40,"")</f>
        <v/>
      </c>
      <c r="CZ34" s="254" t="str">
        <f>IF($CW34&lt;&gt;"",'Group Stages'!$M40,"")</f>
        <v/>
      </c>
      <c r="DA34" s="259" t="str">
        <f t="shared" si="8"/>
        <v/>
      </c>
      <c r="DB34" s="254" t="str">
        <f t="shared" si="43"/>
        <v/>
      </c>
      <c r="DC34" s="254">
        <v>3</v>
      </c>
      <c r="DD34" s="254" t="str">
        <f t="shared" si="46"/>
        <v>Valencia</v>
      </c>
      <c r="DE34" s="254" t="str">
        <f>IF(AND(DD34="",DD33="",DD32=""),DC34,IF(AND(DD32&lt;&gt;"",DD33="",DD34=""),2,IF(AND(DD32&lt;&gt;"",DD33&lt;&gt;"",DD34=""),1,"")))</f>
        <v/>
      </c>
      <c r="DF34" s="254" t="str">
        <f>VLOOKUP(DE34,$BO$32:$BP$35,2,FALSE)</f>
        <v/>
      </c>
      <c r="DG34" s="254">
        <v>3</v>
      </c>
      <c r="DH34" s="254" t="str">
        <f>IF(DB34&lt;&gt;"",IF(DA34&lt;DA35,DB34,DB35),IF(DF34&lt;&gt;"",DF34,DD34))</f>
        <v>Valencia</v>
      </c>
      <c r="DI34" s="254">
        <v>31</v>
      </c>
    </row>
    <row r="35" spans="1:113" x14ac:dyDescent="0.2">
      <c r="A35" s="254">
        <f t="shared" si="9"/>
        <v>4</v>
      </c>
      <c r="B35" s="254" t="str">
        <f>'Team Setup'!B36</f>
        <v>Young Boys</v>
      </c>
      <c r="C35" s="259">
        <f>SUMPRODUCT(('Group Stages'!$I$10:$I$105&lt;&gt;"")*('Group Stages'!$K$10:$K$105&lt;&gt;"")*('Group Stages'!$G$10:$G$105='Dummy Table'!$B35)*('Group Stages'!$I$10:$I$105&gt;'Group Stages'!$K$10:$K$105))</f>
        <v>1</v>
      </c>
      <c r="D35" s="259">
        <f>SUMPRODUCT(('Group Stages'!$I$10:$I$105&lt;&gt;"")*('Group Stages'!$K$10:$K$105&lt;&gt;"")*('Group Stages'!$G$10:$G$105='Dummy Table'!$B35)*('Group Stages'!$I$10:$I$105='Group Stages'!$K$10:$K$105))</f>
        <v>1</v>
      </c>
      <c r="E35" s="259">
        <f>SUMPRODUCT(('Group Stages'!$I$10:$I$105&lt;&gt;"")*('Group Stages'!$K$10:$K$105&lt;&gt;"")*('Group Stages'!$G$10:$G$105='Dummy Table'!$B35)*('Group Stages'!$I$10:$I$105&lt;'Group Stages'!$K$10:$K$105))</f>
        <v>1</v>
      </c>
      <c r="F35" s="259">
        <f>SUMIF('Group Stages'!$G$10:$G$105,'Dummy Table'!$B35,'Group Stages'!$I$10:$I$105)</f>
        <v>3</v>
      </c>
      <c r="G35" s="259">
        <f>SUMIF('Group Stages'!$G$10:$G$105,'Dummy Table'!$B35,'Group Stages'!$K$10:$K$105)</f>
        <v>5</v>
      </c>
      <c r="H35" s="259">
        <f t="shared" si="10"/>
        <v>-2</v>
      </c>
      <c r="I35" s="259">
        <f t="shared" si="11"/>
        <v>4</v>
      </c>
      <c r="J35" s="254">
        <f>SUMPRODUCT(('Group Stages'!$I$10:$I$105&lt;&gt;"")*('Group Stages'!$K$10:$K$105&lt;&gt;"")*('Group Stages'!$M$10:$M$105='Dummy Table'!$B35)*('Group Stages'!$I$10:$I$105&lt;'Group Stages'!$K$10:$K$105))</f>
        <v>0</v>
      </c>
      <c r="K35" s="254">
        <f>SUMPRODUCT(('Group Stages'!$I$10:$I$105&lt;&gt;"")*('Group Stages'!$K$10:$K$105&lt;&gt;"")*('Group Stages'!$M$10:$M$105='Dummy Table'!$B35)*('Group Stages'!$I$10:$I$105='Group Stages'!$K$10:$K$105))</f>
        <v>0</v>
      </c>
      <c r="L35" s="254">
        <f>SUMPRODUCT(('Group Stages'!$I$10:$I$105&lt;&gt;"")*('Group Stages'!$K$10:$K$105&lt;&gt;"")*('Group Stages'!$M$10:$M$105='Dummy Table'!$B35)*('Group Stages'!$I$10:$I$105&gt;'Group Stages'!$K$10:$K$105))</f>
        <v>3</v>
      </c>
      <c r="M35" s="254">
        <f>SUMIF('Group Stages'!$M$10:$M$105,'Dummy Table'!$B35,'Group Stages'!$K$10:$K$105)</f>
        <v>1</v>
      </c>
      <c r="N35" s="254">
        <f>SUMIF('Group Stages'!$M$10:$M$105,'Dummy Table'!$B35,'Group Stages'!$I$10:$I$105)</f>
        <v>7</v>
      </c>
      <c r="O35" s="254">
        <f t="shared" si="12"/>
        <v>-6</v>
      </c>
      <c r="P35" s="254">
        <f t="shared" si="13"/>
        <v>0</v>
      </c>
      <c r="Q35" s="254">
        <f t="shared" si="14"/>
        <v>1</v>
      </c>
      <c r="R35" s="254">
        <f t="shared" si="15"/>
        <v>1</v>
      </c>
      <c r="S35" s="254">
        <f t="shared" si="16"/>
        <v>4</v>
      </c>
      <c r="T35" s="254">
        <f t="shared" si="17"/>
        <v>4</v>
      </c>
      <c r="U35" s="254">
        <f t="shared" si="18"/>
        <v>12</v>
      </c>
      <c r="V35" s="254">
        <f t="shared" si="19"/>
        <v>-8</v>
      </c>
      <c r="W35" s="254">
        <f t="shared" si="20"/>
        <v>4</v>
      </c>
      <c r="X35" s="259">
        <f>IF('Team Setup'!F36&lt;&gt;"",'Team Setup'!F36,DI35)</f>
        <v>20500</v>
      </c>
      <c r="Y35" s="259">
        <f>RANK(W35,W$32:W$35)</f>
        <v>4</v>
      </c>
      <c r="Z35" s="259">
        <f>SUMPRODUCT((W$32:W$35=W35)*(V$32:V$35&gt;V35))</f>
        <v>0</v>
      </c>
      <c r="AA35" s="259">
        <f>SUMPRODUCT((Y$32:Y$35=Y35)*(Z$32:Z$35=Z35)*(T$32:T$35&gt;T35))</f>
        <v>0</v>
      </c>
      <c r="AB35" s="259">
        <f>SUMPRODUCT((Y$32:Y$35=Y35)*(Z$32:Z$35=Z35)*(T$32:T$35=T35)*(X$32:X$35&gt;X35))</f>
        <v>0</v>
      </c>
      <c r="AC35" s="254">
        <v>4</v>
      </c>
      <c r="AD35" s="254" t="str">
        <f>VLOOKUP(AC35,$A$32:$B$35,2,FALSE)</f>
        <v>Young Boys</v>
      </c>
      <c r="AE35" s="254">
        <f>VLOOKUP($AD35,$B$32:$W$35,22,FALSE)</f>
        <v>4</v>
      </c>
      <c r="AF35" s="254" t="str">
        <f>IF(AND(AE35=AE34,AE34=AE33),AD35,"")</f>
        <v/>
      </c>
      <c r="AG35" s="259">
        <f>SUMPRODUCT(($BK$4:$BK$99='Dummy Table'!$AF35)*($BL$4:$BL$99&gt;$BM$4:$BM$99))</f>
        <v>0</v>
      </c>
      <c r="AH35" s="259">
        <f>SUMPRODUCT(($BK$4:$BK$99='Dummy Table'!$AF35)*($BL$4:$BL$99=$BM$4:$BM$99))</f>
        <v>90</v>
      </c>
      <c r="AI35" s="259">
        <f>SUMPRODUCT(($BK$4:$BK$99='Dummy Table'!$AF35)*($BL$4:$BL$99&lt;$BM$4:$BM$99))</f>
        <v>0</v>
      </c>
      <c r="AJ35" s="259">
        <f>SUMIF($BK$4:$BK$99,'Dummy Table'!$AF35,$BL$4:$BL$99)</f>
        <v>0</v>
      </c>
      <c r="AK35" s="259">
        <f>SUMIF($BK$4:$BK$99,'Dummy Table'!$AF35,$BM$4:$BM$99)</f>
        <v>0</v>
      </c>
      <c r="AL35" s="259">
        <f t="shared" si="21"/>
        <v>0</v>
      </c>
      <c r="AM35" s="259" t="str">
        <f t="shared" si="22"/>
        <v/>
      </c>
      <c r="AN35" s="259">
        <f>SUMPRODUCT(($BN$4:$BN$99='Dummy Table'!$AF35)*($BL$4:$BL$99&lt;$BM$4:$BM$99))</f>
        <v>0</v>
      </c>
      <c r="AO35" s="259">
        <f>SUMPRODUCT(($BN$4:$BN$99='Dummy Table'!$AF35)*($BL$4:$BL$99=$BM$4:$BM$99))</f>
        <v>90</v>
      </c>
      <c r="AP35" s="259">
        <f>SUMPRODUCT(($BN$4:$BN$99='Dummy Table'!$AF35)*($BL$4:$BL$99&gt;$BM$4:$BM$99))</f>
        <v>0</v>
      </c>
      <c r="AQ35" s="259">
        <f>SUMIF($BN$4:$BN$99,'Dummy Table'!$AF35,$BM$4:$BM$99)</f>
        <v>0</v>
      </c>
      <c r="AR35" s="259">
        <f>SUMIF($BN$4:$BN$99,'Dummy Table'!$AF35,$BL$4:$BL$99)</f>
        <v>0</v>
      </c>
      <c r="AS35" s="259">
        <f t="shared" si="23"/>
        <v>0</v>
      </c>
      <c r="AT35" s="259" t="str">
        <f t="shared" si="24"/>
        <v/>
      </c>
      <c r="AU35" s="259">
        <f t="shared" si="25"/>
        <v>0</v>
      </c>
      <c r="AV35" s="259">
        <f t="shared" si="26"/>
        <v>180</v>
      </c>
      <c r="AW35" s="259">
        <f t="shared" si="27"/>
        <v>0</v>
      </c>
      <c r="AX35" s="259">
        <f t="shared" si="28"/>
        <v>0</v>
      </c>
      <c r="AY35" s="259">
        <f t="shared" si="29"/>
        <v>0</v>
      </c>
      <c r="AZ35" s="259">
        <f t="shared" si="30"/>
        <v>0</v>
      </c>
      <c r="BA35" s="259">
        <f t="shared" si="44"/>
        <v>-1</v>
      </c>
      <c r="BB35" s="254" t="str">
        <f t="shared" si="31"/>
        <v/>
      </c>
      <c r="BC35" s="254" t="str">
        <f t="shared" si="32"/>
        <v/>
      </c>
      <c r="BD35" s="254" t="str">
        <f t="shared" si="33"/>
        <v/>
      </c>
      <c r="BE35" s="254">
        <f>RANK(BA35,BA$32:BA$35)</f>
        <v>1</v>
      </c>
      <c r="BF35" s="254">
        <f>SUMPRODUCT((BA$32:BA$35=BA35)*(AZ$32:AZ$35&gt;AZ35))</f>
        <v>0</v>
      </c>
      <c r="BG35" s="254">
        <f>SUMPRODUCT((BA$32:BA$35=BA35)*(BE$32:BE$35=BE35)*(AZ$32:AZ$35=AZ35)*(AQ$32:AQ$35&gt;AQ35))</f>
        <v>0</v>
      </c>
      <c r="BH35" s="254">
        <f>SUMPRODUCT((BA$32:BA$35=BA35)*(BE$32:BE$35=BE35)*(AZ$32:AZ$35=AZ35)*(AQ$32:AQ$35=AQ35)*(BB$32:BB$35&gt;BB35))</f>
        <v>0</v>
      </c>
      <c r="BI35" s="254">
        <f>SUMPRODUCT((BA$32:BA$35=BA35)*(BE$32:BE$35=BE35)*(AZ$32:AZ$35=AZ35)*(AQ$32:AQ$35=AQ35)*(BB$32:BB$35=BB35)*(BC$32:BC$35&gt;BC35))</f>
        <v>0</v>
      </c>
      <c r="BJ35" s="254">
        <f>SUMPRODUCT((BA$32:BA$35=BA35)*(BE$32:BE$35=BE35)*(AZ$32:AZ$35=AZ35)*(AQ$32:AQ$35=AQ35)*(BB$32:BB$35=BB35)*(BC$32:BC$35=BC35)*(BD$32:BD$35&gt;BD35))</f>
        <v>0</v>
      </c>
      <c r="BK35" s="254" t="str">
        <f>IF(AND(COUNTIF($AF$4:$AF$35,'Group Stages'!G41)&gt;0,COUNTIF($AF$4:$AF$35,'Group Stages'!M41)&gt;0,'Group Stages'!I41&lt;&gt;"",'Group Stages'!K41&lt;&gt;""),'Group Stages'!G41,"")</f>
        <v/>
      </c>
      <c r="BL35" s="254" t="str">
        <f>IF($BK35&lt;&gt;"",'Group Stages'!I41,"")</f>
        <v/>
      </c>
      <c r="BM35" s="254" t="str">
        <f>IF($BK35&lt;&gt;"",'Group Stages'!K41,"")</f>
        <v/>
      </c>
      <c r="BN35" s="254" t="str">
        <f>IF($BK35&lt;&gt;"",'Group Stages'!M41,"")</f>
        <v/>
      </c>
      <c r="BO35" s="254" t="str">
        <f t="shared" si="2"/>
        <v/>
      </c>
      <c r="BP35" s="254" t="str">
        <f t="shared" si="34"/>
        <v/>
      </c>
      <c r="BQ35" s="254">
        <f>VLOOKUP($AD35,$B$32:$W$35,22,FALSE)</f>
        <v>4</v>
      </c>
      <c r="BR35" s="254" t="str">
        <f>IF(BR34&lt;&gt;"",AD35,"")</f>
        <v/>
      </c>
      <c r="BS35" s="261">
        <f>SUMPRODUCT(($CW$4:$CW$99='Dummy Table'!$BR35)*($CX$4:$CX$99&gt;$CY$4:$CY$99))</f>
        <v>0</v>
      </c>
      <c r="BT35" s="261">
        <f>SUMPRODUCT(($CW$4:$CW$99='Dummy Table'!$BR35)*($CX$4:$CX$99=$CY$4:$CY$99))</f>
        <v>94</v>
      </c>
      <c r="BU35" s="261">
        <f>SUMPRODUCT(($CW$4:$CW$99='Dummy Table'!$BR35)*($CX$4:$CX$99&lt;$CY$4:$CY$99))</f>
        <v>0</v>
      </c>
      <c r="BV35" s="261">
        <f>SUMIF($CW$4:$CW$99,'Dummy Table'!$BR35,$CX$4:$CX$99)</f>
        <v>0</v>
      </c>
      <c r="BW35" s="261">
        <f>SUMIF($CW$4:$CW$99,'Dummy Table'!$BR35,$CY$4:$CY$99)</f>
        <v>0</v>
      </c>
      <c r="BX35" s="261">
        <f t="shared" si="35"/>
        <v>0</v>
      </c>
      <c r="BY35" s="261" t="str">
        <f t="shared" si="36"/>
        <v/>
      </c>
      <c r="BZ35" s="261">
        <f>SUMPRODUCT(($CZ$4:$CZ$99='Dummy Table'!$BR35)*($CX$4:$CX$99&lt;$CY$4:$CY$99))</f>
        <v>0</v>
      </c>
      <c r="CA35" s="261">
        <f>SUMPRODUCT(($CZ$4:$CZ$99='Dummy Table'!$BR35)*($CX$4:$CX$99=$CY$4:$CY$99))</f>
        <v>94</v>
      </c>
      <c r="CB35" s="261">
        <f>SUMPRODUCT(($CZ$4:$CZ$99='Dummy Table'!$BR35)*($CX$4:$CX$99&gt;$CY$4:$CY$99))</f>
        <v>0</v>
      </c>
      <c r="CC35" s="261">
        <f>SUMIF($CZ$4:$CZ$99,'Dummy Table'!$BR35,$CY$4:$CY$99)</f>
        <v>0</v>
      </c>
      <c r="CD35" s="261">
        <f>SUMIF($CZ$4:$CZ$99,'Dummy Table'!$BR35,$CX$4:$CX$99)</f>
        <v>0</v>
      </c>
      <c r="CE35" s="261">
        <f t="shared" si="37"/>
        <v>0</v>
      </c>
      <c r="CF35" s="261" t="str">
        <f t="shared" si="38"/>
        <v/>
      </c>
      <c r="CG35" s="261">
        <f t="shared" si="39"/>
        <v>0</v>
      </c>
      <c r="CH35" s="261">
        <f t="shared" si="3"/>
        <v>188</v>
      </c>
      <c r="CI35" s="261">
        <f t="shared" si="4"/>
        <v>0</v>
      </c>
      <c r="CJ35" s="261">
        <f t="shared" si="5"/>
        <v>0</v>
      </c>
      <c r="CK35" s="261">
        <f t="shared" si="6"/>
        <v>0</v>
      </c>
      <c r="CL35" s="261">
        <f t="shared" si="7"/>
        <v>0</v>
      </c>
      <c r="CM35" s="261">
        <f t="shared" si="45"/>
        <v>-1</v>
      </c>
      <c r="CN35" s="259">
        <f t="shared" si="40"/>
        <v>20500</v>
      </c>
      <c r="CO35" s="259">
        <f>SUMIF($CZ$4:$CZ$99,'Dummy Table'!$BR35,$CY$4:$CY$99)*2</f>
        <v>0</v>
      </c>
      <c r="CP35" s="259">
        <f>RANK(CM35,CM$32:CM$35)</f>
        <v>1</v>
      </c>
      <c r="CR35" s="259">
        <f>SUMPRODUCT((CM$32:CM$35=CM35)*(CL$32:CL$35&gt;CL35))</f>
        <v>0</v>
      </c>
      <c r="CS35" s="259">
        <f>SUMPRODUCT((CP$32:CP$35=CP35)*(CR$32:CR$35=CR35)*(CO$32:CO$35&gt;CO35))</f>
        <v>0</v>
      </c>
      <c r="CT35" s="259">
        <f>IF(BR35&lt;&gt;"",SUMPRODUCT((CP$32:CP$35=CP35)*(CR$32:CR$35=CR35)*(CS$32:CS$35=CS35)*(V$32:V$35&gt;V35)),0)</f>
        <v>0</v>
      </c>
      <c r="CU35" s="259">
        <f>IF($BR35&lt;&gt;"",SUMPRODUCT((CP$32:CP$35=CP35)*(CR$32:CR$35=CR35)*(CS$32:CS$35=CS35)*(CT$32:CT$35=CT35)*(T$32:T$35&gt;T35)),0)</f>
        <v>0</v>
      </c>
      <c r="CV35" s="259">
        <f>SUMPRODUCT((CP$32:CP$35=CP35)*(CR$32:CR$35=CR35)*(CS$32:CS$35=CS35)*(CT$32:CT$35=CT35)*(CU$32:CU$35=CU35)*(CN$32:CN$35&gt;CN35))</f>
        <v>3</v>
      </c>
      <c r="CW35" s="254" t="str">
        <f>IF(AND(COUNTIF($BR$4:$BR$35,'Group Stages'!$G41)&gt;0,COUNTIF($BR$4:$BR$35,'Group Stages'!$M41)&gt;0),'Group Stages'!$G41,"")</f>
        <v/>
      </c>
      <c r="CX35" s="254" t="str">
        <f>IF($CW35&lt;&gt;"",'Group Stages'!$I41,"")</f>
        <v/>
      </c>
      <c r="CY35" s="254" t="str">
        <f>IF($CW35&lt;&gt;"",'Group Stages'!$K41,"")</f>
        <v/>
      </c>
      <c r="CZ35" s="254" t="str">
        <f>IF($CW35&lt;&gt;"",'Group Stages'!$M41,"")</f>
        <v/>
      </c>
      <c r="DA35" s="259" t="str">
        <f t="shared" si="8"/>
        <v/>
      </c>
      <c r="DB35" s="254" t="str">
        <f t="shared" si="43"/>
        <v/>
      </c>
      <c r="DC35" s="254">
        <v>4</v>
      </c>
      <c r="DD35" s="254" t="str">
        <f t="shared" si="46"/>
        <v>Young Boys</v>
      </c>
      <c r="DE35" s="254" t="str">
        <f>IF(AND(DD35="",DD34="",DD33="",DD32=""),4,IF(AND(DD35="",DD34="",DD33=""),3,IF(AND(DD33&lt;&gt;"",DD34="",DD35=""),2,IF(AND(DD33&lt;&gt;"",DD34&lt;&gt;"",DD35=""),1,""))))</f>
        <v/>
      </c>
      <c r="DF35" s="254" t="str">
        <f>VLOOKUP(DE35,$BO$32:$BP$35,2,FALSE)</f>
        <v/>
      </c>
      <c r="DG35" s="254">
        <v>4</v>
      </c>
      <c r="DH35" s="254" t="str">
        <f>IF(DB35&lt;&gt;"",IF(DA34&lt;DA35,DB35,DB34),IF(DF35&lt;&gt;"",DF35,DD35))</f>
        <v>Young Boys</v>
      </c>
      <c r="DI35" s="254">
        <v>32</v>
      </c>
    </row>
    <row r="36" spans="1:113" x14ac:dyDescent="0.2">
      <c r="AJ36" s="259" t="e">
        <f>#REF!</f>
        <v>#REF!</v>
      </c>
      <c r="BK36" s="254" t="str">
        <f>IF(AND(COUNTIF($AF$4:$AF$35,'Group Stages'!G42)&gt;0,COUNTIF($AF$4:$AF$35,'Group Stages'!M42)&gt;0,'Group Stages'!I42&lt;&gt;"",'Group Stages'!K42&lt;&gt;""),'Group Stages'!G42,"")</f>
        <v/>
      </c>
      <c r="BL36" s="254" t="str">
        <f>IF($BK36&lt;&gt;"",'Group Stages'!I42,"")</f>
        <v/>
      </c>
      <c r="BM36" s="254" t="str">
        <f>IF($BK36&lt;&gt;"",'Group Stages'!K42,"")</f>
        <v/>
      </c>
      <c r="BN36" s="254" t="str">
        <f>IF($BK36&lt;&gt;"",'Group Stages'!M42,"")</f>
        <v/>
      </c>
      <c r="CW36" s="254" t="str">
        <f>IF(AND(COUNTIF($BR$4:$BR$35,'Group Stages'!$G42)&gt;0,COUNTIF($BR$4:$BR$35,'Group Stages'!$M42)&gt;0),'Group Stages'!$G42,"")</f>
        <v/>
      </c>
      <c r="CX36" s="254" t="str">
        <f>IF($CW36&lt;&gt;"",'Group Stages'!$I42,"")</f>
        <v/>
      </c>
      <c r="CY36" s="254" t="str">
        <f>IF($CW36&lt;&gt;"",'Group Stages'!$K42,"")</f>
        <v/>
      </c>
      <c r="CZ36" s="254" t="str">
        <f>IF($CW36&lt;&gt;"",'Group Stages'!$M42,"")</f>
        <v/>
      </c>
    </row>
    <row r="37" spans="1:113" x14ac:dyDescent="0.2">
      <c r="BK37" s="254" t="str">
        <f>IF(AND(COUNTIF($AF$4:$AF$35,'Group Stages'!G43)&gt;0,COUNTIF($AF$4:$AF$35,'Group Stages'!M43)&gt;0,'Group Stages'!I43&lt;&gt;"",'Group Stages'!K43&lt;&gt;""),'Group Stages'!G43,"")</f>
        <v/>
      </c>
      <c r="BL37" s="254" t="str">
        <f>IF($BK37&lt;&gt;"",'Group Stages'!I43,"")</f>
        <v/>
      </c>
      <c r="BM37" s="254" t="str">
        <f>IF($BK37&lt;&gt;"",'Group Stages'!K43,"")</f>
        <v/>
      </c>
      <c r="BN37" s="254" t="str">
        <f>IF($BK37&lt;&gt;"",'Group Stages'!M43,"")</f>
        <v/>
      </c>
      <c r="CW37" s="254" t="str">
        <f>IF(AND(COUNTIF($BR$4:$BR$35,'Group Stages'!$G43)&gt;0,COUNTIF($BR$4:$BR$35,'Group Stages'!$M43)&gt;0),'Group Stages'!$G43,"")</f>
        <v/>
      </c>
      <c r="CX37" s="254" t="str">
        <f>IF($CW37&lt;&gt;"",'Group Stages'!$I43,"")</f>
        <v/>
      </c>
      <c r="CY37" s="254" t="str">
        <f>IF($CW37&lt;&gt;"",'Group Stages'!$K43,"")</f>
        <v/>
      </c>
      <c r="CZ37" s="254" t="str">
        <f>IF($CW37&lt;&gt;"",'Group Stages'!$M43,"")</f>
        <v/>
      </c>
    </row>
    <row r="38" spans="1:113" x14ac:dyDescent="0.2">
      <c r="BK38" s="254" t="str">
        <f>IF(AND(COUNTIF($AF$4:$AF$35,'Group Stages'!G44)&gt;0,COUNTIF($AF$4:$AF$35,'Group Stages'!M44)&gt;0,'Group Stages'!I44&lt;&gt;"",'Group Stages'!K44&lt;&gt;""),'Group Stages'!G44,"")</f>
        <v/>
      </c>
      <c r="BL38" s="254" t="str">
        <f>IF($BK38&lt;&gt;"",'Group Stages'!I44,"")</f>
        <v/>
      </c>
      <c r="BM38" s="254" t="str">
        <f>IF($BK38&lt;&gt;"",'Group Stages'!K44,"")</f>
        <v/>
      </c>
      <c r="BN38" s="254" t="str">
        <f>IF($BK38&lt;&gt;"",'Group Stages'!M44,"")</f>
        <v/>
      </c>
      <c r="CW38" s="254" t="str">
        <f>IF(AND(COUNTIF($BR$4:$BR$35,'Group Stages'!$G44)&gt;0,COUNTIF($BR$4:$BR$35,'Group Stages'!$M44)&gt;0),'Group Stages'!$G44,"")</f>
        <v/>
      </c>
      <c r="CX38" s="254" t="str">
        <f>IF($CW38&lt;&gt;"",'Group Stages'!$I44,"")</f>
        <v/>
      </c>
      <c r="CY38" s="254" t="str">
        <f>IF($CW38&lt;&gt;"",'Group Stages'!$K44,"")</f>
        <v/>
      </c>
      <c r="CZ38" s="254" t="str">
        <f>IF($CW38&lt;&gt;"",'Group Stages'!$M44,"")</f>
        <v/>
      </c>
    </row>
    <row r="39" spans="1:113" x14ac:dyDescent="0.2">
      <c r="BK39" s="254" t="str">
        <f>IF(AND(COUNTIF($AF$4:$AF$35,'Group Stages'!G45)&gt;0,COUNTIF($AF$4:$AF$35,'Group Stages'!M45)&gt;0,'Group Stages'!I45&lt;&gt;"",'Group Stages'!K45&lt;&gt;""),'Group Stages'!G45,"")</f>
        <v/>
      </c>
      <c r="BL39" s="254" t="str">
        <f>IF($BK39&lt;&gt;"",'Group Stages'!I45,"")</f>
        <v/>
      </c>
      <c r="BM39" s="254" t="str">
        <f>IF($BK39&lt;&gt;"",'Group Stages'!K45,"")</f>
        <v/>
      </c>
      <c r="BN39" s="254" t="str">
        <f>IF($BK39&lt;&gt;"",'Group Stages'!M45,"")</f>
        <v/>
      </c>
      <c r="CW39" s="254" t="str">
        <f>IF(AND(COUNTIF($BR$4:$BR$35,'Group Stages'!$G45)&gt;0,COUNTIF($BR$4:$BR$35,'Group Stages'!$M45)&gt;0),'Group Stages'!$G45,"")</f>
        <v/>
      </c>
      <c r="CX39" s="254" t="str">
        <f>IF($CW39&lt;&gt;"",'Group Stages'!$I45,"")</f>
        <v/>
      </c>
      <c r="CY39" s="254" t="str">
        <f>IF($CW39&lt;&gt;"",'Group Stages'!$K45,"")</f>
        <v/>
      </c>
      <c r="CZ39" s="254" t="str">
        <f>IF($CW39&lt;&gt;"",'Group Stages'!$M45,"")</f>
        <v/>
      </c>
    </row>
    <row r="40" spans="1:113" x14ac:dyDescent="0.2">
      <c r="BK40" s="254" t="str">
        <f>IF(AND(COUNTIF($AF$4:$AF$35,'Group Stages'!G46)&gt;0,COUNTIF($AF$4:$AF$35,'Group Stages'!M46)&gt;0,'Group Stages'!I46&lt;&gt;"",'Group Stages'!K46&lt;&gt;""),'Group Stages'!G46,"")</f>
        <v/>
      </c>
      <c r="BL40" s="254" t="str">
        <f>IF($BK40&lt;&gt;"",'Group Stages'!I46,"")</f>
        <v/>
      </c>
      <c r="BM40" s="254" t="str">
        <f>IF($BK40&lt;&gt;"",'Group Stages'!K46,"")</f>
        <v/>
      </c>
      <c r="BN40" s="254" t="str">
        <f>IF($BK40&lt;&gt;"",'Group Stages'!M46,"")</f>
        <v/>
      </c>
      <c r="CW40" s="254" t="str">
        <f>IF(AND(COUNTIF($BR$4:$BR$35,'Group Stages'!$G46)&gt;0,COUNTIF($BR$4:$BR$35,'Group Stages'!$M46)&gt;0),'Group Stages'!$G46,"")</f>
        <v/>
      </c>
      <c r="CX40" s="254" t="str">
        <f>IF($CW40&lt;&gt;"",'Group Stages'!$I46,"")</f>
        <v/>
      </c>
      <c r="CY40" s="254" t="str">
        <f>IF($CW40&lt;&gt;"",'Group Stages'!$K46,"")</f>
        <v/>
      </c>
      <c r="CZ40" s="254" t="str">
        <f>IF($CW40&lt;&gt;"",'Group Stages'!$M46,"")</f>
        <v/>
      </c>
    </row>
    <row r="41" spans="1:113" x14ac:dyDescent="0.2">
      <c r="BK41" s="254" t="str">
        <f>IF(AND(COUNTIF($AF$4:$AF$35,'Group Stages'!G47)&gt;0,COUNTIF($AF$4:$AF$35,'Group Stages'!M47)&gt;0,'Group Stages'!I47&lt;&gt;"",'Group Stages'!K47&lt;&gt;""),'Group Stages'!G47,"")</f>
        <v/>
      </c>
      <c r="BL41" s="254" t="str">
        <f>IF($BK41&lt;&gt;"",'Group Stages'!I47,"")</f>
        <v/>
      </c>
      <c r="BM41" s="254" t="str">
        <f>IF($BK41&lt;&gt;"",'Group Stages'!K47,"")</f>
        <v/>
      </c>
      <c r="BN41" s="254" t="str">
        <f>IF($BK41&lt;&gt;"",'Group Stages'!M47,"")</f>
        <v/>
      </c>
      <c r="CW41" s="254" t="str">
        <f>IF(AND(COUNTIF($BR$4:$BR$35,'Group Stages'!$G47)&gt;0,COUNTIF($BR$4:$BR$35,'Group Stages'!$M47)&gt;0),'Group Stages'!$G47,"")</f>
        <v/>
      </c>
      <c r="CX41" s="254" t="str">
        <f>IF($CW41&lt;&gt;"",'Group Stages'!$I47,"")</f>
        <v/>
      </c>
      <c r="CY41" s="254" t="str">
        <f>IF($CW41&lt;&gt;"",'Group Stages'!$K47,"")</f>
        <v/>
      </c>
      <c r="CZ41" s="254" t="str">
        <f>IF($CW41&lt;&gt;"",'Group Stages'!$M47,"")</f>
        <v/>
      </c>
    </row>
    <row r="42" spans="1:113" x14ac:dyDescent="0.2">
      <c r="BK42" s="254" t="str">
        <f>IF(AND(COUNTIF($AF$4:$AF$35,'Group Stages'!G48)&gt;0,COUNTIF($AF$4:$AF$35,'Group Stages'!M48)&gt;0,'Group Stages'!I48&lt;&gt;"",'Group Stages'!K48&lt;&gt;""),'Group Stages'!G48,"")</f>
        <v/>
      </c>
      <c r="BL42" s="254" t="str">
        <f>IF($BK42&lt;&gt;"",'Group Stages'!I48,"")</f>
        <v/>
      </c>
      <c r="BM42" s="254" t="str">
        <f>IF($BK42&lt;&gt;"",'Group Stages'!K48,"")</f>
        <v/>
      </c>
      <c r="BN42" s="254" t="str">
        <f>IF($BK42&lt;&gt;"",'Group Stages'!M48,"")</f>
        <v/>
      </c>
      <c r="CW42" s="254" t="str">
        <f>IF(AND(COUNTIF($BR$4:$BR$35,'Group Stages'!$G48)&gt;0,COUNTIF($BR$4:$BR$35,'Group Stages'!$M48)&gt;0),'Group Stages'!$G48,"")</f>
        <v/>
      </c>
      <c r="CX42" s="254" t="str">
        <f>IF($CW42&lt;&gt;"",'Group Stages'!$I48,"")</f>
        <v/>
      </c>
      <c r="CY42" s="254" t="str">
        <f>IF($CW42&lt;&gt;"",'Group Stages'!$K48,"")</f>
        <v/>
      </c>
      <c r="CZ42" s="254" t="str">
        <f>IF($CW42&lt;&gt;"",'Group Stages'!$M48,"")</f>
        <v/>
      </c>
    </row>
    <row r="43" spans="1:113" x14ac:dyDescent="0.2">
      <c r="BK43" s="254" t="str">
        <f>IF(AND(COUNTIF($AF$4:$AF$35,'Group Stages'!G49)&gt;0,COUNTIF($AF$4:$AF$35,'Group Stages'!M49)&gt;0,'Group Stages'!I49&lt;&gt;"",'Group Stages'!K49&lt;&gt;""),'Group Stages'!G49,"")</f>
        <v/>
      </c>
      <c r="BL43" s="254" t="str">
        <f>IF($BK43&lt;&gt;"",'Group Stages'!I49,"")</f>
        <v/>
      </c>
      <c r="BM43" s="254" t="str">
        <f>IF($BK43&lt;&gt;"",'Group Stages'!K49,"")</f>
        <v/>
      </c>
      <c r="BN43" s="254" t="str">
        <f>IF($BK43&lt;&gt;"",'Group Stages'!M49,"")</f>
        <v/>
      </c>
      <c r="CW43" s="254" t="str">
        <f>IF(AND(COUNTIF($BR$4:$BR$35,'Group Stages'!$G49)&gt;0,COUNTIF($BR$4:$BR$35,'Group Stages'!$M49)&gt;0),'Group Stages'!$G49,"")</f>
        <v/>
      </c>
      <c r="CX43" s="254" t="str">
        <f>IF($CW43&lt;&gt;"",'Group Stages'!$I49,"")</f>
        <v/>
      </c>
      <c r="CY43" s="254" t="str">
        <f>IF($CW43&lt;&gt;"",'Group Stages'!$K49,"")</f>
        <v/>
      </c>
      <c r="CZ43" s="254" t="str">
        <f>IF($CW43&lt;&gt;"",'Group Stages'!$M49,"")</f>
        <v/>
      </c>
    </row>
    <row r="44" spans="1:113" x14ac:dyDescent="0.2">
      <c r="BK44" s="254" t="str">
        <f>IF(AND(COUNTIF($AF$4:$AF$35,'Group Stages'!G50)&gt;0,COUNTIF($AF$4:$AF$35,'Group Stages'!M50)&gt;0,'Group Stages'!I50&lt;&gt;"",'Group Stages'!K50&lt;&gt;""),'Group Stages'!G50,"")</f>
        <v/>
      </c>
      <c r="BL44" s="254" t="str">
        <f>IF($BK44&lt;&gt;"",'Group Stages'!I50,"")</f>
        <v/>
      </c>
      <c r="BM44" s="254" t="str">
        <f>IF($BK44&lt;&gt;"",'Group Stages'!K50,"")</f>
        <v/>
      </c>
      <c r="BN44" s="254" t="str">
        <f>IF($BK44&lt;&gt;"",'Group Stages'!M50,"")</f>
        <v/>
      </c>
      <c r="CW44" s="254" t="str">
        <f>IF(AND(COUNTIF($BR$4:$BR$35,'Group Stages'!$G50)&gt;0,COUNTIF($BR$4:$BR$35,'Group Stages'!$M50)&gt;0),'Group Stages'!$G50,"")</f>
        <v/>
      </c>
      <c r="CX44" s="254" t="str">
        <f>IF($CW44&lt;&gt;"",'Group Stages'!$I50,"")</f>
        <v/>
      </c>
      <c r="CY44" s="254" t="str">
        <f>IF($CW44&lt;&gt;"",'Group Stages'!$K50,"")</f>
        <v/>
      </c>
      <c r="CZ44" s="254" t="str">
        <f>IF($CW44&lt;&gt;"",'Group Stages'!$M50,"")</f>
        <v/>
      </c>
    </row>
    <row r="45" spans="1:113" x14ac:dyDescent="0.2">
      <c r="BK45" s="254" t="str">
        <f>IF(AND(COUNTIF($AF$4:$AF$35,'Group Stages'!G51)&gt;0,COUNTIF($AF$4:$AF$35,'Group Stages'!M51)&gt;0,'Group Stages'!I51&lt;&gt;"",'Group Stages'!K51&lt;&gt;""),'Group Stages'!G51,"")</f>
        <v/>
      </c>
      <c r="BL45" s="254" t="str">
        <f>IF($BK45&lt;&gt;"",'Group Stages'!I51,"")</f>
        <v/>
      </c>
      <c r="BM45" s="254" t="str">
        <f>IF($BK45&lt;&gt;"",'Group Stages'!K51,"")</f>
        <v/>
      </c>
      <c r="BN45" s="254" t="str">
        <f>IF($BK45&lt;&gt;"",'Group Stages'!M51,"")</f>
        <v/>
      </c>
      <c r="CW45" s="254" t="str">
        <f>IF(AND(COUNTIF($BR$4:$BR$35,'Group Stages'!$G51)&gt;0,COUNTIF($BR$4:$BR$35,'Group Stages'!$M51)&gt;0),'Group Stages'!$G51,"")</f>
        <v/>
      </c>
      <c r="CX45" s="254" t="str">
        <f>IF($CW45&lt;&gt;"",'Group Stages'!$I51,"")</f>
        <v/>
      </c>
      <c r="CY45" s="254" t="str">
        <f>IF($CW45&lt;&gt;"",'Group Stages'!$K51,"")</f>
        <v/>
      </c>
      <c r="CZ45" s="254" t="str">
        <f>IF($CW45&lt;&gt;"",'Group Stages'!$M51,"")</f>
        <v/>
      </c>
    </row>
    <row r="46" spans="1:113" x14ac:dyDescent="0.2">
      <c r="BK46" s="254" t="str">
        <f>IF(AND(COUNTIF($AF$4:$AF$35,'Group Stages'!G52)&gt;0,COUNTIF($AF$4:$AF$35,'Group Stages'!M52)&gt;0,'Group Stages'!I52&lt;&gt;"",'Group Stages'!K52&lt;&gt;""),'Group Stages'!G52,"")</f>
        <v/>
      </c>
      <c r="BL46" s="254" t="str">
        <f>IF($BK46&lt;&gt;"",'Group Stages'!I52,"")</f>
        <v/>
      </c>
      <c r="BM46" s="254" t="str">
        <f>IF($BK46&lt;&gt;"",'Group Stages'!K52,"")</f>
        <v/>
      </c>
      <c r="BN46" s="254" t="str">
        <f>IF($BK46&lt;&gt;"",'Group Stages'!M52,"")</f>
        <v/>
      </c>
      <c r="CW46" s="254" t="str">
        <f>IF(AND(COUNTIF($BR$4:$BR$35,'Group Stages'!$G52)&gt;0,COUNTIF($BR$4:$BR$35,'Group Stages'!$M52)&gt;0),'Group Stages'!$G52,"")</f>
        <v/>
      </c>
      <c r="CX46" s="254" t="str">
        <f>IF($CW46&lt;&gt;"",'Group Stages'!$I52,"")</f>
        <v/>
      </c>
      <c r="CY46" s="254" t="str">
        <f>IF($CW46&lt;&gt;"",'Group Stages'!$K52,"")</f>
        <v/>
      </c>
      <c r="CZ46" s="254" t="str">
        <f>IF($CW46&lt;&gt;"",'Group Stages'!$M52,"")</f>
        <v/>
      </c>
    </row>
    <row r="47" spans="1:113" x14ac:dyDescent="0.2">
      <c r="BK47" s="254" t="str">
        <f>IF(AND(COUNTIF($AF$4:$AF$35,'Group Stages'!G53)&gt;0,COUNTIF($AF$4:$AF$35,'Group Stages'!M53)&gt;0,'Group Stages'!I53&lt;&gt;"",'Group Stages'!K53&lt;&gt;""),'Group Stages'!G53,"")</f>
        <v>Borussia Dortmund</v>
      </c>
      <c r="BL47" s="254">
        <f>IF($BK47&lt;&gt;"",'Group Stages'!I53,"")</f>
        <v>4</v>
      </c>
      <c r="BM47" s="254">
        <f>IF($BK47&lt;&gt;"",'Group Stages'!K53,"")</f>
        <v>0</v>
      </c>
      <c r="BN47" s="254" t="str">
        <f>IF($BK47&lt;&gt;"",'Group Stages'!M53,"")</f>
        <v>Atletico Madrid</v>
      </c>
      <c r="CW47" s="254" t="str">
        <f>IF(AND(COUNTIF($BR$4:$BR$35,'Group Stages'!$G53)&gt;0,COUNTIF($BR$4:$BR$35,'Group Stages'!$M53)&gt;0),'Group Stages'!$G53,"")</f>
        <v/>
      </c>
      <c r="CX47" s="254" t="str">
        <f>IF($CW47&lt;&gt;"",'Group Stages'!$I53,"")</f>
        <v/>
      </c>
      <c r="CY47" s="254" t="str">
        <f>IF($CW47&lt;&gt;"",'Group Stages'!$K53,"")</f>
        <v/>
      </c>
      <c r="CZ47" s="254" t="str">
        <f>IF($CW47&lt;&gt;"",'Group Stages'!$M53,"")</f>
        <v/>
      </c>
    </row>
    <row r="48" spans="1:113" x14ac:dyDescent="0.2">
      <c r="BK48" s="254" t="str">
        <f>IF(AND(COUNTIF($AF$4:$AF$35,'Group Stages'!G54)&gt;0,COUNTIF($AF$4:$AF$35,'Group Stages'!M54)&gt;0,'Group Stages'!I54&lt;&gt;"",'Group Stages'!K54&lt;&gt;""),'Group Stages'!G54,"")</f>
        <v/>
      </c>
      <c r="BL48" s="254" t="str">
        <f>IF($BK48&lt;&gt;"",'Group Stages'!I54,"")</f>
        <v/>
      </c>
      <c r="BM48" s="254" t="str">
        <f>IF($BK48&lt;&gt;"",'Group Stages'!K54,"")</f>
        <v/>
      </c>
      <c r="BN48" s="254" t="str">
        <f>IF($BK48&lt;&gt;"",'Group Stages'!M54,"")</f>
        <v/>
      </c>
      <c r="CW48" s="254" t="str">
        <f>IF(AND(COUNTIF($BR$4:$BR$35,'Group Stages'!$G54)&gt;0,COUNTIF($BR$4:$BR$35,'Group Stages'!$M54)&gt;0),'Group Stages'!$G54,"")</f>
        <v/>
      </c>
      <c r="CX48" s="254" t="str">
        <f>IF($CW48&lt;&gt;"",'Group Stages'!$I54,"")</f>
        <v/>
      </c>
      <c r="CY48" s="254" t="str">
        <f>IF($CW48&lt;&gt;"",'Group Stages'!$K54,"")</f>
        <v/>
      </c>
      <c r="CZ48" s="254" t="str">
        <f>IF($CW48&lt;&gt;"",'Group Stages'!$M54,"")</f>
        <v/>
      </c>
    </row>
    <row r="49" spans="63:104" x14ac:dyDescent="0.2">
      <c r="BK49" s="254" t="str">
        <f>IF(AND(COUNTIF($AF$4:$AF$35,'Group Stages'!G55)&gt;0,COUNTIF($AF$4:$AF$35,'Group Stages'!M55)&gt;0,'Group Stages'!I55&lt;&gt;"",'Group Stages'!K55&lt;&gt;""),'Group Stages'!G55,"")</f>
        <v/>
      </c>
      <c r="BL49" s="254" t="str">
        <f>IF($BK49&lt;&gt;"",'Group Stages'!I55,"")</f>
        <v/>
      </c>
      <c r="BM49" s="254" t="str">
        <f>IF($BK49&lt;&gt;"",'Group Stages'!K55,"")</f>
        <v/>
      </c>
      <c r="BN49" s="254" t="str">
        <f>IF($BK49&lt;&gt;"",'Group Stages'!M55,"")</f>
        <v/>
      </c>
      <c r="CW49" s="254" t="str">
        <f>IF(AND(COUNTIF($BR$4:$BR$35,'Group Stages'!$G55)&gt;0,COUNTIF($BR$4:$BR$35,'Group Stages'!$M55)&gt;0),'Group Stages'!$G55,"")</f>
        <v/>
      </c>
      <c r="CX49" s="254" t="str">
        <f>IF($CW49&lt;&gt;"",'Group Stages'!$I55,"")</f>
        <v/>
      </c>
      <c r="CY49" s="254" t="str">
        <f>IF($CW49&lt;&gt;"",'Group Stages'!$K55,"")</f>
        <v/>
      </c>
      <c r="CZ49" s="254" t="str">
        <f>IF($CW49&lt;&gt;"",'Group Stages'!$M55,"")</f>
        <v/>
      </c>
    </row>
    <row r="50" spans="63:104" x14ac:dyDescent="0.2">
      <c r="BK50" s="254" t="str">
        <f>IF(AND(COUNTIF($AF$4:$AF$35,'Group Stages'!G56)&gt;0,COUNTIF($AF$4:$AF$35,'Group Stages'!M56)&gt;0,'Group Stages'!I56&lt;&gt;"",'Group Stages'!K56&lt;&gt;""),'Group Stages'!G56,"")</f>
        <v/>
      </c>
      <c r="BL50" s="254" t="str">
        <f>IF($BK50&lt;&gt;"",'Group Stages'!I56,"")</f>
        <v/>
      </c>
      <c r="BM50" s="254" t="str">
        <f>IF($BK50&lt;&gt;"",'Group Stages'!K56,"")</f>
        <v/>
      </c>
      <c r="BN50" s="254" t="str">
        <f>IF($BK50&lt;&gt;"",'Group Stages'!M56,"")</f>
        <v/>
      </c>
      <c r="CW50" s="254" t="str">
        <f>IF(AND(COUNTIF($BR$4:$BR$35,'Group Stages'!$G56)&gt;0,COUNTIF($BR$4:$BR$35,'Group Stages'!$M56)&gt;0),'Group Stages'!$G56,"")</f>
        <v/>
      </c>
      <c r="CX50" s="254" t="str">
        <f>IF($CW50&lt;&gt;"",'Group Stages'!$I56,"")</f>
        <v/>
      </c>
      <c r="CY50" s="254" t="str">
        <f>IF($CW50&lt;&gt;"",'Group Stages'!$K56,"")</f>
        <v/>
      </c>
      <c r="CZ50" s="254" t="str">
        <f>IF($CW50&lt;&gt;"",'Group Stages'!$M56,"")</f>
        <v/>
      </c>
    </row>
    <row r="51" spans="63:104" x14ac:dyDescent="0.2">
      <c r="BK51" s="254" t="str">
        <f>IF(AND(COUNTIF($AF$4:$AF$35,'Group Stages'!G57)&gt;0,COUNTIF($AF$4:$AF$35,'Group Stages'!M57)&gt;0,'Group Stages'!I57&lt;&gt;"",'Group Stages'!K57&lt;&gt;""),'Group Stages'!G57,"")</f>
        <v/>
      </c>
      <c r="BL51" s="254" t="str">
        <f>IF($BK51&lt;&gt;"",'Group Stages'!I57,"")</f>
        <v/>
      </c>
      <c r="BM51" s="254" t="str">
        <f>IF($BK51&lt;&gt;"",'Group Stages'!K57,"")</f>
        <v/>
      </c>
      <c r="BN51" s="254" t="str">
        <f>IF($BK51&lt;&gt;"",'Group Stages'!M57,"")</f>
        <v/>
      </c>
      <c r="CW51" s="254" t="str">
        <f>IF(AND(COUNTIF($BR$4:$BR$35,'Group Stages'!$G57)&gt;0,COUNTIF($BR$4:$BR$35,'Group Stages'!$M57)&gt;0),'Group Stages'!$G57,"")</f>
        <v/>
      </c>
      <c r="CX51" s="254" t="str">
        <f>IF($CW51&lt;&gt;"",'Group Stages'!$I57,"")</f>
        <v/>
      </c>
      <c r="CY51" s="254" t="str">
        <f>IF($CW51&lt;&gt;"",'Group Stages'!$K57,"")</f>
        <v/>
      </c>
      <c r="CZ51" s="254" t="str">
        <f>IF($CW51&lt;&gt;"",'Group Stages'!$M57,"")</f>
        <v/>
      </c>
    </row>
    <row r="52" spans="63:104" x14ac:dyDescent="0.2">
      <c r="BK52" s="254" t="str">
        <f>IF(AND(COUNTIF($AF$4:$AF$35,'Group Stages'!G58)&gt;0,COUNTIF($AF$4:$AF$35,'Group Stages'!M58)&gt;0,'Group Stages'!I58&lt;&gt;"",'Group Stages'!K58&lt;&gt;""),'Group Stages'!G58,"")</f>
        <v/>
      </c>
      <c r="BL52" s="254" t="str">
        <f>IF($BK52&lt;&gt;"",'Group Stages'!I58,"")</f>
        <v/>
      </c>
      <c r="BM52" s="254" t="str">
        <f>IF($BK52&lt;&gt;"",'Group Stages'!K58,"")</f>
        <v/>
      </c>
      <c r="BN52" s="254" t="str">
        <f>IF($BK52&lt;&gt;"",'Group Stages'!M58,"")</f>
        <v/>
      </c>
      <c r="CW52" s="254" t="str">
        <f>IF(AND(COUNTIF($BR$4:$BR$35,'Group Stages'!$G58)&gt;0,COUNTIF($BR$4:$BR$35,'Group Stages'!$M58)&gt;0),'Group Stages'!$G58,"")</f>
        <v/>
      </c>
      <c r="CX52" s="254" t="str">
        <f>IF($CW52&lt;&gt;"",'Group Stages'!$I58,"")</f>
        <v/>
      </c>
      <c r="CY52" s="254" t="str">
        <f>IF($CW52&lt;&gt;"",'Group Stages'!$K58,"")</f>
        <v/>
      </c>
      <c r="CZ52" s="254" t="str">
        <f>IF($CW52&lt;&gt;"",'Group Stages'!$M58,"")</f>
        <v/>
      </c>
    </row>
    <row r="53" spans="63:104" x14ac:dyDescent="0.2">
      <c r="BK53" s="254" t="str">
        <f>IF(AND(COUNTIF($AF$4:$AF$35,'Group Stages'!G59)&gt;0,COUNTIF($AF$4:$AF$35,'Group Stages'!M59)&gt;0,'Group Stages'!I59&lt;&gt;"",'Group Stages'!K59&lt;&gt;""),'Group Stages'!G59,"")</f>
        <v/>
      </c>
      <c r="BL53" s="254" t="str">
        <f>IF($BK53&lt;&gt;"",'Group Stages'!I59,"")</f>
        <v/>
      </c>
      <c r="BM53" s="254" t="str">
        <f>IF($BK53&lt;&gt;"",'Group Stages'!K59,"")</f>
        <v/>
      </c>
      <c r="BN53" s="254" t="str">
        <f>IF($BK53&lt;&gt;"",'Group Stages'!M59,"")</f>
        <v/>
      </c>
      <c r="CW53" s="254" t="str">
        <f>IF(AND(COUNTIF($BR$4:$BR$35,'Group Stages'!$G59)&gt;0,COUNTIF($BR$4:$BR$35,'Group Stages'!$M59)&gt;0),'Group Stages'!$G59,"")</f>
        <v/>
      </c>
      <c r="CX53" s="254" t="str">
        <f>IF($CW53&lt;&gt;"",'Group Stages'!$I59,"")</f>
        <v/>
      </c>
      <c r="CY53" s="254" t="str">
        <f>IF($CW53&lt;&gt;"",'Group Stages'!$K59,"")</f>
        <v/>
      </c>
      <c r="CZ53" s="254" t="str">
        <f>IF($CW53&lt;&gt;"",'Group Stages'!$M59,"")</f>
        <v/>
      </c>
    </row>
    <row r="54" spans="63:104" x14ac:dyDescent="0.2">
      <c r="BK54" s="254" t="str">
        <f>IF(AND(COUNTIF($AF$4:$AF$35,'Group Stages'!G60)&gt;0,COUNTIF($AF$4:$AF$35,'Group Stages'!M60)&gt;0,'Group Stages'!I60&lt;&gt;"",'Group Stages'!K60&lt;&gt;""),'Group Stages'!G60,"")</f>
        <v>Atletico Madrid</v>
      </c>
      <c r="BL54" s="254">
        <f>IF($BK54&lt;&gt;"",'Group Stages'!I60,"")</f>
        <v>2</v>
      </c>
      <c r="BM54" s="254">
        <f>IF($BK54&lt;&gt;"",'Group Stages'!K60,"")</f>
        <v>0</v>
      </c>
      <c r="BN54" s="254" t="str">
        <f>IF($BK54&lt;&gt;"",'Group Stages'!M60,"")</f>
        <v>Borussia Dortmund</v>
      </c>
      <c r="CW54" s="254" t="str">
        <f>IF(AND(COUNTIF($BR$4:$BR$35,'Group Stages'!$G60)&gt;0,COUNTIF($BR$4:$BR$35,'Group Stages'!$M60)&gt;0),'Group Stages'!$G60,"")</f>
        <v/>
      </c>
      <c r="CX54" s="254" t="str">
        <f>IF($CW54&lt;&gt;"",'Group Stages'!$I60,"")</f>
        <v/>
      </c>
      <c r="CY54" s="254" t="str">
        <f>IF($CW54&lt;&gt;"",'Group Stages'!$K60,"")</f>
        <v/>
      </c>
      <c r="CZ54" s="254" t="str">
        <f>IF($CW54&lt;&gt;"",'Group Stages'!$M60,"")</f>
        <v/>
      </c>
    </row>
    <row r="55" spans="63:104" x14ac:dyDescent="0.2">
      <c r="BK55" s="254" t="str">
        <f>IF(AND(COUNTIF($AF$4:$AF$35,'Group Stages'!G61)&gt;0,COUNTIF($AF$4:$AF$35,'Group Stages'!M61)&gt;0,'Group Stages'!I61&lt;&gt;"",'Group Stages'!K61&lt;&gt;""),'Group Stages'!G61,"")</f>
        <v/>
      </c>
      <c r="BL55" s="254" t="str">
        <f>IF($BK55&lt;&gt;"",'Group Stages'!I61,"")</f>
        <v/>
      </c>
      <c r="BM55" s="254" t="str">
        <f>IF($BK55&lt;&gt;"",'Group Stages'!K61,"")</f>
        <v/>
      </c>
      <c r="BN55" s="254" t="str">
        <f>IF($BK55&lt;&gt;"",'Group Stages'!M61,"")</f>
        <v/>
      </c>
      <c r="CW55" s="254" t="str">
        <f>IF(AND(COUNTIF($BR$4:$BR$35,'Group Stages'!$G61)&gt;0,COUNTIF($BR$4:$BR$35,'Group Stages'!$M61)&gt;0),'Group Stages'!$G61,"")</f>
        <v/>
      </c>
      <c r="CX55" s="254" t="str">
        <f>IF($CW55&lt;&gt;"",'Group Stages'!$I61,"")</f>
        <v/>
      </c>
      <c r="CY55" s="254" t="str">
        <f>IF($CW55&lt;&gt;"",'Group Stages'!$K61,"")</f>
        <v/>
      </c>
      <c r="CZ55" s="254" t="str">
        <f>IF($CW55&lt;&gt;"",'Group Stages'!$M61,"")</f>
        <v/>
      </c>
    </row>
    <row r="56" spans="63:104" x14ac:dyDescent="0.2">
      <c r="BK56" s="254" t="str">
        <f>IF(AND(COUNTIF($AF$4:$AF$35,'Group Stages'!G62)&gt;0,COUNTIF($AF$4:$AF$35,'Group Stages'!M62)&gt;0,'Group Stages'!I62&lt;&gt;"",'Group Stages'!K62&lt;&gt;""),'Group Stages'!G62,"")</f>
        <v/>
      </c>
      <c r="BL56" s="254" t="str">
        <f>IF($BK56&lt;&gt;"",'Group Stages'!I62,"")</f>
        <v/>
      </c>
      <c r="BM56" s="254" t="str">
        <f>IF($BK56&lt;&gt;"",'Group Stages'!K62,"")</f>
        <v/>
      </c>
      <c r="BN56" s="254" t="str">
        <f>IF($BK56&lt;&gt;"",'Group Stages'!M62,"")</f>
        <v/>
      </c>
      <c r="CW56" s="254" t="str">
        <f>IF(AND(COUNTIF($BR$4:$BR$35,'Group Stages'!$G62)&gt;0,COUNTIF($BR$4:$BR$35,'Group Stages'!$M62)&gt;0),'Group Stages'!$G62,"")</f>
        <v/>
      </c>
      <c r="CX56" s="254" t="str">
        <f>IF($CW56&lt;&gt;"",'Group Stages'!$I62,"")</f>
        <v/>
      </c>
      <c r="CY56" s="254" t="str">
        <f>IF($CW56&lt;&gt;"",'Group Stages'!$K62,"")</f>
        <v/>
      </c>
      <c r="CZ56" s="254" t="str">
        <f>IF($CW56&lt;&gt;"",'Group Stages'!$M62,"")</f>
        <v/>
      </c>
    </row>
    <row r="57" spans="63:104" x14ac:dyDescent="0.2">
      <c r="BK57" s="254" t="str">
        <f>IF(AND(COUNTIF($AF$4:$AF$35,'Group Stages'!G63)&gt;0,COUNTIF($AF$4:$AF$35,'Group Stages'!M63)&gt;0,'Group Stages'!I63&lt;&gt;"",'Group Stages'!K63&lt;&gt;""),'Group Stages'!G63,"")</f>
        <v/>
      </c>
      <c r="BL57" s="254" t="str">
        <f>IF($BK57&lt;&gt;"",'Group Stages'!I63,"")</f>
        <v/>
      </c>
      <c r="BM57" s="254" t="str">
        <f>IF($BK57&lt;&gt;"",'Group Stages'!K63,"")</f>
        <v/>
      </c>
      <c r="BN57" s="254" t="str">
        <f>IF($BK57&lt;&gt;"",'Group Stages'!M63,"")</f>
        <v/>
      </c>
      <c r="CW57" s="254" t="str">
        <f>IF(AND(COUNTIF($BR$4:$BR$35,'Group Stages'!$G63)&gt;0,COUNTIF($BR$4:$BR$35,'Group Stages'!$M63)&gt;0),'Group Stages'!$G63,"")</f>
        <v/>
      </c>
      <c r="CX57" s="254" t="str">
        <f>IF($CW57&lt;&gt;"",'Group Stages'!$I63,"")</f>
        <v/>
      </c>
      <c r="CY57" s="254" t="str">
        <f>IF($CW57&lt;&gt;"",'Group Stages'!$K63,"")</f>
        <v/>
      </c>
      <c r="CZ57" s="254" t="str">
        <f>IF($CW57&lt;&gt;"",'Group Stages'!$M63,"")</f>
        <v/>
      </c>
    </row>
    <row r="58" spans="63:104" x14ac:dyDescent="0.2">
      <c r="BK58" s="254" t="str">
        <f>IF(AND(COUNTIF($AF$4:$AF$35,'Group Stages'!G64)&gt;0,COUNTIF($AF$4:$AF$35,'Group Stages'!M64)&gt;0,'Group Stages'!I64&lt;&gt;"",'Group Stages'!K64&lt;&gt;""),'Group Stages'!G64,"")</f>
        <v/>
      </c>
      <c r="BL58" s="254" t="str">
        <f>IF($BK58&lt;&gt;"",'Group Stages'!I64,"")</f>
        <v/>
      </c>
      <c r="BM58" s="254" t="str">
        <f>IF($BK58&lt;&gt;"",'Group Stages'!K64,"")</f>
        <v/>
      </c>
      <c r="BN58" s="254" t="str">
        <f>IF($BK58&lt;&gt;"",'Group Stages'!M64,"")</f>
        <v/>
      </c>
      <c r="CW58" s="254" t="str">
        <f>IF(AND(COUNTIF($BR$4:$BR$35,'Group Stages'!$G64)&gt;0,COUNTIF($BR$4:$BR$35,'Group Stages'!$M64)&gt;0),'Group Stages'!$G64,"")</f>
        <v/>
      </c>
      <c r="CX58" s="254" t="str">
        <f>IF($CW58&lt;&gt;"",'Group Stages'!$I64,"")</f>
        <v/>
      </c>
      <c r="CY58" s="254" t="str">
        <f>IF($CW58&lt;&gt;"",'Group Stages'!$K64,"")</f>
        <v/>
      </c>
      <c r="CZ58" s="254" t="str">
        <f>IF($CW58&lt;&gt;"",'Group Stages'!$M64,"")</f>
        <v/>
      </c>
    </row>
    <row r="59" spans="63:104" x14ac:dyDescent="0.2">
      <c r="BK59" s="254" t="str">
        <f>IF(AND(COUNTIF($AF$4:$AF$35,'Group Stages'!G65)&gt;0,COUNTIF($AF$4:$AF$35,'Group Stages'!M65)&gt;0,'Group Stages'!I65&lt;&gt;"",'Group Stages'!K65&lt;&gt;""),'Group Stages'!G65,"")</f>
        <v/>
      </c>
      <c r="BL59" s="254" t="str">
        <f>IF($BK59&lt;&gt;"",'Group Stages'!I65,"")</f>
        <v/>
      </c>
      <c r="BM59" s="254" t="str">
        <f>IF($BK59&lt;&gt;"",'Group Stages'!K65,"")</f>
        <v/>
      </c>
      <c r="BN59" s="254" t="str">
        <f>IF($BK59&lt;&gt;"",'Group Stages'!M65,"")</f>
        <v/>
      </c>
      <c r="CW59" s="254" t="str">
        <f>IF(AND(COUNTIF($BR$4:$BR$35,'Group Stages'!$G65)&gt;0,COUNTIF($BR$4:$BR$35,'Group Stages'!$M65)&gt;0),'Group Stages'!$G65,"")</f>
        <v/>
      </c>
      <c r="CX59" s="254" t="str">
        <f>IF($CW59&lt;&gt;"",'Group Stages'!$I65,"")</f>
        <v/>
      </c>
      <c r="CY59" s="254" t="str">
        <f>IF($CW59&lt;&gt;"",'Group Stages'!$K65,"")</f>
        <v/>
      </c>
      <c r="CZ59" s="254" t="str">
        <f>IF($CW59&lt;&gt;"",'Group Stages'!$M65,"")</f>
        <v/>
      </c>
    </row>
    <row r="60" spans="63:104" x14ac:dyDescent="0.2">
      <c r="BK60" s="254" t="str">
        <f>IF(AND(COUNTIF($AF$4:$AF$35,'Group Stages'!G66)&gt;0,COUNTIF($AF$4:$AF$35,'Group Stages'!M66)&gt;0,'Group Stages'!I66&lt;&gt;"",'Group Stages'!K66&lt;&gt;""),'Group Stages'!G66,"")</f>
        <v/>
      </c>
      <c r="BL60" s="254" t="str">
        <f>IF($BK60&lt;&gt;"",'Group Stages'!I66,"")</f>
        <v/>
      </c>
      <c r="BM60" s="254" t="str">
        <f>IF($BK60&lt;&gt;"",'Group Stages'!K66,"")</f>
        <v/>
      </c>
      <c r="BN60" s="254" t="str">
        <f>IF($BK60&lt;&gt;"",'Group Stages'!M66,"")</f>
        <v/>
      </c>
      <c r="CW60" s="254" t="str">
        <f>IF(AND(COUNTIF($BR$4:$BR$35,'Group Stages'!$G66)&gt;0,COUNTIF($BR$4:$BR$35,'Group Stages'!$M66)&gt;0),'Group Stages'!$G66,"")</f>
        <v/>
      </c>
      <c r="CX60" s="254" t="str">
        <f>IF($CW60&lt;&gt;"",'Group Stages'!$I66,"")</f>
        <v/>
      </c>
      <c r="CY60" s="254" t="str">
        <f>IF($CW60&lt;&gt;"",'Group Stages'!$K66,"")</f>
        <v/>
      </c>
      <c r="CZ60" s="254" t="str">
        <f>IF($CW60&lt;&gt;"",'Group Stages'!$M66,"")</f>
        <v/>
      </c>
    </row>
    <row r="61" spans="63:104" x14ac:dyDescent="0.2">
      <c r="BK61" s="254" t="str">
        <f>IF(AND(COUNTIF($AF$4:$AF$35,'Group Stages'!G67)&gt;0,COUNTIF($AF$4:$AF$35,'Group Stages'!M67)&gt;0,'Group Stages'!I67&lt;&gt;"",'Group Stages'!K67&lt;&gt;""),'Group Stages'!G67,"")</f>
        <v/>
      </c>
      <c r="BL61" s="254" t="str">
        <f>IF($BK61&lt;&gt;"",'Group Stages'!I67,"")</f>
        <v/>
      </c>
      <c r="BM61" s="254" t="str">
        <f>IF($BK61&lt;&gt;"",'Group Stages'!K67,"")</f>
        <v/>
      </c>
      <c r="BN61" s="254" t="str">
        <f>IF($BK61&lt;&gt;"",'Group Stages'!M67,"")</f>
        <v/>
      </c>
      <c r="CW61" s="254" t="str">
        <f>IF(AND(COUNTIF($BR$4:$BR$35,'Group Stages'!$G67)&gt;0,COUNTIF($BR$4:$BR$35,'Group Stages'!$M67)&gt;0),'Group Stages'!$G67,"")</f>
        <v/>
      </c>
      <c r="CX61" s="254" t="str">
        <f>IF($CW61&lt;&gt;"",'Group Stages'!$I67,"")</f>
        <v/>
      </c>
      <c r="CY61" s="254" t="str">
        <f>IF($CW61&lt;&gt;"",'Group Stages'!$K67,"")</f>
        <v/>
      </c>
      <c r="CZ61" s="254" t="str">
        <f>IF($CW61&lt;&gt;"",'Group Stages'!$M67,"")</f>
        <v/>
      </c>
    </row>
    <row r="62" spans="63:104" x14ac:dyDescent="0.2">
      <c r="BK62" s="254" t="str">
        <f>IF(AND(COUNTIF($AF$4:$AF$35,'Group Stages'!G68)&gt;0,COUNTIF($AF$4:$AF$35,'Group Stages'!M68)&gt;0,'Group Stages'!I68&lt;&gt;"",'Group Stages'!K68&lt;&gt;""),'Group Stages'!G68,"")</f>
        <v/>
      </c>
      <c r="BL62" s="254" t="str">
        <f>IF($BK62&lt;&gt;"",'Group Stages'!I68,"")</f>
        <v/>
      </c>
      <c r="BM62" s="254" t="str">
        <f>IF($BK62&lt;&gt;"",'Group Stages'!K68,"")</f>
        <v/>
      </c>
      <c r="BN62" s="254" t="str">
        <f>IF($BK62&lt;&gt;"",'Group Stages'!M68,"")</f>
        <v/>
      </c>
      <c r="CW62" s="254" t="str">
        <f>IF(AND(COUNTIF($BR$4:$BR$35,'Group Stages'!$G68)&gt;0,COUNTIF($BR$4:$BR$35,'Group Stages'!$M68)&gt;0),'Group Stages'!$G68,"")</f>
        <v/>
      </c>
      <c r="CX62" s="254" t="str">
        <f>IF($CW62&lt;&gt;"",'Group Stages'!$I68,"")</f>
        <v/>
      </c>
      <c r="CY62" s="254" t="str">
        <f>IF($CW62&lt;&gt;"",'Group Stages'!$K68,"")</f>
        <v/>
      </c>
      <c r="CZ62" s="254" t="str">
        <f>IF($CW62&lt;&gt;"",'Group Stages'!$M68,"")</f>
        <v/>
      </c>
    </row>
    <row r="63" spans="63:104" x14ac:dyDescent="0.2">
      <c r="BK63" s="254" t="str">
        <f>IF(AND(COUNTIF($AF$4:$AF$35,'Group Stages'!G69)&gt;0,COUNTIF($AF$4:$AF$35,'Group Stages'!M69)&gt;0,'Group Stages'!I69&lt;&gt;"",'Group Stages'!K69&lt;&gt;""),'Group Stages'!G69,"")</f>
        <v/>
      </c>
      <c r="BL63" s="254" t="str">
        <f>IF($BK63&lt;&gt;"",'Group Stages'!I69,"")</f>
        <v/>
      </c>
      <c r="BM63" s="254" t="str">
        <f>IF($BK63&lt;&gt;"",'Group Stages'!K69,"")</f>
        <v/>
      </c>
      <c r="BN63" s="254" t="str">
        <f>IF($BK63&lt;&gt;"",'Group Stages'!M69,"")</f>
        <v/>
      </c>
      <c r="CW63" s="254" t="str">
        <f>IF(AND(COUNTIF($BR$4:$BR$35,'Group Stages'!$G69)&gt;0,COUNTIF($BR$4:$BR$35,'Group Stages'!$M69)&gt;0),'Group Stages'!$G69,"")</f>
        <v/>
      </c>
      <c r="CX63" s="254" t="str">
        <f>IF($CW63&lt;&gt;"",'Group Stages'!$I69,"")</f>
        <v/>
      </c>
      <c r="CY63" s="254" t="str">
        <f>IF($CW63&lt;&gt;"",'Group Stages'!$K69,"")</f>
        <v/>
      </c>
      <c r="CZ63" s="254" t="str">
        <f>IF($CW63&lt;&gt;"",'Group Stages'!$M69,"")</f>
        <v/>
      </c>
    </row>
    <row r="64" spans="63:104" x14ac:dyDescent="0.2">
      <c r="BK64" s="254" t="str">
        <f>IF(AND(COUNTIF($AF$4:$AF$35,'Group Stages'!G70)&gt;0,COUNTIF($AF$4:$AF$35,'Group Stages'!M70)&gt;0,'Group Stages'!I70&lt;&gt;"",'Group Stages'!K70&lt;&gt;""),'Group Stages'!G70,"")</f>
        <v/>
      </c>
      <c r="BL64" s="254" t="str">
        <f>IF($BK64&lt;&gt;"",'Group Stages'!I70,"")</f>
        <v/>
      </c>
      <c r="BM64" s="254" t="str">
        <f>IF($BK64&lt;&gt;"",'Group Stages'!K70,"")</f>
        <v/>
      </c>
      <c r="BN64" s="254" t="str">
        <f>IF($BK64&lt;&gt;"",'Group Stages'!M70,"")</f>
        <v/>
      </c>
      <c r="CW64" s="254" t="str">
        <f>IF(AND(COUNTIF($BR$4:$BR$35,'Group Stages'!$G70)&gt;0,COUNTIF($BR$4:$BR$35,'Group Stages'!$M70)&gt;0),'Group Stages'!$G70,"")</f>
        <v/>
      </c>
      <c r="CX64" s="254" t="str">
        <f>IF($CW64&lt;&gt;"",'Group Stages'!$I70,"")</f>
        <v/>
      </c>
      <c r="CY64" s="254" t="str">
        <f>IF($CW64&lt;&gt;"",'Group Stages'!$K70,"")</f>
        <v/>
      </c>
      <c r="CZ64" s="254" t="str">
        <f>IF($CW64&lt;&gt;"",'Group Stages'!$M70,"")</f>
        <v/>
      </c>
    </row>
    <row r="65" spans="63:104" x14ac:dyDescent="0.2">
      <c r="BK65" s="254" t="str">
        <f>IF(AND(COUNTIF($AF$4:$AF$35,'Group Stages'!G71)&gt;0,COUNTIF($AF$4:$AF$35,'Group Stages'!M71)&gt;0,'Group Stages'!I71&lt;&gt;"",'Group Stages'!K71&lt;&gt;""),'Group Stages'!G71,"")</f>
        <v/>
      </c>
      <c r="BL65" s="254" t="str">
        <f>IF($BK65&lt;&gt;"",'Group Stages'!I71,"")</f>
        <v/>
      </c>
      <c r="BM65" s="254" t="str">
        <f>IF($BK65&lt;&gt;"",'Group Stages'!K71,"")</f>
        <v/>
      </c>
      <c r="BN65" s="254" t="str">
        <f>IF($BK65&lt;&gt;"",'Group Stages'!M71,"")</f>
        <v/>
      </c>
      <c r="CW65" s="254" t="str">
        <f>IF(AND(COUNTIF($BR$4:$BR$35,'Group Stages'!$G71)&gt;0,COUNTIF($BR$4:$BR$35,'Group Stages'!$M71)&gt;0),'Group Stages'!$G71,"")</f>
        <v/>
      </c>
      <c r="CX65" s="254" t="str">
        <f>IF($CW65&lt;&gt;"",'Group Stages'!$I71,"")</f>
        <v/>
      </c>
      <c r="CY65" s="254" t="str">
        <f>IF($CW65&lt;&gt;"",'Group Stages'!$K71,"")</f>
        <v/>
      </c>
      <c r="CZ65" s="254" t="str">
        <f>IF($CW65&lt;&gt;"",'Group Stages'!$M71,"")</f>
        <v/>
      </c>
    </row>
    <row r="66" spans="63:104" x14ac:dyDescent="0.2">
      <c r="BK66" s="254" t="str">
        <f>IF(AND(COUNTIF($AF$4:$AF$35,'Group Stages'!G72)&gt;0,COUNTIF($AF$4:$AF$35,'Group Stages'!M72)&gt;0,'Group Stages'!I72&lt;&gt;"",'Group Stages'!K72&lt;&gt;""),'Group Stages'!G72,"")</f>
        <v/>
      </c>
      <c r="BL66" s="254" t="str">
        <f>IF($BK66&lt;&gt;"",'Group Stages'!I72,"")</f>
        <v/>
      </c>
      <c r="BM66" s="254" t="str">
        <f>IF($BK66&lt;&gt;"",'Group Stages'!K72,"")</f>
        <v/>
      </c>
      <c r="BN66" s="254" t="str">
        <f>IF($BK66&lt;&gt;"",'Group Stages'!M72,"")</f>
        <v/>
      </c>
      <c r="CW66" s="254" t="str">
        <f>IF(AND(COUNTIF($BR$4:$BR$35,'Group Stages'!$G72)&gt;0,COUNTIF($BR$4:$BR$35,'Group Stages'!$M72)&gt;0),'Group Stages'!$G72,"")</f>
        <v/>
      </c>
      <c r="CX66" s="254" t="str">
        <f>IF($CW66&lt;&gt;"",'Group Stages'!$I72,"")</f>
        <v/>
      </c>
      <c r="CY66" s="254" t="str">
        <f>IF($CW66&lt;&gt;"",'Group Stages'!$K72,"")</f>
        <v/>
      </c>
      <c r="CZ66" s="254" t="str">
        <f>IF($CW66&lt;&gt;"",'Group Stages'!$M72,"")</f>
        <v/>
      </c>
    </row>
    <row r="67" spans="63:104" x14ac:dyDescent="0.2">
      <c r="BK67" s="254" t="str">
        <f>IF(AND(COUNTIF($AF$4:$AF$35,'Group Stages'!G73)&gt;0,COUNTIF($AF$4:$AF$35,'Group Stages'!M73)&gt;0,'Group Stages'!I73&lt;&gt;"",'Group Stages'!K73&lt;&gt;""),'Group Stages'!G73,"")</f>
        <v/>
      </c>
      <c r="BL67" s="254" t="str">
        <f>IF($BK67&lt;&gt;"",'Group Stages'!I73,"")</f>
        <v/>
      </c>
      <c r="BM67" s="254" t="str">
        <f>IF($BK67&lt;&gt;"",'Group Stages'!K73,"")</f>
        <v/>
      </c>
      <c r="BN67" s="254" t="str">
        <f>IF($BK67&lt;&gt;"",'Group Stages'!M73,"")</f>
        <v/>
      </c>
      <c r="CW67" s="254" t="str">
        <f>IF(AND(COUNTIF($BR$4:$BR$35,'Group Stages'!$G73)&gt;0,COUNTIF($BR$4:$BR$35,'Group Stages'!$M73)&gt;0),'Group Stages'!$G73,"")</f>
        <v/>
      </c>
      <c r="CX67" s="254" t="str">
        <f>IF($CW67&lt;&gt;"",'Group Stages'!$I73,"")</f>
        <v/>
      </c>
      <c r="CY67" s="254" t="str">
        <f>IF($CW67&lt;&gt;"",'Group Stages'!$K73,"")</f>
        <v/>
      </c>
      <c r="CZ67" s="254" t="str">
        <f>IF($CW67&lt;&gt;"",'Group Stages'!$M73,"")</f>
        <v/>
      </c>
    </row>
    <row r="68" spans="63:104" x14ac:dyDescent="0.2">
      <c r="BK68" s="254" t="str">
        <f>IF(AND(COUNTIF($AF$4:$AF$35,'Group Stages'!G74)&gt;0,COUNTIF($AF$4:$AF$35,'Group Stages'!M74)&gt;0,'Group Stages'!I74&lt;&gt;"",'Group Stages'!K74&lt;&gt;""),'Group Stages'!G74,"")</f>
        <v/>
      </c>
      <c r="BL68" s="254" t="str">
        <f>IF($BK68&lt;&gt;"",'Group Stages'!I74,"")</f>
        <v/>
      </c>
      <c r="BM68" s="254" t="str">
        <f>IF($BK68&lt;&gt;"",'Group Stages'!K74,"")</f>
        <v/>
      </c>
      <c r="BN68" s="254" t="str">
        <f>IF($BK68&lt;&gt;"",'Group Stages'!M74,"")</f>
        <v/>
      </c>
      <c r="CW68" s="254" t="str">
        <f>IF(AND(COUNTIF($BR$4:$BR$35,'Group Stages'!$G74)&gt;0,COUNTIF($BR$4:$BR$35,'Group Stages'!$M74)&gt;0),'Group Stages'!$G74,"")</f>
        <v/>
      </c>
      <c r="CX68" s="254" t="str">
        <f>IF($CW68&lt;&gt;"",'Group Stages'!$I74,"")</f>
        <v/>
      </c>
      <c r="CY68" s="254" t="str">
        <f>IF($CW68&lt;&gt;"",'Group Stages'!$K74,"")</f>
        <v/>
      </c>
      <c r="CZ68" s="254" t="str">
        <f>IF($CW68&lt;&gt;"",'Group Stages'!$M74,"")</f>
        <v/>
      </c>
    </row>
    <row r="69" spans="63:104" x14ac:dyDescent="0.2">
      <c r="BK69" s="254" t="str">
        <f>IF(AND(COUNTIF($AF$4:$AF$35,'Group Stages'!G75)&gt;0,COUNTIF($AF$4:$AF$35,'Group Stages'!M75)&gt;0,'Group Stages'!I75&lt;&gt;"",'Group Stages'!K75&lt;&gt;""),'Group Stages'!G75,"")</f>
        <v/>
      </c>
      <c r="BL69" s="254" t="str">
        <f>IF($BK69&lt;&gt;"",'Group Stages'!I75,"")</f>
        <v/>
      </c>
      <c r="BM69" s="254" t="str">
        <f>IF($BK69&lt;&gt;"",'Group Stages'!K75,"")</f>
        <v/>
      </c>
      <c r="BN69" s="254" t="str">
        <f>IF($BK69&lt;&gt;"",'Group Stages'!M75,"")</f>
        <v/>
      </c>
      <c r="CW69" s="254" t="str">
        <f>IF(AND(COUNTIF($BR$4:$BR$35,'Group Stages'!$G75)&gt;0,COUNTIF($BR$4:$BR$35,'Group Stages'!$M75)&gt;0),'Group Stages'!$G75,"")</f>
        <v>CSKA Moscow</v>
      </c>
      <c r="CX69" s="254">
        <f>IF($CW69&lt;&gt;"",'Group Stages'!$I75,"")</f>
        <v>1</v>
      </c>
      <c r="CY69" s="254">
        <f>IF($CW69&lt;&gt;"",'Group Stages'!$K75,"")</f>
        <v>2</v>
      </c>
      <c r="CZ69" s="254" t="str">
        <f>IF($CW69&lt;&gt;"",'Group Stages'!$M75,"")</f>
        <v>Plzen</v>
      </c>
    </row>
    <row r="70" spans="63:104" x14ac:dyDescent="0.2">
      <c r="BK70" s="254" t="str">
        <f>IF(AND(COUNTIF($AF$4:$AF$35,'Group Stages'!G76)&gt;0,COUNTIF($AF$4:$AF$35,'Group Stages'!M76)&gt;0,'Group Stages'!I76&lt;&gt;"",'Group Stages'!K76&lt;&gt;""),'Group Stages'!G76,"")</f>
        <v/>
      </c>
      <c r="BL70" s="254" t="str">
        <f>IF($BK70&lt;&gt;"",'Group Stages'!I76,"")</f>
        <v/>
      </c>
      <c r="BM70" s="254" t="str">
        <f>IF($BK70&lt;&gt;"",'Group Stages'!K76,"")</f>
        <v/>
      </c>
      <c r="BN70" s="254" t="str">
        <f>IF($BK70&lt;&gt;"",'Group Stages'!M76,"")</f>
        <v/>
      </c>
      <c r="CW70" s="254" t="str">
        <f>IF(AND(COUNTIF($BR$4:$BR$35,'Group Stages'!$G76)&gt;0,COUNTIF($BR$4:$BR$35,'Group Stages'!$M76)&gt;0),'Group Stages'!$G76,"")</f>
        <v/>
      </c>
      <c r="CX70" s="254" t="str">
        <f>IF($CW70&lt;&gt;"",'Group Stages'!$I76,"")</f>
        <v/>
      </c>
      <c r="CY70" s="254" t="str">
        <f>IF($CW70&lt;&gt;"",'Group Stages'!$K76,"")</f>
        <v/>
      </c>
      <c r="CZ70" s="254" t="str">
        <f>IF($CW70&lt;&gt;"",'Group Stages'!$M76,"")</f>
        <v/>
      </c>
    </row>
    <row r="71" spans="63:104" x14ac:dyDescent="0.2">
      <c r="BK71" s="254" t="str">
        <f>IF(AND(COUNTIF($AF$4:$AF$35,'Group Stages'!G77)&gt;0,COUNTIF($AF$4:$AF$35,'Group Stages'!M77)&gt;0,'Group Stages'!I77&lt;&gt;"",'Group Stages'!K77&lt;&gt;""),'Group Stages'!G77,"")</f>
        <v/>
      </c>
      <c r="BL71" s="254" t="str">
        <f>IF($BK71&lt;&gt;"",'Group Stages'!I77,"")</f>
        <v/>
      </c>
      <c r="BM71" s="254" t="str">
        <f>IF($BK71&lt;&gt;"",'Group Stages'!K77,"")</f>
        <v/>
      </c>
      <c r="BN71" s="254" t="str">
        <f>IF($BK71&lt;&gt;"",'Group Stages'!M77,"")</f>
        <v/>
      </c>
      <c r="CW71" s="254" t="str">
        <f>IF(AND(COUNTIF($BR$4:$BR$35,'Group Stages'!$G77)&gt;0,COUNTIF($BR$4:$BR$35,'Group Stages'!$M77)&gt;0),'Group Stages'!$G77,"")</f>
        <v/>
      </c>
      <c r="CX71" s="254" t="str">
        <f>IF($CW71&lt;&gt;"",'Group Stages'!$I77,"")</f>
        <v/>
      </c>
      <c r="CY71" s="254" t="str">
        <f>IF($CW71&lt;&gt;"",'Group Stages'!$K77,"")</f>
        <v/>
      </c>
      <c r="CZ71" s="254" t="str">
        <f>IF($CW71&lt;&gt;"",'Group Stages'!$M77,"")</f>
        <v/>
      </c>
    </row>
    <row r="72" spans="63:104" x14ac:dyDescent="0.2">
      <c r="BK72" s="254" t="str">
        <f>IF(AND(COUNTIF($AF$4:$AF$35,'Group Stages'!G78)&gt;0,COUNTIF($AF$4:$AF$35,'Group Stages'!M78)&gt;0,'Group Stages'!I78&lt;&gt;"",'Group Stages'!K78&lt;&gt;""),'Group Stages'!G78,"")</f>
        <v/>
      </c>
      <c r="BL72" s="254" t="str">
        <f>IF($BK72&lt;&gt;"",'Group Stages'!I78,"")</f>
        <v/>
      </c>
      <c r="BM72" s="254" t="str">
        <f>IF($BK72&lt;&gt;"",'Group Stages'!K78,"")</f>
        <v/>
      </c>
      <c r="BN72" s="254" t="str">
        <f>IF($BK72&lt;&gt;"",'Group Stages'!M78,"")</f>
        <v/>
      </c>
      <c r="CW72" s="254" t="str">
        <f>IF(AND(COUNTIF($BR$4:$BR$35,'Group Stages'!$G78)&gt;0,COUNTIF($BR$4:$BR$35,'Group Stages'!$M78)&gt;0),'Group Stages'!$G78,"")</f>
        <v/>
      </c>
      <c r="CX72" s="254" t="str">
        <f>IF($CW72&lt;&gt;"",'Group Stages'!$I78,"")</f>
        <v/>
      </c>
      <c r="CY72" s="254" t="str">
        <f>IF($CW72&lt;&gt;"",'Group Stages'!$K78,"")</f>
        <v/>
      </c>
      <c r="CZ72" s="254" t="str">
        <f>IF($CW72&lt;&gt;"",'Group Stages'!$M78,"")</f>
        <v/>
      </c>
    </row>
    <row r="73" spans="63:104" x14ac:dyDescent="0.2">
      <c r="BK73" s="254" t="str">
        <f>IF(AND(COUNTIF($AF$4:$AF$35,'Group Stages'!G79)&gt;0,COUNTIF($AF$4:$AF$35,'Group Stages'!M79)&gt;0,'Group Stages'!I79&lt;&gt;"",'Group Stages'!K79&lt;&gt;""),'Group Stages'!G79,"")</f>
        <v/>
      </c>
      <c r="BL73" s="254" t="str">
        <f>IF($BK73&lt;&gt;"",'Group Stages'!I79,"")</f>
        <v/>
      </c>
      <c r="BM73" s="254" t="str">
        <f>IF($BK73&lt;&gt;"",'Group Stages'!K79,"")</f>
        <v/>
      </c>
      <c r="BN73" s="254" t="str">
        <f>IF($BK73&lt;&gt;"",'Group Stages'!M79,"")</f>
        <v/>
      </c>
      <c r="CW73" s="254" t="str">
        <f>IF(AND(COUNTIF($BR$4:$BR$35,'Group Stages'!$G79)&gt;0,COUNTIF($BR$4:$BR$35,'Group Stages'!$M79)&gt;0),'Group Stages'!$G79,"")</f>
        <v/>
      </c>
      <c r="CX73" s="254" t="str">
        <f>IF($CW73&lt;&gt;"",'Group Stages'!$I79,"")</f>
        <v/>
      </c>
      <c r="CY73" s="254" t="str">
        <f>IF($CW73&lt;&gt;"",'Group Stages'!$K79,"")</f>
        <v/>
      </c>
      <c r="CZ73" s="254" t="str">
        <f>IF($CW73&lt;&gt;"",'Group Stages'!$M79,"")</f>
        <v/>
      </c>
    </row>
    <row r="74" spans="63:104" x14ac:dyDescent="0.2">
      <c r="BK74" s="254" t="str">
        <f>IF(AND(COUNTIF($AF$4:$AF$35,'Group Stages'!G80)&gt;0,COUNTIF($AF$4:$AF$35,'Group Stages'!M80)&gt;0,'Group Stages'!I80&lt;&gt;"",'Group Stages'!K80&lt;&gt;""),'Group Stages'!G80,"")</f>
        <v/>
      </c>
      <c r="BL74" s="254" t="str">
        <f>IF($BK74&lt;&gt;"",'Group Stages'!I80,"")</f>
        <v/>
      </c>
      <c r="BM74" s="254" t="str">
        <f>IF($BK74&lt;&gt;"",'Group Stages'!K80,"")</f>
        <v/>
      </c>
      <c r="BN74" s="254" t="str">
        <f>IF($BK74&lt;&gt;"",'Group Stages'!M80,"")</f>
        <v/>
      </c>
      <c r="CW74" s="254" t="str">
        <f>IF(AND(COUNTIF($BR$4:$BR$35,'Group Stages'!$G80)&gt;0,COUNTIF($BR$4:$BR$35,'Group Stages'!$M80)&gt;0),'Group Stages'!$G80,"")</f>
        <v/>
      </c>
      <c r="CX74" s="254" t="str">
        <f>IF($CW74&lt;&gt;"",'Group Stages'!$I80,"")</f>
        <v/>
      </c>
      <c r="CY74" s="254" t="str">
        <f>IF($CW74&lt;&gt;"",'Group Stages'!$K80,"")</f>
        <v/>
      </c>
      <c r="CZ74" s="254" t="str">
        <f>IF($CW74&lt;&gt;"",'Group Stages'!$M80,"")</f>
        <v/>
      </c>
    </row>
    <row r="75" spans="63:104" x14ac:dyDescent="0.2">
      <c r="BK75" s="254" t="str">
        <f>IF(AND(COUNTIF($AF$4:$AF$35,'Group Stages'!G81)&gt;0,COUNTIF($AF$4:$AF$35,'Group Stages'!M81)&gt;0,'Group Stages'!I81&lt;&gt;"",'Group Stages'!K81&lt;&gt;""),'Group Stages'!G81,"")</f>
        <v/>
      </c>
      <c r="BL75" s="254" t="str">
        <f>IF($BK75&lt;&gt;"",'Group Stages'!I81,"")</f>
        <v/>
      </c>
      <c r="BM75" s="254" t="str">
        <f>IF($BK75&lt;&gt;"",'Group Stages'!K81,"")</f>
        <v/>
      </c>
      <c r="BN75" s="254" t="str">
        <f>IF($BK75&lt;&gt;"",'Group Stages'!M81,"")</f>
        <v/>
      </c>
      <c r="CW75" s="254" t="str">
        <f>IF(AND(COUNTIF($BR$4:$BR$35,'Group Stages'!$G81)&gt;0,COUNTIF($BR$4:$BR$35,'Group Stages'!$M81)&gt;0),'Group Stages'!$G81,"")</f>
        <v/>
      </c>
      <c r="CX75" s="254" t="str">
        <f>IF($CW75&lt;&gt;"",'Group Stages'!$I81,"")</f>
        <v/>
      </c>
      <c r="CY75" s="254" t="str">
        <f>IF($CW75&lt;&gt;"",'Group Stages'!$K81,"")</f>
        <v/>
      </c>
      <c r="CZ75" s="254" t="str">
        <f>IF($CW75&lt;&gt;"",'Group Stages'!$M81,"")</f>
        <v/>
      </c>
    </row>
    <row r="76" spans="63:104" x14ac:dyDescent="0.2">
      <c r="BK76" s="254" t="str">
        <f>IF(AND(COUNTIF($AF$4:$AF$35,'Group Stages'!G82)&gt;0,COUNTIF($AF$4:$AF$35,'Group Stages'!M82)&gt;0,'Group Stages'!I82&lt;&gt;"",'Group Stages'!K82&lt;&gt;""),'Group Stages'!G82,"")</f>
        <v/>
      </c>
      <c r="BL76" s="254" t="str">
        <f>IF($BK76&lt;&gt;"",'Group Stages'!I82,"")</f>
        <v/>
      </c>
      <c r="BM76" s="254" t="str">
        <f>IF($BK76&lt;&gt;"",'Group Stages'!K82,"")</f>
        <v/>
      </c>
      <c r="BN76" s="254" t="str">
        <f>IF($BK76&lt;&gt;"",'Group Stages'!M82,"")</f>
        <v/>
      </c>
      <c r="CW76" s="254" t="str">
        <f>IF(AND(COUNTIF($BR$4:$BR$35,'Group Stages'!$G82)&gt;0,COUNTIF($BR$4:$BR$35,'Group Stages'!$M82)&gt;0),'Group Stages'!$G82,"")</f>
        <v/>
      </c>
      <c r="CX76" s="254" t="str">
        <f>IF($CW76&lt;&gt;"",'Group Stages'!$I82,"")</f>
        <v/>
      </c>
      <c r="CY76" s="254" t="str">
        <f>IF($CW76&lt;&gt;"",'Group Stages'!$K82,"")</f>
        <v/>
      </c>
      <c r="CZ76" s="254" t="str">
        <f>IF($CW76&lt;&gt;"",'Group Stages'!$M82,"")</f>
        <v/>
      </c>
    </row>
    <row r="77" spans="63:104" x14ac:dyDescent="0.2">
      <c r="BK77" s="254" t="str">
        <f>IF(AND(COUNTIF($AF$4:$AF$35,'Group Stages'!G83)&gt;0,COUNTIF($AF$4:$AF$35,'Group Stages'!M83)&gt;0,'Group Stages'!I83&lt;&gt;"",'Group Stages'!K83&lt;&gt;""),'Group Stages'!G83,"")</f>
        <v/>
      </c>
      <c r="BL77" s="254" t="str">
        <f>IF($BK77&lt;&gt;"",'Group Stages'!I83,"")</f>
        <v/>
      </c>
      <c r="BM77" s="254" t="str">
        <f>IF($BK77&lt;&gt;"",'Group Stages'!K83,"")</f>
        <v/>
      </c>
      <c r="BN77" s="254" t="str">
        <f>IF($BK77&lt;&gt;"",'Group Stages'!M83,"")</f>
        <v/>
      </c>
      <c r="CW77" s="254" t="str">
        <f>IF(AND(COUNTIF($BR$4:$BR$35,'Group Stages'!$G83)&gt;0,COUNTIF($BR$4:$BR$35,'Group Stages'!$M83)&gt;0),'Group Stages'!$G83,"")</f>
        <v/>
      </c>
      <c r="CX77" s="254" t="str">
        <f>IF($CW77&lt;&gt;"",'Group Stages'!$I83,"")</f>
        <v/>
      </c>
      <c r="CY77" s="254" t="str">
        <f>IF($CW77&lt;&gt;"",'Group Stages'!$K83,"")</f>
        <v/>
      </c>
      <c r="CZ77" s="254" t="str">
        <f>IF($CW77&lt;&gt;"",'Group Stages'!$M83,"")</f>
        <v/>
      </c>
    </row>
    <row r="78" spans="63:104" x14ac:dyDescent="0.2">
      <c r="BK78" s="254" t="str">
        <f>IF(AND(COUNTIF($AF$4:$AF$35,'Group Stages'!G84)&gt;0,COUNTIF($AF$4:$AF$35,'Group Stages'!M84)&gt;0,'Group Stages'!I84&lt;&gt;"",'Group Stages'!K84&lt;&gt;""),'Group Stages'!G84,"")</f>
        <v/>
      </c>
      <c r="BL78" s="254" t="str">
        <f>IF($BK78&lt;&gt;"",'Group Stages'!I84,"")</f>
        <v/>
      </c>
      <c r="BM78" s="254" t="str">
        <f>IF($BK78&lt;&gt;"",'Group Stages'!K84,"")</f>
        <v/>
      </c>
      <c r="BN78" s="254" t="str">
        <f>IF($BK78&lt;&gt;"",'Group Stages'!M84,"")</f>
        <v/>
      </c>
      <c r="CW78" s="254" t="str">
        <f>IF(AND(COUNTIF($BR$4:$BR$35,'Group Stages'!$G84)&gt;0,COUNTIF($BR$4:$BR$35,'Group Stages'!$M84)&gt;0),'Group Stages'!$G84,"")</f>
        <v/>
      </c>
      <c r="CX78" s="254" t="str">
        <f>IF($CW78&lt;&gt;"",'Group Stages'!$I84,"")</f>
        <v/>
      </c>
      <c r="CY78" s="254" t="str">
        <f>IF($CW78&lt;&gt;"",'Group Stages'!$K84,"")</f>
        <v/>
      </c>
      <c r="CZ78" s="254" t="str">
        <f>IF($CW78&lt;&gt;"",'Group Stages'!$M84,"")</f>
        <v/>
      </c>
    </row>
    <row r="79" spans="63:104" x14ac:dyDescent="0.2">
      <c r="BK79" s="254" t="str">
        <f>IF(AND(COUNTIF($AF$4:$AF$35,'Group Stages'!G85)&gt;0,COUNTIF($AF$4:$AF$35,'Group Stages'!M85)&gt;0,'Group Stages'!I85&lt;&gt;"",'Group Stages'!K85&lt;&gt;""),'Group Stages'!G85,"")</f>
        <v/>
      </c>
      <c r="BL79" s="254" t="str">
        <f>IF($BK79&lt;&gt;"",'Group Stages'!I85,"")</f>
        <v/>
      </c>
      <c r="BM79" s="254" t="str">
        <f>IF($BK79&lt;&gt;"",'Group Stages'!K85,"")</f>
        <v/>
      </c>
      <c r="BN79" s="254" t="str">
        <f>IF($BK79&lt;&gt;"",'Group Stages'!M85,"")</f>
        <v/>
      </c>
      <c r="CW79" s="254" t="str">
        <f>IF(AND(COUNTIF($BR$4:$BR$35,'Group Stages'!$G85)&gt;0,COUNTIF($BR$4:$BR$35,'Group Stages'!$M85)&gt;0),'Group Stages'!$G85,"")</f>
        <v/>
      </c>
      <c r="CX79" s="254" t="str">
        <f>IF($CW79&lt;&gt;"",'Group Stages'!$I85,"")</f>
        <v/>
      </c>
      <c r="CY79" s="254" t="str">
        <f>IF($CW79&lt;&gt;"",'Group Stages'!$K85,"")</f>
        <v/>
      </c>
      <c r="CZ79" s="254" t="str">
        <f>IF($CW79&lt;&gt;"",'Group Stages'!$M85,"")</f>
        <v/>
      </c>
    </row>
    <row r="80" spans="63:104" x14ac:dyDescent="0.2">
      <c r="BK80" s="254" t="str">
        <f>IF(AND(COUNTIF($AF$4:$AF$35,'Group Stages'!G86)&gt;0,COUNTIF($AF$4:$AF$35,'Group Stages'!M86)&gt;0,'Group Stages'!I86&lt;&gt;"",'Group Stages'!K86&lt;&gt;""),'Group Stages'!G86,"")</f>
        <v/>
      </c>
      <c r="BL80" s="254" t="str">
        <f>IF($BK80&lt;&gt;"",'Group Stages'!I86,"")</f>
        <v/>
      </c>
      <c r="BM80" s="254" t="str">
        <f>IF($BK80&lt;&gt;"",'Group Stages'!K86,"")</f>
        <v/>
      </c>
      <c r="BN80" s="254" t="str">
        <f>IF($BK80&lt;&gt;"",'Group Stages'!M86,"")</f>
        <v/>
      </c>
      <c r="CW80" s="254" t="str">
        <f>IF(AND(COUNTIF($BR$4:$BR$35,'Group Stages'!$G86)&gt;0,COUNTIF($BR$4:$BR$35,'Group Stages'!$M86)&gt;0),'Group Stages'!$G86,"")</f>
        <v/>
      </c>
      <c r="CX80" s="254" t="str">
        <f>IF($CW80&lt;&gt;"",'Group Stages'!$I86,"")</f>
        <v/>
      </c>
      <c r="CY80" s="254" t="str">
        <f>IF($CW80&lt;&gt;"",'Group Stages'!$K86,"")</f>
        <v/>
      </c>
      <c r="CZ80" s="254" t="str">
        <f>IF($CW80&lt;&gt;"",'Group Stages'!$M86,"")</f>
        <v/>
      </c>
    </row>
    <row r="81" spans="63:104" x14ac:dyDescent="0.2">
      <c r="BK81" s="254" t="str">
        <f>IF(AND(COUNTIF($AF$4:$AF$35,'Group Stages'!G87)&gt;0,COUNTIF($AF$4:$AF$35,'Group Stages'!M87)&gt;0,'Group Stages'!I87&lt;&gt;"",'Group Stages'!K87&lt;&gt;""),'Group Stages'!G87,"")</f>
        <v/>
      </c>
      <c r="BL81" s="254" t="str">
        <f>IF($BK81&lt;&gt;"",'Group Stages'!I87,"")</f>
        <v/>
      </c>
      <c r="BM81" s="254" t="str">
        <f>IF($BK81&lt;&gt;"",'Group Stages'!K87,"")</f>
        <v/>
      </c>
      <c r="BN81" s="254" t="str">
        <f>IF($BK81&lt;&gt;"",'Group Stages'!M87,"")</f>
        <v/>
      </c>
      <c r="CW81" s="254" t="str">
        <f>IF(AND(COUNTIF($BR$4:$BR$35,'Group Stages'!$G87)&gt;0,COUNTIF($BR$4:$BR$35,'Group Stages'!$M87)&gt;0),'Group Stages'!$G87,"")</f>
        <v/>
      </c>
      <c r="CX81" s="254" t="str">
        <f>IF($CW81&lt;&gt;"",'Group Stages'!$I87,"")</f>
        <v/>
      </c>
      <c r="CY81" s="254" t="str">
        <f>IF($CW81&lt;&gt;"",'Group Stages'!$K87,"")</f>
        <v/>
      </c>
      <c r="CZ81" s="254" t="str">
        <f>IF($CW81&lt;&gt;"",'Group Stages'!$M87,"")</f>
        <v/>
      </c>
    </row>
    <row r="82" spans="63:104" x14ac:dyDescent="0.2">
      <c r="BK82" s="254" t="str">
        <f>IF(AND(COUNTIF($AF$4:$AF$35,'Group Stages'!G88)&gt;0,COUNTIF($AF$4:$AF$35,'Group Stages'!M88)&gt;0,'Group Stages'!I88&lt;&gt;"",'Group Stages'!K88&lt;&gt;""),'Group Stages'!G88,"")</f>
        <v/>
      </c>
      <c r="BL82" s="254" t="str">
        <f>IF($BK82&lt;&gt;"",'Group Stages'!I88,"")</f>
        <v/>
      </c>
      <c r="BM82" s="254" t="str">
        <f>IF($BK82&lt;&gt;"",'Group Stages'!K88,"")</f>
        <v/>
      </c>
      <c r="BN82" s="254" t="str">
        <f>IF($BK82&lt;&gt;"",'Group Stages'!M88,"")</f>
        <v/>
      </c>
      <c r="CW82" s="254" t="str">
        <f>IF(AND(COUNTIF($BR$4:$BR$35,'Group Stages'!$G88)&gt;0,COUNTIF($BR$4:$BR$35,'Group Stages'!$M88)&gt;0),'Group Stages'!$G88,"")</f>
        <v/>
      </c>
      <c r="CX82" s="254" t="str">
        <f>IF($CW82&lt;&gt;"",'Group Stages'!$I88,"")</f>
        <v/>
      </c>
      <c r="CY82" s="254" t="str">
        <f>IF($CW82&lt;&gt;"",'Group Stages'!$K88,"")</f>
        <v/>
      </c>
      <c r="CZ82" s="254" t="str">
        <f>IF($CW82&lt;&gt;"",'Group Stages'!$M88,"")</f>
        <v/>
      </c>
    </row>
    <row r="83" spans="63:104" x14ac:dyDescent="0.2">
      <c r="BK83" s="254" t="str">
        <f>IF(AND(COUNTIF($AF$4:$AF$35,'Group Stages'!G89)&gt;0,COUNTIF($AF$4:$AF$35,'Group Stages'!M89)&gt;0,'Group Stages'!I89&lt;&gt;"",'Group Stages'!K89&lt;&gt;""),'Group Stages'!G89,"")</f>
        <v>Tottenham Hotspur</v>
      </c>
      <c r="BL83" s="254">
        <f>IF($BK83&lt;&gt;"",'Group Stages'!I89,"")</f>
        <v>1</v>
      </c>
      <c r="BM83" s="254">
        <f>IF($BK83&lt;&gt;"",'Group Stages'!K89,"")</f>
        <v>0</v>
      </c>
      <c r="BN83" s="254" t="str">
        <f>IF($BK83&lt;&gt;"",'Group Stages'!M89,"")</f>
        <v>Internazionale</v>
      </c>
      <c r="CW83" s="254" t="str">
        <f>IF(AND(COUNTIF($BR$4:$BR$35,'Group Stages'!$G89)&gt;0,COUNTIF($BR$4:$BR$35,'Group Stages'!$M89)&gt;0),'Group Stages'!$G89,"")</f>
        <v/>
      </c>
      <c r="CX83" s="254" t="str">
        <f>IF($CW83&lt;&gt;"",'Group Stages'!$I89,"")</f>
        <v/>
      </c>
      <c r="CY83" s="254" t="str">
        <f>IF($CW83&lt;&gt;"",'Group Stages'!$K89,"")</f>
        <v/>
      </c>
      <c r="CZ83" s="254" t="str">
        <f>IF($CW83&lt;&gt;"",'Group Stages'!$M89,"")</f>
        <v/>
      </c>
    </row>
    <row r="84" spans="63:104" x14ac:dyDescent="0.2">
      <c r="BK84" s="254" t="str">
        <f>IF(AND(COUNTIF($AF$4:$AF$35,'Group Stages'!G90)&gt;0,COUNTIF($AF$4:$AF$35,'Group Stages'!M90)&gt;0,'Group Stages'!I90&lt;&gt;"",'Group Stages'!K90&lt;&gt;""),'Group Stages'!G90,"")</f>
        <v/>
      </c>
      <c r="BL84" s="254" t="str">
        <f>IF($BK84&lt;&gt;"",'Group Stages'!I90,"")</f>
        <v/>
      </c>
      <c r="BM84" s="254" t="str">
        <f>IF($BK84&lt;&gt;"",'Group Stages'!K90,"")</f>
        <v/>
      </c>
      <c r="BN84" s="254" t="str">
        <f>IF($BK84&lt;&gt;"",'Group Stages'!M90,"")</f>
        <v/>
      </c>
      <c r="CW84" s="254" t="str">
        <f>IF(AND(COUNTIF($BR$4:$BR$35,'Group Stages'!$G90)&gt;0,COUNTIF($BR$4:$BR$35,'Group Stages'!$M90)&gt;0),'Group Stages'!$G90,"")</f>
        <v/>
      </c>
      <c r="CX84" s="254" t="str">
        <f>IF($CW84&lt;&gt;"",'Group Stages'!$I90,"")</f>
        <v/>
      </c>
      <c r="CY84" s="254" t="str">
        <f>IF($CW84&lt;&gt;"",'Group Stages'!$K90,"")</f>
        <v/>
      </c>
      <c r="CZ84" s="254" t="str">
        <f>IF($CW84&lt;&gt;"",'Group Stages'!$M90,"")</f>
        <v/>
      </c>
    </row>
    <row r="85" spans="63:104" x14ac:dyDescent="0.2">
      <c r="BK85" s="254" t="str">
        <f>IF(AND(COUNTIF($AF$4:$AF$35,'Group Stages'!G91)&gt;0,COUNTIF($AF$4:$AF$35,'Group Stages'!M91)&gt;0,'Group Stages'!I91&lt;&gt;"",'Group Stages'!K91&lt;&gt;""),'Group Stages'!G91,"")</f>
        <v/>
      </c>
      <c r="BL85" s="254" t="str">
        <f>IF($BK85&lt;&gt;"",'Group Stages'!I91,"")</f>
        <v/>
      </c>
      <c r="BM85" s="254" t="str">
        <f>IF($BK85&lt;&gt;"",'Group Stages'!K91,"")</f>
        <v/>
      </c>
      <c r="BN85" s="254" t="str">
        <f>IF($BK85&lt;&gt;"",'Group Stages'!M91,"")</f>
        <v/>
      </c>
      <c r="CW85" s="254" t="str">
        <f>IF(AND(COUNTIF($BR$4:$BR$35,'Group Stages'!$G91)&gt;0,COUNTIF($BR$4:$BR$35,'Group Stages'!$M91)&gt;0),'Group Stages'!$G91,"")</f>
        <v/>
      </c>
      <c r="CX85" s="254" t="str">
        <f>IF($CW85&lt;&gt;"",'Group Stages'!$I91,"")</f>
        <v/>
      </c>
      <c r="CY85" s="254" t="str">
        <f>IF($CW85&lt;&gt;"",'Group Stages'!$K91,"")</f>
        <v/>
      </c>
      <c r="CZ85" s="254" t="str">
        <f>IF($CW85&lt;&gt;"",'Group Stages'!$M91,"")</f>
        <v/>
      </c>
    </row>
    <row r="86" spans="63:104" x14ac:dyDescent="0.2">
      <c r="BK86" s="254" t="str">
        <f>IF(AND(COUNTIF($AF$4:$AF$35,'Group Stages'!G92)&gt;0,COUNTIF($AF$4:$AF$35,'Group Stages'!M92)&gt;0,'Group Stages'!I92&lt;&gt;"",'Group Stages'!K92&lt;&gt;""),'Group Stages'!G92,"")</f>
        <v/>
      </c>
      <c r="BL86" s="254" t="str">
        <f>IF($BK86&lt;&gt;"",'Group Stages'!I92,"")</f>
        <v/>
      </c>
      <c r="BM86" s="254" t="str">
        <f>IF($BK86&lt;&gt;"",'Group Stages'!K92,"")</f>
        <v/>
      </c>
      <c r="BN86" s="254" t="str">
        <f>IF($BK86&lt;&gt;"",'Group Stages'!M92,"")</f>
        <v/>
      </c>
      <c r="CW86" s="254" t="str">
        <f>IF(AND(COUNTIF($BR$4:$BR$35,'Group Stages'!$G92)&gt;0,COUNTIF($BR$4:$BR$35,'Group Stages'!$M92)&gt;0),'Group Stages'!$G92,"")</f>
        <v/>
      </c>
      <c r="CX86" s="254" t="str">
        <f>IF($CW86&lt;&gt;"",'Group Stages'!$I92,"")</f>
        <v/>
      </c>
      <c r="CY86" s="254" t="str">
        <f>IF($CW86&lt;&gt;"",'Group Stages'!$K92,"")</f>
        <v/>
      </c>
      <c r="CZ86" s="254" t="str">
        <f>IF($CW86&lt;&gt;"",'Group Stages'!$M92,"")</f>
        <v/>
      </c>
    </row>
    <row r="87" spans="63:104" x14ac:dyDescent="0.2">
      <c r="BK87" s="254" t="str">
        <f>IF(AND(COUNTIF($AF$4:$AF$35,'Group Stages'!G93)&gt;0,COUNTIF($AF$4:$AF$35,'Group Stages'!M93)&gt;0,'Group Stages'!I93&lt;&gt;"",'Group Stages'!K93&lt;&gt;""),'Group Stages'!G93,"")</f>
        <v/>
      </c>
      <c r="BL87" s="254" t="str">
        <f>IF($BK87&lt;&gt;"",'Group Stages'!I93,"")</f>
        <v/>
      </c>
      <c r="BM87" s="254" t="str">
        <f>IF($BK87&lt;&gt;"",'Group Stages'!K93,"")</f>
        <v/>
      </c>
      <c r="BN87" s="254" t="str">
        <f>IF($BK87&lt;&gt;"",'Group Stages'!M93,"")</f>
        <v/>
      </c>
      <c r="CW87" s="254" t="str">
        <f>IF(AND(COUNTIF($BR$4:$BR$35,'Group Stages'!$G93)&gt;0,COUNTIF($BR$4:$BR$35,'Group Stages'!$M93)&gt;0),'Group Stages'!$G93,"")</f>
        <v/>
      </c>
      <c r="CX87" s="254" t="str">
        <f>IF($CW87&lt;&gt;"",'Group Stages'!$I93,"")</f>
        <v/>
      </c>
      <c r="CY87" s="254" t="str">
        <f>IF($CW87&lt;&gt;"",'Group Stages'!$K93,"")</f>
        <v/>
      </c>
      <c r="CZ87" s="254" t="str">
        <f>IF($CW87&lt;&gt;"",'Group Stages'!$M93,"")</f>
        <v/>
      </c>
    </row>
    <row r="88" spans="63:104" x14ac:dyDescent="0.2">
      <c r="BK88" s="254" t="str">
        <f>IF(AND(COUNTIF($AF$4:$AF$35,'Group Stages'!G94)&gt;0,COUNTIF($AF$4:$AF$35,'Group Stages'!M94)&gt;0,'Group Stages'!I94&lt;&gt;"",'Group Stages'!K94&lt;&gt;""),'Group Stages'!G94,"")</f>
        <v/>
      </c>
      <c r="BL88" s="254" t="str">
        <f>IF($BK88&lt;&gt;"",'Group Stages'!I94,"")</f>
        <v/>
      </c>
      <c r="BM88" s="254" t="str">
        <f>IF($BK88&lt;&gt;"",'Group Stages'!K94,"")</f>
        <v/>
      </c>
      <c r="BN88" s="254" t="str">
        <f>IF($BK88&lt;&gt;"",'Group Stages'!M94,"")</f>
        <v/>
      </c>
      <c r="CW88" s="254" t="str">
        <f>IF(AND(COUNTIF($BR$4:$BR$35,'Group Stages'!$G94)&gt;0,COUNTIF($BR$4:$BR$35,'Group Stages'!$M94)&gt;0),'Group Stages'!$G94,"")</f>
        <v/>
      </c>
      <c r="CX88" s="254" t="str">
        <f>IF($CW88&lt;&gt;"",'Group Stages'!$I94,"")</f>
        <v/>
      </c>
      <c r="CY88" s="254" t="str">
        <f>IF($CW88&lt;&gt;"",'Group Stages'!$K94,"")</f>
        <v/>
      </c>
      <c r="CZ88" s="254" t="str">
        <f>IF($CW88&lt;&gt;"",'Group Stages'!$M94,"")</f>
        <v/>
      </c>
    </row>
    <row r="89" spans="63:104" x14ac:dyDescent="0.2">
      <c r="BK89" s="254" t="str">
        <f>IF(AND(COUNTIF($AF$4:$AF$35,'Group Stages'!G95)&gt;0,COUNTIF($AF$4:$AF$35,'Group Stages'!M95)&gt;0,'Group Stages'!I95&lt;&gt;"",'Group Stages'!K95&lt;&gt;""),'Group Stages'!G95,"")</f>
        <v/>
      </c>
      <c r="BL89" s="254" t="str">
        <f>IF($BK89&lt;&gt;"",'Group Stages'!I95,"")</f>
        <v/>
      </c>
      <c r="BM89" s="254" t="str">
        <f>IF($BK89&lt;&gt;"",'Group Stages'!K95,"")</f>
        <v/>
      </c>
      <c r="BN89" s="254" t="str">
        <f>IF($BK89&lt;&gt;"",'Group Stages'!M95,"")</f>
        <v/>
      </c>
      <c r="CW89" s="254" t="str">
        <f>IF(AND(COUNTIF($BR$4:$BR$35,'Group Stages'!$G95)&gt;0,COUNTIF($BR$4:$BR$35,'Group Stages'!$M95)&gt;0),'Group Stages'!$G95,"")</f>
        <v/>
      </c>
      <c r="CX89" s="254" t="str">
        <f>IF($CW89&lt;&gt;"",'Group Stages'!$I95,"")</f>
        <v/>
      </c>
      <c r="CY89" s="254" t="str">
        <f>IF($CW89&lt;&gt;"",'Group Stages'!$K95,"")</f>
        <v/>
      </c>
      <c r="CZ89" s="254" t="str">
        <f>IF($CW89&lt;&gt;"",'Group Stages'!$M95,"")</f>
        <v/>
      </c>
    </row>
    <row r="90" spans="63:104" x14ac:dyDescent="0.2">
      <c r="BK90" s="254" t="str">
        <f>IF(AND(COUNTIF($AF$4:$AF$35,'Group Stages'!G96)&gt;0,COUNTIF($AF$4:$AF$35,'Group Stages'!M96)&gt;0,'Group Stages'!I96&lt;&gt;"",'Group Stages'!K96&lt;&gt;""),'Group Stages'!G96,"")</f>
        <v>Liverpool</v>
      </c>
      <c r="BL90" s="254">
        <f>IF($BK90&lt;&gt;"",'Group Stages'!I96,"")</f>
        <v>1</v>
      </c>
      <c r="BM90" s="254">
        <f>IF($BK90&lt;&gt;"",'Group Stages'!K96,"")</f>
        <v>0</v>
      </c>
      <c r="BN90" s="254" t="str">
        <f>IF($BK90&lt;&gt;"",'Group Stages'!M96,"")</f>
        <v>Napoli</v>
      </c>
      <c r="CW90" s="254" t="str">
        <f>IF(AND(COUNTIF($BR$4:$BR$35,'Group Stages'!$G96)&gt;0,COUNTIF($BR$4:$BR$35,'Group Stages'!$M96)&gt;0),'Group Stages'!$G96,"")</f>
        <v/>
      </c>
      <c r="CX90" s="254" t="str">
        <f>IF($CW90&lt;&gt;"",'Group Stages'!$I96,"")</f>
        <v/>
      </c>
      <c r="CY90" s="254" t="str">
        <f>IF($CW90&lt;&gt;"",'Group Stages'!$K96,"")</f>
        <v/>
      </c>
      <c r="CZ90" s="254" t="str">
        <f>IF($CW90&lt;&gt;"",'Group Stages'!$M96,"")</f>
        <v/>
      </c>
    </row>
    <row r="91" spans="63:104" x14ac:dyDescent="0.2">
      <c r="BK91" s="254" t="str">
        <f>IF(AND(COUNTIF($AF$4:$AF$35,'Group Stages'!G97)&gt;0,COUNTIF($AF$4:$AF$35,'Group Stages'!M97)&gt;0,'Group Stages'!I97&lt;&gt;"",'Group Stages'!K97&lt;&gt;""),'Group Stages'!G97,"")</f>
        <v/>
      </c>
      <c r="BL91" s="254" t="str">
        <f>IF($BK91&lt;&gt;"",'Group Stages'!I97,"")</f>
        <v/>
      </c>
      <c r="BM91" s="254" t="str">
        <f>IF($BK91&lt;&gt;"",'Group Stages'!K97,"")</f>
        <v/>
      </c>
      <c r="BN91" s="254" t="str">
        <f>IF($BK91&lt;&gt;"",'Group Stages'!M97,"")</f>
        <v/>
      </c>
      <c r="CW91" s="254" t="str">
        <f>IF(AND(COUNTIF($BR$4:$BR$35,'Group Stages'!$G97)&gt;0,COUNTIF($BR$4:$BR$35,'Group Stages'!$M97)&gt;0),'Group Stages'!$G97,"")</f>
        <v/>
      </c>
      <c r="CX91" s="254" t="str">
        <f>IF($CW91&lt;&gt;"",'Group Stages'!$I97,"")</f>
        <v/>
      </c>
      <c r="CY91" s="254" t="str">
        <f>IF($CW91&lt;&gt;"",'Group Stages'!$K97,"")</f>
        <v/>
      </c>
      <c r="CZ91" s="254" t="str">
        <f>IF($CW91&lt;&gt;"",'Group Stages'!$M97,"")</f>
        <v/>
      </c>
    </row>
    <row r="92" spans="63:104" x14ac:dyDescent="0.2">
      <c r="BK92" s="254" t="str">
        <f>IF(AND(COUNTIF($AF$4:$AF$35,'Group Stages'!G98)&gt;0,COUNTIF($AF$4:$AF$35,'Group Stages'!M98)&gt;0,'Group Stages'!I98&lt;&gt;"",'Group Stages'!K98&lt;&gt;""),'Group Stages'!G98,"")</f>
        <v/>
      </c>
      <c r="BL92" s="254" t="str">
        <f>IF($BK92&lt;&gt;"",'Group Stages'!I98,"")</f>
        <v/>
      </c>
      <c r="BM92" s="254" t="str">
        <f>IF($BK92&lt;&gt;"",'Group Stages'!K98,"")</f>
        <v/>
      </c>
      <c r="BN92" s="254" t="str">
        <f>IF($BK92&lt;&gt;"",'Group Stages'!M98,"")</f>
        <v/>
      </c>
      <c r="CW92" s="254" t="str">
        <f>IF(AND(COUNTIF($BR$4:$BR$35,'Group Stages'!$G98)&gt;0,COUNTIF($BR$4:$BR$35,'Group Stages'!$M98)&gt;0),'Group Stages'!$G98,"")</f>
        <v/>
      </c>
      <c r="CX92" s="254" t="str">
        <f>IF($CW92&lt;&gt;"",'Group Stages'!$I98,"")</f>
        <v/>
      </c>
      <c r="CY92" s="254" t="str">
        <f>IF($CW92&lt;&gt;"",'Group Stages'!$K98,"")</f>
        <v/>
      </c>
      <c r="CZ92" s="254" t="str">
        <f>IF($CW92&lt;&gt;"",'Group Stages'!$M98,"")</f>
        <v/>
      </c>
    </row>
    <row r="93" spans="63:104" x14ac:dyDescent="0.2">
      <c r="BK93" s="254" t="str">
        <f>IF(AND(COUNTIF($AF$4:$AF$35,'Group Stages'!G99)&gt;0,COUNTIF($AF$4:$AF$35,'Group Stages'!M99)&gt;0,'Group Stages'!I99&lt;&gt;"",'Group Stages'!K99&lt;&gt;""),'Group Stages'!G99,"")</f>
        <v/>
      </c>
      <c r="BL93" s="254" t="str">
        <f>IF($BK93&lt;&gt;"",'Group Stages'!I99,"")</f>
        <v/>
      </c>
      <c r="BM93" s="254" t="str">
        <f>IF($BK93&lt;&gt;"",'Group Stages'!K99,"")</f>
        <v/>
      </c>
      <c r="BN93" s="254" t="str">
        <f>IF($BK93&lt;&gt;"",'Group Stages'!M99,"")</f>
        <v/>
      </c>
      <c r="CW93" s="254" t="str">
        <f>IF(AND(COUNTIF($BR$4:$BR$35,'Group Stages'!$G99)&gt;0,COUNTIF($BR$4:$BR$35,'Group Stages'!$M99)&gt;0),'Group Stages'!$G99,"")</f>
        <v/>
      </c>
      <c r="CX93" s="254" t="str">
        <f>IF($CW93&lt;&gt;"",'Group Stages'!$I99,"")</f>
        <v/>
      </c>
      <c r="CY93" s="254" t="str">
        <f>IF($CW93&lt;&gt;"",'Group Stages'!$K99,"")</f>
        <v/>
      </c>
      <c r="CZ93" s="254" t="str">
        <f>IF($CW93&lt;&gt;"",'Group Stages'!$M99,"")</f>
        <v/>
      </c>
    </row>
    <row r="94" spans="63:104" x14ac:dyDescent="0.2">
      <c r="BK94" s="254" t="str">
        <f>IF(AND(COUNTIF($AF$4:$AF$35,'Group Stages'!G100)&gt;0,COUNTIF($AF$4:$AF$35,'Group Stages'!M100)&gt;0,'Group Stages'!I100&lt;&gt;"",'Group Stages'!K100&lt;&gt;""),'Group Stages'!G100,"")</f>
        <v/>
      </c>
      <c r="BL94" s="254" t="str">
        <f>IF($BK94&lt;&gt;"",'Group Stages'!I100,"")</f>
        <v/>
      </c>
      <c r="BM94" s="254" t="str">
        <f>IF($BK94&lt;&gt;"",'Group Stages'!K100,"")</f>
        <v/>
      </c>
      <c r="BN94" s="254" t="str">
        <f>IF($BK94&lt;&gt;"",'Group Stages'!M100,"")</f>
        <v/>
      </c>
      <c r="CW94" s="254" t="str">
        <f>IF(AND(COUNTIF($BR$4:$BR$35,'Group Stages'!$G100)&gt;0,COUNTIF($BR$4:$BR$35,'Group Stages'!$M100)&gt;0),'Group Stages'!$G100,"")</f>
        <v/>
      </c>
      <c r="CX94" s="254" t="str">
        <f>IF($CW94&lt;&gt;"",'Group Stages'!$I100,"")</f>
        <v/>
      </c>
      <c r="CY94" s="254" t="str">
        <f>IF($CW94&lt;&gt;"",'Group Stages'!$K100,"")</f>
        <v/>
      </c>
      <c r="CZ94" s="254" t="str">
        <f>IF($CW94&lt;&gt;"",'Group Stages'!$M100,"")</f>
        <v/>
      </c>
    </row>
    <row r="95" spans="63:104" x14ac:dyDescent="0.2">
      <c r="BK95" s="254" t="str">
        <f>IF(AND(COUNTIF($AF$4:$AF$35,'Group Stages'!G101)&gt;0,COUNTIF($AF$4:$AF$35,'Group Stages'!M101)&gt;0,'Group Stages'!I101&lt;&gt;"",'Group Stages'!K101&lt;&gt;""),'Group Stages'!G101,"")</f>
        <v/>
      </c>
      <c r="BL95" s="254" t="str">
        <f>IF($BK95&lt;&gt;"",'Group Stages'!I101,"")</f>
        <v/>
      </c>
      <c r="BM95" s="254" t="str">
        <f>IF($BK95&lt;&gt;"",'Group Stages'!K101,"")</f>
        <v/>
      </c>
      <c r="BN95" s="254" t="str">
        <f>IF($BK95&lt;&gt;"",'Group Stages'!M101,"")</f>
        <v/>
      </c>
      <c r="CW95" s="254" t="str">
        <f>IF(AND(COUNTIF($BR$4:$BR$35,'Group Stages'!$G101)&gt;0,COUNTIF($BR$4:$BR$35,'Group Stages'!$M101)&gt;0),'Group Stages'!$G101,"")</f>
        <v/>
      </c>
      <c r="CX95" s="254" t="str">
        <f>IF($CW95&lt;&gt;"",'Group Stages'!$I101,"")</f>
        <v/>
      </c>
      <c r="CY95" s="254" t="str">
        <f>IF($CW95&lt;&gt;"",'Group Stages'!$K101,"")</f>
        <v/>
      </c>
      <c r="CZ95" s="254" t="str">
        <f>IF($CW95&lt;&gt;"",'Group Stages'!$M101,"")</f>
        <v/>
      </c>
    </row>
    <row r="96" spans="63:104" x14ac:dyDescent="0.2">
      <c r="BK96" s="254" t="str">
        <f>IF(AND(COUNTIF($AF$4:$AF$35,'Group Stages'!G102)&gt;0,COUNTIF($AF$4:$AF$35,'Group Stages'!M102)&gt;0,'Group Stages'!I102&lt;&gt;"",'Group Stages'!K102&lt;&gt;""),'Group Stages'!G102,"")</f>
        <v/>
      </c>
      <c r="BL96" s="254" t="str">
        <f>IF($BK96&lt;&gt;"",'Group Stages'!I102,"")</f>
        <v/>
      </c>
      <c r="BM96" s="254" t="str">
        <f>IF($BK96&lt;&gt;"",'Group Stages'!K102,"")</f>
        <v/>
      </c>
      <c r="BN96" s="254" t="str">
        <f>IF($BK96&lt;&gt;"",'Group Stages'!M102,"")</f>
        <v/>
      </c>
      <c r="CW96" s="254" t="str">
        <f>IF(AND(COUNTIF($BR$4:$BR$35,'Group Stages'!$G102)&gt;0,COUNTIF($BR$4:$BR$35,'Group Stages'!$M102)&gt;0),'Group Stages'!$G102,"")</f>
        <v/>
      </c>
      <c r="CX96" s="254" t="str">
        <f>IF($CW96&lt;&gt;"",'Group Stages'!$I102,"")</f>
        <v/>
      </c>
      <c r="CY96" s="254" t="str">
        <f>IF($CW96&lt;&gt;"",'Group Stages'!$K102,"")</f>
        <v/>
      </c>
      <c r="CZ96" s="254" t="str">
        <f>IF($CW96&lt;&gt;"",'Group Stages'!$M102,"")</f>
        <v/>
      </c>
    </row>
    <row r="97" spans="63:104" x14ac:dyDescent="0.2">
      <c r="BK97" s="254" t="str">
        <f>IF(AND(COUNTIF($AF$4:$AF$35,'Group Stages'!G103)&gt;0,COUNTIF($AF$4:$AF$35,'Group Stages'!M103)&gt;0,'Group Stages'!I103&lt;&gt;"",'Group Stages'!K103&lt;&gt;""),'Group Stages'!G103,"")</f>
        <v/>
      </c>
      <c r="BL97" s="254" t="str">
        <f>IF($BK97&lt;&gt;"",'Group Stages'!I103,"")</f>
        <v/>
      </c>
      <c r="BM97" s="254" t="str">
        <f>IF($BK97&lt;&gt;"",'Group Stages'!K103,"")</f>
        <v/>
      </c>
      <c r="BN97" s="254" t="str">
        <f>IF($BK97&lt;&gt;"",'Group Stages'!M103,"")</f>
        <v/>
      </c>
      <c r="CW97" s="254" t="str">
        <f>IF(AND(COUNTIF($BR$4:$BR$35,'Group Stages'!$G103)&gt;0,COUNTIF($BR$4:$BR$35,'Group Stages'!$M103)&gt;0),'Group Stages'!$G103,"")</f>
        <v/>
      </c>
      <c r="CX97" s="254" t="str">
        <f>IF($CW97&lt;&gt;"",'Group Stages'!$I103,"")</f>
        <v/>
      </c>
      <c r="CY97" s="254" t="str">
        <f>IF($CW97&lt;&gt;"",'Group Stages'!$K103,"")</f>
        <v/>
      </c>
      <c r="CZ97" s="254" t="str">
        <f>IF($CW97&lt;&gt;"",'Group Stages'!$M103,"")</f>
        <v/>
      </c>
    </row>
    <row r="98" spans="63:104" x14ac:dyDescent="0.2">
      <c r="BK98" s="254" t="str">
        <f>IF(AND(COUNTIF($AF$4:$AF$35,'Group Stages'!G104)&gt;0,COUNTIF($AF$4:$AF$35,'Group Stages'!M104)&gt;0,'Group Stages'!I104&lt;&gt;"",'Group Stages'!K104&lt;&gt;""),'Group Stages'!G104,"")</f>
        <v/>
      </c>
      <c r="BL98" s="254" t="str">
        <f>IF($BK98&lt;&gt;"",'Group Stages'!I104,"")</f>
        <v/>
      </c>
      <c r="BM98" s="254" t="str">
        <f>IF($BK98&lt;&gt;"",'Group Stages'!K104,"")</f>
        <v/>
      </c>
      <c r="BN98" s="254" t="str">
        <f>IF($BK98&lt;&gt;"",'Group Stages'!M104,"")</f>
        <v/>
      </c>
      <c r="CW98" s="254" t="str">
        <f>IF(AND(COUNTIF($BR$4:$BR$35,'Group Stages'!$G104)&gt;0,COUNTIF($BR$4:$BR$35,'Group Stages'!$M104)&gt;0),'Group Stages'!$G104,"")</f>
        <v/>
      </c>
      <c r="CX98" s="254" t="str">
        <f>IF($CW98&lt;&gt;"",'Group Stages'!$I104,"")</f>
        <v/>
      </c>
      <c r="CY98" s="254" t="str">
        <f>IF($CW98&lt;&gt;"",'Group Stages'!$K104,"")</f>
        <v/>
      </c>
      <c r="CZ98" s="254" t="str">
        <f>IF($CW98&lt;&gt;"",'Group Stages'!$M104,"")</f>
        <v/>
      </c>
    </row>
    <row r="99" spans="63:104" x14ac:dyDescent="0.2">
      <c r="BK99" s="254" t="str">
        <f>IF(AND(COUNTIF($AF$4:$AF$35,'Group Stages'!G105)&gt;0,COUNTIF($AF$4:$AF$35,'Group Stages'!M105)&gt;0,'Group Stages'!I105&lt;&gt;"",'Group Stages'!K105&lt;&gt;""),'Group Stages'!G105,"")</f>
        <v/>
      </c>
      <c r="BL99" s="254" t="str">
        <f>IF($BK99&lt;&gt;"",'Group Stages'!I105,"")</f>
        <v/>
      </c>
      <c r="BM99" s="254" t="str">
        <f>IF($BK99&lt;&gt;"",'Group Stages'!K105,"")</f>
        <v/>
      </c>
      <c r="BN99" s="254" t="str">
        <f>IF($BK99&lt;&gt;"",'Group Stages'!M105,"")</f>
        <v/>
      </c>
      <c r="CW99" s="254" t="str">
        <f>IF(AND(COUNTIF($BR$4:$BR$35,'Group Stages'!$G105)&gt;0,COUNTIF($BR$4:$BR$35,'Group Stages'!$M105)&gt;0),'Group Stages'!$G105,"")</f>
        <v/>
      </c>
      <c r="CX99" s="254" t="str">
        <f>IF($CW99&lt;&gt;"",'Group Stages'!$I105,"")</f>
        <v/>
      </c>
      <c r="CY99" s="254" t="str">
        <f>IF($CW99&lt;&gt;"",'Group Stages'!$K105,"")</f>
        <v/>
      </c>
      <c r="CZ99" s="254" t="str">
        <f>IF($CW99&lt;&gt;"",'Group Stages'!$M105,"")</f>
        <v/>
      </c>
    </row>
  </sheetData>
  <sheetProtection password="CE6F" sheet="1" objects="1" scenarios="1" selectLockedCells="1"/>
  <phoneticPr fontId="1" type="noConversion"/>
  <pageMargins left="0.75" right="0.75" top="1" bottom="1" header="0.5" footer="0.5"/>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Team Setup</vt:lpstr>
      <vt:lpstr>Group Stages</vt:lpstr>
      <vt:lpstr>Knock Out Phase</vt:lpstr>
      <vt:lpstr>Team Info</vt:lpstr>
      <vt:lpstr>Team History</vt:lpstr>
      <vt:lpstr>About</vt:lpstr>
      <vt:lpstr>Dummy Table</vt:lpstr>
      <vt:lpstr>GroupMatch</vt:lpstr>
      <vt:lpstr>'Group Stages'!Print_Area</vt:lpstr>
      <vt:lpstr>'Knock Out Phase'!Print_Area</vt:lpstr>
      <vt:lpstr>'Team Info'!Print_Area</vt:lpstr>
      <vt:lpstr>'Team Setup'!Print_Area</vt:lpstr>
      <vt:lpstr>Quarters</vt:lpstr>
      <vt:lpstr>RoundMatch</vt:lpstr>
      <vt:lpstr>Semis</vt:lpstr>
      <vt:lpstr>Team</vt:lpstr>
      <vt:lpstr>TeamGroupMatch</vt:lpstr>
    </vt:vector>
  </TitlesOfParts>
  <Company>Exceltemplate.net</Company>
  <LinksUpToDate>false</LinksUpToDate>
  <SharedDoc>false</SharedDoc>
  <HyperlinkBase>http://exceltemplate.net/</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UEFA Champions League 2017/2018 Fixtures</dc:title>
  <dc:creator>R. Musadya</dc:creator>
  <cp:keywords>Champions League, UEFA, UEFA Fixtures, Fixtures 2017/2018</cp:keywords>
  <cp:lastModifiedBy>Aidos Malybayev</cp:lastModifiedBy>
  <cp:lastPrinted>2016-09-13T05:07:23Z</cp:lastPrinted>
  <dcterms:created xsi:type="dcterms:W3CDTF">2008-04-13T01:23:18Z</dcterms:created>
  <dcterms:modified xsi:type="dcterms:W3CDTF">2019-03-14T05:38:31Z</dcterms:modified>
  <cp:category>Sport Spreadsheets</cp:category>
</cp:coreProperties>
</file>